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pencer\Documents\GitHub\wordle\data\"/>
    </mc:Choice>
  </mc:AlternateContent>
  <xr:revisionPtr revIDLastSave="0" documentId="13_ncr:1_{5F1C8F2C-1E18-4FD0-978A-174EE9CEA3CB}" xr6:coauthVersionLast="47" xr6:coauthVersionMax="47" xr10:uidLastSave="{00000000-0000-0000-0000-000000000000}"/>
  <bookViews>
    <workbookView xWindow="-28920" yWindow="-120" windowWidth="29040" windowHeight="15840" tabRatio="642" activeTab="1" xr2:uid="{9CF507EB-1BFD-487F-B619-C1323D8E19B5}"/>
  </bookViews>
  <sheets>
    <sheet name="Overall" sheetId="1" r:id="rId1"/>
    <sheet name="Season 4 (6-23 to 9-21)" sheetId="5" r:id="rId2"/>
    <sheet name="Season 3 (3-23 to 6-22)" sheetId="4" r:id="rId3"/>
    <sheet name="Season 2 (12-23 to 3-22)" sheetId="3" r:id="rId4"/>
    <sheet name="Season 1 (9-22 to 12-22)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7" i="5" l="1"/>
  <c r="K58" i="5"/>
  <c r="K59" i="5"/>
  <c r="K60" i="5"/>
  <c r="K61" i="5"/>
  <c r="L57" i="5"/>
  <c r="L58" i="5"/>
  <c r="L59" i="5"/>
  <c r="L60" i="5"/>
  <c r="L61" i="5"/>
  <c r="M57" i="5"/>
  <c r="M58" i="5"/>
  <c r="M59" i="5"/>
  <c r="M60" i="5"/>
  <c r="M61" i="5"/>
  <c r="K56" i="5"/>
  <c r="L56" i="5"/>
  <c r="K55" i="5"/>
  <c r="L55" i="5"/>
  <c r="K54" i="5"/>
  <c r="L54" i="5"/>
  <c r="K53" i="5"/>
  <c r="L53" i="5"/>
  <c r="K52" i="5"/>
  <c r="L52" i="5"/>
  <c r="K51" i="5"/>
  <c r="L51" i="5"/>
  <c r="K50" i="5"/>
  <c r="L50" i="5"/>
  <c r="K49" i="5"/>
  <c r="L49" i="5"/>
  <c r="K48" i="5"/>
  <c r="L48" i="5"/>
  <c r="K47" i="5"/>
  <c r="L47" i="5"/>
  <c r="K46" i="5"/>
  <c r="L46" i="5"/>
  <c r="K45" i="5"/>
  <c r="L45" i="5"/>
  <c r="K44" i="5"/>
  <c r="L44" i="5"/>
  <c r="K43" i="5"/>
  <c r="L43" i="5"/>
  <c r="K42" i="5"/>
  <c r="L42" i="5"/>
  <c r="K41" i="5"/>
  <c r="L41" i="5"/>
  <c r="K40" i="5"/>
  <c r="L40" i="5"/>
  <c r="K39" i="5"/>
  <c r="L39" i="5"/>
  <c r="K38" i="5"/>
  <c r="L38" i="5"/>
  <c r="K37" i="5"/>
  <c r="L37" i="5"/>
  <c r="K36" i="5"/>
  <c r="L36" i="5"/>
  <c r="K35" i="5"/>
  <c r="L35" i="5"/>
  <c r="K34" i="5"/>
  <c r="L34" i="5"/>
  <c r="K33" i="5"/>
  <c r="L33" i="5"/>
  <c r="K32" i="5"/>
  <c r="L32" i="5"/>
  <c r="K31" i="5"/>
  <c r="L31" i="5"/>
  <c r="K30" i="5"/>
  <c r="L30" i="5"/>
  <c r="K29" i="5"/>
  <c r="L29" i="5"/>
  <c r="K28" i="5"/>
  <c r="L28" i="5"/>
  <c r="K27" i="5"/>
  <c r="L27" i="5"/>
  <c r="K26" i="5"/>
  <c r="L26" i="5"/>
  <c r="K25" i="5"/>
  <c r="L25" i="5"/>
  <c r="K24" i="5"/>
  <c r="L24" i="5"/>
  <c r="K23" i="5"/>
  <c r="L23" i="5"/>
  <c r="K22" i="5"/>
  <c r="L22" i="5"/>
  <c r="K21" i="5"/>
  <c r="L21" i="5"/>
  <c r="K20" i="5"/>
  <c r="L20" i="5"/>
  <c r="K19" i="5"/>
  <c r="L19" i="5"/>
  <c r="K18" i="5"/>
  <c r="L18" i="5"/>
  <c r="K17" i="5"/>
  <c r="L17" i="5"/>
  <c r="K16" i="5"/>
  <c r="L16" i="5"/>
  <c r="K15" i="5"/>
  <c r="L15" i="5"/>
  <c r="K14" i="5"/>
  <c r="L14" i="5"/>
  <c r="K13" i="5"/>
  <c r="L13" i="5"/>
  <c r="K12" i="5"/>
  <c r="L12" i="5"/>
  <c r="K11" i="5"/>
  <c r="L11" i="5"/>
  <c r="K10" i="5"/>
  <c r="L10" i="5"/>
  <c r="K9" i="5"/>
  <c r="L9" i="5"/>
  <c r="K8" i="5"/>
  <c r="L8" i="5"/>
  <c r="G42" i="1" a="1"/>
  <c r="G42" i="1" s="1"/>
  <c r="H42" i="1" s="1" a="1"/>
  <c r="G43" i="1" a="1"/>
  <c r="G43" i="1" s="1"/>
  <c r="H43" i="1" s="1" a="1"/>
  <c r="G44" i="1" a="1"/>
  <c r="G44" i="1" s="1"/>
  <c r="H44" i="1" s="1" a="1"/>
  <c r="G45" i="1" a="1"/>
  <c r="G45" i="1" s="1"/>
  <c r="G46" i="1" a="1"/>
  <c r="G46" i="1" s="1"/>
  <c r="H46" i="1" s="1" a="1"/>
  <c r="G47" i="1" a="1"/>
  <c r="G47" i="1" s="1"/>
  <c r="H47" i="1" s="1" a="1"/>
  <c r="G41" i="1" a="1"/>
  <c r="G41" i="1" s="1"/>
  <c r="H41" i="1" s="1" a="1"/>
  <c r="K7" i="5"/>
  <c r="L7" i="5"/>
  <c r="K6" i="5"/>
  <c r="L6" i="5"/>
  <c r="K5" i="5"/>
  <c r="L5" i="5"/>
  <c r="K4" i="5"/>
  <c r="L4" i="5"/>
  <c r="M4" i="5"/>
  <c r="K3" i="5"/>
  <c r="L3" i="5"/>
  <c r="L41" i="1"/>
  <c r="M41" i="1"/>
  <c r="O41" i="1"/>
  <c r="O42" i="1"/>
  <c r="O43" i="1"/>
  <c r="O44" i="1"/>
  <c r="O45" i="1"/>
  <c r="O46" i="1"/>
  <c r="O47" i="1"/>
  <c r="O48" i="1"/>
  <c r="M47" i="1"/>
  <c r="M46" i="1"/>
  <c r="M45" i="1"/>
  <c r="M44" i="1"/>
  <c r="M43" i="1"/>
  <c r="M42" i="1"/>
  <c r="L47" i="1"/>
  <c r="L46" i="1"/>
  <c r="L45" i="1"/>
  <c r="L44" i="1"/>
  <c r="L43" i="1"/>
  <c r="L42" i="1"/>
  <c r="B41" i="1"/>
  <c r="F41" i="1" s="1"/>
  <c r="B42" i="1"/>
  <c r="F42" i="1" s="1"/>
  <c r="B43" i="1"/>
  <c r="F43" i="1" s="1"/>
  <c r="B44" i="1"/>
  <c r="F44" i="1" s="1"/>
  <c r="B45" i="1"/>
  <c r="F45" i="1" s="1"/>
  <c r="B46" i="1"/>
  <c r="F46" i="1" s="1"/>
  <c r="B47" i="1"/>
  <c r="F47" i="1" s="1"/>
  <c r="K2" i="5"/>
  <c r="L2" i="5"/>
  <c r="K93" i="4"/>
  <c r="M93" i="4" s="1"/>
  <c r="L93" i="4"/>
  <c r="K92" i="4"/>
  <c r="M92" i="4" s="1"/>
  <c r="L92" i="4"/>
  <c r="K91" i="4"/>
  <c r="M91" i="4" s="1"/>
  <c r="L91" i="4"/>
  <c r="K90" i="4"/>
  <c r="M90" i="4" s="1"/>
  <c r="L90" i="4"/>
  <c r="K89" i="4"/>
  <c r="M89" i="4" s="1"/>
  <c r="L89" i="4"/>
  <c r="K88" i="4"/>
  <c r="M88" i="4" s="1"/>
  <c r="L88" i="4"/>
  <c r="K87" i="4"/>
  <c r="M87" i="4" s="1"/>
  <c r="L87" i="4"/>
  <c r="K86" i="4"/>
  <c r="M86" i="4" s="1"/>
  <c r="L86" i="4"/>
  <c r="K85" i="4"/>
  <c r="M85" i="4" s="1"/>
  <c r="L85" i="4"/>
  <c r="K84" i="4"/>
  <c r="M84" i="4" s="1"/>
  <c r="L84" i="4"/>
  <c r="K83" i="4"/>
  <c r="M83" i="4" s="1"/>
  <c r="L83" i="4"/>
  <c r="K82" i="4"/>
  <c r="M82" i="4" s="1"/>
  <c r="L82" i="4"/>
  <c r="G29" i="1" a="1"/>
  <c r="G29" i="1" s="1"/>
  <c r="H29" i="1" s="1" a="1"/>
  <c r="H29" i="1" s="1"/>
  <c r="G30" i="1" a="1"/>
  <c r="G30" i="1" s="1"/>
  <c r="H30" i="1" s="1" a="1"/>
  <c r="H30" i="1" s="1"/>
  <c r="G31" i="1" a="1"/>
  <c r="G31" i="1" s="1"/>
  <c r="H31" i="1" s="1" a="1"/>
  <c r="H31" i="1" s="1"/>
  <c r="G32" i="1" a="1"/>
  <c r="G32" i="1" s="1"/>
  <c r="H32" i="1" s="1" a="1"/>
  <c r="H32" i="1" s="1"/>
  <c r="G33" i="1" a="1"/>
  <c r="G33" i="1" s="1"/>
  <c r="H33" i="1" s="1" a="1"/>
  <c r="H33" i="1" s="1"/>
  <c r="G34" i="1" a="1"/>
  <c r="G34" i="1" s="1"/>
  <c r="H34" i="1" s="1" a="1"/>
  <c r="H34" i="1" s="1"/>
  <c r="G35" i="1" a="1"/>
  <c r="G35" i="1" s="1"/>
  <c r="H35" i="1" s="1" a="1"/>
  <c r="H35" i="1" s="1"/>
  <c r="K81" i="4"/>
  <c r="M81" i="4" s="1"/>
  <c r="L81" i="4"/>
  <c r="K80" i="4"/>
  <c r="M80" i="4" s="1"/>
  <c r="L80" i="4"/>
  <c r="K79" i="4"/>
  <c r="M79" i="4" s="1"/>
  <c r="L79" i="4"/>
  <c r="K78" i="4"/>
  <c r="M78" i="4" s="1"/>
  <c r="L78" i="4"/>
  <c r="K77" i="4"/>
  <c r="M77" i="4" s="1"/>
  <c r="L77" i="4"/>
  <c r="K76" i="4"/>
  <c r="M76" i="4" s="1"/>
  <c r="L76" i="4"/>
  <c r="K75" i="4"/>
  <c r="M75" i="4" s="1"/>
  <c r="L75" i="4"/>
  <c r="K74" i="4"/>
  <c r="M74" i="4" s="1"/>
  <c r="L74" i="4"/>
  <c r="K73" i="4"/>
  <c r="M73" i="4" s="1"/>
  <c r="L73" i="4"/>
  <c r="K72" i="4"/>
  <c r="M72" i="4" s="1"/>
  <c r="L72" i="4"/>
  <c r="K71" i="4"/>
  <c r="M71" i="4" s="1"/>
  <c r="L71" i="4"/>
  <c r="K70" i="4"/>
  <c r="M70" i="4" s="1"/>
  <c r="L70" i="4"/>
  <c r="K69" i="4"/>
  <c r="M69" i="4" s="1"/>
  <c r="L69" i="4"/>
  <c r="K68" i="4"/>
  <c r="M68" i="4" s="1"/>
  <c r="L68" i="4"/>
  <c r="K67" i="4"/>
  <c r="M67" i="4" s="1"/>
  <c r="L67" i="4"/>
  <c r="K66" i="4"/>
  <c r="M66" i="4" s="1"/>
  <c r="L66" i="4"/>
  <c r="K65" i="4"/>
  <c r="M65" i="4" s="1"/>
  <c r="L65" i="4"/>
  <c r="K64" i="4"/>
  <c r="M64" i="4" s="1"/>
  <c r="L64" i="4"/>
  <c r="K63" i="4"/>
  <c r="M63" i="4" s="1"/>
  <c r="L63" i="4"/>
  <c r="K62" i="4"/>
  <c r="M62" i="4" s="1"/>
  <c r="L62" i="4"/>
  <c r="K61" i="4"/>
  <c r="M61" i="4" s="1"/>
  <c r="L61" i="4"/>
  <c r="K60" i="4"/>
  <c r="M60" i="4" s="1"/>
  <c r="L60" i="4"/>
  <c r="K59" i="4"/>
  <c r="M59" i="4" s="1"/>
  <c r="L59" i="4"/>
  <c r="K58" i="4"/>
  <c r="M58" i="4" s="1"/>
  <c r="L58" i="4"/>
  <c r="K57" i="4"/>
  <c r="M57" i="4" s="1"/>
  <c r="L57" i="4"/>
  <c r="K56" i="4"/>
  <c r="M56" i="4" s="1"/>
  <c r="L56" i="4"/>
  <c r="K55" i="4"/>
  <c r="M55" i="4" s="1"/>
  <c r="L55" i="4"/>
  <c r="K54" i="4"/>
  <c r="M54" i="4" s="1"/>
  <c r="L54" i="4"/>
  <c r="K53" i="4"/>
  <c r="M53" i="4" s="1"/>
  <c r="L53" i="4"/>
  <c r="K52" i="4"/>
  <c r="M52" i="4" s="1"/>
  <c r="L52" i="4"/>
  <c r="K51" i="4"/>
  <c r="M51" i="4" s="1"/>
  <c r="L51" i="4"/>
  <c r="K50" i="4"/>
  <c r="M50" i="4" s="1"/>
  <c r="L50" i="4"/>
  <c r="K49" i="4"/>
  <c r="M49" i="4" s="1"/>
  <c r="L49" i="4"/>
  <c r="K48" i="4"/>
  <c r="M48" i="4" s="1"/>
  <c r="L48" i="4"/>
  <c r="K47" i="4"/>
  <c r="M47" i="4" s="1"/>
  <c r="L47" i="4"/>
  <c r="K46" i="4"/>
  <c r="M46" i="4" s="1"/>
  <c r="L46" i="4"/>
  <c r="K45" i="4"/>
  <c r="M45" i="4" s="1"/>
  <c r="L45" i="4"/>
  <c r="K44" i="4"/>
  <c r="M44" i="4" s="1"/>
  <c r="L44" i="4"/>
  <c r="K43" i="4"/>
  <c r="M43" i="4" s="1"/>
  <c r="L43" i="4"/>
  <c r="K42" i="4"/>
  <c r="M42" i="4" s="1"/>
  <c r="L42" i="4"/>
  <c r="K41" i="4"/>
  <c r="M41" i="4" s="1"/>
  <c r="L41" i="4"/>
  <c r="K40" i="4"/>
  <c r="M40" i="4" s="1"/>
  <c r="L40" i="4"/>
  <c r="K39" i="4"/>
  <c r="M39" i="4" s="1"/>
  <c r="L39" i="4"/>
  <c r="K38" i="4"/>
  <c r="M38" i="4" s="1"/>
  <c r="L38" i="4"/>
  <c r="K37" i="4"/>
  <c r="M37" i="4" s="1"/>
  <c r="L37" i="4"/>
  <c r="K36" i="4"/>
  <c r="M36" i="4" s="1"/>
  <c r="L36" i="4"/>
  <c r="K35" i="4"/>
  <c r="M35" i="4" s="1"/>
  <c r="L35" i="4"/>
  <c r="K34" i="4"/>
  <c r="M34" i="4" s="1"/>
  <c r="L34" i="4"/>
  <c r="K33" i="4"/>
  <c r="M33" i="4" s="1"/>
  <c r="L33" i="4"/>
  <c r="L31" i="1"/>
  <c r="B29" i="1"/>
  <c r="I29" i="1" s="1"/>
  <c r="I36" i="1" s="1"/>
  <c r="B30" i="1"/>
  <c r="I30" i="1" s="1"/>
  <c r="B31" i="1"/>
  <c r="I31" i="1" s="1"/>
  <c r="B32" i="1"/>
  <c r="I32" i="1" s="1"/>
  <c r="B33" i="1"/>
  <c r="I33" i="1" s="1"/>
  <c r="B34" i="1"/>
  <c r="I34" i="1" s="1"/>
  <c r="B35" i="1"/>
  <c r="I35" i="1" s="1"/>
  <c r="K32" i="4"/>
  <c r="M32" i="4" s="1"/>
  <c r="L32" i="4"/>
  <c r="K31" i="4"/>
  <c r="M31" i="4" s="1"/>
  <c r="L31" i="4"/>
  <c r="K30" i="4"/>
  <c r="M30" i="4" s="1"/>
  <c r="L30" i="4"/>
  <c r="K29" i="4"/>
  <c r="M29" i="4" s="1"/>
  <c r="L29" i="4"/>
  <c r="K28" i="4"/>
  <c r="M28" i="4" s="1"/>
  <c r="L28" i="4"/>
  <c r="K27" i="4"/>
  <c r="M27" i="4" s="1"/>
  <c r="L27" i="4"/>
  <c r="K26" i="4"/>
  <c r="M26" i="4" s="1"/>
  <c r="L26" i="4"/>
  <c r="K25" i="4"/>
  <c r="M25" i="4" s="1"/>
  <c r="L25" i="4"/>
  <c r="K24" i="4"/>
  <c r="M24" i="4" s="1"/>
  <c r="L24" i="4"/>
  <c r="K23" i="4"/>
  <c r="M23" i="4" s="1"/>
  <c r="L23" i="4"/>
  <c r="K22" i="4"/>
  <c r="M22" i="4" s="1"/>
  <c r="L22" i="4"/>
  <c r="K21" i="4"/>
  <c r="M21" i="4" s="1"/>
  <c r="L21" i="4"/>
  <c r="K20" i="4"/>
  <c r="M20" i="4" s="1"/>
  <c r="L20" i="4"/>
  <c r="K19" i="4"/>
  <c r="M19" i="4" s="1"/>
  <c r="L19" i="4"/>
  <c r="K18" i="4"/>
  <c r="M18" i="4" s="1"/>
  <c r="L18" i="4"/>
  <c r="AG68" i="2"/>
  <c r="AF68" i="2"/>
  <c r="AG67" i="2"/>
  <c r="AF67" i="2"/>
  <c r="AG66" i="2"/>
  <c r="AF66" i="2"/>
  <c r="AG65" i="2"/>
  <c r="AF65" i="2"/>
  <c r="AG64" i="2"/>
  <c r="AF64" i="2"/>
  <c r="AG63" i="2"/>
  <c r="AF63" i="2"/>
  <c r="AG62" i="2"/>
  <c r="AF62" i="2"/>
  <c r="AG61" i="2"/>
  <c r="AF61" i="2"/>
  <c r="AG60" i="2"/>
  <c r="AF60" i="2"/>
  <c r="AG59" i="2"/>
  <c r="AF59" i="2"/>
  <c r="AG58" i="2"/>
  <c r="AF58" i="2"/>
  <c r="AG57" i="2"/>
  <c r="AF57" i="2"/>
  <c r="AG56" i="2"/>
  <c r="AF56" i="2"/>
  <c r="AG55" i="2"/>
  <c r="AF55" i="2"/>
  <c r="AG54" i="2"/>
  <c r="AF54" i="2"/>
  <c r="AG53" i="2"/>
  <c r="AF53" i="2"/>
  <c r="AG52" i="2"/>
  <c r="AF52" i="2"/>
  <c r="AG51" i="2"/>
  <c r="AF51" i="2"/>
  <c r="AG50" i="2"/>
  <c r="AF50" i="2"/>
  <c r="AG49" i="2"/>
  <c r="AF49" i="2"/>
  <c r="AG48" i="2"/>
  <c r="AF48" i="2"/>
  <c r="AG47" i="2"/>
  <c r="AF47" i="2"/>
  <c r="AG46" i="2"/>
  <c r="AF46" i="2"/>
  <c r="AG45" i="2"/>
  <c r="AF45" i="2"/>
  <c r="AG44" i="2"/>
  <c r="AF44" i="2"/>
  <c r="AG43" i="2"/>
  <c r="AF43" i="2"/>
  <c r="AG42" i="2"/>
  <c r="AF42" i="2"/>
  <c r="AG41" i="2"/>
  <c r="AF41" i="2"/>
  <c r="AG40" i="2"/>
  <c r="AF40" i="2"/>
  <c r="AG39" i="2"/>
  <c r="AF39" i="2"/>
  <c r="AG38" i="2"/>
  <c r="AF38" i="2"/>
  <c r="AG101" i="2"/>
  <c r="AF101" i="2"/>
  <c r="AG100" i="2"/>
  <c r="AF100" i="2"/>
  <c r="AG99" i="2"/>
  <c r="AF99" i="2"/>
  <c r="AG98" i="2"/>
  <c r="AF98" i="2"/>
  <c r="AG97" i="2"/>
  <c r="AF97" i="2"/>
  <c r="AG96" i="2"/>
  <c r="AF96" i="2"/>
  <c r="AG95" i="2"/>
  <c r="AF95" i="2"/>
  <c r="AG94" i="2"/>
  <c r="AF94" i="2"/>
  <c r="AG93" i="2"/>
  <c r="AF93" i="2"/>
  <c r="AG92" i="2"/>
  <c r="AF92" i="2"/>
  <c r="AG91" i="2"/>
  <c r="AF91" i="2"/>
  <c r="AG90" i="2"/>
  <c r="AF90" i="2"/>
  <c r="AG89" i="2"/>
  <c r="AF89" i="2"/>
  <c r="AG88" i="2"/>
  <c r="AF88" i="2"/>
  <c r="AG87" i="2"/>
  <c r="AF87" i="2"/>
  <c r="AG86" i="2"/>
  <c r="AF86" i="2"/>
  <c r="AG85" i="2"/>
  <c r="AF85" i="2"/>
  <c r="AG84" i="2"/>
  <c r="AF84" i="2"/>
  <c r="AG83" i="2"/>
  <c r="AF83" i="2"/>
  <c r="AG82" i="2"/>
  <c r="AF82" i="2"/>
  <c r="AG81" i="2"/>
  <c r="AF81" i="2"/>
  <c r="AG80" i="2"/>
  <c r="AF80" i="2"/>
  <c r="AG79" i="2"/>
  <c r="AF79" i="2"/>
  <c r="AG78" i="2"/>
  <c r="AF78" i="2"/>
  <c r="AG77" i="2"/>
  <c r="AF77" i="2"/>
  <c r="AG76" i="2"/>
  <c r="AF76" i="2"/>
  <c r="AG75" i="2"/>
  <c r="AF75" i="2"/>
  <c r="AG74" i="2"/>
  <c r="AF74" i="2"/>
  <c r="AG73" i="2"/>
  <c r="AF73" i="2"/>
  <c r="AG72" i="2"/>
  <c r="AF72" i="2"/>
  <c r="AG34" i="2"/>
  <c r="AF34" i="2"/>
  <c r="AG33" i="2"/>
  <c r="AF33" i="2"/>
  <c r="AG32" i="2"/>
  <c r="AF32" i="2"/>
  <c r="AG31" i="2"/>
  <c r="AF31" i="2"/>
  <c r="AG30" i="2"/>
  <c r="AF30" i="2"/>
  <c r="AG29" i="2"/>
  <c r="AF29" i="2"/>
  <c r="AG28" i="2"/>
  <c r="AF28" i="2"/>
  <c r="AG27" i="2"/>
  <c r="AF27" i="2"/>
  <c r="AG26" i="2"/>
  <c r="AF26" i="2"/>
  <c r="AG25" i="2"/>
  <c r="AF25" i="2"/>
  <c r="AG24" i="2"/>
  <c r="AF24" i="2"/>
  <c r="AG23" i="2"/>
  <c r="AF23" i="2"/>
  <c r="AG22" i="2"/>
  <c r="AF22" i="2"/>
  <c r="AG21" i="2"/>
  <c r="AF21" i="2"/>
  <c r="AG20" i="2"/>
  <c r="AF20" i="2"/>
  <c r="AG19" i="2"/>
  <c r="AF19" i="2"/>
  <c r="AG18" i="2"/>
  <c r="AF18" i="2"/>
  <c r="AG17" i="2"/>
  <c r="AF17" i="2"/>
  <c r="AG16" i="2"/>
  <c r="AF16" i="2"/>
  <c r="AG15" i="2"/>
  <c r="AF15" i="2"/>
  <c r="AG14" i="2"/>
  <c r="AF14" i="2"/>
  <c r="AG13" i="2"/>
  <c r="AF13" i="2"/>
  <c r="AG12" i="2"/>
  <c r="AF12" i="2"/>
  <c r="AG11" i="2"/>
  <c r="AF11" i="2"/>
  <c r="AG10" i="2"/>
  <c r="AF10" i="2"/>
  <c r="AG9" i="2"/>
  <c r="AF9" i="2"/>
  <c r="AG8" i="2"/>
  <c r="AF8" i="2"/>
  <c r="AG7" i="2"/>
  <c r="AF7" i="2"/>
  <c r="AG6" i="2"/>
  <c r="AF6" i="2"/>
  <c r="AG5" i="2"/>
  <c r="AF5" i="2"/>
  <c r="AG4" i="2"/>
  <c r="AF4" i="2"/>
  <c r="K17" i="4"/>
  <c r="M17" i="4" s="1"/>
  <c r="L17" i="4"/>
  <c r="K16" i="4"/>
  <c r="M16" i="4" s="1"/>
  <c r="L16" i="4"/>
  <c r="K15" i="4"/>
  <c r="M15" i="4" s="1"/>
  <c r="L15" i="4"/>
  <c r="K14" i="4"/>
  <c r="M14" i="4" s="1"/>
  <c r="L14" i="4"/>
  <c r="K13" i="4"/>
  <c r="M13" i="4" s="1"/>
  <c r="L13" i="4"/>
  <c r="K12" i="4"/>
  <c r="M12" i="4" s="1"/>
  <c r="L12" i="4"/>
  <c r="K11" i="4"/>
  <c r="M11" i="4" s="1"/>
  <c r="L11" i="4"/>
  <c r="K10" i="4"/>
  <c r="M10" i="4" s="1"/>
  <c r="L10" i="4"/>
  <c r="K9" i="4"/>
  <c r="M9" i="4" s="1"/>
  <c r="L9" i="4"/>
  <c r="K8" i="4"/>
  <c r="M8" i="4" s="1"/>
  <c r="L8" i="4"/>
  <c r="K7" i="4"/>
  <c r="M7" i="4" s="1"/>
  <c r="L7" i="4"/>
  <c r="K6" i="4"/>
  <c r="M6" i="4" s="1"/>
  <c r="L6" i="4"/>
  <c r="K5" i="4"/>
  <c r="M5" i="4" s="1"/>
  <c r="L5" i="4"/>
  <c r="L2" i="4"/>
  <c r="L3" i="4"/>
  <c r="L4" i="4"/>
  <c r="K3" i="4"/>
  <c r="M3" i="4" s="1"/>
  <c r="K4" i="4"/>
  <c r="M4" i="4" s="1"/>
  <c r="K2" i="4"/>
  <c r="M2" i="4" s="1"/>
  <c r="O29" i="1"/>
  <c r="O30" i="1"/>
  <c r="O31" i="1"/>
  <c r="O32" i="1"/>
  <c r="O33" i="1"/>
  <c r="O34" i="1"/>
  <c r="O35" i="1"/>
  <c r="J91" i="3"/>
  <c r="K91" i="3"/>
  <c r="J90" i="3"/>
  <c r="K90" i="3"/>
  <c r="J89" i="3"/>
  <c r="K89" i="3"/>
  <c r="J88" i="3"/>
  <c r="K88" i="3"/>
  <c r="J87" i="3"/>
  <c r="K87" i="3"/>
  <c r="O36" i="1"/>
  <c r="M35" i="1"/>
  <c r="M34" i="1"/>
  <c r="M33" i="1"/>
  <c r="M32" i="1"/>
  <c r="M31" i="1"/>
  <c r="M30" i="1"/>
  <c r="M29" i="1"/>
  <c r="L35" i="1"/>
  <c r="L34" i="1"/>
  <c r="L33" i="1"/>
  <c r="L32" i="1"/>
  <c r="L30" i="1"/>
  <c r="L29" i="1"/>
  <c r="J86" i="3"/>
  <c r="K86" i="3"/>
  <c r="J85" i="3"/>
  <c r="K85" i="3"/>
  <c r="J84" i="3"/>
  <c r="V84" i="3" s="1"/>
  <c r="K84" i="3"/>
  <c r="J83" i="3"/>
  <c r="K83" i="3"/>
  <c r="J82" i="3"/>
  <c r="K82" i="3"/>
  <c r="J81" i="3"/>
  <c r="K81" i="3"/>
  <c r="J80" i="3"/>
  <c r="V80" i="3" s="1"/>
  <c r="K80" i="3"/>
  <c r="J79" i="3"/>
  <c r="K79" i="3"/>
  <c r="J78" i="3"/>
  <c r="K78" i="3"/>
  <c r="J77" i="3"/>
  <c r="K77" i="3"/>
  <c r="J76" i="3"/>
  <c r="K76" i="3"/>
  <c r="J75" i="3"/>
  <c r="V75" i="3" s="1"/>
  <c r="K75" i="3"/>
  <c r="J74" i="3"/>
  <c r="K74" i="3"/>
  <c r="J73" i="3"/>
  <c r="K73" i="3"/>
  <c r="J72" i="3"/>
  <c r="V72" i="3" s="1"/>
  <c r="K72" i="3"/>
  <c r="J71" i="3"/>
  <c r="V71" i="3" s="1"/>
  <c r="K71" i="3"/>
  <c r="J70" i="3"/>
  <c r="K70" i="3"/>
  <c r="J69" i="3"/>
  <c r="K69" i="3"/>
  <c r="J68" i="3"/>
  <c r="K68" i="3"/>
  <c r="J67" i="3"/>
  <c r="K67" i="3"/>
  <c r="J66" i="3"/>
  <c r="K66" i="3"/>
  <c r="J65" i="3"/>
  <c r="K65" i="3"/>
  <c r="J64" i="3"/>
  <c r="V64" i="3" s="1"/>
  <c r="K64" i="3"/>
  <c r="J63" i="3"/>
  <c r="V63" i="3" s="1"/>
  <c r="K63" i="3"/>
  <c r="J62" i="3"/>
  <c r="K62" i="3"/>
  <c r="J61" i="3"/>
  <c r="K61" i="3"/>
  <c r="J60" i="3"/>
  <c r="V60" i="3" s="1"/>
  <c r="K60" i="3"/>
  <c r="J59" i="3"/>
  <c r="K59" i="3"/>
  <c r="J58" i="3"/>
  <c r="V58" i="3" s="1"/>
  <c r="K58" i="3"/>
  <c r="J57" i="3"/>
  <c r="V57" i="3" s="1"/>
  <c r="K57" i="3"/>
  <c r="J56" i="3"/>
  <c r="K56" i="3"/>
  <c r="J55" i="3"/>
  <c r="K55" i="3"/>
  <c r="J54" i="3"/>
  <c r="K54" i="3"/>
  <c r="J53" i="3"/>
  <c r="K53" i="3"/>
  <c r="J52" i="3"/>
  <c r="V52" i="3" s="1"/>
  <c r="K52" i="3"/>
  <c r="J51" i="3"/>
  <c r="K51" i="3"/>
  <c r="J50" i="3"/>
  <c r="V50" i="3" s="1"/>
  <c r="K50" i="3"/>
  <c r="J49" i="3"/>
  <c r="V49" i="3" s="1"/>
  <c r="K49" i="3"/>
  <c r="J48" i="3"/>
  <c r="V48" i="3" s="1"/>
  <c r="K48" i="3"/>
  <c r="J47" i="3"/>
  <c r="V47" i="3" s="1"/>
  <c r="K47" i="3"/>
  <c r="J46" i="3"/>
  <c r="K46" i="3"/>
  <c r="J45" i="3"/>
  <c r="K45" i="3"/>
  <c r="J44" i="3"/>
  <c r="V44" i="3" s="1"/>
  <c r="K44" i="3"/>
  <c r="J43" i="3"/>
  <c r="V43" i="3" s="1"/>
  <c r="K43" i="3"/>
  <c r="J42" i="3"/>
  <c r="V42" i="3" s="1"/>
  <c r="K42" i="3"/>
  <c r="J41" i="3"/>
  <c r="K41" i="3"/>
  <c r="J40" i="3"/>
  <c r="K40" i="3"/>
  <c r="J39" i="3"/>
  <c r="K39" i="3"/>
  <c r="J38" i="3"/>
  <c r="K38" i="3"/>
  <c r="J37" i="3"/>
  <c r="K37" i="3"/>
  <c r="J36" i="3"/>
  <c r="V36" i="3" s="1"/>
  <c r="K36" i="3"/>
  <c r="J35" i="3"/>
  <c r="V35" i="3" s="1"/>
  <c r="K35" i="3"/>
  <c r="J34" i="3"/>
  <c r="V34" i="3" s="1"/>
  <c r="K34" i="3"/>
  <c r="J33" i="3"/>
  <c r="V33" i="3" s="1"/>
  <c r="K33" i="3"/>
  <c r="J32" i="3"/>
  <c r="V32" i="3" s="1"/>
  <c r="K32" i="3"/>
  <c r="J31" i="3"/>
  <c r="V31" i="3" s="1"/>
  <c r="K31" i="3"/>
  <c r="J30" i="3"/>
  <c r="K30" i="3"/>
  <c r="J29" i="3"/>
  <c r="V29" i="3" s="1"/>
  <c r="K29" i="3"/>
  <c r="J28" i="3"/>
  <c r="V28" i="3" s="1"/>
  <c r="K28" i="3"/>
  <c r="J27" i="3"/>
  <c r="V27" i="3" s="1"/>
  <c r="K27" i="3"/>
  <c r="J26" i="3"/>
  <c r="V26" i="3" s="1"/>
  <c r="K26" i="3"/>
  <c r="J25" i="3"/>
  <c r="K25" i="3"/>
  <c r="J24" i="3"/>
  <c r="V24" i="3" s="1"/>
  <c r="K24" i="3"/>
  <c r="J23" i="3"/>
  <c r="V23" i="3" s="1"/>
  <c r="K23" i="3"/>
  <c r="J22" i="3"/>
  <c r="V22" i="3" s="1"/>
  <c r="K22" i="3"/>
  <c r="J21" i="3"/>
  <c r="V21" i="3" s="1"/>
  <c r="K21" i="3"/>
  <c r="J20" i="3"/>
  <c r="V20" i="3" s="1"/>
  <c r="K20" i="3"/>
  <c r="J19" i="3"/>
  <c r="V19" i="3" s="1"/>
  <c r="K19" i="3"/>
  <c r="J18" i="3"/>
  <c r="K18" i="3"/>
  <c r="J17" i="3"/>
  <c r="K17" i="3"/>
  <c r="J16" i="3"/>
  <c r="V16" i="3" s="1"/>
  <c r="K16" i="3"/>
  <c r="J15" i="3"/>
  <c r="V15" i="3" s="1"/>
  <c r="K15" i="3"/>
  <c r="J14" i="3"/>
  <c r="K14" i="3"/>
  <c r="B16" i="1"/>
  <c r="J13" i="3"/>
  <c r="K13" i="3"/>
  <c r="I24" i="1"/>
  <c r="I11" i="1"/>
  <c r="J12" i="3"/>
  <c r="V12" i="3" s="1"/>
  <c r="K12" i="3"/>
  <c r="J11" i="3"/>
  <c r="V11" i="3" s="1"/>
  <c r="K11" i="3"/>
  <c r="J10" i="3"/>
  <c r="K10" i="3"/>
  <c r="J9" i="3"/>
  <c r="V9" i="3" s="1"/>
  <c r="K9" i="3"/>
  <c r="J8" i="3"/>
  <c r="V8" i="3" s="1"/>
  <c r="K8" i="3"/>
  <c r="J7" i="3"/>
  <c r="K7" i="3"/>
  <c r="I23" i="1"/>
  <c r="I22" i="1"/>
  <c r="I21" i="1"/>
  <c r="I20" i="1"/>
  <c r="I19" i="1"/>
  <c r="I18" i="1"/>
  <c r="I17" i="1"/>
  <c r="I16" i="1"/>
  <c r="G23" i="1"/>
  <c r="G22" i="1"/>
  <c r="G21" i="1"/>
  <c r="G20" i="1"/>
  <c r="G19" i="1"/>
  <c r="G18" i="1"/>
  <c r="G17" i="1"/>
  <c r="G16" i="1"/>
  <c r="F23" i="1"/>
  <c r="F22" i="1"/>
  <c r="F21" i="1"/>
  <c r="F20" i="1"/>
  <c r="F19" i="1"/>
  <c r="F18" i="1"/>
  <c r="F17" i="1"/>
  <c r="F16" i="1"/>
  <c r="B23" i="1"/>
  <c r="B22" i="1"/>
  <c r="B21" i="1"/>
  <c r="B20" i="1"/>
  <c r="B19" i="1"/>
  <c r="B18" i="1"/>
  <c r="B17" i="1"/>
  <c r="J6" i="3"/>
  <c r="V6" i="3" s="1"/>
  <c r="K6" i="3"/>
  <c r="J5" i="3"/>
  <c r="V5" i="3" s="1"/>
  <c r="K5" i="3"/>
  <c r="J4" i="3"/>
  <c r="V4" i="3" s="1"/>
  <c r="K4" i="3"/>
  <c r="J3" i="3"/>
  <c r="V3" i="3" s="1"/>
  <c r="K3" i="3"/>
  <c r="K2" i="3"/>
  <c r="J2" i="3"/>
  <c r="C11" i="1"/>
  <c r="I4" i="1"/>
  <c r="I5" i="1"/>
  <c r="I6" i="1"/>
  <c r="I7" i="1"/>
  <c r="I8" i="1"/>
  <c r="I9" i="1"/>
  <c r="I10" i="1"/>
  <c r="B6" i="1"/>
  <c r="B7" i="1"/>
  <c r="B8" i="1"/>
  <c r="I3" i="1"/>
  <c r="J93" i="2"/>
  <c r="K93" i="2"/>
  <c r="J92" i="2"/>
  <c r="K92" i="2"/>
  <c r="J91" i="2"/>
  <c r="K91" i="2"/>
  <c r="J90" i="2"/>
  <c r="K90" i="2"/>
  <c r="J89" i="2"/>
  <c r="K89" i="2"/>
  <c r="J88" i="2"/>
  <c r="K88" i="2"/>
  <c r="J87" i="2"/>
  <c r="K87" i="2"/>
  <c r="J86" i="2"/>
  <c r="K86" i="2"/>
  <c r="J85" i="2"/>
  <c r="K85" i="2"/>
  <c r="J84" i="2"/>
  <c r="K84" i="2"/>
  <c r="J83" i="2"/>
  <c r="K83" i="2"/>
  <c r="F10" i="1"/>
  <c r="F9" i="1"/>
  <c r="F7" i="1"/>
  <c r="F6" i="1"/>
  <c r="F8" i="1"/>
  <c r="F5" i="1"/>
  <c r="F4" i="1"/>
  <c r="F3" i="1"/>
  <c r="G3" i="1"/>
  <c r="G10" i="1"/>
  <c r="G9" i="1"/>
  <c r="G7" i="1"/>
  <c r="G6" i="1"/>
  <c r="G8" i="1"/>
  <c r="G5" i="1"/>
  <c r="G4" i="1"/>
  <c r="J82" i="2"/>
  <c r="K82" i="2"/>
  <c r="J81" i="2"/>
  <c r="K81" i="2"/>
  <c r="J80" i="2"/>
  <c r="K80" i="2"/>
  <c r="B4" i="1"/>
  <c r="B5" i="1"/>
  <c r="B9" i="1"/>
  <c r="B10" i="1"/>
  <c r="B3" i="1"/>
  <c r="J78" i="2"/>
  <c r="K78" i="2"/>
  <c r="J77" i="2"/>
  <c r="K77" i="2"/>
  <c r="J76" i="2"/>
  <c r="K76" i="2"/>
  <c r="J75" i="2"/>
  <c r="K75" i="2"/>
  <c r="J74" i="2"/>
  <c r="K74" i="2"/>
  <c r="J73" i="2"/>
  <c r="K73" i="2"/>
  <c r="J72" i="2"/>
  <c r="K72" i="2"/>
  <c r="J71" i="2"/>
  <c r="K71" i="2"/>
  <c r="J70" i="2"/>
  <c r="K70" i="2"/>
  <c r="J69" i="2"/>
  <c r="K69" i="2"/>
  <c r="J57" i="2"/>
  <c r="J58" i="2"/>
  <c r="J59" i="2"/>
  <c r="J60" i="2"/>
  <c r="J61" i="2"/>
  <c r="J62" i="2"/>
  <c r="J63" i="2"/>
  <c r="J64" i="2"/>
  <c r="J65" i="2"/>
  <c r="J66" i="2"/>
  <c r="J67" i="2"/>
  <c r="J68" i="2"/>
  <c r="K57" i="2"/>
  <c r="K58" i="2"/>
  <c r="K59" i="2"/>
  <c r="K60" i="2"/>
  <c r="K61" i="2"/>
  <c r="K62" i="2"/>
  <c r="K63" i="2"/>
  <c r="K64" i="2"/>
  <c r="K65" i="2"/>
  <c r="K66" i="2"/>
  <c r="K67" i="2"/>
  <c r="K68" i="2"/>
  <c r="J56" i="2"/>
  <c r="K56" i="2"/>
  <c r="J55" i="2"/>
  <c r="K55" i="2"/>
  <c r="J54" i="2"/>
  <c r="K54" i="2"/>
  <c r="J53" i="2"/>
  <c r="K53" i="2"/>
  <c r="J52" i="2"/>
  <c r="K52" i="2"/>
  <c r="J51" i="2"/>
  <c r="K51" i="2"/>
  <c r="J50" i="2"/>
  <c r="K50" i="2"/>
  <c r="J49" i="2"/>
  <c r="K49" i="2"/>
  <c r="J48" i="2"/>
  <c r="K48" i="2"/>
  <c r="J47" i="2"/>
  <c r="K47" i="2"/>
  <c r="J46" i="2"/>
  <c r="K46" i="2"/>
  <c r="J45" i="2"/>
  <c r="K45" i="2"/>
  <c r="J44" i="2"/>
  <c r="K44" i="2"/>
  <c r="J43" i="2"/>
  <c r="K43" i="2"/>
  <c r="J42" i="2"/>
  <c r="K42" i="2"/>
  <c r="J41" i="2"/>
  <c r="K41" i="2"/>
  <c r="J40" i="2"/>
  <c r="K40" i="2"/>
  <c r="J39" i="2"/>
  <c r="K39" i="2"/>
  <c r="J38" i="2"/>
  <c r="K38" i="2"/>
  <c r="J37" i="2"/>
  <c r="K37" i="2"/>
  <c r="J36" i="2"/>
  <c r="K36" i="2"/>
  <c r="J35" i="2"/>
  <c r="K35" i="2"/>
  <c r="J34" i="2"/>
  <c r="K34" i="2"/>
  <c r="J33" i="2"/>
  <c r="K33" i="2"/>
  <c r="J32" i="2"/>
  <c r="K3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  <c r="K31" i="2"/>
  <c r="K30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2" i="2"/>
  <c r="M45" i="5" l="1"/>
  <c r="M49" i="5"/>
  <c r="M53" i="5"/>
  <c r="M3" i="5"/>
  <c r="M7" i="5"/>
  <c r="M10" i="5"/>
  <c r="M14" i="5"/>
  <c r="M18" i="5"/>
  <c r="M22" i="5"/>
  <c r="M26" i="5"/>
  <c r="M30" i="5"/>
  <c r="M34" i="5"/>
  <c r="M38" i="5"/>
  <c r="M42" i="5"/>
  <c r="M46" i="5"/>
  <c r="M50" i="5"/>
  <c r="M54" i="5"/>
  <c r="M11" i="5"/>
  <c r="M15" i="5"/>
  <c r="M19" i="5"/>
  <c r="M23" i="5"/>
  <c r="M27" i="5"/>
  <c r="M31" i="5"/>
  <c r="M35" i="5"/>
  <c r="M39" i="5"/>
  <c r="M43" i="5"/>
  <c r="M47" i="5"/>
  <c r="M51" i="5"/>
  <c r="M55" i="5"/>
  <c r="M5" i="5"/>
  <c r="M8" i="5"/>
  <c r="M12" i="5"/>
  <c r="M16" i="5"/>
  <c r="M20" i="5"/>
  <c r="M24" i="5"/>
  <c r="M28" i="5"/>
  <c r="M32" i="5"/>
  <c r="M36" i="5"/>
  <c r="M40" i="5"/>
  <c r="M44" i="5"/>
  <c r="M48" i="5"/>
  <c r="M52" i="5"/>
  <c r="M56" i="5"/>
  <c r="M6" i="5"/>
  <c r="M9" i="5"/>
  <c r="M13" i="5"/>
  <c r="M17" i="5"/>
  <c r="M21" i="5"/>
  <c r="M25" i="5"/>
  <c r="M29" i="5"/>
  <c r="M33" i="5"/>
  <c r="M37" i="5"/>
  <c r="M41" i="5"/>
  <c r="H45" i="1" a="1"/>
  <c r="H45" i="1" s="1"/>
  <c r="P41" i="1"/>
  <c r="P46" i="1"/>
  <c r="F48" i="1"/>
  <c r="P47" i="1"/>
  <c r="P44" i="1"/>
  <c r="P43" i="1"/>
  <c r="H44" i="1"/>
  <c r="H42" i="1"/>
  <c r="H41" i="1"/>
  <c r="H47" i="1"/>
  <c r="H46" i="1"/>
  <c r="H43" i="1"/>
  <c r="P45" i="1"/>
  <c r="J43" i="1"/>
  <c r="P48" i="1"/>
  <c r="J41" i="1"/>
  <c r="B48" i="1"/>
  <c r="M48" i="1"/>
  <c r="L48" i="1"/>
  <c r="P42" i="1"/>
  <c r="J44" i="1"/>
  <c r="J45" i="1"/>
  <c r="J46" i="1"/>
  <c r="J47" i="1"/>
  <c r="M2" i="5"/>
  <c r="J42" i="1"/>
  <c r="P31" i="1"/>
  <c r="P29" i="1"/>
  <c r="D29" i="1"/>
  <c r="J35" i="1"/>
  <c r="J34" i="1"/>
  <c r="J33" i="1"/>
  <c r="J32" i="1"/>
  <c r="J31" i="1"/>
  <c r="J30" i="1"/>
  <c r="J29" i="1"/>
  <c r="V39" i="3"/>
  <c r="V51" i="3"/>
  <c r="V55" i="3"/>
  <c r="V59" i="3"/>
  <c r="V67" i="3"/>
  <c r="V79" i="3"/>
  <c r="V83" i="3"/>
  <c r="V88" i="3"/>
  <c r="V56" i="3"/>
  <c r="V68" i="3"/>
  <c r="V76" i="3"/>
  <c r="V89" i="3"/>
  <c r="V40" i="3"/>
  <c r="V2" i="3"/>
  <c r="V10" i="3"/>
  <c r="V13" i="3"/>
  <c r="V17" i="3"/>
  <c r="V25" i="3"/>
  <c r="V37" i="3"/>
  <c r="V41" i="3"/>
  <c r="V45" i="3"/>
  <c r="V53" i="3"/>
  <c r="V61" i="3"/>
  <c r="V65" i="3"/>
  <c r="V69" i="3"/>
  <c r="V73" i="3"/>
  <c r="V77" i="3"/>
  <c r="V81" i="3"/>
  <c r="V85" i="3"/>
  <c r="V90" i="3"/>
  <c r="V7" i="3"/>
  <c r="V14" i="3"/>
  <c r="V18" i="3"/>
  <c r="V30" i="3"/>
  <c r="V38" i="3"/>
  <c r="V46" i="3"/>
  <c r="V54" i="3"/>
  <c r="V62" i="3"/>
  <c r="V66" i="3"/>
  <c r="V70" i="3"/>
  <c r="V74" i="3"/>
  <c r="V78" i="3"/>
  <c r="V82" i="3"/>
  <c r="V86" i="3"/>
  <c r="V87" i="3"/>
  <c r="V91" i="3"/>
  <c r="P30" i="1"/>
  <c r="P34" i="1"/>
  <c r="P33" i="1"/>
  <c r="P32" i="1"/>
  <c r="E34" i="1"/>
  <c r="D35" i="1"/>
  <c r="E35" i="1"/>
  <c r="E29" i="1"/>
  <c r="D30" i="1"/>
  <c r="E30" i="1"/>
  <c r="D31" i="1"/>
  <c r="E31" i="1"/>
  <c r="D32" i="1"/>
  <c r="E32" i="1"/>
  <c r="D33" i="1"/>
  <c r="E33" i="1"/>
  <c r="D34" i="1"/>
  <c r="P36" i="1"/>
  <c r="P35" i="1"/>
  <c r="L36" i="1"/>
  <c r="M36" i="1"/>
  <c r="B36" i="1"/>
  <c r="B24" i="1"/>
  <c r="J22" i="1"/>
  <c r="J17" i="1"/>
  <c r="J18" i="1"/>
  <c r="J20" i="1"/>
  <c r="J4" i="1"/>
  <c r="J21" i="1"/>
  <c r="J16" i="1"/>
  <c r="J23" i="1"/>
  <c r="J24" i="1"/>
  <c r="D23" i="1"/>
  <c r="J19" i="1"/>
  <c r="D22" i="1"/>
  <c r="D16" i="1"/>
  <c r="D17" i="1"/>
  <c r="D19" i="1"/>
  <c r="D18" i="1"/>
  <c r="D20" i="1"/>
  <c r="D21" i="1"/>
  <c r="G24" i="1"/>
  <c r="F24" i="1"/>
  <c r="J9" i="1"/>
  <c r="J8" i="1"/>
  <c r="J6" i="1"/>
  <c r="J7" i="1"/>
  <c r="J10" i="1"/>
  <c r="J5" i="1"/>
  <c r="G11" i="1"/>
  <c r="F11" i="1"/>
  <c r="B11" i="1"/>
  <c r="J79" i="2"/>
  <c r="D7" i="1" s="1"/>
  <c r="K79" i="2"/>
  <c r="J3" i="1" s="1"/>
  <c r="J48" i="1" l="1"/>
  <c r="E41" i="1"/>
  <c r="D42" i="1"/>
  <c r="D41" i="1"/>
  <c r="E42" i="1"/>
  <c r="D43" i="1"/>
  <c r="E43" i="1"/>
  <c r="D44" i="1"/>
  <c r="E44" i="1"/>
  <c r="D45" i="1"/>
  <c r="E45" i="1"/>
  <c r="D46" i="1"/>
  <c r="E46" i="1"/>
  <c r="D47" i="1"/>
  <c r="E47" i="1"/>
  <c r="D36" i="1"/>
  <c r="E36" i="1"/>
  <c r="J36" i="1"/>
  <c r="J11" i="1"/>
  <c r="D24" i="1"/>
  <c r="D6" i="1"/>
  <c r="D5" i="1"/>
  <c r="D8" i="1"/>
  <c r="D9" i="1"/>
  <c r="D10" i="1"/>
  <c r="D3" i="1"/>
  <c r="D4" i="1"/>
  <c r="E48" i="1" l="1"/>
  <c r="D48" i="1"/>
  <c r="D11" i="1"/>
</calcChain>
</file>

<file path=xl/sharedStrings.xml><?xml version="1.0" encoding="utf-8"?>
<sst xmlns="http://schemas.openxmlformats.org/spreadsheetml/2006/main" count="2307" uniqueCount="735">
  <si>
    <t>Date</t>
  </si>
  <si>
    <t>Sam</t>
  </si>
  <si>
    <t>Kendall</t>
  </si>
  <si>
    <t>Quiet</t>
  </si>
  <si>
    <t>Brian</t>
  </si>
  <si>
    <t>Unify</t>
  </si>
  <si>
    <t>Elisabeth</t>
  </si>
  <si>
    <t>Bacon</t>
  </si>
  <si>
    <t>Ouija</t>
  </si>
  <si>
    <t>Vinyl</t>
  </si>
  <si>
    <t>Adieu</t>
  </si>
  <si>
    <t>Kimball</t>
  </si>
  <si>
    <t>Topaz</t>
  </si>
  <si>
    <t>Lee Ann</t>
  </si>
  <si>
    <t>Stoic</t>
  </si>
  <si>
    <t>Kaput</t>
  </si>
  <si>
    <t>Spencer</t>
  </si>
  <si>
    <t>Nodes</t>
  </si>
  <si>
    <t>Louse</t>
  </si>
  <si>
    <t>Quake</t>
  </si>
  <si>
    <t>Deepa</t>
  </si>
  <si>
    <t>Naïve</t>
  </si>
  <si>
    <t>Movie</t>
  </si>
  <si>
    <t>Munge</t>
  </si>
  <si>
    <t>Eerie</t>
  </si>
  <si>
    <t>Raspy</t>
  </si>
  <si>
    <t>Bites</t>
  </si>
  <si>
    <t>Elisabeth, Sam</t>
  </si>
  <si>
    <t>Lymph</t>
  </si>
  <si>
    <t>Fjord</t>
  </si>
  <si>
    <t>Prose</t>
  </si>
  <si>
    <t>Voila</t>
  </si>
  <si>
    <t>Table</t>
  </si>
  <si>
    <t>Ghoul</t>
  </si>
  <si>
    <t>Winner</t>
  </si>
  <si>
    <t>Pesto</t>
  </si>
  <si>
    <t>Gourd</t>
  </si>
  <si>
    <t>Beast</t>
  </si>
  <si>
    <t>Ghost</t>
  </si>
  <si>
    <t>Solo</t>
  </si>
  <si>
    <t>Shared</t>
  </si>
  <si>
    <t>Average Guess</t>
  </si>
  <si>
    <t>Remix</t>
  </si>
  <si>
    <t>Misty</t>
  </si>
  <si>
    <t>Starter Word</t>
  </si>
  <si>
    <t>Best Guess</t>
  </si>
  <si>
    <t>Stein</t>
  </si>
  <si>
    <t>Quirk</t>
  </si>
  <si>
    <t>Exist</t>
  </si>
  <si>
    <t>Denim</t>
  </si>
  <si>
    <t>Catch</t>
  </si>
  <si>
    <t>Ionic</t>
  </si>
  <si>
    <t>Howdy</t>
  </si>
  <si>
    <t>Sloth</t>
  </si>
  <si>
    <t>Sting</t>
  </si>
  <si>
    <t>Scorn</t>
  </si>
  <si>
    <t>Saint</t>
  </si>
  <si>
    <t>Brisk</t>
  </si>
  <si>
    <t>Soggy</t>
  </si>
  <si>
    <t>Usurp</t>
  </si>
  <si>
    <t>Scald</t>
  </si>
  <si>
    <t>Grove</t>
  </si>
  <si>
    <t>Word Picker</t>
  </si>
  <si>
    <t>Wordle Answer</t>
  </si>
  <si>
    <t>Spade</t>
  </si>
  <si>
    <t>Floor</t>
  </si>
  <si>
    <t>Equal</t>
  </si>
  <si>
    <t>Valid</t>
  </si>
  <si>
    <t>Enjoy</t>
  </si>
  <si>
    <t>Vigor</t>
  </si>
  <si>
    <t>Dandy</t>
  </si>
  <si>
    <t>Marsh</t>
  </si>
  <si>
    <t>Bough</t>
  </si>
  <si>
    <t>Twine</t>
  </si>
  <si>
    <t>Leave</t>
  </si>
  <si>
    <t>Admit</t>
  </si>
  <si>
    <t>Grate</t>
  </si>
  <si>
    <t>Glory</t>
  </si>
  <si>
    <t>Witch</t>
  </si>
  <si>
    <t>Remaining Words</t>
  </si>
  <si>
    <t>Spiel</t>
  </si>
  <si>
    <t>Candy</t>
  </si>
  <si>
    <t>Blood</t>
  </si>
  <si>
    <t>Mummy</t>
  </si>
  <si>
    <t>Fault</t>
  </si>
  <si>
    <t>Yacht</t>
  </si>
  <si>
    <t>Foggy</t>
  </si>
  <si>
    <t>Column1</t>
  </si>
  <si>
    <t>Column2</t>
  </si>
  <si>
    <t>Column3</t>
  </si>
  <si>
    <t>Column4</t>
  </si>
  <si>
    <t>Birth</t>
  </si>
  <si>
    <t>Flout</t>
  </si>
  <si>
    <t>Leafy</t>
  </si>
  <si>
    <t>Carry</t>
  </si>
  <si>
    <t>Beard</t>
  </si>
  <si>
    <t>Sneak</t>
  </si>
  <si>
    <t>Phony</t>
  </si>
  <si>
    <t>Libel</t>
  </si>
  <si>
    <t>Pivot</t>
  </si>
  <si>
    <t>Waltz</t>
  </si>
  <si>
    <t>Venom</t>
  </si>
  <si>
    <t>Aptly</t>
  </si>
  <si>
    <t>Scare</t>
  </si>
  <si>
    <t>Piney</t>
  </si>
  <si>
    <t>Brain</t>
  </si>
  <si>
    <t>Inept</t>
  </si>
  <si>
    <t>Genus</t>
  </si>
  <si>
    <t>Aloud</t>
  </si>
  <si>
    <t>Dutch</t>
  </si>
  <si>
    <t>Photo</t>
  </si>
  <si>
    <t>Snowy</t>
  </si>
  <si>
    <t>Dream</t>
  </si>
  <si>
    <t>Audio</t>
  </si>
  <si>
    <t>Stale</t>
  </si>
  <si>
    <t>Toast</t>
  </si>
  <si>
    <t>Begin</t>
  </si>
  <si>
    <t>Minor</t>
  </si>
  <si>
    <t>Spell</t>
  </si>
  <si>
    <t>Piano</t>
  </si>
  <si>
    <t>Rainy</t>
  </si>
  <si>
    <t>Raise</t>
  </si>
  <si>
    <t>Unite</t>
  </si>
  <si>
    <t>Clasp</t>
  </si>
  <si>
    <t>Carve</t>
  </si>
  <si>
    <t>Valet</t>
  </si>
  <si>
    <t>Medal</t>
  </si>
  <si>
    <t>Patio</t>
  </si>
  <si>
    <t>Inane</t>
  </si>
  <si>
    <t>React</t>
  </si>
  <si>
    <t>Maple</t>
  </si>
  <si>
    <t>Start</t>
  </si>
  <si>
    <t>Snarl</t>
  </si>
  <si>
    <t>Flute</t>
  </si>
  <si>
    <t>Baker</t>
  </si>
  <si>
    <t>Acute</t>
  </si>
  <si>
    <t>There</t>
  </si>
  <si>
    <t>India</t>
  </si>
  <si>
    <t>Glyph</t>
  </si>
  <si>
    <t>Sauce</t>
  </si>
  <si>
    <t>Avert</t>
  </si>
  <si>
    <t>Psych</t>
  </si>
  <si>
    <t>Brave</t>
  </si>
  <si>
    <t>Mason</t>
  </si>
  <si>
    <t>Axiom</t>
  </si>
  <si>
    <t>Mount</t>
  </si>
  <si>
    <t>Prime</t>
  </si>
  <si>
    <t>Ocean</t>
  </si>
  <si>
    <t>Drive</t>
  </si>
  <si>
    <t>Juice</t>
  </si>
  <si>
    <t>Feast</t>
  </si>
  <si>
    <t>Gravy</t>
  </si>
  <si>
    <t>Itchy</t>
  </si>
  <si>
    <t>Voice</t>
  </si>
  <si>
    <t>Clean</t>
  </si>
  <si>
    <t>Chaos</t>
  </si>
  <si>
    <t>Happy</t>
  </si>
  <si>
    <t>Heart</t>
  </si>
  <si>
    <t>Tepid</t>
  </si>
  <si>
    <t>Chafe</t>
  </si>
  <si>
    <t>Undue</t>
  </si>
  <si>
    <t>Peach</t>
  </si>
  <si>
    <t>Study</t>
  </si>
  <si>
    <t>Paper</t>
  </si>
  <si>
    <t>Eject</t>
  </si>
  <si>
    <t>White</t>
  </si>
  <si>
    <t>Blimp</t>
  </si>
  <si>
    <t>Torso</t>
  </si>
  <si>
    <t>Adore</t>
  </si>
  <si>
    <t>Clove</t>
  </si>
  <si>
    <t>Woken</t>
  </si>
  <si>
    <t>Shared - Elisabeth, Sam</t>
  </si>
  <si>
    <t>Amber</t>
  </si>
  <si>
    <t>Being</t>
  </si>
  <si>
    <t>Joust</t>
  </si>
  <si>
    <t>Human</t>
  </si>
  <si>
    <t>Infer</t>
  </si>
  <si>
    <t>Spear</t>
  </si>
  <si>
    <t>Braid</t>
  </si>
  <si>
    <t>Forth</t>
  </si>
  <si>
    <t>Knock</t>
  </si>
  <si>
    <t>Final</t>
  </si>
  <si>
    <t>Break</t>
  </si>
  <si>
    <t>Apply</t>
  </si>
  <si>
    <t>Irate</t>
  </si>
  <si>
    <t>Spoke</t>
  </si>
  <si>
    <t>Angle</t>
  </si>
  <si>
    <t>Usual</t>
  </si>
  <si>
    <t>Weave</t>
  </si>
  <si>
    <t>Rival</t>
  </si>
  <si>
    <t>Rusty</t>
  </si>
  <si>
    <t>Probe</t>
  </si>
  <si>
    <t>Cuter</t>
  </si>
  <si>
    <t>Chord</t>
  </si>
  <si>
    <t>Bread</t>
  </si>
  <si>
    <t>Taper</t>
  </si>
  <si>
    <t>Poise</t>
  </si>
  <si>
    <t>Slate</t>
  </si>
  <si>
    <t>Freak</t>
  </si>
  <si>
    <t>Third</t>
  </si>
  <si>
    <t>Split</t>
  </si>
  <si>
    <t>Lunar</t>
  </si>
  <si>
    <t>Storm</t>
  </si>
  <si>
    <t>Excel</t>
  </si>
  <si>
    <t>Average Remaining Answers</t>
  </si>
  <si>
    <t>Knife</t>
  </si>
  <si>
    <t>Aorta</t>
  </si>
  <si>
    <t>Average:</t>
  </si>
  <si>
    <t>Merry</t>
  </si>
  <si>
    <t>Gifts</t>
  </si>
  <si>
    <t>Extra</t>
  </si>
  <si>
    <t>Party</t>
  </si>
  <si>
    <t>Judge</t>
  </si>
  <si>
    <t>Steak</t>
  </si>
  <si>
    <t>Season 1:</t>
  </si>
  <si>
    <t>Season 2:</t>
  </si>
  <si>
    <t>Condo</t>
  </si>
  <si>
    <t>Later</t>
  </si>
  <si>
    <t>Impel</t>
  </si>
  <si>
    <t>Diary</t>
  </si>
  <si>
    <t>Havoc</t>
  </si>
  <si>
    <t>Years</t>
  </si>
  <si>
    <t>Molar</t>
  </si>
  <si>
    <t>Newly</t>
  </si>
  <si>
    <t>Whine</t>
  </si>
  <si>
    <t>Craft</t>
  </si>
  <si>
    <t>Manly</t>
  </si>
  <si>
    <t>Chant</t>
  </si>
  <si>
    <t>Skirt</t>
  </si>
  <si>
    <t>Gamut</t>
  </si>
  <si>
    <t>Antic</t>
  </si>
  <si>
    <t>Slain</t>
  </si>
  <si>
    <t>Layer</t>
  </si>
  <si>
    <t>First</t>
  </si>
  <si>
    <t>Sleek</t>
  </si>
  <si>
    <t>Vowel</t>
  </si>
  <si>
    <t>Belie</t>
  </si>
  <si>
    <t>Splat</t>
  </si>
  <si>
    <t>Lemon</t>
  </si>
  <si>
    <t>Average Response</t>
  </si>
  <si>
    <t>Opera</t>
  </si>
  <si>
    <t>Olive</t>
  </si>
  <si>
    <t>Pixie</t>
  </si>
  <si>
    <t>Crime</t>
  </si>
  <si>
    <t>Grimy</t>
  </si>
  <si>
    <t>Sedan</t>
  </si>
  <si>
    <t>Music</t>
  </si>
  <si>
    <t>Leapt</t>
  </si>
  <si>
    <t>Habit</t>
  </si>
  <si>
    <t>Koala</t>
  </si>
  <si>
    <t>Tiger</t>
  </si>
  <si>
    <t>Spire</t>
  </si>
  <si>
    <t>Crave</t>
  </si>
  <si>
    <t>Frock</t>
  </si>
  <si>
    <t>Shade</t>
  </si>
  <si>
    <t>Adopt</t>
  </si>
  <si>
    <t>Vague</t>
  </si>
  <si>
    <t>Chard</t>
  </si>
  <si>
    <t>Wagon</t>
  </si>
  <si>
    <t>Mucky</t>
  </si>
  <si>
    <t>Worth</t>
  </si>
  <si>
    <t>Alter</t>
  </si>
  <si>
    <t>Lucid</t>
  </si>
  <si>
    <t>Blurb</t>
  </si>
  <si>
    <t>Grand</t>
  </si>
  <si>
    <t>Matey</t>
  </si>
  <si>
    <t>Opens</t>
  </si>
  <si>
    <t>Elude</t>
  </si>
  <si>
    <t>Binge</t>
  </si>
  <si>
    <t>Count</t>
  </si>
  <si>
    <t>Image</t>
  </si>
  <si>
    <t>Maize</t>
  </si>
  <si>
    <t>Myths</t>
  </si>
  <si>
    <t>Beefy</t>
  </si>
  <si>
    <t>Power</t>
  </si>
  <si>
    <t>Worry</t>
  </si>
  <si>
    <t>Amore</t>
  </si>
  <si>
    <t>Flirt</t>
  </si>
  <si>
    <t>Money</t>
  </si>
  <si>
    <t>Fishy</t>
  </si>
  <si>
    <t>Stone</t>
  </si>
  <si>
    <t>Ivory</t>
  </si>
  <si>
    <t>Cross</t>
  </si>
  <si>
    <t>Vacay</t>
  </si>
  <si>
    <t>Scold</t>
  </si>
  <si>
    <t>Shirk</t>
  </si>
  <si>
    <t>Viper</t>
  </si>
  <si>
    <t>Tasty</t>
  </si>
  <si>
    <t>Revel</t>
  </si>
  <si>
    <t>Unlit</t>
  </si>
  <si>
    <t>Trout</t>
  </si>
  <si>
    <t>Dance</t>
  </si>
  <si>
    <t>Whisk</t>
  </si>
  <si>
    <t>Ninth</t>
  </si>
  <si>
    <t>Apple</t>
  </si>
  <si>
    <t>Waste</t>
  </si>
  <si>
    <t>Flail</t>
  </si>
  <si>
    <t>Route</t>
  </si>
  <si>
    <t>Stage</t>
  </si>
  <si>
    <t>Caper</t>
  </si>
  <si>
    <t>Heady</t>
  </si>
  <si>
    <t>Skier</t>
  </si>
  <si>
    <t>Debug</t>
  </si>
  <si>
    <t>Short</t>
  </si>
  <si>
    <t>Giant</t>
  </si>
  <si>
    <t>Shared - Kendall, Sam</t>
  </si>
  <si>
    <t>Super</t>
  </si>
  <si>
    <t>Usage</t>
  </si>
  <si>
    <t>Squad</t>
  </si>
  <si>
    <t>Sound</t>
  </si>
  <si>
    <t>Peony</t>
  </si>
  <si>
    <t>Salsa</t>
  </si>
  <si>
    <t>Lover</t>
  </si>
  <si>
    <t>Magic</t>
  </si>
  <si>
    <t>Blasé</t>
  </si>
  <si>
    <t>Cache</t>
  </si>
  <si>
    <t>Crank</t>
  </si>
  <si>
    <t>Plonk</t>
  </si>
  <si>
    <t>Kiosk</t>
  </si>
  <si>
    <t>Avail</t>
  </si>
  <si>
    <t>Sweat</t>
  </si>
  <si>
    <t>Month</t>
  </si>
  <si>
    <t>Ruddy</t>
  </si>
  <si>
    <t>Tinks</t>
  </si>
  <si>
    <t>Riper</t>
  </si>
  <si>
    <t>Smart</t>
  </si>
  <si>
    <t>Bride</t>
  </si>
  <si>
    <t>Arbor</t>
  </si>
  <si>
    <t>Groom</t>
  </si>
  <si>
    <t>Fifth</t>
  </si>
  <si>
    <t>Plant</t>
  </si>
  <si>
    <t>Syrup</t>
  </si>
  <si>
    <t>Slump</t>
  </si>
  <si>
    <t>Worse</t>
  </si>
  <si>
    <t>Lilac</t>
  </si>
  <si>
    <t>Polka</t>
  </si>
  <si>
    <t>Pilot</t>
  </si>
  <si>
    <t>Moose</t>
  </si>
  <si>
    <t>Shared - Elisabeth, Lee Ann</t>
  </si>
  <si>
    <t>Rogue</t>
  </si>
  <si>
    <t>Above</t>
  </si>
  <si>
    <t>Amuse</t>
  </si>
  <si>
    <t>Squat</t>
  </si>
  <si>
    <t>Trend</t>
  </si>
  <si>
    <t>Meant</t>
  </si>
  <si>
    <t>Toxic</t>
  </si>
  <si>
    <t>Noble</t>
  </si>
  <si>
    <t>Pinky</t>
  </si>
  <si>
    <t>Haven</t>
  </si>
  <si>
    <t>Horse</t>
  </si>
  <si>
    <t>Satin</t>
  </si>
  <si>
    <t>Regal</t>
  </si>
  <si>
    <t>Climb</t>
  </si>
  <si>
    <t>Where</t>
  </si>
  <si>
    <t>Track</t>
  </si>
  <si>
    <t>Spark</t>
  </si>
  <si>
    <t>Email</t>
  </si>
  <si>
    <t>Spunk</t>
  </si>
  <si>
    <t>Scour</t>
  </si>
  <si>
    <t>Blame</t>
  </si>
  <si>
    <t>Surly</t>
  </si>
  <si>
    <t>Sweep</t>
  </si>
  <si>
    <t>Cider</t>
  </si>
  <si>
    <t>Vista</t>
  </si>
  <si>
    <t>Mealy</t>
  </si>
  <si>
    <t>Season 3:</t>
  </si>
  <si>
    <t>Crawl</t>
  </si>
  <si>
    <t>Fiend</t>
  </si>
  <si>
    <t>Credo</t>
  </si>
  <si>
    <t>Seven</t>
  </si>
  <si>
    <t>Glove</t>
  </si>
  <si>
    <t>Error</t>
  </si>
  <si>
    <t>Tough</t>
  </si>
  <si>
    <t>Uncontested Wins</t>
  </si>
  <si>
    <t>Contested Wins</t>
  </si>
  <si>
    <t>Tiebreakers</t>
  </si>
  <si>
    <t>Unwon Tiebreakers</t>
  </si>
  <si>
    <t>Duvet</t>
  </si>
  <si>
    <t>Stern</t>
  </si>
  <si>
    <t>Staid</t>
  </si>
  <si>
    <t>Person</t>
  </si>
  <si>
    <t>Person:</t>
  </si>
  <si>
    <t>Weird</t>
  </si>
  <si>
    <t>Grout</t>
  </si>
  <si>
    <t>Erupt</t>
  </si>
  <si>
    <t>Voter</t>
  </si>
  <si>
    <t>Fresh</t>
  </si>
  <si>
    <t>Ether</t>
  </si>
  <si>
    <t>Guano</t>
  </si>
  <si>
    <t>Blade</t>
  </si>
  <si>
    <t>Hurry</t>
  </si>
  <si>
    <t>Build</t>
  </si>
  <si>
    <t>Beset</t>
  </si>
  <si>
    <t>Merit</t>
  </si>
  <si>
    <t>Trial</t>
  </si>
  <si>
    <t>Every</t>
  </si>
  <si>
    <t>Farce</t>
  </si>
  <si>
    <t>March</t>
  </si>
  <si>
    <t>Share</t>
  </si>
  <si>
    <t>Stock</t>
  </si>
  <si>
    <t>Bloom</t>
  </si>
  <si>
    <t>Flora</t>
  </si>
  <si>
    <t>Fable</t>
  </si>
  <si>
    <t>Ratio</t>
  </si>
  <si>
    <t>Smash</t>
  </si>
  <si>
    <t>Scram</t>
  </si>
  <si>
    <t>Lapse</t>
  </si>
  <si>
    <t>Locus</t>
  </si>
  <si>
    <t>Month 1:</t>
  </si>
  <si>
    <t>Month 2:</t>
  </si>
  <si>
    <t>Month 3:</t>
  </si>
  <si>
    <t>Broad</t>
  </si>
  <si>
    <t>Ledge</t>
  </si>
  <si>
    <t>Risen</t>
  </si>
  <si>
    <t>Snafu</t>
  </si>
  <si>
    <t>Waist</t>
  </si>
  <si>
    <t>Under</t>
  </si>
  <si>
    <t>Tempo</t>
  </si>
  <si>
    <t>Qualm</t>
  </si>
  <si>
    <t>Since</t>
  </si>
  <si>
    <t>Borax</t>
  </si>
  <si>
    <t>Other</t>
  </si>
  <si>
    <t>Carat</t>
  </si>
  <si>
    <t>Pizza</t>
  </si>
  <si>
    <t>Thief</t>
  </si>
  <si>
    <t>Pesky</t>
  </si>
  <si>
    <t>Agony</t>
  </si>
  <si>
    <t>Argue</t>
  </si>
  <si>
    <t>Dwelt</t>
  </si>
  <si>
    <t>Reign</t>
  </si>
  <si>
    <t>Hoist</t>
  </si>
  <si>
    <t>Stain</t>
  </si>
  <si>
    <t>Hound</t>
  </si>
  <si>
    <t>Plush</t>
  </si>
  <si>
    <t>Thump</t>
  </si>
  <si>
    <t>Rouse</t>
  </si>
  <si>
    <t>Plate</t>
  </si>
  <si>
    <t>Clear</t>
  </si>
  <si>
    <t>Kayak</t>
  </si>
  <si>
    <t>Grasp</t>
  </si>
  <si>
    <t>Broke</t>
  </si>
  <si>
    <t>Awards</t>
  </si>
  <si>
    <t>Month 1</t>
  </si>
  <si>
    <t>Month 2</t>
  </si>
  <si>
    <t>Champion (Most Wins)</t>
  </si>
  <si>
    <t xml:space="preserve">Brawler (Most Contested Wins) </t>
  </si>
  <si>
    <t>Mic Dropper (Most Uncontested Wins)</t>
  </si>
  <si>
    <t xml:space="preserve">Howdy Partner (Most Shared Wins) </t>
  </si>
  <si>
    <t>Consistency is King (Best Average Guesser)</t>
  </si>
  <si>
    <t xml:space="preserve">Always the Bridesmaid (Most Unwon Tiebreakers) </t>
  </si>
  <si>
    <t>Lucky Guess (Best Starting Word, Remaining Answers)</t>
  </si>
  <si>
    <t>Follow the Leader (Best Starting Word, Average Response)</t>
  </si>
  <si>
    <t>Antiwordle Strategist (Worst Starting Word, Remaining Answers)</t>
  </si>
  <si>
    <t>Slaughterhouse 7 (Worst Starting Word, Average Response)</t>
  </si>
  <si>
    <t>That’s a Skill? (Best Word Picker, Average Remaining Answers)</t>
  </si>
  <si>
    <t>Know your Audience (Best Word Picker, Average Response)</t>
  </si>
  <si>
    <t>Trophy Stand (Player with the Most Other Awards)</t>
  </si>
  <si>
    <t>Kimball (8)</t>
  </si>
  <si>
    <t>Kimball (6)</t>
  </si>
  <si>
    <t>Elisabeth (4)</t>
  </si>
  <si>
    <t>N/A</t>
  </si>
  <si>
    <t>Lee Ann (3.774)</t>
  </si>
  <si>
    <t>Lee Ann (10)</t>
  </si>
  <si>
    <t>Elisabeth (Plush, 3)</t>
  </si>
  <si>
    <t>Kimball (Ether, 3850)</t>
  </si>
  <si>
    <t>Elisabeth (Amber, 5)</t>
  </si>
  <si>
    <t>Sam (308.8)</t>
  </si>
  <si>
    <t>Elisabeth (3.735)</t>
  </si>
  <si>
    <t>Unzip</t>
  </si>
  <si>
    <t>Blast</t>
  </si>
  <si>
    <t>Ditto</t>
  </si>
  <si>
    <t>Grace</t>
  </si>
  <si>
    <t>Joker</t>
  </si>
  <si>
    <t>Elisabeth (4.5)</t>
  </si>
  <si>
    <t>Loser</t>
  </si>
  <si>
    <t>Metro</t>
  </si>
  <si>
    <t>Barge</t>
  </si>
  <si>
    <t>Logic</t>
  </si>
  <si>
    <t>Ample</t>
  </si>
  <si>
    <t>Circa</t>
  </si>
  <si>
    <t>Least</t>
  </si>
  <si>
    <t>Cedar</t>
  </si>
  <si>
    <t>Roast</t>
  </si>
  <si>
    <t>Plaza</t>
  </si>
  <si>
    <t>Ethic</t>
  </si>
  <si>
    <t>Range</t>
  </si>
  <si>
    <t>Bogus</t>
  </si>
  <si>
    <t>Sulky</t>
  </si>
  <si>
    <t>Novel</t>
  </si>
  <si>
    <t>Horde</t>
  </si>
  <si>
    <t>Chart</t>
  </si>
  <si>
    <t>Guppy</t>
  </si>
  <si>
    <t>Shore</t>
  </si>
  <si>
    <t>Below</t>
  </si>
  <si>
    <t>Refer</t>
  </si>
  <si>
    <t>Anger</t>
  </si>
  <si>
    <t>Steal</t>
  </si>
  <si>
    <t>Laser</t>
  </si>
  <si>
    <t>Aglow</t>
  </si>
  <si>
    <t>Haste</t>
  </si>
  <si>
    <t>Cocoa</t>
  </si>
  <si>
    <t>Scalp</t>
  </si>
  <si>
    <t>Broom</t>
  </si>
  <si>
    <t>Snack</t>
  </si>
  <si>
    <t>Liven</t>
  </si>
  <si>
    <t>Acrid</t>
  </si>
  <si>
    <t>Drape</t>
  </si>
  <si>
    <t>Scarf</t>
  </si>
  <si>
    <t>Canoe</t>
  </si>
  <si>
    <t>Latte</t>
  </si>
  <si>
    <t>Streak</t>
  </si>
  <si>
    <t>Cutie</t>
  </si>
  <si>
    <t>Plank</t>
  </si>
  <si>
    <t>River</t>
  </si>
  <si>
    <t>Shorn</t>
  </si>
  <si>
    <t>Rumor</t>
  </si>
  <si>
    <t>Grief</t>
  </si>
  <si>
    <t>Flask</t>
  </si>
  <si>
    <t>Brash</t>
  </si>
  <si>
    <t>Blink</t>
  </si>
  <si>
    <t>Igloo</t>
  </si>
  <si>
    <t>Clerk</t>
  </si>
  <si>
    <t>Beach</t>
  </si>
  <si>
    <t>Utter</t>
  </si>
  <si>
    <t>Bagel</t>
  </si>
  <si>
    <t>Learn</t>
  </si>
  <si>
    <t>Swine</t>
  </si>
  <si>
    <t>Ramen</t>
  </si>
  <si>
    <t>Perch</t>
  </si>
  <si>
    <t>Skimp</t>
  </si>
  <si>
    <t>Spencer (15)</t>
  </si>
  <si>
    <t>Spencer (7)</t>
  </si>
  <si>
    <t>Spencer (8)</t>
  </si>
  <si>
    <t>Lee Ann (3.885)</t>
  </si>
  <si>
    <t>Lee Ann (16)</t>
  </si>
  <si>
    <t>Spencer (Grace, 5.429)</t>
  </si>
  <si>
    <t>Sam (262.333)</t>
  </si>
  <si>
    <t>Kendall (3.702)</t>
  </si>
  <si>
    <t>Spencer (4)</t>
  </si>
  <si>
    <t>Wins</t>
  </si>
  <si>
    <t>Best Starting Word (Remaining Answers)</t>
  </si>
  <si>
    <t>Best Starting Word (Average Response)</t>
  </si>
  <si>
    <t>Loser (102)</t>
  </si>
  <si>
    <t>Barge (3.429)</t>
  </si>
  <si>
    <t>Plush (2.143)</t>
  </si>
  <si>
    <t>Candy (14)</t>
  </si>
  <si>
    <t>Candy (3)</t>
  </si>
  <si>
    <t>Scram (35)</t>
  </si>
  <si>
    <t>Scram (3.143)</t>
  </si>
  <si>
    <t>Erupt (171)</t>
  </si>
  <si>
    <t>Farce (10)</t>
  </si>
  <si>
    <t>Farce (2.143)</t>
  </si>
  <si>
    <t>Stern/Lapse (67)</t>
  </si>
  <si>
    <t>Steal (2.667)</t>
  </si>
  <si>
    <t>Trial (925)</t>
  </si>
  <si>
    <t>Trial (4)</t>
  </si>
  <si>
    <t>Bogus (3.714)</t>
  </si>
  <si>
    <t>Argue (4.143)</t>
  </si>
  <si>
    <t>Lapse/Risen (3.286)</t>
  </si>
  <si>
    <t>Mouse</t>
  </si>
  <si>
    <t>Hotel</t>
  </si>
  <si>
    <t>Kneel</t>
  </si>
  <si>
    <t>Agile</t>
  </si>
  <si>
    <t>Devil</t>
  </si>
  <si>
    <t>Jazzy</t>
  </si>
  <si>
    <t>Kebab</t>
  </si>
  <si>
    <t>Humid</t>
  </si>
  <si>
    <t>Nanny</t>
  </si>
  <si>
    <t>Yikes</t>
  </si>
  <si>
    <t>South</t>
  </si>
  <si>
    <t>Ennui</t>
  </si>
  <si>
    <t>Scout</t>
  </si>
  <si>
    <t>Erase</t>
  </si>
  <si>
    <t>Hater</t>
  </si>
  <si>
    <t>Crumb</t>
  </si>
  <si>
    <t>Balsa</t>
  </si>
  <si>
    <t>Alone</t>
  </si>
  <si>
    <t>Again</t>
  </si>
  <si>
    <t>Last Win</t>
  </si>
  <si>
    <t>Days since Last Win</t>
  </si>
  <si>
    <t>Frost</t>
  </si>
  <si>
    <t>Guard</t>
  </si>
  <si>
    <t>Wrong</t>
  </si>
  <si>
    <t>Plunk</t>
  </si>
  <si>
    <t>Front</t>
  </si>
  <si>
    <t>Tread</t>
  </si>
  <si>
    <t>Maybe</t>
  </si>
  <si>
    <t>Strap</t>
  </si>
  <si>
    <t>Disco</t>
  </si>
  <si>
    <t>Ranch</t>
  </si>
  <si>
    <t>Delay</t>
  </si>
  <si>
    <t>Shyly</t>
  </si>
  <si>
    <t>Miser</t>
  </si>
  <si>
    <t>Kazoo</t>
  </si>
  <si>
    <t>Cured</t>
  </si>
  <si>
    <t>Crane</t>
  </si>
  <si>
    <t>Angel</t>
  </si>
  <si>
    <t>Taste</t>
  </si>
  <si>
    <t>Season 4:</t>
  </si>
  <si>
    <t>Win Percentage</t>
  </si>
  <si>
    <t>Typed</t>
  </si>
  <si>
    <t>Covet</t>
  </si>
  <si>
    <t>Per-CENTING! (Highest Win Percentage)</t>
  </si>
  <si>
    <t>Spencer (20.652%)</t>
  </si>
  <si>
    <t>Spencer (19)</t>
  </si>
  <si>
    <t>Kendall (12)</t>
  </si>
  <si>
    <t>Lee Ann (9)</t>
  </si>
  <si>
    <t>Lee Ann (3.880)</t>
  </si>
  <si>
    <t>Kendall / Lee Ann (21)</t>
  </si>
  <si>
    <t>Elisabeth / Sam (Plush / Farce, 2.143)</t>
  </si>
  <si>
    <t>Spencer (561.050)</t>
  </si>
  <si>
    <t>Elisabeth (3.798)</t>
  </si>
  <si>
    <t>Lee Ann (Erase, 6)</t>
  </si>
  <si>
    <t>Lee Ann / Spencer (3.5)</t>
  </si>
  <si>
    <t>Begin (3.333)</t>
  </si>
  <si>
    <t>Plush (3)</t>
  </si>
  <si>
    <t>Raise (16)</t>
  </si>
  <si>
    <t>Alone (3.0)</t>
  </si>
  <si>
    <t>Candy (3.0)</t>
  </si>
  <si>
    <t>Evict</t>
  </si>
  <si>
    <t>Rodeo</t>
  </si>
  <si>
    <t>Guest</t>
  </si>
  <si>
    <t>Trade</t>
  </si>
  <si>
    <t>About</t>
  </si>
  <si>
    <t>Clock</t>
  </si>
  <si>
    <t>Tract</t>
  </si>
  <si>
    <t>Wacky</t>
  </si>
  <si>
    <t>Diner</t>
  </si>
  <si>
    <t>Harem</t>
  </si>
  <si>
    <t>Straw</t>
  </si>
  <si>
    <t>Eight</t>
  </si>
  <si>
    <t>Bleep</t>
  </si>
  <si>
    <t>Shout</t>
  </si>
  <si>
    <t>Mossy</t>
  </si>
  <si>
    <t>Bikes</t>
  </si>
  <si>
    <t>Achoo</t>
  </si>
  <si>
    <t>Tower</t>
  </si>
  <si>
    <t>Alert</t>
  </si>
  <si>
    <t>Windy</t>
  </si>
  <si>
    <t>Donut</t>
  </si>
  <si>
    <t>Rough</t>
  </si>
  <si>
    <t>Cower</t>
  </si>
  <si>
    <t>Laugh</t>
  </si>
  <si>
    <t>Relax</t>
  </si>
  <si>
    <t>Folly</t>
  </si>
  <si>
    <t>Enter</t>
  </si>
  <si>
    <t>Story</t>
  </si>
  <si>
    <t>Earth</t>
  </si>
  <si>
    <t>Grape</t>
  </si>
  <si>
    <t>Whirl</t>
  </si>
  <si>
    <t>Float</t>
  </si>
  <si>
    <t>Crone</t>
  </si>
  <si>
    <t>Petal</t>
  </si>
  <si>
    <t>Along</t>
  </si>
  <si>
    <t>Droop</t>
  </si>
  <si>
    <t>Trick</t>
  </si>
  <si>
    <t>Flyer</t>
  </si>
  <si>
    <t>Crisp</t>
  </si>
  <si>
    <t>Tonic</t>
  </si>
  <si>
    <t>Flank</t>
  </si>
  <si>
    <t>Parse</t>
  </si>
  <si>
    <t>Burly</t>
  </si>
  <si>
    <t>Ounce</t>
  </si>
  <si>
    <t>Froze</t>
  </si>
  <si>
    <t>Bikes (957)</t>
  </si>
  <si>
    <t>Bikes/Itchy (4)</t>
  </si>
  <si>
    <t>Grape (3.286)</t>
  </si>
  <si>
    <t>Crisp (166)</t>
  </si>
  <si>
    <t>Float (482)</t>
  </si>
  <si>
    <t>Party (3.714)</t>
  </si>
  <si>
    <t>Clock (199)</t>
  </si>
  <si>
    <t>Clock (3.167)</t>
  </si>
  <si>
    <t>Relax (279)</t>
  </si>
  <si>
    <t>Along (4.143)</t>
  </si>
  <si>
    <t>Break (17)</t>
  </si>
  <si>
    <t>Break (2.6)</t>
  </si>
  <si>
    <t>Petal (5)</t>
  </si>
  <si>
    <t>Petal (2.333)</t>
  </si>
  <si>
    <t>Sam/Spencer (6)</t>
  </si>
  <si>
    <t>Sam (3)</t>
  </si>
  <si>
    <t>Kendall/Spencer (4)</t>
  </si>
  <si>
    <t>Howdy Partner (Most Shared Wins)</t>
  </si>
  <si>
    <t>Sam (21.429%)</t>
  </si>
  <si>
    <t>Sam (3.929)</t>
  </si>
  <si>
    <t>Kendall (8)</t>
  </si>
  <si>
    <t>Spencer (Petal, 5)</t>
  </si>
  <si>
    <t>Spencer (Petal, 2.333)</t>
  </si>
  <si>
    <t>Kendall (Wacky, 4789)</t>
  </si>
  <si>
    <t>Spencer (Ounce, 6)</t>
  </si>
  <si>
    <t>Elisabeth (344.667)</t>
  </si>
  <si>
    <t>Kimball (3.681)</t>
  </si>
  <si>
    <t>Whale</t>
  </si>
  <si>
    <t>Hobby</t>
  </si>
  <si>
    <t>Sharp</t>
  </si>
  <si>
    <t>Wheel</t>
  </si>
  <si>
    <t>Snare</t>
  </si>
  <si>
    <t>Ethos</t>
  </si>
  <si>
    <t>Inter</t>
  </si>
  <si>
    <t>Curly</t>
  </si>
  <si>
    <t>Umbra</t>
  </si>
  <si>
    <t>Bathe</t>
  </si>
  <si>
    <t>Style</t>
  </si>
  <si>
    <t>Drake</t>
  </si>
  <si>
    <t>Tenth</t>
  </si>
  <si>
    <t>Antsy</t>
  </si>
  <si>
    <t>Beget</t>
  </si>
  <si>
    <t>Frogs</t>
  </si>
  <si>
    <t>Bound</t>
  </si>
  <si>
    <t>Snail</t>
  </si>
  <si>
    <t>Anode</t>
  </si>
  <si>
    <t>Doubt</t>
  </si>
  <si>
    <t>Polyp</t>
  </si>
  <si>
    <t>Brook</t>
  </si>
  <si>
    <t>Bravo</t>
  </si>
  <si>
    <t>Bully</t>
  </si>
  <si>
    <t>Comet</t>
  </si>
  <si>
    <t>Empty</t>
  </si>
  <si>
    <t>Brand</t>
  </si>
  <si>
    <t>Hello</t>
  </si>
  <si>
    <t>Until</t>
  </si>
  <si>
    <t>Quick</t>
  </si>
  <si>
    <t>Wrath</t>
  </si>
  <si>
    <t>Twice</t>
  </si>
  <si>
    <t>Snaky</t>
  </si>
  <si>
    <t>Train</t>
  </si>
  <si>
    <t>Index</t>
  </si>
  <si>
    <t>Thank</t>
  </si>
  <si>
    <t>Scrub</t>
  </si>
  <si>
    <t>Quest</t>
  </si>
  <si>
    <t>Plasm</t>
  </si>
  <si>
    <t>Magma</t>
  </si>
  <si>
    <t>Chase</t>
  </si>
  <si>
    <t>Often</t>
  </si>
  <si>
    <t>Amiss</t>
  </si>
  <si>
    <t>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</si>
</sst>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2" xfId="0" applyFill="1" applyBorder="1"/>
    <xf numFmtId="0" fontId="0" fillId="5" borderId="3" xfId="0" applyFill="1" applyBorder="1"/>
    <xf numFmtId="14" fontId="0" fillId="5" borderId="1" xfId="0" applyNumberFormat="1" applyFill="1" applyBorder="1"/>
    <xf numFmtId="14" fontId="0" fillId="5" borderId="2" xfId="0" applyNumberFormat="1" applyFill="1" applyBorder="1"/>
    <xf numFmtId="0" fontId="0" fillId="6" borderId="2" xfId="0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7" borderId="0" xfId="0" applyFill="1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14" fontId="0" fillId="0" borderId="2" xfId="0" applyNumberFormat="1" applyBorder="1"/>
    <xf numFmtId="0" fontId="0" fillId="3" borderId="2" xfId="0" applyFill="1" applyBorder="1"/>
    <xf numFmtId="0" fontId="0" fillId="2" borderId="2" xfId="0" applyFill="1" applyBorder="1"/>
    <xf numFmtId="14" fontId="0" fillId="5" borderId="7" xfId="0" applyNumberFormat="1" applyFill="1" applyBorder="1"/>
    <xf numFmtId="0" fontId="0" fillId="5" borderId="7" xfId="0" applyFill="1" applyBorder="1"/>
    <xf numFmtId="14" fontId="0" fillId="0" borderId="7" xfId="0" applyNumberFormat="1" applyBorder="1"/>
    <xf numFmtId="0" fontId="0" fillId="8" borderId="0" xfId="0" applyFill="1"/>
    <xf numFmtId="0" fontId="3" fillId="9" borderId="0" xfId="0" applyFont="1" applyFill="1"/>
    <xf numFmtId="165" fontId="0" fillId="8" borderId="0" xfId="0" applyNumberFormat="1" applyFill="1"/>
    <xf numFmtId="0" fontId="0" fillId="0" borderId="0" xfId="0" applyAlignment="1">
      <alignment vertical="center"/>
    </xf>
    <xf numFmtId="2" fontId="0" fillId="0" borderId="2" xfId="0" applyNumberFormat="1" applyBorder="1"/>
    <xf numFmtId="2" fontId="0" fillId="0" borderId="7" xfId="0" applyNumberFormat="1" applyBorder="1"/>
  </cellXfs>
  <cellStyles count="1">
    <cellStyle name="Normal" xfId="0" builtinId="0"/>
  </cellStyles>
  <dxfs count="15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</dxf>
    <dxf>
      <numFmt numFmtId="19" formatCode="m/d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border outline="0">
        <top style="thin">
          <color rgb="FF8EA9DB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0.0000"/>
    </dxf>
    <dxf>
      <numFmt numFmtId="165" formatCode="0.000"/>
    </dxf>
    <dxf>
      <numFmt numFmtId="164" formatCode="0.0000"/>
    </dxf>
    <dxf>
      <border outline="0"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00D70E-F07A-4F0E-9791-15632853D9BB}" name="Season3Overall" displayName="Season3Overall" ref="A28:P35" totalsRowShown="0" tableBorderDxfId="156">
  <autoFilter ref="A28:P35" xr:uid="{9700D70E-F07A-4F0E-9791-15632853D9BB}"/>
  <tableColumns count="16">
    <tableColumn id="1" xr3:uid="{787A8264-823A-47E4-B9D7-075FCFFF6828}" name="Person:"/>
    <tableColumn id="2" xr3:uid="{33F48620-3BB9-4D66-B57B-E36193561677}" name="Solo" dataDxfId="155">
      <calculatedColumnFormula>COUNTIF(Season3Data[Winner],Season3Overall[[#This Row],[Person:]])</calculatedColumnFormula>
    </tableColumn>
    <tableColumn id="3" xr3:uid="{1474E27B-A731-46F7-ACA8-C091FF0E6F7B}" name="Shared"/>
    <tableColumn id="4" xr3:uid="{7787921F-E98A-412C-932D-0F895DC9C575}" name="Uncontested Wins" dataDxfId="154">
      <calculatedColumnFormula>SUMPRODUCT(--(Season3Data[Winner]=Season3Overall[[#This Row],[Person:]]),--(Season3Data[Tiebreakers]=FALSE))</calculatedColumnFormula>
    </tableColumn>
    <tableColumn id="5" xr3:uid="{3CA18517-D7AC-4996-AD73-13E98CF734C2}" name="Contested Wins" dataDxfId="153">
      <calculatedColumnFormula>SUMPRODUCT(--(Season3Data[Winner]=Season3Overall[[#This Row],[Person:]]),--(Season3Data[Tiebreakers]))</calculatedColumnFormula>
    </tableColumn>
    <tableColumn id="6" xr3:uid="{6CB8E667-2CDE-45CF-BE70-21D3ADCCEB57}" name="Column1"/>
    <tableColumn id="16" xr3:uid="{703C5257-6799-4FDC-A787-116545EC9433}" name="Last Win" dataDxfId="152">
      <calculatedColumnFormula array="1">MAX(IF(Season3Data[Winner]=Season3Overall[[#This Row],[Person:]],Season3Data[Date]))</calculatedColumnFormula>
    </tableColumn>
    <tableColumn id="15" xr3:uid="{2A036726-E087-4A16-B913-C0BE952A4447}" name="Days since Last Win" dataDxfId="151">
      <calculatedColumnFormula>DATEDIF(Season3Overall[[#This Row],[Last Win]],TODAY(),"d")</calculatedColumnFormula>
    </tableColumn>
    <tableColumn id="14" xr3:uid="{A7A2A361-C0A1-483F-B62D-56BE796BADE9}" name="Win Percentage" dataDxfId="150">
      <calculatedColumnFormula>Season3Overall[[#This Row],[Solo]]/COUNTIF(Season3Data[Elisabeth],"&lt;&gt;"&amp;"")</calculatedColumnFormula>
    </tableColumn>
    <tableColumn id="7" xr3:uid="{3E4172AF-23FD-44AB-B380-3F4AF8F3AB58}" name="Unwon Tiebreakers"/>
    <tableColumn id="8" xr3:uid="{45292D6C-46C8-40B3-BCFD-2DAB49EA0F9C}" name="Column2"/>
    <tableColumn id="9" xr3:uid="{304B608E-4097-4ED0-9D67-6AA2BC0BB420}" name="Best Guess"/>
    <tableColumn id="10" xr3:uid="{DFDA1E34-3CA9-4071-95FE-C7F9AFA845DA}" name="Average Guess"/>
    <tableColumn id="11" xr3:uid="{16261267-85CB-4B3E-9310-8E8D52B5A503}" name="Column3"/>
    <tableColumn id="12" xr3:uid="{45431BBD-96B1-45A5-B4E4-77128BA2D21C}" name="Average Remaining Answers" dataDxfId="149">
      <calculatedColumnFormula>AVERAGEIF(Season3Data[Word Picker],Season3Overall[[#This Row],[Person:]],Season3Data[Remaining Words])</calculatedColumnFormula>
    </tableColumn>
    <tableColumn id="13" xr3:uid="{FC776735-0D77-4F7E-B4AC-350EEE05633F}" name="Average Response" dataDxfId="148">
      <calculatedColumnFormula>AVERAGEIF(Season3Data[Word Picker],Season3Overall[[#This Row],[Person:]],Season3Data[Average Guess])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069587-5DAE-4845-B87B-EC59720CB8DC}" name="Season2Overall" displayName="Season2Overall" ref="A15:J23" totalsRowShown="0" tableBorderDxfId="147">
  <autoFilter ref="A15:J23" xr:uid="{01069587-5DAE-4845-B87B-EC59720CB8DC}"/>
  <tableColumns count="10">
    <tableColumn id="1" xr3:uid="{89155E2F-2BA5-41A7-AEE0-36D4C3B6CFD5}" name="Person"/>
    <tableColumn id="2" xr3:uid="{0CF0C393-9925-4A42-98D5-325E5752796D}" name="Solo">
      <calculatedColumnFormula>COUNTIF(Season2Data[Winner],A16)</calculatedColumnFormula>
    </tableColumn>
    <tableColumn id="3" xr3:uid="{5CE76281-CBBF-47A1-97E2-DC515121085E}" name="Shared"/>
    <tableColumn id="4" xr3:uid="{92A0425F-C42A-412A-A949-10D670DF8873}" name="Unwon Tiebreakers"/>
    <tableColumn id="5" xr3:uid="{CEB04F20-D298-4187-B56B-A62A50CD662E}" name="Column1"/>
    <tableColumn id="6" xr3:uid="{3E987C1C-010B-43D6-A370-25C26BC2EB70}" name="Best Guess"/>
    <tableColumn id="7" xr3:uid="{ABE81DB2-3329-4A7F-8F5B-38F4A164990F}" name="Average Guess" dataDxfId="146"/>
    <tableColumn id="8" xr3:uid="{84110983-151B-4216-9A59-3FC415F5830C}" name="Column2"/>
    <tableColumn id="9" xr3:uid="{D4C53413-E1F3-4981-A4CD-EA9E94D6BD20}" name="Average Remaining Answers" dataDxfId="145">
      <calculatedColumnFormula>AVERAGEIF(Season2Data[Word Picker],Overall!A16,Season2Data[Remaining Words])</calculatedColumnFormula>
    </tableColumn>
    <tableColumn id="10" xr3:uid="{5175A0C7-4196-48F1-B0C7-F69134B3D4CA}" name="Average Response" dataDxfId="144">
      <calculatedColumnFormula>AVERAGEIF(Season2Data[Word Picker],A16,Season2Data[Average Guess])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C47306-2403-4491-AD63-D3CCCBD9E83A}" name="Season1Overall" displayName="Season1Overall" ref="A2:J10" totalsRowShown="0" tableBorderDxfId="143">
  <autoFilter ref="A2:J10" xr:uid="{39C47306-2403-4491-AD63-D3CCCBD9E83A}"/>
  <tableColumns count="10">
    <tableColumn id="1" xr3:uid="{DC2905F2-16D8-41B5-AB85-265A869CF272}" name="Person"/>
    <tableColumn id="2" xr3:uid="{C6E276AB-EEE1-49EE-AB27-563F9D7BDCD6}" name="Solo">
      <calculatedColumnFormula>COUNTIF(Season1Data[Winner],A3)</calculatedColumnFormula>
    </tableColumn>
    <tableColumn id="3" xr3:uid="{EDFF584E-9DC0-4FBE-92B3-292E20A286AE}" name="Shared"/>
    <tableColumn id="4" xr3:uid="{1FE8302E-4D9A-4ED0-BB7C-459D8D8FF9CE}" name="Unwon Tiebreakers"/>
    <tableColumn id="5" xr3:uid="{41AC6FA0-ADD1-4385-A975-53BFF554EC74}" name="Column1"/>
    <tableColumn id="6" xr3:uid="{A9FFBF86-F50B-47DC-AD8C-838B070F130A}" name="Best Guess"/>
    <tableColumn id="7" xr3:uid="{FE5B1501-9A92-478A-8C80-0D735CE82B5E}" name="Average Guess"/>
    <tableColumn id="8" xr3:uid="{E99A9B83-B913-4DC7-8F87-CF6C671A3C30}" name="Column2"/>
    <tableColumn id="9" xr3:uid="{884F8502-3BE3-4C9A-8B0A-F6F9DB847DF7}" name="Average Remaining Answers">
      <calculatedColumnFormula>AVERAGEIF(Season1Data[Word Picker],Overall!A3,Season1Data[Remaining Words])</calculatedColumnFormula>
    </tableColumn>
    <tableColumn id="10" xr3:uid="{42720C34-6AA7-43A8-AC9F-D187202923AE}" name="Average Response">
      <calculatedColumnFormula>AVERAGEIF(Season1Data[Word Picker],A3,Season1Data[Average Guess])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BEA463-CE79-41B7-911F-BDE9BC00458A}" name="Season4Overall" displayName="Season4Overall" ref="A40:P47" totalsRowShown="0" tableBorderDxfId="142">
  <autoFilter ref="A40:P47" xr:uid="{2EBEA463-CE79-41B7-911F-BDE9BC00458A}"/>
  <sortState xmlns:xlrd2="http://schemas.microsoft.com/office/spreadsheetml/2017/richdata2" ref="A41:P47">
    <sortCondition ref="A40:A47"/>
  </sortState>
  <tableColumns count="16">
    <tableColumn id="1" xr3:uid="{DD76C171-74DA-4C87-B0A1-132854C23CCD}" name="Person:"/>
    <tableColumn id="2" xr3:uid="{4FCA034B-800C-48EC-8EC4-1E75E88A1166}" name="Solo" dataDxfId="141">
      <calculatedColumnFormula>COUNTIF(Season4Data[Winner],Season4Overall[[#This Row],[Person:]])</calculatedColumnFormula>
    </tableColumn>
    <tableColumn id="3" xr3:uid="{A293AEBF-B27A-43DB-9D71-12C8AADEF0F5}" name="Shared"/>
    <tableColumn id="4" xr3:uid="{04D350E6-CF5B-4E6D-A1D9-0F5E93033224}" name="Contested Wins" dataDxfId="140">
      <calculatedColumnFormula>SUMPRODUCT(--(Season4Data[Winner]=Season4Overall[[#This Row],[Person:]]),--(Season4Data[Tiebreakers]))</calculatedColumnFormula>
    </tableColumn>
    <tableColumn id="5" xr3:uid="{7A4784D1-63FC-4DEA-AC5E-23BFA36A5FAE}" name="Uncontested Wins" dataDxfId="139">
      <calculatedColumnFormula>SUMPRODUCT(--(Season4Data[Winner]=Season4Overall[[#This Row],[Person:]]),--(Season4Data[Tiebreakers]=FALSE))</calculatedColumnFormula>
    </tableColumn>
    <tableColumn id="6" xr3:uid="{F88F562A-23F3-4394-945F-5520C3391AEF}" name="Win Percentage"/>
    <tableColumn id="16" xr3:uid="{C40F777D-118B-45E1-81AB-01927AF1D6C7}" name="Last Win" dataDxfId="138">
      <calculatedColumnFormula array="1">MAX(IF(Season4Data[Winner]=Season4Overall[[#This Row],[Person:]],Season4Data[Date]))</calculatedColumnFormula>
    </tableColumn>
    <tableColumn id="15" xr3:uid="{CCCDD2DB-85C9-44CA-81F0-5059EDD52543}" name="Days since Last Win" dataDxfId="137">
      <calculatedColumnFormula array="1">DATEDIF(Season4Overall[[#This Row],[Last Win]],MAX(Season4Data[Date]),"d")</calculatedColumnFormula>
    </tableColumn>
    <tableColumn id="14" xr3:uid="{E0B1E0C4-A9E2-47F2-BE1A-A82A91CE7BDB}" name="Column1"/>
    <tableColumn id="7" xr3:uid="{33F8184E-4F14-4DCD-841B-816EA95DF347}" name="Unwon Tiebreakers"/>
    <tableColumn id="8" xr3:uid="{B4A7AEF2-D477-4546-ADA8-279224F2181E}" name="Column2"/>
    <tableColumn id="9" xr3:uid="{9E77CF18-7EEA-4387-AA28-C106F679DBEE}" name="Best Guess"/>
    <tableColumn id="10" xr3:uid="{D82E872F-506A-41C5-B177-4A503E60A78E}" name="Average Guess"/>
    <tableColumn id="11" xr3:uid="{0C12E219-CD50-4039-9418-870FD409BED2}" name="Column3"/>
    <tableColumn id="12" xr3:uid="{16D669DB-C0F3-41CB-8BAD-47C5E5D82992}" name="Average Remaining Answers" dataDxfId="136">
      <calculatedColumnFormula>AVERAGEIF(Season4Data[Word Picker],Season4Overall[[#This Row],[Person:]],Season4Data[Remaining Words])</calculatedColumnFormula>
    </tableColumn>
    <tableColumn id="13" xr3:uid="{DDC76309-5EDB-4C98-BAE3-D5BC22249D9A}" name="Average Response" dataDxfId="135">
      <calculatedColumnFormula>AVERAGEIF(Season4Data[Word Picker],Season4Overall[[#This Row],[Person:]],Season4Data[Average Guess])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91CA6C-2060-43BD-B6D0-81E79FA5F211}" name="Season4Data" displayName="Season4Data" ref="A1:U61" totalsRowShown="0" headerRowDxfId="134" dataDxfId="132" headerRowBorderDxfId="133" tableBorderDxfId="131">
  <autoFilter ref="A1:U61" xr:uid="{5EF9BA9D-CFC1-43C8-9987-E2F4970F881B}"/>
  <sortState xmlns:xlrd2="http://schemas.microsoft.com/office/spreadsheetml/2017/richdata2" ref="A2:U61">
    <sortCondition ref="A1:A61"/>
  </sortState>
  <tableColumns count="21">
    <tableColumn id="1" xr3:uid="{D04FC2F6-F313-46F9-A978-B491043C01AD}" name="Date" dataDxfId="130"/>
    <tableColumn id="2" xr3:uid="{738FC48A-347A-45D7-8476-D010FB0345AA}" name="Word Picker" dataDxfId="129"/>
    <tableColumn id="3" xr3:uid="{F00CF760-9AC0-4FE6-BB16-0223F266A073}" name="Starter Word" dataDxfId="128"/>
    <tableColumn id="4" xr3:uid="{1A5108EE-E0E8-4BB1-AEDD-F2ECFFF158E0}" name="Wordle Answer" dataDxfId="127"/>
    <tableColumn id="5" xr3:uid="{F563953A-F559-434B-B03D-13F63DE4D24C}" name="Winner" dataDxfId="126"/>
    <tableColumn id="21" xr3:uid="{FFB2737F-E8C7-44B8-B23C-F889618F2648}" name="Streak" dataDxfId="125"/>
    <tableColumn id="6" xr3:uid="{B0BF5D0D-5A5B-4364-A442-42A23B307107}" name="Column1" dataDxfId="124"/>
    <tableColumn id="7" xr3:uid="{6C316E25-BC3E-48F1-9139-387BCA96F7D2}" name="Remaining Words" dataDxfId="123"/>
    <tableColumn id="8" xr3:uid="{ACE0A265-82E1-4021-A9E2-0171D9E25554}" name="Column2" dataDxfId="122"/>
    <tableColumn id="9" xr3:uid="{D648079A-62E4-4FC5-A936-2E9388F46C87}" name="Column3" dataDxfId="121"/>
    <tableColumn id="10" xr3:uid="{0DE2562C-E63C-40F5-8B4C-08B12D4C9670}" name="Best Guess" dataDxfId="120">
      <calculatedColumnFormula>MIN(Season4Data[[#This Row],[Brian]:[Spencer]])</calculatedColumnFormula>
    </tableColumn>
    <tableColumn id="11" xr3:uid="{DE20A494-41C9-4861-91D5-3AF6A944EAF6}" name="Average Guess" dataDxfId="119">
      <calculatedColumnFormula>AVERAGE(Season4Data[[#This Row],[Brian]:[Spencer]])</calculatedColumnFormula>
    </tableColumn>
    <tableColumn id="14" xr3:uid="{219BEF09-43DC-4B07-823E-6CCFDD8B838F}" name="Tiebreakers" dataDxfId="118">
      <calculatedColumnFormula>IF(COUNTIF(Season4Data[[#This Row],[Brian]:[Spencer]], Season3Data[[#This Row],[Best Guess]]) &gt; 1, TRUE, FALSE)</calculatedColumnFormula>
    </tableColumn>
    <tableColumn id="12" xr3:uid="{B570C476-06DE-4BED-BC6F-97E72CB6949D}" name="Column4" dataDxfId="117"/>
    <tableColumn id="13" xr3:uid="{02B90DBF-5D12-48C9-B654-FE6081A546BF}" name="Brian" dataDxfId="116"/>
    <tableColumn id="15" xr3:uid="{71648C64-8F2C-46C6-A565-89A8F676C787}" name="Elisabeth" dataDxfId="115"/>
    <tableColumn id="16" xr3:uid="{3D10B21C-4E42-461C-AFC1-D06ACDD36D7D}" name="Kendall" dataDxfId="114"/>
    <tableColumn id="17" xr3:uid="{2F41515F-B749-42A0-909E-74ADFD0F092E}" name="Kimball" dataDxfId="113"/>
    <tableColumn id="18" xr3:uid="{606B8E6E-9F4F-4D77-AAE7-D41176748013}" name="Lee Ann" dataDxfId="112"/>
    <tableColumn id="19" xr3:uid="{2425EEE2-BA2B-426A-812C-44E6FB5F14F0}" name="Sam" dataDxfId="111"/>
    <tableColumn id="20" xr3:uid="{6CAA2811-F566-45C7-8E51-265492152601}" name="Spencer" dataDxfId="1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F9BA9D-CFC1-43C8-9987-E2F4970F881B}" name="Season3Data" displayName="Season3Data" ref="A1:U93" totalsRowShown="0" headerRowDxfId="109" dataDxfId="107" headerRowBorderDxfId="108" tableBorderDxfId="106">
  <autoFilter ref="A1:U93" xr:uid="{5EF9BA9D-CFC1-43C8-9987-E2F4970F881B}"/>
  <sortState xmlns:xlrd2="http://schemas.microsoft.com/office/spreadsheetml/2017/richdata2" ref="A2:U93">
    <sortCondition ref="A1:A93"/>
  </sortState>
  <tableColumns count="21">
    <tableColumn id="1" xr3:uid="{74A0B8D8-9694-4E7F-939A-637F604F6E42}" name="Date" dataDxfId="105"/>
    <tableColumn id="2" xr3:uid="{671795D2-28A1-4C1D-B8E1-C3A3B2EBF9CF}" name="Word Picker" dataDxfId="104"/>
    <tableColumn id="3" xr3:uid="{A424321B-66F5-4AF0-988D-EB4CAD697C82}" name="Starter Word" dataDxfId="103"/>
    <tableColumn id="4" xr3:uid="{2495DE10-DAFD-4F51-B791-3FCF6CBBF6D4}" name="Wordle Answer" dataDxfId="102"/>
    <tableColumn id="5" xr3:uid="{2FA9F35E-319F-444A-B2F4-10221234561E}" name="Winner" dataDxfId="101"/>
    <tableColumn id="21" xr3:uid="{35CC6D37-A0C3-4AD4-BF82-A2397A1D55F9}" name="Streak" dataDxfId="100"/>
    <tableColumn id="6" xr3:uid="{1594A83E-1EDC-42D0-B92E-B2C9657C4EDF}" name="Column1" dataDxfId="99"/>
    <tableColumn id="7" xr3:uid="{89AD6EF9-C926-4D60-A992-CE23EFA292D8}" name="Remaining Words" dataDxfId="98"/>
    <tableColumn id="8" xr3:uid="{316AF02A-8E53-49A3-A280-FA494D60E039}" name="Column2" dataDxfId="97"/>
    <tableColumn id="9" xr3:uid="{18AB25AD-0458-421E-9756-4244D15467B3}" name="Column3" dataDxfId="96"/>
    <tableColumn id="10" xr3:uid="{5A025218-A1D5-4B99-94A3-1A1B7E3F0AED}" name="Best Guess" dataDxfId="95">
      <calculatedColumnFormula>MIN(Season3Data[[#This Row],[Brian]:[Spencer]])</calculatedColumnFormula>
    </tableColumn>
    <tableColumn id="11" xr3:uid="{4B6382CD-4CB6-4BFF-9985-E06CE0B99D6F}" name="Average Guess" dataDxfId="94">
      <calculatedColumnFormula>AVERAGE(Season3Data[[#This Row],[Brian]:[Spencer]])</calculatedColumnFormula>
    </tableColumn>
    <tableColumn id="14" xr3:uid="{4A601F3B-51B9-4AC3-B7C8-040F92935E44}" name="Tiebreakers" dataDxfId="93">
      <calculatedColumnFormula>IF(COUNTIF(Season3Data[[#This Row],[Brian]:[Spencer]], Season3Data[[#This Row],[Best Guess]]) &gt; 1, TRUE, FALSE)</calculatedColumnFormula>
    </tableColumn>
    <tableColumn id="12" xr3:uid="{F285FBF3-E708-4438-B616-D0CE95B89811}" name="Column4" dataDxfId="92"/>
    <tableColumn id="13" xr3:uid="{F62B6AEF-BC7F-4463-B763-38D00E6D17B9}" name="Brian" dataDxfId="91"/>
    <tableColumn id="15" xr3:uid="{6B7B6D04-DEC7-4A83-B13A-1A7F7CDB6953}" name="Elisabeth" dataDxfId="90"/>
    <tableColumn id="16" xr3:uid="{D68AF314-C41E-4850-B8B6-07999454CEDC}" name="Kendall" dataDxfId="89"/>
    <tableColumn id="17" xr3:uid="{EF834063-0DEB-402E-95A9-CCAF2215DBF8}" name="Kimball" dataDxfId="88"/>
    <tableColumn id="18" xr3:uid="{04B93798-1090-4CAB-AA0E-FE39AADD1DDA}" name="Lee Ann" dataDxfId="87"/>
    <tableColumn id="19" xr3:uid="{C1B135D0-F9AC-4D9C-8976-5FAD9F5A44F6}" name="Sam" dataDxfId="86"/>
    <tableColumn id="20" xr3:uid="{3F013252-0455-446C-A0A4-F9344B45D559}" name="Spencer" dataDxfId="8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3848B-652F-49EA-876C-2A048D506813}" name="Season2Data" displayName="Season2Data" ref="A1:T91" totalsRowShown="0" headerRowDxfId="84" headerRowBorderDxfId="83" tableBorderDxfId="82">
  <autoFilter ref="A1:T91" xr:uid="{EEF3848B-652F-49EA-876C-2A048D506813}"/>
  <tableColumns count="20">
    <tableColumn id="1" xr3:uid="{A0F81D0A-91C9-4ED1-ABB0-01C375311A6D}" name="Date"/>
    <tableColumn id="2" xr3:uid="{E0B79833-E1FB-48A0-88FE-8D2A84079B96}" name="Word Picker"/>
    <tableColumn id="3" xr3:uid="{5EE9D97A-0876-42B2-B675-23B16FE63011}" name="Starter Word"/>
    <tableColumn id="4" xr3:uid="{9C02181F-30DE-4EFB-B8E0-89CB59C91804}" name="Wordle Answer"/>
    <tableColumn id="5" xr3:uid="{DAE778AB-FC4F-4888-9792-273A729F29CE}" name="Winner"/>
    <tableColumn id="6" xr3:uid="{05E1B258-431B-426D-B11D-763F3C7E9544}" name="Column1"/>
    <tableColumn id="7" xr3:uid="{998F3550-6CAA-42F4-8247-1D7A099A5FF0}" name="Remaining Words"/>
    <tableColumn id="8" xr3:uid="{99D2CF8D-C221-45DC-9EF0-CC5B6E3B75F1}" name="Column2"/>
    <tableColumn id="9" xr3:uid="{2CBEBB7B-6F7D-485F-865A-B26BE7B97ED0}" name="Column3"/>
    <tableColumn id="10" xr3:uid="{CA8BA8B9-33B7-4BD5-AD4D-BAFB0F440C23}" name="Best Guess">
      <calculatedColumnFormula>MIN(M2:T2)</calculatedColumnFormula>
    </tableColumn>
    <tableColumn id="11" xr3:uid="{9A27E4C0-6860-47D5-ADB2-8868ADDD5CC4}" name="Average Guess">
      <calculatedColumnFormula>AVERAGE(M2:T2)</calculatedColumnFormula>
    </tableColumn>
    <tableColumn id="12" xr3:uid="{B5968486-FAD2-4113-B0B3-D4B8FC5F3781}" name="Column4"/>
    <tableColumn id="13" xr3:uid="{A1F32919-6EF6-4F5E-913A-157F432095F7}" name="Brian"/>
    <tableColumn id="14" xr3:uid="{F535F75E-FD9D-4BE9-979C-815F6DB35F5F}" name="Deepa"/>
    <tableColumn id="15" xr3:uid="{03B593C9-56A8-40A8-B9B7-8940A866925F}" name="Elisabeth"/>
    <tableColumn id="16" xr3:uid="{A8726BE1-0ED9-48E6-93CB-28577C81347A}" name="Kendall"/>
    <tableColumn id="17" xr3:uid="{3E165327-B888-4037-80F2-04A2F8E62EF4}" name="Kimball"/>
    <tableColumn id="18" xr3:uid="{289CFA65-F50D-44D6-B8CD-C131A83C5498}" name="Lee Ann"/>
    <tableColumn id="19" xr3:uid="{374CF437-BB8F-431F-A339-A1D5DBE1BF93}" name="Sam"/>
    <tableColumn id="20" xr3:uid="{2BC0ED97-4FB7-4331-A2A1-5CCEFD69DBAB}" name="Spenc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299052-A41F-4A11-952E-73182139B0B6}" name="Season1Data" displayName="Season1Data" ref="A1:T93" totalsRowShown="0">
  <autoFilter ref="A1:T93" xr:uid="{F1299052-A41F-4A11-952E-73182139B0B6}"/>
  <tableColumns count="20">
    <tableColumn id="1" xr3:uid="{5D805DF6-3D27-4941-91A8-36F1C2E62969}" name="Date" dataDxfId="81"/>
    <tableColumn id="2" xr3:uid="{F6FEFA32-8D23-4690-85EF-398544EBA0D4}" name="Word Picker" dataDxfId="80"/>
    <tableColumn id="3" xr3:uid="{85821FBF-EFB3-4C82-80B6-F4C41F281E31}" name="Starter Word"/>
    <tableColumn id="4" xr3:uid="{3F92475E-1C32-49FB-A4BB-74A9CC55956C}" name="Wordle Answer"/>
    <tableColumn id="20" xr3:uid="{8A4BEC91-28C2-410C-9F74-A085A3E98622}" name="Winner"/>
    <tableColumn id="5" xr3:uid="{9643A7F2-34F0-4EA5-8326-A3F2E800A025}" name="Column1"/>
    <tableColumn id="6" xr3:uid="{91518173-8984-4F0D-A22D-6E739B4914C0}" name="Remaining Words"/>
    <tableColumn id="7" xr3:uid="{8C548B74-58ED-48BD-9D20-15DD4A786E03}" name="Column2"/>
    <tableColumn id="8" xr3:uid="{FEBE86B2-7011-4502-941C-382B3C56EF31}" name="Column3"/>
    <tableColumn id="9" xr3:uid="{28103094-9B24-446B-81A9-E327DE3B0CC0}" name="Best Guess">
      <calculatedColumnFormula>MIN(M2:T2)</calculatedColumnFormula>
    </tableColumn>
    <tableColumn id="10" xr3:uid="{62C0E65E-A62E-4BB4-A674-D66A7F6EE7ED}" name="Average Guess">
      <calculatedColumnFormula>AVERAGE(M2:T2)</calculatedColumnFormula>
    </tableColumn>
    <tableColumn id="11" xr3:uid="{E511D2E1-A69E-47C3-BE16-8BA35CB84629}" name="Column4"/>
    <tableColumn id="12" xr3:uid="{705B3F84-B414-464E-8804-3AA830057EFD}" name="Brian"/>
    <tableColumn id="13" xr3:uid="{A94D05DD-902F-430F-B732-757A9EA54688}" name="Deepa"/>
    <tableColumn id="14" xr3:uid="{583BA98E-099A-482A-AB75-53FED7E7D416}" name="Elisabeth"/>
    <tableColumn id="16" xr3:uid="{86044659-8F71-4EDD-8BA9-53A76125E365}" name="Kendall"/>
    <tableColumn id="17" xr3:uid="{C900360A-BC07-4F83-B5D8-45FF7ADC25E1}" name="Kimball"/>
    <tableColumn id="15" xr3:uid="{9CD769C9-6276-45E8-8E83-F3B59E7D8E20}" name="Lee Ann"/>
    <tableColumn id="18" xr3:uid="{21AB3EDA-8399-45EA-9B8D-3BE8F25903FC}" name="Sam"/>
    <tableColumn id="19" xr3:uid="{9B524E65-5665-4D85-89E8-DAEAF498FF61}" name="Spenc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BE9D3E-F042-44C2-8664-72B0DE3C91A1}" name="Season1M1" displayName="Season1M1" ref="W3:AP34" totalsRowShown="0" headerRowDxfId="79" dataDxfId="77" headerRowBorderDxfId="78" tableBorderDxfId="76" totalsRowBorderDxfId="75">
  <autoFilter ref="W3:AP34" xr:uid="{40BE9D3E-F042-44C2-8664-72B0DE3C91A1}"/>
  <tableColumns count="20">
    <tableColumn id="1" xr3:uid="{9B2143F0-0A06-4D30-9924-6822E28E1A9F}" name="Date" dataDxfId="74"/>
    <tableColumn id="2" xr3:uid="{592A64DB-1A70-4397-91F8-2F09BE3EC70B}" name="Word Picker" dataDxfId="73"/>
    <tableColumn id="3" xr3:uid="{4B6303A2-5281-4F45-A284-37AC8A756961}" name="Starter Word" dataDxfId="72"/>
    <tableColumn id="4" xr3:uid="{BFDB3044-C6BB-4D7F-9E61-2B8CC187E7E2}" name="Wordle Answer" dataDxfId="71"/>
    <tableColumn id="5" xr3:uid="{D3FAE7AA-CB8B-4C50-990F-FB2BFDFECE3E}" name="Winner" dataDxfId="70"/>
    <tableColumn id="6" xr3:uid="{9ED0C72E-7471-423E-9A7E-99A9BB05224A}" name="Column1" dataDxfId="69"/>
    <tableColumn id="7" xr3:uid="{E1A77BBE-B352-4AF2-A9FD-179D680A4F28}" name="Remaining Words" dataDxfId="68"/>
    <tableColumn id="8" xr3:uid="{75A0ECF2-7714-46D5-AAA1-D20680684FA1}" name="Column2" dataDxfId="67"/>
    <tableColumn id="9" xr3:uid="{75C21A2C-4862-4D05-92D7-8A22EC4A7E1D}" name="Column3" dataDxfId="66"/>
    <tableColumn id="10" xr3:uid="{0DF6107E-0B3B-4851-A44C-5C49B00E2E1B}" name="Best Guess" dataDxfId="65">
      <calculatedColumnFormula>MIN(AI4:AP4)</calculatedColumnFormula>
    </tableColumn>
    <tableColumn id="11" xr3:uid="{76761D9D-4E8C-470E-B5E0-0871054360B8}" name="Average Guess" dataDxfId="64">
      <calculatedColumnFormula>AVERAGE(AI4:AP4)</calculatedColumnFormula>
    </tableColumn>
    <tableColumn id="12" xr3:uid="{979710C6-671D-49A5-892D-5BE918AB6315}" name="Column4" dataDxfId="63"/>
    <tableColumn id="13" xr3:uid="{882321AD-1AB6-48A8-ACC9-73096B9751E7}" name="Brian" dataDxfId="62"/>
    <tableColumn id="14" xr3:uid="{4C9CC18D-EC15-400B-9903-39836D6E93C4}" name="Deepa" dataDxfId="61"/>
    <tableColumn id="15" xr3:uid="{1FADA994-3A40-4914-BF0A-9F34FA89EB58}" name="Elisabeth" dataDxfId="60"/>
    <tableColumn id="16" xr3:uid="{3CDF3728-0FE5-4741-896F-F279DD5CA42F}" name="Kendall" dataDxfId="59"/>
    <tableColumn id="17" xr3:uid="{79FD2CD6-28DC-4A54-A84F-ABF6DAF953E5}" name="Kimball" dataDxfId="58"/>
    <tableColumn id="18" xr3:uid="{C485325D-1445-4288-8715-7470FCA43D48}" name="Lee Ann" dataDxfId="57"/>
    <tableColumn id="19" xr3:uid="{D4DA1A52-526B-47C2-B736-46CF1437E334}" name="Sam" dataDxfId="56"/>
    <tableColumn id="20" xr3:uid="{292EC215-35C3-4381-A9D3-F01594CA35AE}" name="Spencer" dataDxfId="5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553084-3448-401D-A656-76E86548CEE6}" name="Season1M2" displayName="Season1M2" ref="W37:AP68" totalsRowShown="0" headerRowDxfId="54" dataDxfId="52" headerRowBorderDxfId="53" tableBorderDxfId="51" totalsRowBorderDxfId="50">
  <autoFilter ref="W37:AP68" xr:uid="{DA553084-3448-401D-A656-76E86548CEE6}"/>
  <tableColumns count="20">
    <tableColumn id="1" xr3:uid="{91A4EFA4-2063-40D9-84C2-F7584440FE43}" name="Date" dataDxfId="49"/>
    <tableColumn id="2" xr3:uid="{DA8870E9-E25A-4554-BC15-B14DD1A16926}" name="Word Picker" dataDxfId="48"/>
    <tableColumn id="3" xr3:uid="{4C5E38BB-39A2-42E9-9F63-59FC862EC4DB}" name="Starter Word" dataDxfId="47"/>
    <tableColumn id="4" xr3:uid="{1F0D34FF-D64F-472B-927F-9938A660972D}" name="Wordle Answer" dataDxfId="46"/>
    <tableColumn id="5" xr3:uid="{58338D9D-91A6-4DE5-A94B-6E56F6E5E1A4}" name="Winner" dataDxfId="45"/>
    <tableColumn id="6" xr3:uid="{B9063691-50B3-4DD8-8E81-1E493DDD2A86}" name="Column1" dataDxfId="44"/>
    <tableColumn id="7" xr3:uid="{F77F3877-5990-4D3A-8E89-727FCF8F8C0A}" name="Remaining Words" dataDxfId="43"/>
    <tableColumn id="8" xr3:uid="{C16B93F2-DBAD-4916-BCE5-B0F643272569}" name="Column2" dataDxfId="42"/>
    <tableColumn id="9" xr3:uid="{49CEC729-D941-445E-931A-EE100FBB09BC}" name="Column3" dataDxfId="41"/>
    <tableColumn id="10" xr3:uid="{F7140531-CEA9-4C6B-BDBA-FBDA8656A812}" name="Best Guess" dataDxfId="40">
      <calculatedColumnFormula>MIN(AI38:AP38)</calculatedColumnFormula>
    </tableColumn>
    <tableColumn id="11" xr3:uid="{DCC49461-9C93-4854-9ABA-145F4BEEB237}" name="Average Guess" dataDxfId="39">
      <calculatedColumnFormula>AVERAGE(AI38:AP38)</calculatedColumnFormula>
    </tableColumn>
    <tableColumn id="12" xr3:uid="{BAB35D52-AD94-4972-BFF1-7A383847A0B6}" name="Column4" dataDxfId="38"/>
    <tableColumn id="13" xr3:uid="{44F55E61-51B6-4555-8207-39118330CE2C}" name="Brian" dataDxfId="37"/>
    <tableColumn id="14" xr3:uid="{28816C72-F2B9-48A6-9732-B988ABF1E496}" name="Deepa" dataDxfId="36"/>
    <tableColumn id="15" xr3:uid="{625D6671-0760-444B-9457-8937E90DC6A7}" name="Elisabeth" dataDxfId="35"/>
    <tableColumn id="16" xr3:uid="{83C475EF-8F23-4715-B1CA-567FA03D2BB6}" name="Kendall" dataDxfId="34"/>
    <tableColumn id="17" xr3:uid="{F0D9A1A2-CA63-4E3B-88B8-143F0EDDE85A}" name="Kimball" dataDxfId="33"/>
    <tableColumn id="18" xr3:uid="{A11A0717-243F-49A8-AF39-8BFACEDC08C0}" name="Lee Ann" dataDxfId="32"/>
    <tableColumn id="19" xr3:uid="{5E225017-4CEA-41EF-AE01-D12550B98D90}" name="Sam" dataDxfId="31"/>
    <tableColumn id="20" xr3:uid="{CCE31395-6DCF-47FB-893F-B638075C8170}" name="Spencer" dataDxfId="3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5E0FFB-1F44-4AAB-A6F2-C3D59471498E}" name="Season1M3" displayName="Season1M3" ref="W71:AP101" totalsRowShown="0" headerRowDxfId="29" dataDxfId="27" headerRowBorderDxfId="28" tableBorderDxfId="26" totalsRowBorderDxfId="25">
  <autoFilter ref="W71:AP101" xr:uid="{515E0FFB-1F44-4AAB-A6F2-C3D59471498E}"/>
  <tableColumns count="20">
    <tableColumn id="1" xr3:uid="{AF41E59D-65B0-49ED-A034-EB1A1C5B8244}" name="Date" dataDxfId="24"/>
    <tableColumn id="2" xr3:uid="{A844F5E8-C67B-4583-9671-9E47E4748AA5}" name="Word Picker" dataDxfId="23"/>
    <tableColumn id="3" xr3:uid="{C65CEE79-37FB-4219-8584-46049887564D}" name="Starter Word" dataDxfId="22"/>
    <tableColumn id="4" xr3:uid="{F0E28F9F-846F-45AF-AF3A-6D9B87BE2299}" name="Wordle Answer" dataDxfId="21"/>
    <tableColumn id="5" xr3:uid="{1E808D36-D5A7-457F-9D82-08FC07D9D585}" name="Winner" dataDxfId="20"/>
    <tableColumn id="6" xr3:uid="{70B7CC56-8815-4442-ADFF-55E96C744A9D}" name="Column1" dataDxfId="19"/>
    <tableColumn id="7" xr3:uid="{A291F2F5-A3BA-4D69-A6B5-235A3AD349CC}" name="Remaining Words" dataDxfId="18"/>
    <tableColumn id="8" xr3:uid="{E31E6BC1-5577-4CBA-A907-0277541E7D85}" name="Column2" dataDxfId="17"/>
    <tableColumn id="9" xr3:uid="{87C35D30-C4A9-4EEF-95C6-AC0480AE7E58}" name="Column3" dataDxfId="16"/>
    <tableColumn id="10" xr3:uid="{762C5227-B5CA-440E-9FAE-502D7A24CD1C}" name="Best Guess" dataDxfId="15">
      <calculatedColumnFormula>MIN(AI72:AP72)</calculatedColumnFormula>
    </tableColumn>
    <tableColumn id="11" xr3:uid="{529278C7-2E0E-43B2-AE37-6217D749D690}" name="Average Guess" dataDxfId="14">
      <calculatedColumnFormula>AVERAGE(AI72:AP72)</calculatedColumnFormula>
    </tableColumn>
    <tableColumn id="12" xr3:uid="{591804F3-BAD4-40E2-B836-6EE314E01AC9}" name="Column4" dataDxfId="13"/>
    <tableColumn id="13" xr3:uid="{CB2E4FE8-52EC-4620-8A2B-D3A2592F4B44}" name="Brian" dataDxfId="12"/>
    <tableColumn id="14" xr3:uid="{F08F81FD-CF65-4655-875F-265E1DA1CC62}" name="Deepa" dataDxfId="11"/>
    <tableColumn id="15" xr3:uid="{ADEF8BC0-92ED-4C7B-BE0D-54C81E1E0063}" name="Elisabeth" dataDxfId="10"/>
    <tableColumn id="16" xr3:uid="{852921F6-B2DC-426F-AC2C-18447962654C}" name="Kendall"/>
    <tableColumn id="17" xr3:uid="{9076332D-EF05-43AF-A8C1-840BA4EEDECF}" name="Kimball" dataDxfId="9"/>
    <tableColumn id="18" xr3:uid="{725AE676-45B9-4128-B0C4-83903A688107}" name="Lee Ann" dataDxfId="8"/>
    <tableColumn id="19" xr3:uid="{5E5E4383-5B18-416E-843A-75D5CAB2EADF}" name="Sam" dataDxfId="7"/>
    <tableColumn id="20" xr3:uid="{F8840677-8A9E-47A1-97B5-F2776DB508F8}" name="Spencer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5CCB-845B-4016-BB05-15E6ED96364E}">
  <dimension ref="A1:P48"/>
  <sheetViews>
    <sheetView topLeftCell="A37" workbookViewId="0">
      <pane xSplit="1" topLeftCell="B1" activePane="topRight" state="frozen"/>
      <selection pane="topRight" activeCell="I37" sqref="I37"/>
    </sheetView>
  </sheetViews>
  <sheetFormatPr defaultRowHeight="14.5" x14ac:dyDescent="0.35"/>
  <cols>
    <col min="1" max="1" width="9.1796875" customWidth="1"/>
    <col min="4" max="4" width="16.36328125" customWidth="1"/>
    <col min="5" max="5" width="18.08984375" customWidth="1"/>
    <col min="6" max="6" width="17.1796875" customWidth="1"/>
    <col min="7" max="7" width="15.36328125" bestFit="1" customWidth="1"/>
    <col min="8" max="8" width="19.6328125" customWidth="1"/>
    <col min="9" max="9" width="16.81640625" customWidth="1"/>
    <col min="10" max="10" width="18.08984375" customWidth="1"/>
    <col min="11" max="11" width="10.26953125" customWidth="1"/>
    <col min="12" max="12" width="26.26953125" customWidth="1"/>
    <col min="13" max="13" width="18" customWidth="1"/>
  </cols>
  <sheetData>
    <row r="1" spans="1:11" x14ac:dyDescent="0.35">
      <c r="A1" t="s">
        <v>214</v>
      </c>
    </row>
    <row r="2" spans="1:11" x14ac:dyDescent="0.35">
      <c r="A2" t="s">
        <v>380</v>
      </c>
      <c r="B2" t="s">
        <v>39</v>
      </c>
      <c r="C2" t="s">
        <v>40</v>
      </c>
      <c r="D2" t="s">
        <v>376</v>
      </c>
      <c r="E2" t="s">
        <v>87</v>
      </c>
      <c r="F2" t="s">
        <v>45</v>
      </c>
      <c r="G2" t="s">
        <v>41</v>
      </c>
      <c r="H2" t="s">
        <v>88</v>
      </c>
      <c r="I2" t="s">
        <v>204</v>
      </c>
      <c r="J2" t="s">
        <v>239</v>
      </c>
    </row>
    <row r="3" spans="1:11" x14ac:dyDescent="0.35">
      <c r="A3" t="s">
        <v>4</v>
      </c>
      <c r="B3">
        <f>COUNTIF(Season1Data[Winner],A3)</f>
        <v>18</v>
      </c>
      <c r="D3">
        <f>SUMPRODUCT(--(Season1Data[Best Guess]=Season1Data[Brian]))-COUNTIF(Season1Data[Winner],Overall!A3)</f>
        <v>11</v>
      </c>
      <c r="F3">
        <f>MIN(Season1Data[Brian])</f>
        <v>3</v>
      </c>
      <c r="G3">
        <f>AVERAGE(Season1Data[Brian])</f>
        <v>4.0326086956521738</v>
      </c>
      <c r="I3">
        <f>AVERAGEIF(Season1Data[Word Picker],Overall!A3,Season1Data[Remaining Words])</f>
        <v>1085.8333333333333</v>
      </c>
      <c r="J3">
        <f>AVERAGEIF(Season1Data[Word Picker],A3,Season1Data[Average Guess])</f>
        <v>4.2361111111111107</v>
      </c>
    </row>
    <row r="4" spans="1:11" x14ac:dyDescent="0.35">
      <c r="A4" t="s">
        <v>20</v>
      </c>
      <c r="B4">
        <f>COUNTIF(Season1Data[Winner],A4)</f>
        <v>5</v>
      </c>
      <c r="D4">
        <f>SUMPRODUCT(--(Season1Data[Best Guess]=Season1Data[Deepa]))-COUNTIF(Season1Data[Winner],Overall!A4)</f>
        <v>10</v>
      </c>
      <c r="F4">
        <f>MIN(Season1Data[Deepa])</f>
        <v>2</v>
      </c>
      <c r="G4">
        <f>AVERAGE(Season1Data[Deepa])</f>
        <v>4.5978260869565215</v>
      </c>
      <c r="I4">
        <f>AVERAGEIF(Season1Data[Word Picker],Overall!A4,Season1Data[Remaining Words])</f>
        <v>1118.8</v>
      </c>
      <c r="J4">
        <f>AVERAGEIF(Season1Data[Word Picker],A4,Season1Data[Average Guess])</f>
        <v>4.1749999999999998</v>
      </c>
    </row>
    <row r="5" spans="1:11" x14ac:dyDescent="0.35">
      <c r="A5" t="s">
        <v>6</v>
      </c>
      <c r="B5">
        <f>COUNTIF(Season1Data[Winner],A5)</f>
        <v>9</v>
      </c>
      <c r="C5">
        <v>2</v>
      </c>
      <c r="D5">
        <f>SUMPRODUCT(--(Season1Data[Best Guess]=Season1Data[Elisabeth]))-COUNTIF(Season1Data[Winner],Overall!A5)</f>
        <v>24</v>
      </c>
      <c r="F5">
        <f>MIN(Season1Data[Elisabeth])</f>
        <v>2</v>
      </c>
      <c r="G5">
        <f>AVERAGE(Season1Data[Elisabeth])</f>
        <v>4.0326086956521738</v>
      </c>
      <c r="I5">
        <f>AVERAGEIF(Season1Data[Word Picker],Overall!A5,Season1Data[Remaining Words])</f>
        <v>1479</v>
      </c>
      <c r="J5">
        <f>AVERAGEIF(Season1Data[Word Picker],A5,Season1Data[Average Guess])</f>
        <v>4.1111111111111107</v>
      </c>
    </row>
    <row r="6" spans="1:11" x14ac:dyDescent="0.35">
      <c r="A6" t="s">
        <v>2</v>
      </c>
      <c r="B6">
        <f>COUNTIF(Season1Data[Winner],A6)</f>
        <v>18</v>
      </c>
      <c r="D6">
        <f>SUMPRODUCT(--(Season1Data[Best Guess]=Season1Data[Kendall]))-COUNTIF(Season1Data[Winner],Overall!A6)</f>
        <v>19</v>
      </c>
      <c r="F6">
        <f>MIN(Season1Data[Kendall])</f>
        <v>2</v>
      </c>
      <c r="G6">
        <f>AVERAGE(Season1Data[Kendall])</f>
        <v>4.0978260869565215</v>
      </c>
      <c r="I6">
        <f>AVERAGEIF(Season1Data[Word Picker],Overall!A6,Season1Data[Remaining Words])</f>
        <v>1307.8333333333333</v>
      </c>
      <c r="J6">
        <f>AVERAGEIF(Season1Data[Word Picker],A6,Season1Data[Average Guess])</f>
        <v>4.208333333333333</v>
      </c>
    </row>
    <row r="7" spans="1:11" x14ac:dyDescent="0.35">
      <c r="A7" t="s">
        <v>11</v>
      </c>
      <c r="B7">
        <f>COUNTIF(Season1Data[Winner],A7)</f>
        <v>11</v>
      </c>
      <c r="D7">
        <f>SUMPRODUCT(--(Season1Data[Best Guess]=Season1Data[Kimball]))-COUNTIF(Season1Data[Winner],Overall!A7)</f>
        <v>25</v>
      </c>
      <c r="F7">
        <f>MIN(Season1Data[Kimball])</f>
        <v>2</v>
      </c>
      <c r="G7">
        <f>AVERAGE(Season1Data[Kimball])</f>
        <v>4.0217391304347823</v>
      </c>
      <c r="I7">
        <f>AVERAGEIF(Season1Data[Word Picker],Overall!A7,Season1Data[Remaining Words])</f>
        <v>790.4545454545455</v>
      </c>
      <c r="J7">
        <f>AVERAGEIF(Season1Data[Word Picker],A7,Season1Data[Average Guess])</f>
        <v>4.0568181818181817</v>
      </c>
    </row>
    <row r="8" spans="1:11" x14ac:dyDescent="0.35">
      <c r="A8" t="s">
        <v>13</v>
      </c>
      <c r="B8">
        <f>COUNTIF(Season1Data[Winner],A8)</f>
        <v>7</v>
      </c>
      <c r="D8">
        <f>SUMPRODUCT(--(Season1Data[Best Guess]=Season1Data[Lee Ann]))-COUNTIF(Season1Data[Winner],Overall!A8)</f>
        <v>13</v>
      </c>
      <c r="F8">
        <f>MIN(Season1Data[Lee Ann])</f>
        <v>3</v>
      </c>
      <c r="G8">
        <f>AVERAGE(Season1Data[Lee Ann])</f>
        <v>4.2391304347826084</v>
      </c>
      <c r="I8">
        <f>AVERAGEIF(Season1Data[Word Picker],Overall!A8,Season1Data[Remaining Words])</f>
        <v>962.14285714285711</v>
      </c>
      <c r="J8">
        <f>AVERAGEIF(Season1Data[Word Picker],A8,Season1Data[Average Guess])</f>
        <v>3.8035714285714284</v>
      </c>
    </row>
    <row r="9" spans="1:11" x14ac:dyDescent="0.35">
      <c r="A9" t="s">
        <v>1</v>
      </c>
      <c r="B9">
        <f>COUNTIF(Season1Data[Winner],A9)</f>
        <v>8</v>
      </c>
      <c r="C9">
        <v>2</v>
      </c>
      <c r="D9">
        <f>SUMPRODUCT(--(Season1Data[Best Guess]=Season1Data[Sam]))-(COUNTIF(Season1Data[Winner],Overall!A9)+1)</f>
        <v>18</v>
      </c>
      <c r="F9">
        <f>MIN(Season1Data[Sam])</f>
        <v>2</v>
      </c>
      <c r="G9">
        <f>AVERAGE(Season1Data[Sam])</f>
        <v>4.1195652173913047</v>
      </c>
      <c r="I9">
        <f>AVERAGEIF(Season1Data[Word Picker],Overall!A9,Season1Data[Remaining Words])</f>
        <v>1389</v>
      </c>
      <c r="J9">
        <f>AVERAGEIF(Season1Data[Word Picker],A9,Season1Data[Average Guess])</f>
        <v>4.484375</v>
      </c>
    </row>
    <row r="10" spans="1:11" x14ac:dyDescent="0.35">
      <c r="A10" t="s">
        <v>16</v>
      </c>
      <c r="B10">
        <f>COUNTIF(Season1Data[Winner],A10)</f>
        <v>14</v>
      </c>
      <c r="D10">
        <f>SUMPRODUCT(--(Season1Data[Best Guess]=Season1Data[Spencer]))-COUNTIF(Season1Data[Winner],Overall!A10)</f>
        <v>15</v>
      </c>
      <c r="F10">
        <f>MIN(Season1Data[Spencer])</f>
        <v>2</v>
      </c>
      <c r="G10">
        <f>AVERAGE(Season1Data[Spencer])</f>
        <v>4.0217391304347823</v>
      </c>
      <c r="I10">
        <f>AVERAGEIF(Season1Data[Word Picker],Overall!A10,Season1Data[Remaining Words])</f>
        <v>981.21428571428567</v>
      </c>
      <c r="J10">
        <f>AVERAGEIF(Season1Data[Word Picker],A10,Season1Data[Average Guess])</f>
        <v>4.0535714285714288</v>
      </c>
    </row>
    <row r="11" spans="1:11" x14ac:dyDescent="0.35">
      <c r="A11" t="s">
        <v>207</v>
      </c>
      <c r="B11">
        <f>AVERAGE(B3:B10)</f>
        <v>11.25</v>
      </c>
      <c r="C11">
        <f>AVERAGE(C3:C10)</f>
        <v>2</v>
      </c>
      <c r="D11">
        <f>AVERAGE(D3:D10)</f>
        <v>16.875</v>
      </c>
      <c r="F11">
        <f>AVERAGE(F3:F10)</f>
        <v>2.25</v>
      </c>
      <c r="G11">
        <f>AVERAGE(G3:G10)</f>
        <v>4.1453804347826084</v>
      </c>
      <c r="I11">
        <f>AVERAGE(Season1Data[Remaining Words])</f>
        <v>1121.8804347826087</v>
      </c>
      <c r="J11">
        <f>AVERAGE(Season1Data[Average Guess])</f>
        <v>4.1453804347826084</v>
      </c>
    </row>
    <row r="13" spans="1:11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5">
      <c r="A14" t="s">
        <v>215</v>
      </c>
    </row>
    <row r="15" spans="1:11" x14ac:dyDescent="0.35">
      <c r="A15" t="s">
        <v>380</v>
      </c>
      <c r="B15" t="s">
        <v>39</v>
      </c>
      <c r="C15" t="s">
        <v>40</v>
      </c>
      <c r="D15" t="s">
        <v>376</v>
      </c>
      <c r="E15" t="s">
        <v>87</v>
      </c>
      <c r="F15" t="s">
        <v>45</v>
      </c>
      <c r="G15" t="s">
        <v>41</v>
      </c>
      <c r="H15" t="s">
        <v>88</v>
      </c>
      <c r="I15" t="s">
        <v>204</v>
      </c>
      <c r="J15" t="s">
        <v>239</v>
      </c>
    </row>
    <row r="16" spans="1:11" x14ac:dyDescent="0.35">
      <c r="A16" t="s">
        <v>4</v>
      </c>
      <c r="B16">
        <f>COUNTIF(Season2Data[Winner],A16)</f>
        <v>16</v>
      </c>
      <c r="D16">
        <f>SUMPRODUCT(--(Season2Data[Best Guess]=Season2Data[Brian]))-COUNTIF(Season2Data[Winner],Overall!A16)</f>
        <v>18</v>
      </c>
      <c r="F16">
        <f>MIN(Season2Data[Brian])</f>
        <v>2</v>
      </c>
      <c r="G16" s="13">
        <f>AVERAGE(Season2Data[Brian])</f>
        <v>3.9333333333333331</v>
      </c>
      <c r="I16" s="14">
        <f>AVERAGEIF(Season2Data[Word Picker],Overall!A16,Season2Data[Remaining Words])</f>
        <v>1468.9375</v>
      </c>
      <c r="J16" s="13">
        <f>AVERAGEIF(Season2Data[Word Picker],A16,Season2Data[Average Guess])</f>
        <v>4.0223214285714288</v>
      </c>
    </row>
    <row r="17" spans="1:16" x14ac:dyDescent="0.35">
      <c r="A17" t="s">
        <v>20</v>
      </c>
      <c r="B17">
        <f>COUNTIF(Season2Data[Winner],A17)</f>
        <v>4</v>
      </c>
      <c r="D17">
        <f>SUMPRODUCT(--(Season2Data[Best Guess]=Season2Data[Deepa]))-COUNTIF(Season2Data[Winner],Overall!A17)</f>
        <v>14</v>
      </c>
      <c r="F17">
        <f>MIN(Season2Data[Deepa])</f>
        <v>2</v>
      </c>
      <c r="G17" s="13">
        <f>AVERAGE(Season2Data[Deepa])</f>
        <v>4.476923076923077</v>
      </c>
      <c r="I17" s="14">
        <f>AVERAGEIF(Season2Data[Word Picker],Overall!A17,Season2Data[Remaining Words])</f>
        <v>1447.5</v>
      </c>
      <c r="J17" s="13">
        <f>AVERAGEIF(Season2Data[Word Picker],A17,Season2Data[Average Guess])</f>
        <v>4.53125</v>
      </c>
    </row>
    <row r="18" spans="1:16" x14ac:dyDescent="0.35">
      <c r="A18" t="s">
        <v>6</v>
      </c>
      <c r="B18">
        <f>COUNTIF(Season2Data[Winner],A18)</f>
        <v>11</v>
      </c>
      <c r="C18">
        <v>2</v>
      </c>
      <c r="D18">
        <f>SUMPRODUCT(--(Season2Data[Best Guess]=Season2Data[Elisabeth]))-COUNTIF(Season2Data[Winner],Overall!A18)</f>
        <v>20</v>
      </c>
      <c r="F18">
        <f>MIN(Season2Data[Elisabeth])</f>
        <v>2</v>
      </c>
      <c r="G18" s="13">
        <f>AVERAGE(Season2Data[Elisabeth])</f>
        <v>3.8641975308641974</v>
      </c>
      <c r="I18" s="14">
        <f>AVERAGEIF(Season2Data[Word Picker],Overall!A18,Season2Data[Remaining Words])</f>
        <v>801.5</v>
      </c>
      <c r="J18" s="13">
        <f>AVERAGEIF(Season2Data[Word Picker],A18,Season2Data[Average Guess])</f>
        <v>4.0461309523809526</v>
      </c>
    </row>
    <row r="19" spans="1:16" x14ac:dyDescent="0.35">
      <c r="A19" t="s">
        <v>2</v>
      </c>
      <c r="B19">
        <f>COUNTIF(Season2Data[Winner],A19)</f>
        <v>15</v>
      </c>
      <c r="C19">
        <v>1</v>
      </c>
      <c r="D19">
        <f>SUMPRODUCT(--(Season2Data[Best Guess]=Season2Data[Kendall]))-COUNTIF(Season2Data[Winner],Overall!A19)</f>
        <v>21</v>
      </c>
      <c r="F19">
        <f>MIN(Season2Data[Kendall])</f>
        <v>2</v>
      </c>
      <c r="G19" s="13">
        <f>AVERAGE(Season2Data[Kendall])</f>
        <v>4.0333333333333332</v>
      </c>
      <c r="I19" s="14">
        <f>AVERAGEIF(Season2Data[Word Picker],Overall!A19,Season2Data[Remaining Words])</f>
        <v>815.3125</v>
      </c>
      <c r="J19" s="13">
        <f>AVERAGEIF(Season2Data[Word Picker],A19,Season2Data[Average Guess])</f>
        <v>3.9933035714285712</v>
      </c>
    </row>
    <row r="20" spans="1:16" x14ac:dyDescent="0.35">
      <c r="A20" t="s">
        <v>11</v>
      </c>
      <c r="B20">
        <f>COUNTIF(Season2Data[Winner],A20)</f>
        <v>7</v>
      </c>
      <c r="D20">
        <f>SUMPRODUCT(--(Season2Data[Best Guess]=Season2Data[Kimball]))-COUNTIF(Season2Data[Winner],Overall!A20)</f>
        <v>15</v>
      </c>
      <c r="F20">
        <f>MIN(Season2Data[Kimball])</f>
        <v>2</v>
      </c>
      <c r="G20" s="13">
        <f>AVERAGE(Season2Data[Kimball])</f>
        <v>4.0999999999999996</v>
      </c>
      <c r="I20" s="14">
        <f>AVERAGEIF(Season2Data[Word Picker],Overall!A20,Season2Data[Remaining Words])</f>
        <v>1088.125</v>
      </c>
      <c r="J20" s="13">
        <f>AVERAGEIF(Season2Data[Word Picker],A20,Season2Data[Average Guess])</f>
        <v>3.703125</v>
      </c>
    </row>
    <row r="21" spans="1:16" x14ac:dyDescent="0.35">
      <c r="A21" t="s">
        <v>13</v>
      </c>
      <c r="B21">
        <f>COUNTIF(Season2Data[Winner],A21)</f>
        <v>10</v>
      </c>
      <c r="C21">
        <v>1</v>
      </c>
      <c r="D21">
        <f>SUMPRODUCT(--(Season2Data[Best Guess]=Season2Data[Lee Ann]))-COUNTIF(Season2Data[Winner],Overall!A21)</f>
        <v>27</v>
      </c>
      <c r="F21">
        <f>MIN(Season2Data[Lee Ann])</f>
        <v>2</v>
      </c>
      <c r="G21" s="13">
        <f>AVERAGE(Season2Data[Lee Ann])</f>
        <v>3.7666666666666666</v>
      </c>
      <c r="I21" s="14">
        <f>AVERAGEIF(Season2Data[Word Picker],Overall!A21,Season2Data[Remaining Words])</f>
        <v>533</v>
      </c>
      <c r="J21" s="13">
        <f>AVERAGEIF(Season2Data[Word Picker],A21,Season2Data[Average Guess])</f>
        <v>4.3230519480519485</v>
      </c>
    </row>
    <row r="22" spans="1:16" x14ac:dyDescent="0.35">
      <c r="A22" t="s">
        <v>1</v>
      </c>
      <c r="B22">
        <f>COUNTIF(Season2Data[Winner],A22)</f>
        <v>8</v>
      </c>
      <c r="C22">
        <v>2</v>
      </c>
      <c r="D22">
        <f>SUMPRODUCT(--(Season2Data[Best Guess]=Season2Data[Sam]))-(COUNTIF(Season2Data[Winner],Overall!A22))</f>
        <v>16</v>
      </c>
      <c r="F22">
        <f>MIN(Season2Data[Sam])</f>
        <v>2</v>
      </c>
      <c r="G22" s="13">
        <f>AVERAGE(Season2Data[Sam])</f>
        <v>4.0674157303370784</v>
      </c>
      <c r="I22" s="14">
        <f>AVERAGEIF(Season2Data[Word Picker],Overall!A22,Season2Data[Remaining Words])</f>
        <v>1224.125</v>
      </c>
      <c r="J22" s="13">
        <f>AVERAGEIF(Season2Data[Word Picker],A22,Season2Data[Average Guess])</f>
        <v>3.4620535714285712</v>
      </c>
    </row>
    <row r="23" spans="1:16" x14ac:dyDescent="0.35">
      <c r="A23" t="s">
        <v>16</v>
      </c>
      <c r="B23">
        <f>COUNTIF(Season2Data[Winner],A23)</f>
        <v>16</v>
      </c>
      <c r="D23">
        <f>SUMPRODUCT(--(Season2Data[Best Guess]=Season2Data[Spencer]))-(COUNTIF(Season2Data[Winner],Overall!A23))</f>
        <v>13</v>
      </c>
      <c r="F23">
        <f>MIN(Season2Data[Spencer])</f>
        <v>2</v>
      </c>
      <c r="G23" s="13">
        <f>AVERAGE(Season2Data[Spencer])</f>
        <v>3.911111111111111</v>
      </c>
      <c r="I23" s="14">
        <f>AVERAGEIF(Season2Data[Word Picker],Overall!A23,Season2Data[Remaining Words])</f>
        <v>1511.0666666666666</v>
      </c>
      <c r="J23" s="13">
        <f>AVERAGEIF(Season2Data[Word Picker],A23,Season2Data[Average Guess])</f>
        <v>4.0404761904761903</v>
      </c>
    </row>
    <row r="24" spans="1:16" x14ac:dyDescent="0.35">
      <c r="A24" t="s">
        <v>207</v>
      </c>
      <c r="B24">
        <f>AVERAGE(B16:B23)</f>
        <v>10.875</v>
      </c>
      <c r="D24">
        <f>AVERAGE(D16:D23)</f>
        <v>18</v>
      </c>
      <c r="F24">
        <f>AVERAGE(F16:F23)</f>
        <v>2</v>
      </c>
      <c r="G24">
        <f>AVERAGE(G16:G23)</f>
        <v>4.0191225978210996</v>
      </c>
      <c r="I24">
        <f>AVERAGE(Season2Data[Remaining Words])</f>
        <v>1099.8111111111111</v>
      </c>
      <c r="J24">
        <f>AVERAGE(Season2Data[Average Guess])</f>
        <v>4.0045634920634923</v>
      </c>
    </row>
    <row r="26" spans="1:16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35">
      <c r="A27" t="s">
        <v>365</v>
      </c>
    </row>
    <row r="28" spans="1:16" x14ac:dyDescent="0.35">
      <c r="A28" t="s">
        <v>381</v>
      </c>
      <c r="B28" t="s">
        <v>39</v>
      </c>
      <c r="C28" t="s">
        <v>40</v>
      </c>
      <c r="D28" t="s">
        <v>373</v>
      </c>
      <c r="E28" t="s">
        <v>374</v>
      </c>
      <c r="F28" t="s">
        <v>87</v>
      </c>
      <c r="G28" t="s">
        <v>578</v>
      </c>
      <c r="H28" t="s">
        <v>579</v>
      </c>
      <c r="I28" t="s">
        <v>599</v>
      </c>
      <c r="J28" t="s">
        <v>376</v>
      </c>
      <c r="K28" t="s">
        <v>88</v>
      </c>
      <c r="L28" t="s">
        <v>45</v>
      </c>
      <c r="M28" t="s">
        <v>41</v>
      </c>
      <c r="N28" t="s">
        <v>89</v>
      </c>
      <c r="O28" t="s">
        <v>204</v>
      </c>
      <c r="P28" t="s">
        <v>239</v>
      </c>
    </row>
    <row r="29" spans="1:16" x14ac:dyDescent="0.35">
      <c r="A29" t="s">
        <v>4</v>
      </c>
      <c r="B29">
        <f>COUNTIF(Season3Data[Winner],Season3Overall[[#This Row],[Person:]])</f>
        <v>9</v>
      </c>
      <c r="D29">
        <f>SUMPRODUCT(--(Season3Data[Winner]=Season3Overall[[#This Row],[Person:]]),--(Season3Data[Tiebreakers]=FALSE))</f>
        <v>4</v>
      </c>
      <c r="E29">
        <f>SUMPRODUCT(--(Season3Data[Winner]=Season3Overall[[#This Row],[Person:]]),--(Season3Data[Tiebreakers]))</f>
        <v>5</v>
      </c>
      <c r="G29" s="1">
        <f t="array" ref="G29">MAX(IF(Season3Data[Winner]=Season3Overall[[#This Row],[Person:]],Season3Data[Date]))</f>
        <v>45097</v>
      </c>
      <c r="H29">
        <f t="array" ref="H29">DATEDIF(Season3Overall[[#This Row],[Last Win]],MAX(Season3Data[Date]),"d")</f>
        <v>2</v>
      </c>
      <c r="I29">
        <f>Season3Overall[[#This Row],[Solo]]/COUNTIF(Season3Data[Brian],"&lt;&gt;"&amp;"")*100</f>
        <v>9.7826086956521738</v>
      </c>
      <c r="J29">
        <f>SUMPRODUCT(--(Season3Data[Best Guess]=Season3Data[Brian]))-COUNTIF(Season3Data[Winner],Season3Overall[[#This Row],[Person:]])</f>
        <v>17</v>
      </c>
      <c r="L29">
        <f>MIN(Season3Data[Brian])</f>
        <v>2</v>
      </c>
      <c r="M29">
        <f>AVERAGE(Season3Data[Brian])</f>
        <v>4.0978260869565215</v>
      </c>
      <c r="O29">
        <f>AVERAGEIF(Season3Data[Word Picker],Season3Overall[[#This Row],[Person:]],Season3Data[Remaining Words])</f>
        <v>648.33333333333337</v>
      </c>
      <c r="P29">
        <f>AVERAGEIF(Season3Data[Word Picker],Season3Overall[[#This Row],[Person:]],Season3Data[Average Guess])</f>
        <v>4.0312169312169317</v>
      </c>
    </row>
    <row r="30" spans="1:16" x14ac:dyDescent="0.35">
      <c r="A30" t="s">
        <v>6</v>
      </c>
      <c r="B30">
        <f>COUNTIF(Season3Data[Winner],Season3Overall[[#This Row],[Person:]])</f>
        <v>13</v>
      </c>
      <c r="D30">
        <f>SUMPRODUCT(--(Season3Data[Winner]=Season3Overall[[#This Row],[Person:]]),--(Season3Data[Tiebreakers]=FALSE))</f>
        <v>7</v>
      </c>
      <c r="E30">
        <f>SUMPRODUCT(--(Season3Data[Winner]=Season3Overall[[#This Row],[Person:]]),--(Season3Data[Tiebreakers]))</f>
        <v>6</v>
      </c>
      <c r="G30" s="1">
        <f t="array" ref="G30">MAX(IF(Season3Data[Winner]=Season3Overall[[#This Row],[Person:]],Season3Data[Date]))</f>
        <v>45099</v>
      </c>
      <c r="H30">
        <f t="array" ref="H30">DATEDIF(Season3Overall[[#This Row],[Last Win]],MAX(Season3Data[Date]),"d")</f>
        <v>0</v>
      </c>
      <c r="I30">
        <f>Season3Overall[[#This Row],[Solo]]/COUNTIF(Season3Data[Elisabeth],"&lt;&gt;"&amp;"")*100</f>
        <v>19.117647058823529</v>
      </c>
      <c r="J30">
        <f>SUMPRODUCT(--(Season3Data[Best Guess]=Season3Data[Elisabeth]))-COUNTIF(Season3Data[Winner],Season3Overall[[#This Row],[Person:]])</f>
        <v>9</v>
      </c>
      <c r="L30">
        <f>MIN(Season3Data[Elisabeth])</f>
        <v>2</v>
      </c>
      <c r="M30">
        <f>AVERAGE(Season3Data[Elisabeth])</f>
        <v>3.9411764705882355</v>
      </c>
      <c r="O30">
        <f>AVERAGEIF(Season3Data[Word Picker],Season3Overall[[#This Row],[Person:]],Season3Data[Remaining Words])</f>
        <v>871.91666666666663</v>
      </c>
      <c r="P30">
        <f>AVERAGEIF(Season3Data[Word Picker],Season3Overall[[#This Row],[Person:]],Season3Data[Average Guess])</f>
        <v>3.7976190476190474</v>
      </c>
    </row>
    <row r="31" spans="1:16" x14ac:dyDescent="0.35">
      <c r="A31" t="s">
        <v>2</v>
      </c>
      <c r="B31">
        <f>COUNTIF(Season3Data[Winner],Season3Overall[[#This Row],[Person:]])</f>
        <v>14</v>
      </c>
      <c r="D31">
        <f>SUMPRODUCT(--(Season3Data[Winner]=Season3Overall[[#This Row],[Person:]]),--(Season3Data[Tiebreakers]=FALSE))</f>
        <v>2</v>
      </c>
      <c r="E31">
        <f>SUMPRODUCT(--(Season3Data[Winner]=Season3Overall[[#This Row],[Person:]]),--(Season3Data[Tiebreakers]))</f>
        <v>12</v>
      </c>
      <c r="G31" s="1">
        <f t="array" ref="G31">MAX(IF(Season3Data[Winner]=Season3Overall[[#This Row],[Person:]],Season3Data[Date]))</f>
        <v>45098</v>
      </c>
      <c r="H31">
        <f t="array" ref="H31">DATEDIF(Season3Overall[[#This Row],[Last Win]],MAX(Season3Data[Date]),"d")</f>
        <v>1</v>
      </c>
      <c r="I31">
        <f>Season3Overall[[#This Row],[Solo]]/COUNTIF(Season3Data[Kendall],"&lt;&gt;"&amp;"")*100</f>
        <v>15.217391304347828</v>
      </c>
      <c r="J31">
        <f>SUMPRODUCT(--(Season3Data[Best Guess]=Season3Data[Kendall]))-COUNTIF(Season3Data[Winner],Season3Overall[[#This Row],[Person:]])</f>
        <v>21</v>
      </c>
      <c r="L31">
        <f>MIN(Season3Data[Kendall])</f>
        <v>2</v>
      </c>
      <c r="M31">
        <f>AVERAGE(Season3Data[Kendall])</f>
        <v>3.9891304347826089</v>
      </c>
      <c r="O31">
        <f>AVERAGEIF(Season3Data[Word Picker],Season3Overall[[#This Row],[Person:]],Season3Data[Remaining Words])</f>
        <v>1072.8571428571429</v>
      </c>
      <c r="P31">
        <f>AVERAGEIF(Season3Data[Word Picker],Season3Overall[[#This Row],[Person:]],Season3Data[Average Guess])</f>
        <v>3.9085034013605449</v>
      </c>
    </row>
    <row r="32" spans="1:16" x14ac:dyDescent="0.35">
      <c r="A32" t="s">
        <v>11</v>
      </c>
      <c r="B32">
        <f>COUNTIF(Season3Data[Winner],Season3Overall[[#This Row],[Person:]])</f>
        <v>13</v>
      </c>
      <c r="D32">
        <f>SUMPRODUCT(--(Season3Data[Winner]=Season3Overall[[#This Row],[Person:]]),--(Season3Data[Tiebreakers]=FALSE))</f>
        <v>4</v>
      </c>
      <c r="E32">
        <f>SUMPRODUCT(--(Season3Data[Winner]=Season3Overall[[#This Row],[Person:]]),--(Season3Data[Tiebreakers]))</f>
        <v>9</v>
      </c>
      <c r="G32" s="1">
        <f t="array" ref="G32">MAX(IF(Season3Data[Winner]=Season3Overall[[#This Row],[Person:]],Season3Data[Date]))</f>
        <v>45092</v>
      </c>
      <c r="H32">
        <f t="array" ref="H32">DATEDIF(Season3Overall[[#This Row],[Last Win]],MAX(Season3Data[Date]),"d")</f>
        <v>7</v>
      </c>
      <c r="I32">
        <f>Season3Overall[[#This Row],[Solo]]/COUNTIF(Season3Data[Kimball],"&lt;&gt;"&amp;"")*100</f>
        <v>14.285714285714285</v>
      </c>
      <c r="J32">
        <f>SUMPRODUCT(--(Season3Data[Best Guess]=Season3Data[Kimball]))-COUNTIF(Season3Data[Winner],Season3Overall[[#This Row],[Person:]])</f>
        <v>16</v>
      </c>
      <c r="L32">
        <f>MIN(Season3Data[Kimball])</f>
        <v>2</v>
      </c>
      <c r="M32">
        <f>AVERAGE(Season3Data[Kimball])</f>
        <v>4.0549450549450547</v>
      </c>
      <c r="O32">
        <f>AVERAGEIF(Season3Data[Word Picker],Season3Overall[[#This Row],[Person:]],Season3Data[Remaining Words])</f>
        <v>1149.2307692307693</v>
      </c>
      <c r="P32">
        <f>AVERAGEIF(Season3Data[Word Picker],Season3Overall[[#This Row],[Person:]],Season3Data[Average Guess])</f>
        <v>4.0347985347985347</v>
      </c>
    </row>
    <row r="33" spans="1:16" x14ac:dyDescent="0.35">
      <c r="A33" t="s">
        <v>13</v>
      </c>
      <c r="B33">
        <f>COUNTIF(Season3Data[Winner],Season3Overall[[#This Row],[Person:]])</f>
        <v>13</v>
      </c>
      <c r="D33">
        <f>SUMPRODUCT(--(Season3Data[Winner]=Season3Overall[[#This Row],[Person:]]),--(Season3Data[Tiebreakers]=FALSE))</f>
        <v>9</v>
      </c>
      <c r="E33">
        <f>SUMPRODUCT(--(Season3Data[Winner]=Season3Overall[[#This Row],[Person:]]),--(Season3Data[Tiebreakers]))</f>
        <v>4</v>
      </c>
      <c r="G33" s="1">
        <f t="array" ref="G33">MAX(IF(Season3Data[Winner]=Season3Overall[[#This Row],[Person:]],Season3Data[Date]))</f>
        <v>45086</v>
      </c>
      <c r="H33">
        <f t="array" ref="H33">DATEDIF(Season3Overall[[#This Row],[Last Win]],MAX(Season3Data[Date]),"d")</f>
        <v>13</v>
      </c>
      <c r="I33">
        <f>Season3Overall[[#This Row],[Solo]]/COUNTIF(Season3Data[Lee Ann],"&lt;&gt;"&amp;"")*100</f>
        <v>14.130434782608695</v>
      </c>
      <c r="J33">
        <f>SUMPRODUCT(--(Season3Data[Best Guess]=Season3Data[Lee Ann]))-COUNTIF(Season3Data[Winner],Season3Overall[[#This Row],[Person:]])</f>
        <v>21</v>
      </c>
      <c r="L33">
        <f>MIN(Season3Data[Lee Ann])</f>
        <v>2</v>
      </c>
      <c r="M33">
        <f>AVERAGE(Season3Data[Lee Ann])</f>
        <v>3.8804347826086958</v>
      </c>
      <c r="O33">
        <f>AVERAGEIF(Season3Data[Word Picker],Season3Overall[[#This Row],[Person:]],Season3Data[Remaining Words])</f>
        <v>808.69230769230774</v>
      </c>
      <c r="P33">
        <f>AVERAGEIF(Season3Data[Word Picker],Season3Overall[[#This Row],[Person:]],Season3Data[Average Guess])</f>
        <v>4.1739926739926743</v>
      </c>
    </row>
    <row r="34" spans="1:16" x14ac:dyDescent="0.35">
      <c r="A34" t="s">
        <v>1</v>
      </c>
      <c r="B34">
        <f>COUNTIF(Season3Data[Winner],Season3Overall[[#This Row],[Person:]])</f>
        <v>11</v>
      </c>
      <c r="D34">
        <f>SUMPRODUCT(--(Season3Data[Winner]=Season3Overall[[#This Row],[Person:]]),--(Season3Data[Tiebreakers]=FALSE))</f>
        <v>6</v>
      </c>
      <c r="E34">
        <f>SUMPRODUCT(--(Season3Data[Winner]=Season3Overall[[#This Row],[Person:]]),--(Season3Data[Tiebreakers]))</f>
        <v>5</v>
      </c>
      <c r="G34" s="1">
        <f t="array" ref="G34">MAX(IF(Season3Data[Winner]=Season3Overall[[#This Row],[Person:]],Season3Data[Date]))</f>
        <v>45096</v>
      </c>
      <c r="H34">
        <f t="array" ref="H34">DATEDIF(Season3Overall[[#This Row],[Last Win]],MAX(Season3Data[Date]),"d")</f>
        <v>3</v>
      </c>
      <c r="I34">
        <f>Season3Overall[[#This Row],[Solo]]/COUNTIF(Season3Data[Sam],"&lt;&gt;"&amp;"")*100</f>
        <v>14.285714285714285</v>
      </c>
      <c r="J34">
        <f>SUMPRODUCT(--(Season3Data[Best Guess]=Season3Data[Sam]))-(COUNTIF(Season3Data[Winner],Season3Overall[[#This Row],[Person:]]))</f>
        <v>20</v>
      </c>
      <c r="L34">
        <f>MIN(Season3Data[Sam])</f>
        <v>2</v>
      </c>
      <c r="M34">
        <f>AVERAGE(Season3Data[Sam])</f>
        <v>3.9090909090909092</v>
      </c>
      <c r="O34">
        <f>AVERAGEIF(Season3Data[Word Picker],Season3Overall[[#This Row],[Person:]],Season3Data[Remaining Words])</f>
        <v>668.5454545454545</v>
      </c>
      <c r="P34">
        <f>AVERAGEIF(Season3Data[Word Picker],Season3Overall[[#This Row],[Person:]],Season3Data[Average Guess])</f>
        <v>3.8320346320346315</v>
      </c>
    </row>
    <row r="35" spans="1:16" x14ac:dyDescent="0.35">
      <c r="A35" t="s">
        <v>16</v>
      </c>
      <c r="B35">
        <f>COUNTIF(Season3Data[Winner],Season3Overall[[#This Row],[Person:]])</f>
        <v>19</v>
      </c>
      <c r="D35">
        <f>SUMPRODUCT(--(Season3Data[Winner]=Season3Overall[[#This Row],[Person:]]),--(Season3Data[Tiebreakers]=FALSE))</f>
        <v>7</v>
      </c>
      <c r="E35">
        <f>SUMPRODUCT(--(Season3Data[Winner]=Season3Overall[[#This Row],[Person:]]),--(Season3Data[Tiebreakers]))</f>
        <v>12</v>
      </c>
      <c r="G35" s="1">
        <f t="array" ref="G35">MAX(IF(Season3Data[Winner]=Season3Overall[[#This Row],[Person:]],Season3Data[Date]))</f>
        <v>45094</v>
      </c>
      <c r="H35">
        <f t="array" ref="H35">DATEDIF(Season3Overall[[#This Row],[Last Win]],MAX(Season3Data[Date]),"d")</f>
        <v>5</v>
      </c>
      <c r="I35">
        <f>Season3Overall[[#This Row],[Solo]]/COUNTIF(Season3Data[Spencer],"&lt;&gt;"&amp;"")*100</f>
        <v>20.652173913043477</v>
      </c>
      <c r="J35">
        <f>SUMPRODUCT(--(Season3Data[Best Guess]=Season3Data[Spencer]))-(COUNTIF(Season3Data[Winner],Season3Overall[[#This Row],[Person:]]))</f>
        <v>13</v>
      </c>
      <c r="L35">
        <f>MIN(Season3Data[Spencer])</f>
        <v>2</v>
      </c>
      <c r="M35">
        <f>AVERAGE(Season3Data[Spencer])</f>
        <v>4.0434782608695654</v>
      </c>
      <c r="O35">
        <f>AVERAGEIF(Season3Data[Word Picker],Season3Overall[[#This Row],[Person:]],Season3Data[Remaining Words])</f>
        <v>561.04999999999995</v>
      </c>
      <c r="P35">
        <f>AVERAGEIF(Season3Data[Word Picker],Season3Overall[[#This Row],[Person:]],Season3Data[Average Guess])</f>
        <v>4.0757142857142847</v>
      </c>
    </row>
    <row r="36" spans="1:16" x14ac:dyDescent="0.35">
      <c r="A36" t="s">
        <v>207</v>
      </c>
      <c r="B36">
        <f>AVERAGE(B29:B35)</f>
        <v>13.142857142857142</v>
      </c>
      <c r="D36">
        <f>AVERAGE(D29:D35)</f>
        <v>5.5714285714285712</v>
      </c>
      <c r="E36">
        <f>AVERAGE(E29:E35)</f>
        <v>7.5714285714285712</v>
      </c>
      <c r="I36">
        <f>AVERAGE(Season3Overall[Win Percentage])</f>
        <v>15.353097760843465</v>
      </c>
      <c r="J36">
        <f>AVERAGE(J29:J35)</f>
        <v>16.714285714285715</v>
      </c>
      <c r="L36">
        <f>AVERAGE(L29:L35)</f>
        <v>2</v>
      </c>
      <c r="M36">
        <f>AVERAGE(M29:M35)</f>
        <v>3.9880117142630849</v>
      </c>
      <c r="O36">
        <f>AVERAGE(Season3Data[Remaining Words])</f>
        <v>818.97826086956525</v>
      </c>
      <c r="P36">
        <f>AVERAGE(Season3Data[Average Guess])</f>
        <v>3.9886128364389246</v>
      </c>
    </row>
    <row r="38" spans="1:16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35">
      <c r="A39" t="s">
        <v>598</v>
      </c>
    </row>
    <row r="40" spans="1:16" x14ac:dyDescent="0.35">
      <c r="A40" t="s">
        <v>381</v>
      </c>
      <c r="B40" t="s">
        <v>39</v>
      </c>
      <c r="C40" t="s">
        <v>40</v>
      </c>
      <c r="D40" t="s">
        <v>374</v>
      </c>
      <c r="E40" t="s">
        <v>373</v>
      </c>
      <c r="F40" t="s">
        <v>599</v>
      </c>
      <c r="G40" t="s">
        <v>578</v>
      </c>
      <c r="H40" t="s">
        <v>579</v>
      </c>
      <c r="I40" t="s">
        <v>87</v>
      </c>
      <c r="J40" t="s">
        <v>376</v>
      </c>
      <c r="K40" t="s">
        <v>88</v>
      </c>
      <c r="L40" t="s">
        <v>45</v>
      </c>
      <c r="M40" t="s">
        <v>41</v>
      </c>
      <c r="N40" t="s">
        <v>89</v>
      </c>
      <c r="O40" t="s">
        <v>204</v>
      </c>
      <c r="P40" t="s">
        <v>239</v>
      </c>
    </row>
    <row r="41" spans="1:16" x14ac:dyDescent="0.35">
      <c r="A41" t="s">
        <v>4</v>
      </c>
      <c r="B41">
        <f>COUNTIF(Season4Data[Winner],Season4Overall[[#This Row],[Person:]])</f>
        <v>11</v>
      </c>
      <c r="D41">
        <f>SUMPRODUCT(--(Season4Data[Winner]=Season4Overall[[#This Row],[Person:]]),--(Season4Data[Tiebreakers]))</f>
        <v>5</v>
      </c>
      <c r="E41">
        <f>SUMPRODUCT(--(Season4Data[Winner]=Season4Overall[[#This Row],[Person:]]),--(Season4Data[Tiebreakers]=FALSE))</f>
        <v>6</v>
      </c>
      <c r="F41">
        <f>Season4Overall[[#This Row],[Solo]]/COUNTIF(Season4Data[Brian],"&lt;&gt;"&amp;"")*100</f>
        <v>18.64406779661017</v>
      </c>
      <c r="G41" s="1">
        <f t="array" ref="G41">MAX(IF(Season4Data[Winner]=Season4Overall[[#This Row],[Person:]],Season4Data[Date]))</f>
        <v>45159</v>
      </c>
      <c r="H41">
        <f t="array" ref="H41">DATEDIF(Season4Overall[[#This Row],[Last Win]],MAX(Season4Data[Date]),"d")</f>
        <v>0</v>
      </c>
      <c r="J41">
        <f>SUMPRODUCT(--(Season4Data[Best Guess]=Season4Data[Brian]))-COUNTIF(Season4Data[Winner],Season4Overall[[#This Row],[Person:]])</f>
        <v>10</v>
      </c>
      <c r="L41">
        <f>MIN(Season4Data[Brian])</f>
        <v>2</v>
      </c>
      <c r="M41">
        <f>AVERAGE(Season4Data[Brian])</f>
        <v>4.0338983050847457</v>
      </c>
      <c r="O41">
        <f>AVERAGEIF(Season4Data[Word Picker],Season4Overall[[#This Row],[Person:]],Season4Data[Remaining Words])</f>
        <v>706.3</v>
      </c>
      <c r="P41">
        <f>AVERAGEIF(Season4Data[Word Picker],Season4Overall[[#This Row],[Person:]],Season4Data[Average Guess])</f>
        <v>3.8357142857142863</v>
      </c>
    </row>
    <row r="42" spans="1:16" x14ac:dyDescent="0.35">
      <c r="A42" t="s">
        <v>6</v>
      </c>
      <c r="B42">
        <f>COUNTIF(Season4Data[Winner],Season4Overall[[#This Row],[Person:]])</f>
        <v>3</v>
      </c>
      <c r="D42">
        <f>SUMPRODUCT(--(Season4Data[Winner]=Season4Overall[[#This Row],[Person:]]),--(Season4Data[Tiebreakers]))</f>
        <v>1</v>
      </c>
      <c r="E42">
        <f>SUMPRODUCT(--(Season4Data[Winner]=Season4Overall[[#This Row],[Person:]]),--(Season4Data[Tiebreakers]=FALSE))</f>
        <v>2</v>
      </c>
      <c r="F42">
        <f>Season4Overall[[#This Row],[Solo]]/COUNTIF(Season4Data[Elisabeth],"&lt;&gt;"&amp;"")*100</f>
        <v>11.538461538461538</v>
      </c>
      <c r="G42" s="1">
        <f t="array" ref="G42">MAX(IF(Season4Data[Winner]=Season4Overall[[#This Row],[Person:]],Season4Data[Date]))</f>
        <v>45131</v>
      </c>
      <c r="H42">
        <f t="array" ref="H42">DATEDIF(Season4Overall[[#This Row],[Last Win]],MAX(Season4Data[Date]),"d")</f>
        <v>28</v>
      </c>
      <c r="J42">
        <f>SUMPRODUCT(--(Season4Data[Best Guess]=Season4Data[Elisabeth]))-COUNTIF(Season4Data[Winner],Season4Overall[[#This Row],[Person:]])</f>
        <v>5</v>
      </c>
      <c r="L42">
        <f>MIN(Season4Data[Elisabeth])</f>
        <v>3</v>
      </c>
      <c r="M42">
        <f>AVERAGE(Season4Data[Elisabeth])</f>
        <v>4.1538461538461542</v>
      </c>
      <c r="O42">
        <f>AVERAGEIF(Season4Data[Word Picker],Season4Overall[[#This Row],[Person:]],Season4Data[Remaining Words])</f>
        <v>289.5</v>
      </c>
      <c r="P42">
        <f>AVERAGEIF(Season4Data[Word Picker],Season4Overall[[#This Row],[Person:]],Season4Data[Average Guess])</f>
        <v>3.8809523809523809</v>
      </c>
    </row>
    <row r="43" spans="1:16" x14ac:dyDescent="0.35">
      <c r="A43" t="s">
        <v>2</v>
      </c>
      <c r="B43">
        <f>COUNTIF(Season4Data[Winner],Season4Overall[[#This Row],[Person:]])</f>
        <v>8</v>
      </c>
      <c r="D43">
        <f>SUMPRODUCT(--(Season4Data[Winner]=Season4Overall[[#This Row],[Person:]]),--(Season4Data[Tiebreakers]))</f>
        <v>2</v>
      </c>
      <c r="E43">
        <f>SUMPRODUCT(--(Season4Data[Winner]=Season4Overall[[#This Row],[Person:]]),--(Season4Data[Tiebreakers]=FALSE))</f>
        <v>6</v>
      </c>
      <c r="F43">
        <f>Season4Overall[[#This Row],[Solo]]/COUNTIF(Season4Data[Kendall],"&lt;&gt;"&amp;"")*100</f>
        <v>13.333333333333334</v>
      </c>
      <c r="G43" s="1">
        <f t="array" ref="G43">MAX(IF(Season4Data[Winner]=Season4Overall[[#This Row],[Person:]],Season4Data[Date]))</f>
        <v>45158</v>
      </c>
      <c r="H43">
        <f t="array" ref="H43">DATEDIF(Season4Overall[[#This Row],[Last Win]],MAX(Season4Data[Date]),"d")</f>
        <v>1</v>
      </c>
      <c r="J43">
        <f>SUMPRODUCT(--(Season4Data[Best Guess]=Season4Data[Kendall]))-COUNTIF(Season4Data[Winner],Season4Overall[[#This Row],[Person:]])</f>
        <v>18</v>
      </c>
      <c r="L43">
        <f>MIN(Season4Data[Kendall])</f>
        <v>2</v>
      </c>
      <c r="M43">
        <f>AVERAGE(Season4Data[Kendall])</f>
        <v>4.0999999999999996</v>
      </c>
      <c r="O43">
        <f>AVERAGEIF(Season4Data[Word Picker],Season4Overall[[#This Row],[Person:]],Season4Data[Remaining Words])</f>
        <v>1747.625</v>
      </c>
      <c r="P43">
        <f>AVERAGEIF(Season4Data[Word Picker],Season4Overall[[#This Row],[Person:]],Season4Data[Average Guess])</f>
        <v>4.020833333333333</v>
      </c>
    </row>
    <row r="44" spans="1:16" x14ac:dyDescent="0.35">
      <c r="A44" t="s">
        <v>11</v>
      </c>
      <c r="B44">
        <f>COUNTIF(Season4Data[Winner],Season4Overall[[#This Row],[Person:]])</f>
        <v>5</v>
      </c>
      <c r="D44">
        <f>SUMPRODUCT(--(Season4Data[Winner]=Season4Overall[[#This Row],[Person:]]),--(Season4Data[Tiebreakers]))</f>
        <v>2</v>
      </c>
      <c r="E44">
        <f>SUMPRODUCT(--(Season4Data[Winner]=Season4Overall[[#This Row],[Person:]]),--(Season4Data[Tiebreakers]=FALSE))</f>
        <v>3</v>
      </c>
      <c r="F44">
        <f>Season4Overall[[#This Row],[Solo]]/COUNTIF(Season4Data[Kimball],"&lt;&gt;"&amp;"")*100</f>
        <v>8.3333333333333321</v>
      </c>
      <c r="G44" s="1">
        <f t="array" ref="G44">MAX(IF(Season4Data[Winner]=Season4Overall[[#This Row],[Person:]],Season4Data[Date]))</f>
        <v>45117</v>
      </c>
      <c r="H44">
        <f t="array" ref="H44">DATEDIF(Season4Overall[[#This Row],[Last Win]],MAX(Season4Data[Date]),"d")</f>
        <v>42</v>
      </c>
      <c r="J44">
        <f>SUMPRODUCT(--(Season4Data[Best Guess]=Season4Data[Kimball]))-COUNTIF(Season4Data[Winner],Season4Overall[[#This Row],[Person:]])</f>
        <v>11</v>
      </c>
      <c r="L44">
        <f>MIN(Season4Data[Kimball])</f>
        <v>2</v>
      </c>
      <c r="M44">
        <f>AVERAGE(Season4Data[Kimball])</f>
        <v>4.1166666666666663</v>
      </c>
      <c r="O44">
        <f>AVERAGEIF(Season4Data[Word Picker],Season4Overall[[#This Row],[Person:]],Season4Data[Remaining Words])</f>
        <v>1031.4000000000001</v>
      </c>
      <c r="P44">
        <f>AVERAGEIF(Season4Data[Word Picker],Season4Overall[[#This Row],[Person:]],Season4Data[Average Guess])</f>
        <v>3.6809523809523812</v>
      </c>
    </row>
    <row r="45" spans="1:16" x14ac:dyDescent="0.35">
      <c r="A45" t="s">
        <v>13</v>
      </c>
      <c r="B45">
        <f>COUNTIF(Season4Data[Winner],Season4Overall[[#This Row],[Person:]])</f>
        <v>9</v>
      </c>
      <c r="D45">
        <f>SUMPRODUCT(--(Season4Data[Winner]=Season4Overall[[#This Row],[Person:]]),--(Season4Data[Tiebreakers]))</f>
        <v>5</v>
      </c>
      <c r="E45">
        <f>SUMPRODUCT(--(Season4Data[Winner]=Season4Overall[[#This Row],[Person:]]),--(Season4Data[Tiebreakers]=FALSE))</f>
        <v>4</v>
      </c>
      <c r="F45">
        <f>Season4Overall[[#This Row],[Solo]]/COUNTIF(Season4Data[Lee Ann],"&lt;&gt;"&amp;"")*100</f>
        <v>15</v>
      </c>
      <c r="G45" s="1">
        <f t="array" ref="G45">MAX(IF(Season4Data[Winner]=Season4Overall[[#This Row],[Person:]],Season4Data[Date]))</f>
        <v>45154</v>
      </c>
      <c r="H45">
        <f t="array" ref="H45">DATEDIF(Season4Overall[[#This Row],[Last Win]],MAX(Season4Data[Date]),"d")</f>
        <v>5</v>
      </c>
      <c r="J45">
        <f>SUMPRODUCT(--(Season4Data[Best Guess]=Season4Data[Lee Ann]))-COUNTIF(Season4Data[Winner],Season4Overall[[#This Row],[Person:]])</f>
        <v>12</v>
      </c>
      <c r="L45">
        <f>MIN(Season4Data[Lee Ann])</f>
        <v>2</v>
      </c>
      <c r="M45">
        <f>AVERAGE(Season4Data[Lee Ann])</f>
        <v>4.1166666666666663</v>
      </c>
      <c r="O45">
        <f>AVERAGEIF(Season4Data[Word Picker],Season4Overall[[#This Row],[Person:]],Season4Data[Remaining Words])</f>
        <v>1525.8888888888889</v>
      </c>
      <c r="P45">
        <f>AVERAGEIF(Season4Data[Word Picker],Season4Overall[[#This Row],[Person:]],Season4Data[Average Guess])</f>
        <v>4.4111111111111114</v>
      </c>
    </row>
    <row r="46" spans="1:16" x14ac:dyDescent="0.35">
      <c r="A46" t="s">
        <v>1</v>
      </c>
      <c r="B46">
        <f>COUNTIF(Season4Data[Winner],Season4Overall[[#This Row],[Person:]])</f>
        <v>10</v>
      </c>
      <c r="D46">
        <f>SUMPRODUCT(--(Season4Data[Winner]=Season4Overall[[#This Row],[Person:]]),--(Season4Data[Tiebreakers]))</f>
        <v>6</v>
      </c>
      <c r="E46">
        <f>SUMPRODUCT(--(Season4Data[Winner]=Season4Overall[[#This Row],[Person:]]),--(Season4Data[Tiebreakers]=FALSE))</f>
        <v>4</v>
      </c>
      <c r="F46">
        <f>Season4Overall[[#This Row],[Solo]]/COUNTIF(Season4Data[Sam],"&lt;&gt;"&amp;"")*100</f>
        <v>17.857142857142858</v>
      </c>
      <c r="G46" s="1">
        <f t="array" ref="G46">MAX(IF(Season4Data[Winner]=Season4Overall[[#This Row],[Person:]],Season4Data[Date]))</f>
        <v>45152</v>
      </c>
      <c r="H46">
        <f t="array" ref="H46">DATEDIF(Season4Overall[[#This Row],[Last Win]],MAX(Season4Data[Date]),"d")</f>
        <v>7</v>
      </c>
      <c r="J46">
        <f>SUMPRODUCT(--(Season4Data[Best Guess]=Season4Data[Sam]))-(COUNTIF(Season4Data[Winner],Season4Overall[[#This Row],[Person:]]))</f>
        <v>12</v>
      </c>
      <c r="L46">
        <f>MIN(Season4Data[Sam])</f>
        <v>2</v>
      </c>
      <c r="M46">
        <f>AVERAGE(Season4Data[Sam])</f>
        <v>4.0178571428571432</v>
      </c>
      <c r="O46">
        <f>AVERAGEIF(Season4Data[Word Picker],Season4Overall[[#This Row],[Person:]],Season4Data[Remaining Words])</f>
        <v>1036.8</v>
      </c>
      <c r="P46">
        <f>AVERAGEIF(Season4Data[Word Picker],Season4Overall[[#This Row],[Person:]],Season4Data[Average Guess])</f>
        <v>4.1100000000000003</v>
      </c>
    </row>
    <row r="47" spans="1:16" x14ac:dyDescent="0.35">
      <c r="A47" t="s">
        <v>16</v>
      </c>
      <c r="B47">
        <f>COUNTIF(Season4Data[Winner],Season4Overall[[#This Row],[Person:]])</f>
        <v>14</v>
      </c>
      <c r="D47">
        <f>SUMPRODUCT(--(Season4Data[Winner]=Season4Overall[[#This Row],[Person:]]),--(Season4Data[Tiebreakers]))</f>
        <v>8</v>
      </c>
      <c r="E47">
        <f>SUMPRODUCT(--(Season4Data[Winner]=Season4Overall[[#This Row],[Person:]]),--(Season4Data[Tiebreakers]=FALSE))</f>
        <v>6</v>
      </c>
      <c r="F47">
        <f>Season4Overall[[#This Row],[Solo]]/COUNTIF(Season4Data[Spencer],"&lt;&gt;"&amp;"")*100</f>
        <v>23.728813559322035</v>
      </c>
      <c r="G47" s="1">
        <f t="array" ref="G47">MAX(IF(Season4Data[Winner]=Season4Overall[[#This Row],[Person:]],Season4Data[Date]))</f>
        <v>45156</v>
      </c>
      <c r="H47">
        <f t="array" ref="H47">DATEDIF(Season4Overall[[#This Row],[Last Win]],MAX(Season4Data[Date]),"d")</f>
        <v>3</v>
      </c>
      <c r="J47">
        <f>SUMPRODUCT(--(Season4Data[Best Guess]=Season4Data[Spencer]))-(COUNTIF(Season4Data[Winner],Season4Overall[[#This Row],[Person:]]))</f>
        <v>12</v>
      </c>
      <c r="L47">
        <f>MIN(Season4Data[Spencer])</f>
        <v>2</v>
      </c>
      <c r="M47">
        <f>AVERAGE(Season4Data[Spencer])</f>
        <v>3.9322033898305087</v>
      </c>
      <c r="O47">
        <f>AVERAGEIF(Season4Data[Word Picker],Season4Overall[[#This Row],[Person:]],Season4Data[Remaining Words])</f>
        <v>1279.6428571428571</v>
      </c>
      <c r="P47">
        <f>AVERAGEIF(Season4Data[Word Picker],Season4Overall[[#This Row],[Person:]],Season4Data[Average Guess])</f>
        <v>4.1431972789115639</v>
      </c>
    </row>
    <row r="48" spans="1:16" x14ac:dyDescent="0.35">
      <c r="A48" t="s">
        <v>207</v>
      </c>
      <c r="B48">
        <f>AVERAGE(B41:B47)</f>
        <v>8.5714285714285712</v>
      </c>
      <c r="D48">
        <f>AVERAGE(D41:D47)</f>
        <v>4.1428571428571432</v>
      </c>
      <c r="E48">
        <f>AVERAGE(E41:E47)</f>
        <v>4.4285714285714288</v>
      </c>
      <c r="F48">
        <f>AVERAGE(Season4Overall[Win Percentage])</f>
        <v>15.490736059743325</v>
      </c>
      <c r="J48">
        <f>AVERAGE(J41:J47)</f>
        <v>11.428571428571429</v>
      </c>
      <c r="L48">
        <f>AVERAGE(L41:L47)</f>
        <v>2.1428571428571428</v>
      </c>
      <c r="M48">
        <f>AVERAGE(M41:M47)</f>
        <v>4.0673054749931259</v>
      </c>
      <c r="O48">
        <f>AVERAGE(Season4Data[Remaining Words])</f>
        <v>1156.25</v>
      </c>
      <c r="P48">
        <f>AVERAGE(Season4Data[Average Guess])</f>
        <v>4.0542857142857143</v>
      </c>
    </row>
  </sheetData>
  <phoneticPr fontId="2" type="noConversion"/>
  <pageMargins left="0.7" right="0.7" top="0.75" bottom="0.75" header="0.3" footer="0.3"/>
  <pageSetup orientation="portrait" horizontalDpi="4294967293" verticalDpi="0" r:id="rId1"/>
  <ignoredErrors>
    <ignoredError sqref="I31:I35" calculatedColumn="1"/>
  </ignoredErrors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79C7-C0D8-4420-B173-FCD3997E5B91}">
  <dimension ref="A1:AA115"/>
  <sheetViews>
    <sheetView tabSelected="1" topLeftCell="A25" workbookViewId="0">
      <selection activeCell="E62" sqref="E62"/>
    </sheetView>
  </sheetViews>
  <sheetFormatPr defaultRowHeight="14.5" x14ac:dyDescent="0.35"/>
  <cols>
    <col min="1" max="1" width="13.08984375" customWidth="1"/>
    <col min="2" max="2" width="13.81640625" customWidth="1"/>
    <col min="3" max="3" width="15.7265625" customWidth="1"/>
    <col min="4" max="4" width="16.08984375" bestFit="1" customWidth="1"/>
    <col min="5" max="6" width="10.26953125" customWidth="1"/>
    <col min="7" max="7" width="17.54296875" customWidth="1"/>
    <col min="8" max="8" width="17.90625" bestFit="1" customWidth="1"/>
    <col min="9" max="9" width="10.26953125" customWidth="1"/>
    <col min="10" max="10" width="11.90625" customWidth="1"/>
    <col min="11" max="11" width="12.1796875" bestFit="1" customWidth="1"/>
    <col min="12" max="12" width="15.36328125" bestFit="1" customWidth="1"/>
    <col min="13" max="13" width="12.90625" bestFit="1" customWidth="1"/>
    <col min="14" max="14" width="10.54296875" bestFit="1" customWidth="1"/>
    <col min="15" max="15" width="10.453125" customWidth="1"/>
    <col min="16" max="16" width="10.7265625" bestFit="1" customWidth="1"/>
    <col min="17" max="18" width="9.26953125" bestFit="1" customWidth="1"/>
    <col min="19" max="19" width="9.7265625" bestFit="1" customWidth="1"/>
    <col min="21" max="21" width="9.7265625" bestFit="1" customWidth="1"/>
    <col min="24" max="24" width="55.1796875" bestFit="1" customWidth="1"/>
    <col min="25" max="25" width="19.453125" customWidth="1"/>
    <col min="26" max="26" width="19.36328125" customWidth="1"/>
  </cols>
  <sheetData>
    <row r="1" spans="1:27" x14ac:dyDescent="0.35">
      <c r="A1" s="16" t="s">
        <v>0</v>
      </c>
      <c r="B1" s="17" t="s">
        <v>62</v>
      </c>
      <c r="C1" s="17" t="s">
        <v>44</v>
      </c>
      <c r="D1" s="17" t="s">
        <v>63</v>
      </c>
      <c r="E1" s="17" t="s">
        <v>34</v>
      </c>
      <c r="F1" s="17" t="s">
        <v>510</v>
      </c>
      <c r="G1" s="17" t="s">
        <v>87</v>
      </c>
      <c r="H1" s="17" t="s">
        <v>79</v>
      </c>
      <c r="I1" s="17" t="s">
        <v>88</v>
      </c>
      <c r="J1" s="17" t="s">
        <v>89</v>
      </c>
      <c r="K1" s="17" t="s">
        <v>45</v>
      </c>
      <c r="L1" s="17" t="s">
        <v>41</v>
      </c>
      <c r="M1" s="17" t="s">
        <v>375</v>
      </c>
      <c r="N1" s="17" t="s">
        <v>90</v>
      </c>
      <c r="O1" s="17" t="s">
        <v>4</v>
      </c>
      <c r="P1" s="17" t="s">
        <v>6</v>
      </c>
      <c r="Q1" s="17" t="s">
        <v>2</v>
      </c>
      <c r="R1" s="17" t="s">
        <v>11</v>
      </c>
      <c r="S1" s="17" t="s">
        <v>13</v>
      </c>
      <c r="T1" s="17" t="s">
        <v>1</v>
      </c>
      <c r="U1" s="17" t="s">
        <v>16</v>
      </c>
      <c r="X1" t="s">
        <v>441</v>
      </c>
      <c r="Y1" t="s">
        <v>442</v>
      </c>
      <c r="Z1" t="s">
        <v>443</v>
      </c>
      <c r="AA1" t="s">
        <v>181</v>
      </c>
    </row>
    <row r="2" spans="1:27" x14ac:dyDescent="0.35">
      <c r="A2" s="1">
        <v>45100</v>
      </c>
      <c r="B2" t="s">
        <v>6</v>
      </c>
      <c r="C2" t="s">
        <v>600</v>
      </c>
      <c r="D2" t="s">
        <v>601</v>
      </c>
      <c r="E2" t="s">
        <v>13</v>
      </c>
      <c r="F2">
        <v>1</v>
      </c>
      <c r="H2">
        <v>206</v>
      </c>
      <c r="K2" s="15">
        <f>MIN(Season4Data[[#This Row],[Brian]:[Spencer]])</f>
        <v>3</v>
      </c>
      <c r="L2" s="29">
        <f>AVERAGE(Season4Data[[#This Row],[Brian]:[Spencer]])</f>
        <v>4.833333333333333</v>
      </c>
      <c r="M2" t="b">
        <f>IF(COUNTIF(Season4Data[[#This Row],[Brian]:[Spencer]], Season3Data[[#This Row],[Best Guess]]) &gt; 1, TRUE, FALSE)</f>
        <v>0</v>
      </c>
      <c r="O2">
        <v>4</v>
      </c>
      <c r="P2">
        <v>5</v>
      </c>
      <c r="Q2">
        <v>6</v>
      </c>
      <c r="R2">
        <v>6</v>
      </c>
      <c r="S2">
        <v>3</v>
      </c>
      <c r="T2" s="2"/>
      <c r="U2">
        <v>5</v>
      </c>
      <c r="X2" t="s">
        <v>444</v>
      </c>
      <c r="Y2" t="s">
        <v>678</v>
      </c>
    </row>
    <row r="3" spans="1:27" x14ac:dyDescent="0.35">
      <c r="A3" s="1">
        <v>45101</v>
      </c>
      <c r="B3" t="s">
        <v>13</v>
      </c>
      <c r="C3" t="s">
        <v>619</v>
      </c>
      <c r="D3" t="s">
        <v>264</v>
      </c>
      <c r="E3" t="s">
        <v>2</v>
      </c>
      <c r="F3">
        <v>1</v>
      </c>
      <c r="H3">
        <v>3513</v>
      </c>
      <c r="K3" s="18">
        <f>MIN(Season4Data[[#This Row],[Brian]:[Spencer]])</f>
        <v>3</v>
      </c>
      <c r="L3" s="30">
        <f>AVERAGE(Season4Data[[#This Row],[Brian]:[Spencer]])</f>
        <v>4.166666666666667</v>
      </c>
      <c r="M3" t="b">
        <f>IF(COUNTIF(Season4Data[[#This Row],[Brian]:[Spencer]], Season3Data[[#This Row],[Best Guess]]) &gt; 1, TRUE, FALSE)</f>
        <v>0</v>
      </c>
      <c r="O3">
        <v>5</v>
      </c>
      <c r="P3" s="2"/>
      <c r="Q3">
        <v>3</v>
      </c>
      <c r="R3">
        <v>4</v>
      </c>
      <c r="S3">
        <v>4</v>
      </c>
      <c r="T3">
        <v>4</v>
      </c>
      <c r="U3">
        <v>5</v>
      </c>
      <c r="X3" t="s">
        <v>445</v>
      </c>
      <c r="Y3" t="s">
        <v>679</v>
      </c>
    </row>
    <row r="4" spans="1:27" x14ac:dyDescent="0.35">
      <c r="A4" s="1">
        <v>45102</v>
      </c>
      <c r="B4" t="s">
        <v>2</v>
      </c>
      <c r="C4" t="s">
        <v>211</v>
      </c>
      <c r="D4" t="s">
        <v>620</v>
      </c>
      <c r="E4" t="s">
        <v>13</v>
      </c>
      <c r="F4">
        <v>1</v>
      </c>
      <c r="H4">
        <v>1028</v>
      </c>
      <c r="K4" s="18">
        <f>MIN(Season4Data[[#This Row],[Brian]:[Spencer]])</f>
        <v>3</v>
      </c>
      <c r="L4" s="30">
        <f>AVERAGE(Season4Data[[#This Row],[Brian]:[Spencer]])</f>
        <v>3.7142857142857144</v>
      </c>
      <c r="M4" t="b">
        <f>IF(COUNTIF(Season4Data[[#This Row],[Brian]:[Spencer]], Season3Data[[#This Row],[Best Guess]]) &gt; 1, TRUE, FALSE)</f>
        <v>1</v>
      </c>
      <c r="O4">
        <v>3</v>
      </c>
      <c r="P4">
        <v>5</v>
      </c>
      <c r="Q4">
        <v>4</v>
      </c>
      <c r="R4">
        <v>4</v>
      </c>
      <c r="S4">
        <v>3</v>
      </c>
      <c r="T4">
        <v>4</v>
      </c>
      <c r="U4">
        <v>3</v>
      </c>
      <c r="X4" t="s">
        <v>446</v>
      </c>
      <c r="Y4" t="s">
        <v>680</v>
      </c>
    </row>
    <row r="5" spans="1:27" x14ac:dyDescent="0.35">
      <c r="A5" s="1">
        <v>45103</v>
      </c>
      <c r="B5" t="s">
        <v>13</v>
      </c>
      <c r="C5" t="s">
        <v>590</v>
      </c>
      <c r="D5" t="s">
        <v>621</v>
      </c>
      <c r="E5" t="s">
        <v>16</v>
      </c>
      <c r="F5">
        <v>1</v>
      </c>
      <c r="H5">
        <v>1521</v>
      </c>
      <c r="K5" s="18">
        <f>MIN(Season4Data[[#This Row],[Brian]:[Spencer]])</f>
        <v>3</v>
      </c>
      <c r="L5" s="30">
        <f>AVERAGE(Season4Data[[#This Row],[Brian]:[Spencer]])</f>
        <v>4.166666666666667</v>
      </c>
      <c r="M5" t="b">
        <f>IF(COUNTIF(Season4Data[[#This Row],[Brian]:[Spencer]], Season3Data[[#This Row],[Best Guess]]) &gt; 1, TRUE, FALSE)</f>
        <v>0</v>
      </c>
      <c r="O5">
        <v>4</v>
      </c>
      <c r="P5" s="2"/>
      <c r="Q5">
        <v>5</v>
      </c>
      <c r="R5">
        <v>5</v>
      </c>
      <c r="S5">
        <v>4</v>
      </c>
      <c r="T5">
        <v>4</v>
      </c>
      <c r="U5">
        <v>3</v>
      </c>
      <c r="X5" t="s">
        <v>681</v>
      </c>
      <c r="Y5" t="s">
        <v>460</v>
      </c>
    </row>
    <row r="6" spans="1:27" x14ac:dyDescent="0.35">
      <c r="A6" s="1">
        <v>45104</v>
      </c>
      <c r="B6" t="s">
        <v>16</v>
      </c>
      <c r="C6" t="s">
        <v>622</v>
      </c>
      <c r="D6" t="s">
        <v>623</v>
      </c>
      <c r="E6" t="s">
        <v>11</v>
      </c>
      <c r="F6">
        <v>1</v>
      </c>
      <c r="H6">
        <v>377</v>
      </c>
      <c r="K6" s="18">
        <f>MIN(Season4Data[[#This Row],[Brian]:[Spencer]])</f>
        <v>2</v>
      </c>
      <c r="L6" s="30">
        <f>AVERAGE(Season4Data[[#This Row],[Brian]:[Spencer]])</f>
        <v>3.5</v>
      </c>
      <c r="M6" t="b">
        <f>IF(COUNTIF(Season4Data[[#This Row],[Brian]:[Spencer]], Season3Data[[#This Row],[Best Guess]]) &gt; 1, TRUE, FALSE)</f>
        <v>1</v>
      </c>
      <c r="O6">
        <v>3</v>
      </c>
      <c r="P6" s="2"/>
      <c r="Q6">
        <v>4</v>
      </c>
      <c r="R6">
        <v>2</v>
      </c>
      <c r="S6">
        <v>3</v>
      </c>
      <c r="T6">
        <v>4</v>
      </c>
      <c r="U6">
        <v>5</v>
      </c>
      <c r="X6" t="s">
        <v>602</v>
      </c>
      <c r="Y6" t="s">
        <v>682</v>
      </c>
    </row>
    <row r="7" spans="1:27" x14ac:dyDescent="0.35">
      <c r="A7" s="1">
        <v>45105</v>
      </c>
      <c r="B7" t="s">
        <v>11</v>
      </c>
      <c r="C7" t="s">
        <v>624</v>
      </c>
      <c r="D7" t="s">
        <v>625</v>
      </c>
      <c r="E7" t="s">
        <v>2</v>
      </c>
      <c r="F7">
        <v>1</v>
      </c>
      <c r="H7">
        <v>199</v>
      </c>
      <c r="K7" s="18">
        <f>MIN(Season4Data[[#This Row],[Brian]:[Spencer]])</f>
        <v>3</v>
      </c>
      <c r="L7" s="30">
        <f>AVERAGE(Season4Data[[#This Row],[Brian]:[Spencer]])</f>
        <v>3.1666666666666665</v>
      </c>
      <c r="M7" t="b">
        <f>IF(COUNTIF(Season4Data[[#This Row],[Brian]:[Spencer]], Season3Data[[#This Row],[Best Guess]]) &gt; 1, TRUE, FALSE)</f>
        <v>1</v>
      </c>
      <c r="O7">
        <v>3</v>
      </c>
      <c r="P7" s="2"/>
      <c r="Q7">
        <v>3</v>
      </c>
      <c r="R7">
        <v>3</v>
      </c>
      <c r="S7">
        <v>4</v>
      </c>
      <c r="T7">
        <v>3</v>
      </c>
      <c r="U7">
        <v>3</v>
      </c>
      <c r="X7" t="s">
        <v>448</v>
      </c>
      <c r="Y7" t="s">
        <v>683</v>
      </c>
    </row>
    <row r="8" spans="1:27" x14ac:dyDescent="0.35">
      <c r="A8" s="1">
        <v>45106</v>
      </c>
      <c r="B8" t="s">
        <v>2</v>
      </c>
      <c r="C8" t="s">
        <v>626</v>
      </c>
      <c r="D8" t="s">
        <v>627</v>
      </c>
      <c r="E8" t="s">
        <v>16</v>
      </c>
      <c r="F8">
        <v>1</v>
      </c>
      <c r="H8">
        <v>4789</v>
      </c>
      <c r="K8" s="18">
        <f>MIN(Season4Data[[#This Row],[Brian]:[Spencer]])</f>
        <v>4</v>
      </c>
      <c r="L8" s="30">
        <f>AVERAGE(Season4Data[[#This Row],[Brian]:[Spencer]])</f>
        <v>4.1428571428571432</v>
      </c>
      <c r="M8" t="b">
        <f>IF(COUNTIF(Season4Data[[#This Row],[Brian]:[Spencer]], Season3Data[[#This Row],[Best Guess]]) &gt; 1, TRUE, FALSE)</f>
        <v>1</v>
      </c>
      <c r="O8">
        <v>4</v>
      </c>
      <c r="P8">
        <v>4</v>
      </c>
      <c r="Q8">
        <v>4</v>
      </c>
      <c r="R8">
        <v>4</v>
      </c>
      <c r="S8">
        <v>5</v>
      </c>
      <c r="T8">
        <v>4</v>
      </c>
      <c r="U8">
        <v>4</v>
      </c>
      <c r="X8" t="s">
        <v>449</v>
      </c>
      <c r="Y8" t="s">
        <v>684</v>
      </c>
    </row>
    <row r="9" spans="1:27" x14ac:dyDescent="0.35">
      <c r="A9" s="1">
        <v>45107</v>
      </c>
      <c r="B9" t="s">
        <v>16</v>
      </c>
      <c r="C9" t="s">
        <v>628</v>
      </c>
      <c r="D9" t="s">
        <v>629</v>
      </c>
      <c r="E9" t="s">
        <v>2</v>
      </c>
      <c r="F9">
        <v>1</v>
      </c>
      <c r="H9">
        <v>131</v>
      </c>
      <c r="K9" s="18">
        <f>MIN(Season4Data[[#This Row],[Brian]:[Spencer]])</f>
        <v>3</v>
      </c>
      <c r="L9" s="30">
        <f>AVERAGE(Season4Data[[#This Row],[Brian]:[Spencer]])</f>
        <v>4.5999999999999996</v>
      </c>
      <c r="M9" t="b">
        <f>IF(COUNTIF(Season4Data[[#This Row],[Brian]:[Spencer]], Season3Data[[#This Row],[Best Guess]]) &gt; 1, TRUE, FALSE)</f>
        <v>0</v>
      </c>
      <c r="O9">
        <v>5</v>
      </c>
      <c r="P9" s="2"/>
      <c r="Q9">
        <v>3</v>
      </c>
      <c r="R9">
        <v>5</v>
      </c>
      <c r="S9">
        <v>5</v>
      </c>
      <c r="T9" s="2"/>
      <c r="U9">
        <v>5</v>
      </c>
      <c r="X9" t="s">
        <v>450</v>
      </c>
      <c r="Y9" t="s">
        <v>685</v>
      </c>
    </row>
    <row r="10" spans="1:27" x14ac:dyDescent="0.35">
      <c r="A10" s="1">
        <v>45108</v>
      </c>
      <c r="B10" t="s">
        <v>2</v>
      </c>
      <c r="C10" t="s">
        <v>630</v>
      </c>
      <c r="D10" t="s">
        <v>631</v>
      </c>
      <c r="E10" t="s">
        <v>11</v>
      </c>
      <c r="F10">
        <v>1</v>
      </c>
      <c r="H10">
        <v>2884</v>
      </c>
      <c r="K10" s="18">
        <f>MIN(Season4Data[[#This Row],[Brian]:[Spencer]])</f>
        <v>4</v>
      </c>
      <c r="L10" s="30">
        <f>AVERAGE(Season4Data[[#This Row],[Brian]:[Spencer]])</f>
        <v>4.333333333333333</v>
      </c>
      <c r="M10" t="b">
        <f>IF(COUNTIF(Season4Data[[#This Row],[Brian]:[Spencer]], Season3Data[[#This Row],[Best Guess]]) &gt; 1, TRUE, FALSE)</f>
        <v>0</v>
      </c>
      <c r="O10">
        <v>5</v>
      </c>
      <c r="P10" s="2"/>
      <c r="Q10">
        <v>4</v>
      </c>
      <c r="R10">
        <v>4</v>
      </c>
      <c r="S10">
        <v>5</v>
      </c>
      <c r="T10">
        <v>4</v>
      </c>
      <c r="U10">
        <v>4</v>
      </c>
      <c r="X10" t="s">
        <v>451</v>
      </c>
      <c r="Y10" s="28" t="s">
        <v>686</v>
      </c>
    </row>
    <row r="11" spans="1:27" x14ac:dyDescent="0.35">
      <c r="A11" s="1">
        <v>45109</v>
      </c>
      <c r="B11" t="s">
        <v>11</v>
      </c>
      <c r="C11" t="s">
        <v>632</v>
      </c>
      <c r="D11" t="s">
        <v>633</v>
      </c>
      <c r="E11" t="s">
        <v>4</v>
      </c>
      <c r="F11">
        <v>1</v>
      </c>
      <c r="H11">
        <v>694</v>
      </c>
      <c r="K11" s="18">
        <f>MIN(Season4Data[[#This Row],[Brian]:[Spencer]])</f>
        <v>3</v>
      </c>
      <c r="L11" s="30">
        <f>AVERAGE(Season4Data[[#This Row],[Brian]:[Spencer]])</f>
        <v>3.5</v>
      </c>
      <c r="M11" t="b">
        <f>IF(COUNTIF(Season4Data[[#This Row],[Brian]:[Spencer]], Season3Data[[#This Row],[Best Guess]]) &gt; 1, TRUE, FALSE)</f>
        <v>0</v>
      </c>
      <c r="O11">
        <v>3</v>
      </c>
      <c r="P11" s="2"/>
      <c r="Q11">
        <v>3</v>
      </c>
      <c r="R11">
        <v>4</v>
      </c>
      <c r="S11">
        <v>4</v>
      </c>
      <c r="T11">
        <v>3</v>
      </c>
      <c r="U11">
        <v>4</v>
      </c>
      <c r="X11" t="s">
        <v>452</v>
      </c>
      <c r="Y11" t="s">
        <v>687</v>
      </c>
    </row>
    <row r="12" spans="1:27" x14ac:dyDescent="0.35">
      <c r="A12" s="1">
        <v>45110</v>
      </c>
      <c r="B12" t="s">
        <v>4</v>
      </c>
      <c r="C12" t="s">
        <v>634</v>
      </c>
      <c r="D12" t="s">
        <v>560</v>
      </c>
      <c r="E12" t="s">
        <v>1</v>
      </c>
      <c r="F12">
        <v>1</v>
      </c>
      <c r="H12">
        <v>957</v>
      </c>
      <c r="K12" s="18">
        <f>MIN(Season4Data[[#This Row],[Brian]:[Spencer]])</f>
        <v>3</v>
      </c>
      <c r="L12" s="30">
        <f>AVERAGE(Season4Data[[#This Row],[Brian]:[Spencer]])</f>
        <v>4</v>
      </c>
      <c r="M12" t="b">
        <f>IF(COUNTIF(Season4Data[[#This Row],[Brian]:[Spencer]], Season3Data[[#This Row],[Best Guess]]) &gt; 1, TRUE, FALSE)</f>
        <v>1</v>
      </c>
      <c r="O12">
        <v>4</v>
      </c>
      <c r="P12">
        <v>4</v>
      </c>
      <c r="Q12">
        <v>3</v>
      </c>
      <c r="R12">
        <v>4</v>
      </c>
      <c r="S12">
        <v>6</v>
      </c>
      <c r="T12">
        <v>3</v>
      </c>
      <c r="U12">
        <v>4</v>
      </c>
      <c r="X12" t="s">
        <v>453</v>
      </c>
      <c r="Y12" t="s">
        <v>688</v>
      </c>
    </row>
    <row r="13" spans="1:27" x14ac:dyDescent="0.35">
      <c r="A13" s="1">
        <v>45111</v>
      </c>
      <c r="B13" t="s">
        <v>1</v>
      </c>
      <c r="C13" t="s">
        <v>635</v>
      </c>
      <c r="D13" t="s">
        <v>184</v>
      </c>
      <c r="E13" t="s">
        <v>11</v>
      </c>
      <c r="F13">
        <v>1</v>
      </c>
      <c r="H13">
        <v>3390</v>
      </c>
      <c r="K13" s="18">
        <f>MIN(Season4Data[[#This Row],[Brian]:[Spencer]])</f>
        <v>3</v>
      </c>
      <c r="L13" s="30">
        <f>AVERAGE(Season4Data[[#This Row],[Brian]:[Spencer]])</f>
        <v>3.7142857142857144</v>
      </c>
      <c r="M13" t="b">
        <f>IF(COUNTIF(Season4Data[[#This Row],[Brian]:[Spencer]], Season3Data[[#This Row],[Best Guess]]) &gt; 1, TRUE, FALSE)</f>
        <v>1</v>
      </c>
      <c r="O13">
        <v>4</v>
      </c>
      <c r="P13">
        <v>5</v>
      </c>
      <c r="Q13">
        <v>4</v>
      </c>
      <c r="R13">
        <v>3</v>
      </c>
      <c r="S13">
        <v>3</v>
      </c>
      <c r="T13">
        <v>4</v>
      </c>
      <c r="U13">
        <v>3</v>
      </c>
      <c r="X13" t="s">
        <v>454</v>
      </c>
      <c r="Y13" t="s">
        <v>689</v>
      </c>
    </row>
    <row r="14" spans="1:27" x14ac:dyDescent="0.35">
      <c r="A14" s="1">
        <v>45112</v>
      </c>
      <c r="B14" t="s">
        <v>11</v>
      </c>
      <c r="C14" t="s">
        <v>636</v>
      </c>
      <c r="D14" t="s">
        <v>101</v>
      </c>
      <c r="E14" t="s">
        <v>16</v>
      </c>
      <c r="F14">
        <v>1</v>
      </c>
      <c r="H14">
        <v>259</v>
      </c>
      <c r="K14" s="18">
        <f>MIN(Season4Data[[#This Row],[Brian]:[Spencer]])</f>
        <v>2</v>
      </c>
      <c r="L14" s="30">
        <f>AVERAGE(Season4Data[[#This Row],[Brian]:[Spencer]])</f>
        <v>3.8571428571428572</v>
      </c>
      <c r="M14" t="b">
        <f>IF(COUNTIF(Season4Data[[#This Row],[Brian]:[Spencer]], Season3Data[[#This Row],[Best Guess]]) &gt; 1, TRUE, FALSE)</f>
        <v>0</v>
      </c>
      <c r="O14">
        <v>4</v>
      </c>
      <c r="P14">
        <v>4</v>
      </c>
      <c r="Q14">
        <v>5</v>
      </c>
      <c r="R14">
        <v>3</v>
      </c>
      <c r="S14">
        <v>5</v>
      </c>
      <c r="T14">
        <v>4</v>
      </c>
      <c r="U14">
        <v>2</v>
      </c>
      <c r="X14" t="s">
        <v>455</v>
      </c>
      <c r="Y14" t="s">
        <v>690</v>
      </c>
    </row>
    <row r="15" spans="1:27" x14ac:dyDescent="0.35">
      <c r="A15" s="1">
        <v>45113</v>
      </c>
      <c r="B15" t="s">
        <v>16</v>
      </c>
      <c r="C15" t="s">
        <v>637</v>
      </c>
      <c r="D15" t="s">
        <v>638</v>
      </c>
      <c r="E15" t="s">
        <v>2</v>
      </c>
      <c r="F15">
        <v>1</v>
      </c>
      <c r="H15">
        <v>1555</v>
      </c>
      <c r="K15" s="18">
        <f>MIN(Season4Data[[#This Row],[Brian]:[Spencer]])</f>
        <v>3</v>
      </c>
      <c r="L15" s="30">
        <f>AVERAGE(Season4Data[[#This Row],[Brian]:[Spencer]])</f>
        <v>4.5714285714285712</v>
      </c>
      <c r="M15" t="b">
        <f>IF(COUNTIF(Season4Data[[#This Row],[Brian]:[Spencer]], Season3Data[[#This Row],[Best Guess]]) &gt; 1, TRUE, FALSE)</f>
        <v>0</v>
      </c>
      <c r="O15">
        <v>4</v>
      </c>
      <c r="P15">
        <v>4</v>
      </c>
      <c r="Q15">
        <v>3</v>
      </c>
      <c r="R15">
        <v>5</v>
      </c>
      <c r="S15">
        <v>6</v>
      </c>
      <c r="T15">
        <v>5</v>
      </c>
      <c r="U15">
        <v>5</v>
      </c>
      <c r="X15" t="s">
        <v>456</v>
      </c>
      <c r="Y15" t="s">
        <v>538</v>
      </c>
    </row>
    <row r="16" spans="1:27" x14ac:dyDescent="0.35">
      <c r="A16" s="1">
        <v>45114</v>
      </c>
      <c r="B16" t="s">
        <v>2</v>
      </c>
      <c r="C16" t="s">
        <v>425</v>
      </c>
      <c r="D16" t="s">
        <v>639</v>
      </c>
      <c r="E16" t="s">
        <v>1</v>
      </c>
      <c r="F16">
        <v>1</v>
      </c>
      <c r="H16">
        <v>2414</v>
      </c>
      <c r="K16" s="18">
        <f>MIN(Season4Data[[#This Row],[Brian]:[Spencer]])</f>
        <v>4</v>
      </c>
      <c r="L16" s="30">
        <f>AVERAGE(Season4Data[[#This Row],[Brian]:[Spencer]])</f>
        <v>4</v>
      </c>
      <c r="M16" t="b">
        <f>IF(COUNTIF(Season4Data[[#This Row],[Brian]:[Spencer]], Season3Data[[#This Row],[Best Guess]]) &gt; 1, TRUE, FALSE)</f>
        <v>0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</row>
    <row r="17" spans="1:27" x14ac:dyDescent="0.35">
      <c r="A17" s="1">
        <v>45115</v>
      </c>
      <c r="B17" t="s">
        <v>1</v>
      </c>
      <c r="C17" t="s">
        <v>640</v>
      </c>
      <c r="D17" t="s">
        <v>641</v>
      </c>
      <c r="E17" t="s">
        <v>11</v>
      </c>
      <c r="F17">
        <v>1</v>
      </c>
      <c r="H17">
        <v>317</v>
      </c>
      <c r="K17" s="18">
        <f>MIN(Season4Data[[#This Row],[Brian]:[Spencer]])</f>
        <v>4</v>
      </c>
      <c r="L17" s="30">
        <f>AVERAGE(Season4Data[[#This Row],[Brian]:[Spencer]])</f>
        <v>5.1428571428571432</v>
      </c>
      <c r="M17" t="b">
        <f>IF(COUNTIF(Season4Data[[#This Row],[Brian]:[Spencer]], Season3Data[[#This Row],[Best Guess]]) &gt; 1, TRUE, FALSE)</f>
        <v>0</v>
      </c>
      <c r="O17">
        <v>5</v>
      </c>
      <c r="P17">
        <v>5</v>
      </c>
      <c r="Q17">
        <v>6</v>
      </c>
      <c r="R17">
        <v>4</v>
      </c>
      <c r="S17">
        <v>4</v>
      </c>
      <c r="T17">
        <v>6</v>
      </c>
      <c r="U17">
        <v>6</v>
      </c>
    </row>
    <row r="18" spans="1:27" x14ac:dyDescent="0.35">
      <c r="A18" s="1">
        <v>45116</v>
      </c>
      <c r="B18" t="s">
        <v>11</v>
      </c>
      <c r="C18" t="s">
        <v>642</v>
      </c>
      <c r="D18" t="s">
        <v>645</v>
      </c>
      <c r="E18" t="s">
        <v>13</v>
      </c>
      <c r="F18">
        <v>1</v>
      </c>
      <c r="H18">
        <v>3700</v>
      </c>
      <c r="K18" s="18">
        <f>MIN(Season4Data[[#This Row],[Brian]:[Spencer]])</f>
        <v>3</v>
      </c>
      <c r="L18" s="30">
        <f>AVERAGE(Season4Data[[#This Row],[Brian]:[Spencer]])</f>
        <v>4.166666666666667</v>
      </c>
      <c r="M18" t="b">
        <f>IF(COUNTIF(Season4Data[[#This Row],[Brian]:[Spencer]], Season3Data[[#This Row],[Best Guess]]) &gt; 1, TRUE, FALSE)</f>
        <v>0</v>
      </c>
      <c r="O18">
        <v>5</v>
      </c>
      <c r="P18" s="2"/>
      <c r="Q18">
        <v>4</v>
      </c>
      <c r="R18">
        <v>5</v>
      </c>
      <c r="S18">
        <v>3</v>
      </c>
      <c r="T18">
        <v>4</v>
      </c>
      <c r="U18">
        <v>4</v>
      </c>
      <c r="X18" s="26" t="s">
        <v>539</v>
      </c>
      <c r="Y18" t="s">
        <v>442</v>
      </c>
      <c r="Z18" t="s">
        <v>443</v>
      </c>
      <c r="AA18" t="s">
        <v>181</v>
      </c>
    </row>
    <row r="19" spans="1:27" x14ac:dyDescent="0.35">
      <c r="A19" s="1">
        <v>45117</v>
      </c>
      <c r="B19" t="s">
        <v>13</v>
      </c>
      <c r="C19" t="s">
        <v>643</v>
      </c>
      <c r="D19" t="s">
        <v>644</v>
      </c>
      <c r="E19" t="s">
        <v>11</v>
      </c>
      <c r="F19">
        <v>1</v>
      </c>
      <c r="H19">
        <v>279</v>
      </c>
      <c r="K19" s="18">
        <f>MIN(Season4Data[[#This Row],[Brian]:[Spencer]])</f>
        <v>2</v>
      </c>
      <c r="L19" s="30">
        <f>AVERAGE(Season4Data[[#This Row],[Brian]:[Spencer]])</f>
        <v>5.4285714285714288</v>
      </c>
      <c r="M19" t="b">
        <f>IF(COUNTIF(Season4Data[[#This Row],[Brian]:[Spencer]], Season3Data[[#This Row],[Best Guess]]) &gt; 1, TRUE, FALSE)</f>
        <v>0</v>
      </c>
      <c r="O19">
        <v>4</v>
      </c>
      <c r="P19">
        <v>5</v>
      </c>
      <c r="Q19">
        <v>7</v>
      </c>
      <c r="R19">
        <v>2</v>
      </c>
      <c r="S19">
        <v>7</v>
      </c>
      <c r="T19">
        <v>7</v>
      </c>
      <c r="U19">
        <v>6</v>
      </c>
      <c r="X19" t="s">
        <v>4</v>
      </c>
      <c r="Y19">
        <v>2</v>
      </c>
    </row>
    <row r="20" spans="1:27" x14ac:dyDescent="0.35">
      <c r="A20" s="1">
        <v>45118</v>
      </c>
      <c r="B20" t="s">
        <v>11</v>
      </c>
      <c r="C20" t="s">
        <v>646</v>
      </c>
      <c r="D20" t="s">
        <v>647</v>
      </c>
      <c r="E20" t="s">
        <v>6</v>
      </c>
      <c r="F20">
        <v>1</v>
      </c>
      <c r="H20">
        <v>305</v>
      </c>
      <c r="K20" s="18">
        <f>MIN(Season4Data[[#This Row],[Brian]:[Spencer]])</f>
        <v>3</v>
      </c>
      <c r="L20" s="30">
        <f>AVERAGE(Season4Data[[#This Row],[Brian]:[Spencer]])</f>
        <v>3.7142857142857144</v>
      </c>
      <c r="M20" t="b">
        <f>IF(COUNTIF(Season4Data[[#This Row],[Brian]:[Spencer]], Season3Data[[#This Row],[Best Guess]]) &gt; 1, TRUE, FALSE)</f>
        <v>1</v>
      </c>
      <c r="O20">
        <v>3</v>
      </c>
      <c r="P20">
        <v>3</v>
      </c>
      <c r="Q20">
        <v>4</v>
      </c>
      <c r="R20">
        <v>4</v>
      </c>
      <c r="S20">
        <v>4</v>
      </c>
      <c r="T20">
        <v>4</v>
      </c>
      <c r="U20">
        <v>4</v>
      </c>
      <c r="X20" t="s">
        <v>6</v>
      </c>
      <c r="Y20">
        <v>2</v>
      </c>
    </row>
    <row r="21" spans="1:27" x14ac:dyDescent="0.35">
      <c r="A21" s="1">
        <v>45119</v>
      </c>
      <c r="B21" t="s">
        <v>6</v>
      </c>
      <c r="C21" t="s">
        <v>648</v>
      </c>
      <c r="D21" t="s">
        <v>649</v>
      </c>
      <c r="E21" t="s">
        <v>1</v>
      </c>
      <c r="F21">
        <v>1</v>
      </c>
      <c r="H21">
        <v>662</v>
      </c>
      <c r="K21" s="18">
        <f>MIN(Season4Data[[#This Row],[Brian]:[Spencer]])</f>
        <v>3</v>
      </c>
      <c r="L21" s="30">
        <f>AVERAGE(Season4Data[[#This Row],[Brian]:[Spencer]])</f>
        <v>3.2857142857142856</v>
      </c>
      <c r="M21" t="b">
        <f>IF(COUNTIF(Season4Data[[#This Row],[Brian]:[Spencer]], Season3Data[[#This Row],[Best Guess]]) &gt; 1, TRUE, FALSE)</f>
        <v>1</v>
      </c>
      <c r="O21">
        <v>3</v>
      </c>
      <c r="P21">
        <v>4</v>
      </c>
      <c r="Q21">
        <v>3</v>
      </c>
      <c r="R21">
        <v>4</v>
      </c>
      <c r="S21">
        <v>3</v>
      </c>
      <c r="T21">
        <v>3</v>
      </c>
      <c r="U21">
        <v>3</v>
      </c>
      <c r="X21" t="s">
        <v>2</v>
      </c>
      <c r="Y21">
        <v>5</v>
      </c>
    </row>
    <row r="22" spans="1:27" x14ac:dyDescent="0.35">
      <c r="A22" s="1">
        <v>45120</v>
      </c>
      <c r="B22" t="s">
        <v>1</v>
      </c>
      <c r="C22" t="s">
        <v>182</v>
      </c>
      <c r="D22" t="s">
        <v>476</v>
      </c>
      <c r="E22" t="s">
        <v>4</v>
      </c>
      <c r="F22">
        <v>1</v>
      </c>
      <c r="H22">
        <v>17</v>
      </c>
      <c r="K22" s="18">
        <f>MIN(Season4Data[[#This Row],[Brian]:[Spencer]])</f>
        <v>2</v>
      </c>
      <c r="L22" s="30">
        <f>AVERAGE(Season4Data[[#This Row],[Brian]:[Spencer]])</f>
        <v>2.6</v>
      </c>
      <c r="M22" t="b">
        <f>IF(COUNTIF(Season4Data[[#This Row],[Brian]:[Spencer]], Season3Data[[#This Row],[Best Guess]]) &gt; 1, TRUE, FALSE)</f>
        <v>1</v>
      </c>
      <c r="O22">
        <v>2</v>
      </c>
      <c r="P22" s="2"/>
      <c r="Q22">
        <v>2</v>
      </c>
      <c r="R22">
        <v>3</v>
      </c>
      <c r="S22">
        <v>3</v>
      </c>
      <c r="T22">
        <v>3</v>
      </c>
      <c r="U22" s="2"/>
      <c r="X22" t="s">
        <v>11</v>
      </c>
      <c r="Y22">
        <v>5</v>
      </c>
    </row>
    <row r="23" spans="1:27" x14ac:dyDescent="0.35">
      <c r="A23" s="1">
        <v>45121</v>
      </c>
      <c r="B23" t="s">
        <v>4</v>
      </c>
      <c r="C23" t="s">
        <v>152</v>
      </c>
      <c r="D23" t="s">
        <v>367</v>
      </c>
      <c r="E23" t="s">
        <v>2</v>
      </c>
      <c r="F23">
        <v>1</v>
      </c>
      <c r="H23">
        <v>2140</v>
      </c>
      <c r="K23" s="18">
        <f>MIN(Season4Data[[#This Row],[Brian]:[Spencer]])</f>
        <v>3</v>
      </c>
      <c r="L23" s="30">
        <f>AVERAGE(Season4Data[[#This Row],[Brian]:[Spencer]])</f>
        <v>4</v>
      </c>
      <c r="M23" t="b">
        <f>IF(COUNTIF(Season4Data[[#This Row],[Brian]:[Spencer]], Season3Data[[#This Row],[Best Guess]]) &gt; 1, TRUE, FALSE)</f>
        <v>0</v>
      </c>
      <c r="O23">
        <v>4</v>
      </c>
      <c r="P23" s="2"/>
      <c r="Q23">
        <v>3</v>
      </c>
      <c r="R23">
        <v>4</v>
      </c>
      <c r="S23">
        <v>5</v>
      </c>
      <c r="T23">
        <v>4</v>
      </c>
      <c r="U23">
        <v>4</v>
      </c>
      <c r="X23" t="s">
        <v>13</v>
      </c>
      <c r="Y23">
        <v>4</v>
      </c>
    </row>
    <row r="24" spans="1:27" x14ac:dyDescent="0.35">
      <c r="A24" s="1">
        <v>45122</v>
      </c>
      <c r="B24" t="s">
        <v>2</v>
      </c>
      <c r="C24" t="s">
        <v>650</v>
      </c>
      <c r="D24" t="s">
        <v>651</v>
      </c>
      <c r="E24" t="s">
        <v>16</v>
      </c>
      <c r="F24">
        <v>1</v>
      </c>
      <c r="H24">
        <v>482</v>
      </c>
      <c r="K24" s="18">
        <f>MIN(Season4Data[[#This Row],[Brian]:[Spencer]])</f>
        <v>3</v>
      </c>
      <c r="L24" s="30">
        <f>AVERAGE(Season4Data[[#This Row],[Brian]:[Spencer]])</f>
        <v>4.333333333333333</v>
      </c>
      <c r="M24" t="b">
        <f>IF(COUNTIF(Season4Data[[#This Row],[Brian]:[Spencer]], Season3Data[[#This Row],[Best Guess]]) &gt; 1, TRUE, FALSE)</f>
        <v>1</v>
      </c>
      <c r="O24">
        <v>6</v>
      </c>
      <c r="P24" s="2"/>
      <c r="Q24">
        <v>5</v>
      </c>
      <c r="R24">
        <v>5</v>
      </c>
      <c r="S24">
        <v>4</v>
      </c>
      <c r="T24">
        <v>3</v>
      </c>
      <c r="U24">
        <v>3</v>
      </c>
      <c r="X24" t="s">
        <v>1</v>
      </c>
      <c r="Y24" s="25">
        <v>6</v>
      </c>
    </row>
    <row r="25" spans="1:27" x14ac:dyDescent="0.35">
      <c r="A25" s="1">
        <v>45123</v>
      </c>
      <c r="B25" t="s">
        <v>16</v>
      </c>
      <c r="C25" t="s">
        <v>652</v>
      </c>
      <c r="D25" t="s">
        <v>12</v>
      </c>
      <c r="E25" t="s">
        <v>13</v>
      </c>
      <c r="F25">
        <v>1</v>
      </c>
      <c r="H25">
        <v>5</v>
      </c>
      <c r="K25" s="18">
        <f>MIN(Season4Data[[#This Row],[Brian]:[Spencer]])</f>
        <v>2</v>
      </c>
      <c r="L25" s="30">
        <f>AVERAGE(Season4Data[[#This Row],[Brian]:[Spencer]])</f>
        <v>2.3333333333333335</v>
      </c>
      <c r="M25" t="b">
        <f>IF(COUNTIF(Season4Data[[#This Row],[Brian]:[Spencer]], Season3Data[[#This Row],[Best Guess]]) &gt; 1, TRUE, FALSE)</f>
        <v>1</v>
      </c>
      <c r="O25">
        <v>3</v>
      </c>
      <c r="Q25">
        <v>2</v>
      </c>
      <c r="R25">
        <v>3</v>
      </c>
      <c r="S25">
        <v>2</v>
      </c>
      <c r="T25">
        <v>2</v>
      </c>
      <c r="U25">
        <v>2</v>
      </c>
      <c r="X25" t="s">
        <v>16</v>
      </c>
      <c r="Y25" s="25">
        <v>6</v>
      </c>
    </row>
    <row r="26" spans="1:27" x14ac:dyDescent="0.35">
      <c r="A26" s="1">
        <v>45124</v>
      </c>
      <c r="B26" t="s">
        <v>13</v>
      </c>
      <c r="C26" t="s">
        <v>653</v>
      </c>
      <c r="D26" t="s">
        <v>654</v>
      </c>
      <c r="E26" t="s">
        <v>1</v>
      </c>
      <c r="F26">
        <v>1</v>
      </c>
      <c r="H26">
        <v>482</v>
      </c>
      <c r="K26" s="18">
        <f>MIN(Season4Data[[#This Row],[Brian]:[Spencer]])</f>
        <v>3</v>
      </c>
      <c r="L26" s="30">
        <f>AVERAGE(Season4Data[[#This Row],[Brian]:[Spencer]])</f>
        <v>4.1428571428571432</v>
      </c>
      <c r="M26" t="b">
        <f>IF(COUNTIF(Season4Data[[#This Row],[Brian]:[Spencer]], Season3Data[[#This Row],[Best Guess]]) &gt; 1, TRUE, FALSE)</f>
        <v>0</v>
      </c>
      <c r="O26">
        <v>4</v>
      </c>
      <c r="P26">
        <v>4</v>
      </c>
      <c r="Q26">
        <v>5</v>
      </c>
      <c r="R26">
        <v>4</v>
      </c>
      <c r="S26">
        <v>4</v>
      </c>
      <c r="T26">
        <v>3</v>
      </c>
      <c r="U26">
        <v>5</v>
      </c>
    </row>
    <row r="27" spans="1:27" x14ac:dyDescent="0.35">
      <c r="A27" s="1">
        <v>45125</v>
      </c>
      <c r="B27" t="s">
        <v>1</v>
      </c>
      <c r="C27" t="s">
        <v>655</v>
      </c>
      <c r="D27" t="s">
        <v>656</v>
      </c>
      <c r="E27" t="s">
        <v>6</v>
      </c>
      <c r="F27">
        <v>1</v>
      </c>
      <c r="H27">
        <v>1654</v>
      </c>
      <c r="K27" s="18">
        <f>MIN(Season4Data[[#This Row],[Brian]:[Spencer]])</f>
        <v>3</v>
      </c>
      <c r="L27" s="30">
        <f>AVERAGE(Season4Data[[#This Row],[Brian]:[Spencer]])</f>
        <v>5</v>
      </c>
      <c r="M27" t="b">
        <f>IF(COUNTIF(Season4Data[[#This Row],[Brian]:[Spencer]], Season3Data[[#This Row],[Best Guess]]) &gt; 1, TRUE, FALSE)</f>
        <v>0</v>
      </c>
      <c r="O27">
        <v>5</v>
      </c>
      <c r="P27">
        <v>3</v>
      </c>
      <c r="Q27">
        <v>4</v>
      </c>
      <c r="R27">
        <v>6</v>
      </c>
      <c r="S27">
        <v>5</v>
      </c>
      <c r="T27">
        <v>6</v>
      </c>
      <c r="U27">
        <v>6</v>
      </c>
    </row>
    <row r="28" spans="1:27" x14ac:dyDescent="0.35">
      <c r="A28" s="1">
        <v>45126</v>
      </c>
      <c r="B28" t="s">
        <v>6</v>
      </c>
      <c r="C28" t="s">
        <v>657</v>
      </c>
      <c r="D28" t="s">
        <v>658</v>
      </c>
      <c r="E28" t="s">
        <v>1</v>
      </c>
      <c r="F28">
        <v>1</v>
      </c>
      <c r="H28">
        <v>166</v>
      </c>
      <c r="K28" s="18">
        <f>MIN(Season4Data[[#This Row],[Brian]:[Spencer]])</f>
        <v>3</v>
      </c>
      <c r="L28" s="30">
        <f>AVERAGE(Season4Data[[#This Row],[Brian]:[Spencer]])</f>
        <v>3.8333333333333335</v>
      </c>
      <c r="M28" t="b">
        <f>IF(COUNTIF(Season4Data[[#This Row],[Brian]:[Spencer]], Season3Data[[#This Row],[Best Guess]]) &gt; 1, TRUE, FALSE)</f>
        <v>1</v>
      </c>
      <c r="P28">
        <v>4</v>
      </c>
      <c r="Q28">
        <v>6</v>
      </c>
      <c r="R28">
        <v>3</v>
      </c>
      <c r="S28">
        <v>3</v>
      </c>
      <c r="T28">
        <v>3</v>
      </c>
      <c r="U28">
        <v>4</v>
      </c>
      <c r="X28" s="26" t="s">
        <v>374</v>
      </c>
      <c r="Y28" t="s">
        <v>442</v>
      </c>
      <c r="Z28" t="s">
        <v>443</v>
      </c>
      <c r="AA28" t="s">
        <v>181</v>
      </c>
    </row>
    <row r="29" spans="1:27" x14ac:dyDescent="0.35">
      <c r="A29" s="1">
        <v>45127</v>
      </c>
      <c r="B29" t="s">
        <v>1</v>
      </c>
      <c r="C29" t="s">
        <v>496</v>
      </c>
      <c r="D29" t="s">
        <v>659</v>
      </c>
      <c r="E29" t="s">
        <v>16</v>
      </c>
      <c r="F29">
        <v>1</v>
      </c>
      <c r="H29">
        <v>327</v>
      </c>
      <c r="K29" s="18">
        <f>MIN(Season4Data[[#This Row],[Brian]:[Spencer]])</f>
        <v>3</v>
      </c>
      <c r="L29" s="30">
        <f>AVERAGE(Season4Data[[#This Row],[Brian]:[Spencer]])</f>
        <v>4.333333333333333</v>
      </c>
      <c r="M29" t="b">
        <f>IF(COUNTIF(Season4Data[[#This Row],[Brian]:[Spencer]], Season3Data[[#This Row],[Best Guess]]) &gt; 1, TRUE, FALSE)</f>
        <v>0</v>
      </c>
      <c r="O29">
        <v>4</v>
      </c>
      <c r="Q29">
        <v>5</v>
      </c>
      <c r="R29">
        <v>4</v>
      </c>
      <c r="S29">
        <v>6</v>
      </c>
      <c r="T29">
        <v>4</v>
      </c>
      <c r="U29">
        <v>3</v>
      </c>
      <c r="X29" t="s">
        <v>4</v>
      </c>
      <c r="Y29">
        <v>1</v>
      </c>
    </row>
    <row r="30" spans="1:27" x14ac:dyDescent="0.35">
      <c r="A30" s="1">
        <v>45128</v>
      </c>
      <c r="B30" t="s">
        <v>16</v>
      </c>
      <c r="C30" t="s">
        <v>660</v>
      </c>
      <c r="D30" t="s">
        <v>661</v>
      </c>
      <c r="E30" t="s">
        <v>16</v>
      </c>
      <c r="F30">
        <v>2</v>
      </c>
      <c r="H30">
        <v>153</v>
      </c>
      <c r="K30" s="18">
        <f>MIN(Season4Data[[#This Row],[Brian]:[Spencer]])</f>
        <v>3</v>
      </c>
      <c r="L30" s="30">
        <f>AVERAGE(Season4Data[[#This Row],[Brian]:[Spencer]])</f>
        <v>4.666666666666667</v>
      </c>
      <c r="M30" t="b">
        <f>IF(COUNTIF(Season4Data[[#This Row],[Brian]:[Spencer]], Season3Data[[#This Row],[Best Guess]]) &gt; 1, TRUE, FALSE)</f>
        <v>0</v>
      </c>
      <c r="O30">
        <v>5</v>
      </c>
      <c r="Q30">
        <v>6</v>
      </c>
      <c r="R30">
        <v>5</v>
      </c>
      <c r="S30">
        <v>5</v>
      </c>
      <c r="T30">
        <v>4</v>
      </c>
      <c r="U30">
        <v>3</v>
      </c>
      <c r="X30" t="s">
        <v>6</v>
      </c>
      <c r="Y30">
        <v>1</v>
      </c>
    </row>
    <row r="31" spans="1:27" x14ac:dyDescent="0.35">
      <c r="A31" s="1">
        <v>45129</v>
      </c>
      <c r="B31" t="s">
        <v>16</v>
      </c>
      <c r="C31" t="s">
        <v>662</v>
      </c>
      <c r="D31" t="s">
        <v>663</v>
      </c>
      <c r="E31" t="s">
        <v>1</v>
      </c>
      <c r="F31">
        <v>1</v>
      </c>
      <c r="H31">
        <v>278</v>
      </c>
      <c r="K31" s="18">
        <f>MIN(Season4Data[[#This Row],[Brian]:[Spencer]])</f>
        <v>4</v>
      </c>
      <c r="L31" s="30">
        <f>AVERAGE(Season4Data[[#This Row],[Brian]:[Spencer]])</f>
        <v>6</v>
      </c>
      <c r="M31" t="b">
        <f>IF(COUNTIF(Season4Data[[#This Row],[Brian]:[Spencer]], Season3Data[[#This Row],[Best Guess]]) &gt; 1, TRUE, FALSE)</f>
        <v>0</v>
      </c>
      <c r="O31">
        <v>7</v>
      </c>
      <c r="P31">
        <v>7</v>
      </c>
      <c r="Q31">
        <v>6</v>
      </c>
      <c r="R31">
        <v>5</v>
      </c>
      <c r="S31">
        <v>7</v>
      </c>
      <c r="T31">
        <v>4</v>
      </c>
      <c r="U31">
        <v>6</v>
      </c>
      <c r="X31" t="s">
        <v>2</v>
      </c>
      <c r="Y31">
        <v>1</v>
      </c>
    </row>
    <row r="32" spans="1:27" x14ac:dyDescent="0.35">
      <c r="A32" s="1">
        <v>45130</v>
      </c>
      <c r="B32" t="s">
        <v>1</v>
      </c>
      <c r="C32" t="s">
        <v>106</v>
      </c>
      <c r="D32" t="s">
        <v>691</v>
      </c>
      <c r="E32" t="s">
        <v>1</v>
      </c>
      <c r="F32">
        <v>2</v>
      </c>
      <c r="H32">
        <v>2191</v>
      </c>
      <c r="K32" s="18">
        <f>MIN(Season4Data[[#This Row],[Brian]:[Spencer]])</f>
        <v>3</v>
      </c>
      <c r="L32" s="30">
        <f>AVERAGE(Season4Data[[#This Row],[Brian]:[Spencer]])</f>
        <v>3.4285714285714284</v>
      </c>
      <c r="M32" t="b">
        <f>IF(COUNTIF(Season4Data[[#This Row],[Brian]:[Spencer]], Season3Data[[#This Row],[Best Guess]]) &gt; 1, TRUE, FALSE)</f>
        <v>1</v>
      </c>
      <c r="O32">
        <v>4</v>
      </c>
      <c r="P32">
        <v>3</v>
      </c>
      <c r="Q32">
        <v>3</v>
      </c>
      <c r="R32">
        <v>4</v>
      </c>
      <c r="S32">
        <v>3</v>
      </c>
      <c r="T32">
        <v>3</v>
      </c>
      <c r="U32">
        <v>4</v>
      </c>
      <c r="X32" t="s">
        <v>11</v>
      </c>
      <c r="Y32">
        <v>2</v>
      </c>
    </row>
    <row r="33" spans="1:27" x14ac:dyDescent="0.35">
      <c r="A33" s="1">
        <v>45131</v>
      </c>
      <c r="B33" t="s">
        <v>1</v>
      </c>
      <c r="C33" t="s">
        <v>590</v>
      </c>
      <c r="D33" t="s">
        <v>692</v>
      </c>
      <c r="E33" t="s">
        <v>6</v>
      </c>
      <c r="F33">
        <v>1</v>
      </c>
      <c r="H33">
        <v>485</v>
      </c>
      <c r="K33" s="18">
        <f>MIN(Season4Data[[#This Row],[Brian]:[Spencer]])</f>
        <v>3</v>
      </c>
      <c r="L33" s="30">
        <f>AVERAGE(Season4Data[[#This Row],[Brian]:[Spencer]])</f>
        <v>4.8571428571428568</v>
      </c>
      <c r="M33" t="b">
        <f>IF(COUNTIF(Season4Data[[#This Row],[Brian]:[Spencer]], Season3Data[[#This Row],[Best Guess]]) &gt; 1, TRUE, FALSE)</f>
        <v>0</v>
      </c>
      <c r="O33">
        <v>4</v>
      </c>
      <c r="P33">
        <v>3</v>
      </c>
      <c r="Q33">
        <v>5</v>
      </c>
      <c r="R33">
        <v>6</v>
      </c>
      <c r="S33">
        <v>7</v>
      </c>
      <c r="T33">
        <v>5</v>
      </c>
      <c r="U33">
        <v>4</v>
      </c>
      <c r="X33" t="s">
        <v>13</v>
      </c>
      <c r="Y33">
        <v>2</v>
      </c>
    </row>
    <row r="34" spans="1:27" x14ac:dyDescent="0.35">
      <c r="A34" s="1">
        <v>45132</v>
      </c>
      <c r="B34" t="s">
        <v>6</v>
      </c>
      <c r="C34" t="s">
        <v>693</v>
      </c>
      <c r="D34" t="s">
        <v>694</v>
      </c>
      <c r="E34" t="s">
        <v>4</v>
      </c>
      <c r="F34">
        <v>1</v>
      </c>
      <c r="H34">
        <v>124</v>
      </c>
      <c r="K34" s="18">
        <f>MIN(Season4Data[[#This Row],[Brian]:[Spencer]])</f>
        <v>3</v>
      </c>
      <c r="L34" s="30">
        <f>AVERAGE(Season4Data[[#This Row],[Brian]:[Spencer]])</f>
        <v>3.5714285714285716</v>
      </c>
      <c r="M34" t="b">
        <f>IF(COUNTIF(Season4Data[[#This Row],[Brian]:[Spencer]], Season3Data[[#This Row],[Best Guess]]) &gt; 1, TRUE, FALSE)</f>
        <v>1</v>
      </c>
      <c r="O34">
        <v>3</v>
      </c>
      <c r="P34">
        <v>4</v>
      </c>
      <c r="Q34">
        <v>3</v>
      </c>
      <c r="R34">
        <v>4</v>
      </c>
      <c r="S34">
        <v>3</v>
      </c>
      <c r="T34">
        <v>4</v>
      </c>
      <c r="U34">
        <v>4</v>
      </c>
      <c r="X34" t="s">
        <v>1</v>
      </c>
      <c r="Y34" s="25">
        <v>3</v>
      </c>
    </row>
    <row r="35" spans="1:27" x14ac:dyDescent="0.35">
      <c r="A35" s="1">
        <v>45133</v>
      </c>
      <c r="B35" t="s">
        <v>4</v>
      </c>
      <c r="C35" t="s">
        <v>416</v>
      </c>
      <c r="D35" t="s">
        <v>157</v>
      </c>
      <c r="E35" t="s">
        <v>1</v>
      </c>
      <c r="F35">
        <v>1</v>
      </c>
      <c r="H35">
        <v>741</v>
      </c>
      <c r="K35" s="18">
        <f>MIN(Season4Data[[#This Row],[Brian]:[Spencer]])</f>
        <v>3</v>
      </c>
      <c r="L35" s="30">
        <f>AVERAGE(Season4Data[[#This Row],[Brian]:[Spencer]])</f>
        <v>3.4285714285714284</v>
      </c>
      <c r="M35" t="b">
        <f>IF(COUNTIF(Season4Data[[#This Row],[Brian]:[Spencer]], Season3Data[[#This Row],[Best Guess]]) &gt; 1, TRUE, FALSE)</f>
        <v>1</v>
      </c>
      <c r="O35">
        <v>3</v>
      </c>
      <c r="P35">
        <v>3</v>
      </c>
      <c r="Q35">
        <v>3</v>
      </c>
      <c r="R35">
        <v>4</v>
      </c>
      <c r="S35">
        <v>4</v>
      </c>
      <c r="T35">
        <v>3</v>
      </c>
      <c r="U35">
        <v>4</v>
      </c>
      <c r="X35" t="s">
        <v>16</v>
      </c>
      <c r="Y35">
        <v>2</v>
      </c>
    </row>
    <row r="36" spans="1:27" x14ac:dyDescent="0.35">
      <c r="A36" s="1">
        <v>45134</v>
      </c>
      <c r="B36" t="s">
        <v>1</v>
      </c>
      <c r="C36" t="s">
        <v>695</v>
      </c>
      <c r="D36" t="s">
        <v>588</v>
      </c>
      <c r="E36" t="s">
        <v>2</v>
      </c>
      <c r="F36">
        <v>1</v>
      </c>
      <c r="H36">
        <v>932</v>
      </c>
      <c r="K36" s="18">
        <f>MIN(Season4Data[[#This Row],[Brian]:[Spencer]])</f>
        <v>3</v>
      </c>
      <c r="L36" s="30">
        <f>AVERAGE(Season4Data[[#This Row],[Brian]:[Spencer]])</f>
        <v>3.8571428571428572</v>
      </c>
      <c r="M36" t="b">
        <f>IF(COUNTIF(Season4Data[[#This Row],[Brian]:[Spencer]], Season3Data[[#This Row],[Best Guess]]) &gt; 1, TRUE, FALSE)</f>
        <v>1</v>
      </c>
      <c r="O36">
        <v>4</v>
      </c>
      <c r="P36">
        <v>5</v>
      </c>
      <c r="Q36">
        <v>3</v>
      </c>
      <c r="R36">
        <v>3</v>
      </c>
      <c r="S36">
        <v>4</v>
      </c>
      <c r="T36">
        <v>5</v>
      </c>
      <c r="U36">
        <v>3</v>
      </c>
    </row>
    <row r="37" spans="1:27" x14ac:dyDescent="0.35">
      <c r="A37" s="1">
        <v>45135</v>
      </c>
      <c r="B37" t="s">
        <v>2</v>
      </c>
      <c r="C37" t="s">
        <v>662</v>
      </c>
      <c r="D37" t="s">
        <v>696</v>
      </c>
      <c r="E37" t="s">
        <v>4</v>
      </c>
      <c r="F37">
        <v>1</v>
      </c>
      <c r="H37">
        <v>537</v>
      </c>
      <c r="K37" s="18">
        <f>MIN(Season4Data[[#This Row],[Brian]:[Spencer]])</f>
        <v>3</v>
      </c>
      <c r="L37" s="30">
        <f>AVERAGE(Season4Data[[#This Row],[Brian]:[Spencer]])</f>
        <v>4.1428571428571432</v>
      </c>
      <c r="M37" t="b">
        <f>IF(COUNTIF(Season4Data[[#This Row],[Brian]:[Spencer]], Season3Data[[#This Row],[Best Guess]]) &gt; 1, TRUE, FALSE)</f>
        <v>0</v>
      </c>
      <c r="O37">
        <v>3</v>
      </c>
      <c r="P37">
        <v>5</v>
      </c>
      <c r="Q37">
        <v>4</v>
      </c>
      <c r="R37">
        <v>4</v>
      </c>
      <c r="S37">
        <v>5</v>
      </c>
      <c r="T37">
        <v>4</v>
      </c>
      <c r="U37">
        <v>4</v>
      </c>
    </row>
    <row r="38" spans="1:27" x14ac:dyDescent="0.35">
      <c r="A38" s="1">
        <v>45136</v>
      </c>
      <c r="B38" t="s">
        <v>4</v>
      </c>
      <c r="C38" t="s">
        <v>697</v>
      </c>
      <c r="D38" t="s">
        <v>698</v>
      </c>
      <c r="E38" t="s">
        <v>16</v>
      </c>
      <c r="F38">
        <v>1</v>
      </c>
      <c r="H38">
        <v>968</v>
      </c>
      <c r="K38" s="18">
        <f>MIN(Season4Data[[#This Row],[Brian]:[Spencer]])</f>
        <v>4</v>
      </c>
      <c r="L38" s="30">
        <f>AVERAGE(Season4Data[[#This Row],[Brian]:[Spencer]])</f>
        <v>4.833333333333333</v>
      </c>
      <c r="M38" t="b">
        <f>IF(COUNTIF(Season4Data[[#This Row],[Brian]:[Spencer]], Season3Data[[#This Row],[Best Guess]]) &gt; 1, TRUE, FALSE)</f>
        <v>1</v>
      </c>
      <c r="O38">
        <v>5</v>
      </c>
      <c r="Q38">
        <v>4</v>
      </c>
      <c r="R38">
        <v>6</v>
      </c>
      <c r="S38">
        <v>6</v>
      </c>
      <c r="T38">
        <v>4</v>
      </c>
      <c r="U38">
        <v>4</v>
      </c>
      <c r="X38" s="26" t="s">
        <v>373</v>
      </c>
      <c r="Y38" t="s">
        <v>442</v>
      </c>
      <c r="Z38" t="s">
        <v>443</v>
      </c>
      <c r="AA38" t="s">
        <v>181</v>
      </c>
    </row>
    <row r="39" spans="1:27" x14ac:dyDescent="0.35">
      <c r="A39" s="1">
        <v>45137</v>
      </c>
      <c r="B39" t="s">
        <v>16</v>
      </c>
      <c r="C39" t="s">
        <v>699</v>
      </c>
      <c r="D39" t="s">
        <v>700</v>
      </c>
      <c r="E39" t="s">
        <v>4</v>
      </c>
      <c r="F39">
        <v>1</v>
      </c>
      <c r="H39">
        <v>256</v>
      </c>
      <c r="K39" s="18">
        <f>MIN(Season4Data[[#This Row],[Brian]:[Spencer]])</f>
        <v>3</v>
      </c>
      <c r="L39" s="30">
        <f>AVERAGE(Season4Data[[#This Row],[Brian]:[Spencer]])</f>
        <v>4.166666666666667</v>
      </c>
      <c r="M39" t="b">
        <f>IF(COUNTIF(Season4Data[[#This Row],[Brian]:[Spencer]], Season3Data[[#This Row],[Best Guess]]) &gt; 1, TRUE, FALSE)</f>
        <v>1</v>
      </c>
      <c r="O39">
        <v>3</v>
      </c>
      <c r="Q39">
        <v>4</v>
      </c>
      <c r="R39">
        <v>5</v>
      </c>
      <c r="S39">
        <v>3</v>
      </c>
      <c r="T39">
        <v>5</v>
      </c>
      <c r="U39">
        <v>5</v>
      </c>
      <c r="X39" t="s">
        <v>4</v>
      </c>
      <c r="Y39">
        <v>1</v>
      </c>
    </row>
    <row r="40" spans="1:27" x14ac:dyDescent="0.35">
      <c r="A40" s="1">
        <v>45138</v>
      </c>
      <c r="B40" t="s">
        <v>4</v>
      </c>
      <c r="C40" t="s">
        <v>280</v>
      </c>
      <c r="D40" t="s">
        <v>701</v>
      </c>
      <c r="E40" t="s">
        <v>16</v>
      </c>
      <c r="F40">
        <v>1</v>
      </c>
      <c r="H40">
        <v>24</v>
      </c>
      <c r="K40" s="18">
        <f>MIN(Season4Data[[#This Row],[Brian]:[Spencer]])</f>
        <v>3</v>
      </c>
      <c r="L40" s="30">
        <f>AVERAGE(Season4Data[[#This Row],[Brian]:[Spencer]])</f>
        <v>3.1666666666666665</v>
      </c>
      <c r="M40" t="b">
        <f>IF(COUNTIF(Season4Data[[#This Row],[Brian]:[Spencer]], Season3Data[[#This Row],[Best Guess]]) &gt; 1, TRUE, FALSE)</f>
        <v>0</v>
      </c>
      <c r="O40">
        <v>3</v>
      </c>
      <c r="Q40">
        <v>3</v>
      </c>
      <c r="R40">
        <v>4</v>
      </c>
      <c r="S40">
        <v>3</v>
      </c>
      <c r="T40">
        <v>3</v>
      </c>
      <c r="U40">
        <v>3</v>
      </c>
      <c r="X40" t="s">
        <v>6</v>
      </c>
      <c r="Y40">
        <v>1</v>
      </c>
    </row>
    <row r="41" spans="1:27" x14ac:dyDescent="0.35">
      <c r="A41" s="1">
        <v>45139</v>
      </c>
      <c r="B41" t="s">
        <v>16</v>
      </c>
      <c r="C41" t="s">
        <v>702</v>
      </c>
      <c r="D41" t="s">
        <v>703</v>
      </c>
      <c r="E41" t="s">
        <v>13</v>
      </c>
      <c r="F41">
        <v>1</v>
      </c>
      <c r="H41">
        <v>1370</v>
      </c>
      <c r="K41" s="18">
        <f>MIN(Season4Data[[#This Row],[Brian]:[Spencer]])</f>
        <v>3</v>
      </c>
      <c r="L41" s="30">
        <f>AVERAGE(Season4Data[[#This Row],[Brian]:[Spencer]])</f>
        <v>4.5</v>
      </c>
      <c r="M41" t="b">
        <f>IF(COUNTIF(Season4Data[[#This Row],[Brian]:[Spencer]], Season3Data[[#This Row],[Best Guess]]) &gt; 1, TRUE, FALSE)</f>
        <v>0</v>
      </c>
      <c r="O41">
        <v>5</v>
      </c>
      <c r="Q41">
        <v>5</v>
      </c>
      <c r="R41">
        <v>4</v>
      </c>
      <c r="S41">
        <v>3</v>
      </c>
      <c r="T41">
        <v>6</v>
      </c>
      <c r="U41">
        <v>4</v>
      </c>
      <c r="X41" t="s">
        <v>2</v>
      </c>
      <c r="Y41" s="25">
        <v>4</v>
      </c>
    </row>
    <row r="42" spans="1:27" x14ac:dyDescent="0.35">
      <c r="A42" s="1">
        <v>45140</v>
      </c>
      <c r="B42" t="s">
        <v>13</v>
      </c>
      <c r="C42" t="s">
        <v>704</v>
      </c>
      <c r="D42" t="s">
        <v>705</v>
      </c>
      <c r="E42" t="s">
        <v>4</v>
      </c>
      <c r="F42">
        <v>1</v>
      </c>
      <c r="H42">
        <v>531</v>
      </c>
      <c r="K42" s="18">
        <f>MIN(Season4Data[[#This Row],[Brian]:[Spencer]])</f>
        <v>4</v>
      </c>
      <c r="L42" s="30">
        <f>AVERAGE(Season4Data[[#This Row],[Brian]:[Spencer]])</f>
        <v>4</v>
      </c>
      <c r="M42" t="b">
        <f>IF(COUNTIF(Season4Data[[#This Row],[Brian]:[Spencer]], Season3Data[[#This Row],[Best Guess]]) &gt; 1, TRUE, FALSE)</f>
        <v>0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X42" t="s">
        <v>11</v>
      </c>
      <c r="Y42">
        <v>3</v>
      </c>
    </row>
    <row r="43" spans="1:27" x14ac:dyDescent="0.35">
      <c r="A43" s="1">
        <v>45141</v>
      </c>
      <c r="B43" t="s">
        <v>4</v>
      </c>
      <c r="C43" t="s">
        <v>706</v>
      </c>
      <c r="D43" t="s">
        <v>211</v>
      </c>
      <c r="E43" t="s">
        <v>16</v>
      </c>
      <c r="F43">
        <v>1</v>
      </c>
      <c r="H43">
        <v>1219</v>
      </c>
      <c r="K43" s="18">
        <f>MIN(Season4Data[[#This Row],[Brian]:[Spencer]])</f>
        <v>3</v>
      </c>
      <c r="L43" s="30">
        <f>AVERAGE(Season4Data[[#This Row],[Brian]:[Spencer]])</f>
        <v>4</v>
      </c>
      <c r="M43" t="b">
        <f>IF(COUNTIF(Season4Data[[#This Row],[Brian]:[Spencer]], Season3Data[[#This Row],[Best Guess]]) &gt; 1, TRUE, FALSE)</f>
        <v>1</v>
      </c>
      <c r="O43">
        <v>4</v>
      </c>
      <c r="Q43">
        <v>4</v>
      </c>
      <c r="R43">
        <v>5</v>
      </c>
      <c r="S43">
        <v>4</v>
      </c>
      <c r="T43">
        <v>4</v>
      </c>
      <c r="U43">
        <v>3</v>
      </c>
      <c r="X43" t="s">
        <v>13</v>
      </c>
      <c r="Y43">
        <v>2</v>
      </c>
    </row>
    <row r="44" spans="1:27" x14ac:dyDescent="0.35">
      <c r="A44" s="1">
        <v>45142</v>
      </c>
      <c r="B44" t="s">
        <v>16</v>
      </c>
      <c r="C44" t="s">
        <v>707</v>
      </c>
      <c r="D44" t="s">
        <v>490</v>
      </c>
      <c r="E44" t="s">
        <v>16</v>
      </c>
      <c r="F44">
        <v>2</v>
      </c>
      <c r="H44">
        <v>4502</v>
      </c>
      <c r="K44" s="18">
        <f>MIN(Season4Data[[#This Row],[Brian]:[Spencer]])</f>
        <v>3</v>
      </c>
      <c r="L44" s="30">
        <f>AVERAGE(Season4Data[[#This Row],[Brian]:[Spencer]])</f>
        <v>3.3333333333333335</v>
      </c>
      <c r="M44" t="b">
        <f>IF(COUNTIF(Season4Data[[#This Row],[Brian]:[Spencer]], Season3Data[[#This Row],[Best Guess]]) &gt; 1, TRUE, FALSE)</f>
        <v>1</v>
      </c>
      <c r="O44">
        <v>3</v>
      </c>
      <c r="Q44">
        <v>3</v>
      </c>
      <c r="R44">
        <v>3</v>
      </c>
      <c r="S44">
        <v>4</v>
      </c>
      <c r="T44">
        <v>4</v>
      </c>
      <c r="U44">
        <v>3</v>
      </c>
      <c r="X44" t="s">
        <v>1</v>
      </c>
      <c r="Y44">
        <v>3</v>
      </c>
    </row>
    <row r="45" spans="1:27" x14ac:dyDescent="0.35">
      <c r="A45" s="1">
        <v>45143</v>
      </c>
      <c r="B45" t="s">
        <v>16</v>
      </c>
      <c r="C45" t="s">
        <v>708</v>
      </c>
      <c r="D45" t="s">
        <v>709</v>
      </c>
      <c r="E45" t="s">
        <v>13</v>
      </c>
      <c r="F45">
        <v>1</v>
      </c>
      <c r="H45">
        <v>37</v>
      </c>
      <c r="K45" s="18">
        <f>MIN(Season4Data[[#This Row],[Brian]:[Spencer]])</f>
        <v>3</v>
      </c>
      <c r="L45" s="30">
        <f>AVERAGE(Season4Data[[#This Row],[Brian]:[Spencer]])</f>
        <v>3.6666666666666665</v>
      </c>
      <c r="M45" t="b">
        <f>IF(COUNTIF(Season4Data[[#This Row],[Brian]:[Spencer]], Season3Data[[#This Row],[Best Guess]]) &gt; 1, TRUE, FALSE)</f>
        <v>1</v>
      </c>
      <c r="O45">
        <v>5</v>
      </c>
      <c r="Q45">
        <v>5</v>
      </c>
      <c r="R45">
        <v>3</v>
      </c>
      <c r="S45">
        <v>3</v>
      </c>
      <c r="T45">
        <v>3</v>
      </c>
      <c r="U45">
        <v>3</v>
      </c>
      <c r="X45" t="s">
        <v>16</v>
      </c>
      <c r="Y45" s="25">
        <v>4</v>
      </c>
    </row>
    <row r="46" spans="1:27" x14ac:dyDescent="0.35">
      <c r="A46" s="1">
        <v>45144</v>
      </c>
      <c r="B46" t="s">
        <v>13</v>
      </c>
      <c r="C46" t="s">
        <v>710</v>
      </c>
      <c r="D46" t="s">
        <v>711</v>
      </c>
      <c r="E46" t="s">
        <v>13</v>
      </c>
      <c r="F46">
        <v>2</v>
      </c>
      <c r="H46">
        <v>1129</v>
      </c>
      <c r="K46" s="18">
        <f>MIN(Season4Data[[#This Row],[Brian]:[Spencer]])</f>
        <v>3</v>
      </c>
      <c r="L46" s="30">
        <f>AVERAGE(Season4Data[[#This Row],[Brian]:[Spencer]])</f>
        <v>4.4285714285714288</v>
      </c>
      <c r="M46" t="b">
        <f>IF(COUNTIF(Season4Data[[#This Row],[Brian]:[Spencer]], Season3Data[[#This Row],[Best Guess]]) &gt; 1, TRUE, FALSE)</f>
        <v>0</v>
      </c>
      <c r="O46">
        <v>5</v>
      </c>
      <c r="P46">
        <v>4</v>
      </c>
      <c r="Q46">
        <v>6</v>
      </c>
      <c r="R46">
        <v>5</v>
      </c>
      <c r="S46">
        <v>3</v>
      </c>
      <c r="T46">
        <v>4</v>
      </c>
      <c r="U46">
        <v>4</v>
      </c>
    </row>
    <row r="47" spans="1:27" x14ac:dyDescent="0.35">
      <c r="A47" s="1">
        <v>45145</v>
      </c>
      <c r="B47" t="s">
        <v>13</v>
      </c>
      <c r="C47" t="s">
        <v>339</v>
      </c>
      <c r="D47" t="s">
        <v>712</v>
      </c>
      <c r="E47" t="s">
        <v>2</v>
      </c>
      <c r="F47">
        <v>1</v>
      </c>
      <c r="H47">
        <v>318</v>
      </c>
      <c r="K47" s="18">
        <f>MIN(Season4Data[[#This Row],[Brian]:[Spencer]])</f>
        <v>4</v>
      </c>
      <c r="L47" s="30">
        <f>AVERAGE(Season4Data[[#This Row],[Brian]:[Spencer]])</f>
        <v>4.833333333333333</v>
      </c>
      <c r="M47" t="b">
        <f>IF(COUNTIF(Season4Data[[#This Row],[Brian]:[Spencer]], Season3Data[[#This Row],[Best Guess]]) &gt; 1, TRUE, FALSE)</f>
        <v>0</v>
      </c>
      <c r="O47">
        <v>5</v>
      </c>
      <c r="Q47">
        <v>4</v>
      </c>
      <c r="R47">
        <v>5</v>
      </c>
      <c r="S47">
        <v>5</v>
      </c>
      <c r="T47">
        <v>6</v>
      </c>
      <c r="U47">
        <v>4</v>
      </c>
    </row>
    <row r="48" spans="1:27" x14ac:dyDescent="0.35">
      <c r="A48" s="1">
        <v>45146</v>
      </c>
      <c r="B48" t="s">
        <v>2</v>
      </c>
      <c r="C48" t="s">
        <v>713</v>
      </c>
      <c r="D48" t="s">
        <v>714</v>
      </c>
      <c r="E48" t="s">
        <v>16</v>
      </c>
      <c r="F48">
        <v>1</v>
      </c>
      <c r="H48">
        <v>243</v>
      </c>
      <c r="K48" s="18">
        <f>MIN(Season4Data[[#This Row],[Brian]:[Spencer]])</f>
        <v>3</v>
      </c>
      <c r="L48" s="30">
        <f>AVERAGE(Season4Data[[#This Row],[Brian]:[Spencer]])</f>
        <v>3.6666666666666665</v>
      </c>
      <c r="M48" t="b">
        <f>IF(COUNTIF(Season4Data[[#This Row],[Brian]:[Spencer]], Season3Data[[#This Row],[Best Guess]]) &gt; 1, TRUE, FALSE)</f>
        <v>1</v>
      </c>
      <c r="O48">
        <v>4</v>
      </c>
      <c r="Q48">
        <v>4</v>
      </c>
      <c r="R48">
        <v>4</v>
      </c>
      <c r="S48">
        <v>3</v>
      </c>
      <c r="T48">
        <v>4</v>
      </c>
      <c r="U48">
        <v>3</v>
      </c>
      <c r="X48" s="26" t="s">
        <v>599</v>
      </c>
      <c r="Y48" t="s">
        <v>442</v>
      </c>
      <c r="Z48" t="s">
        <v>443</v>
      </c>
      <c r="AA48" t="s">
        <v>181</v>
      </c>
    </row>
    <row r="49" spans="1:27" x14ac:dyDescent="0.35">
      <c r="A49" s="1">
        <v>45147</v>
      </c>
      <c r="B49" t="s">
        <v>16</v>
      </c>
      <c r="C49" t="s">
        <v>254</v>
      </c>
      <c r="D49" t="s">
        <v>312</v>
      </c>
      <c r="E49" t="s">
        <v>4</v>
      </c>
      <c r="F49">
        <v>1</v>
      </c>
      <c r="H49">
        <v>985</v>
      </c>
      <c r="K49" s="18">
        <f>MIN(Season4Data[[#This Row],[Brian]:[Spencer]])</f>
        <v>3</v>
      </c>
      <c r="L49" s="30">
        <f>AVERAGE(Season4Data[[#This Row],[Brian]:[Spencer]])</f>
        <v>3.5</v>
      </c>
      <c r="M49" t="b">
        <f>IF(COUNTIF(Season4Data[[#This Row],[Brian]:[Spencer]], Season3Data[[#This Row],[Best Guess]]) &gt; 1, TRUE, FALSE)</f>
        <v>0</v>
      </c>
      <c r="O49">
        <v>3</v>
      </c>
      <c r="Q49">
        <v>3</v>
      </c>
      <c r="R49">
        <v>5</v>
      </c>
      <c r="S49">
        <v>4</v>
      </c>
      <c r="T49">
        <v>3</v>
      </c>
      <c r="U49">
        <v>3</v>
      </c>
      <c r="X49" t="s">
        <v>4</v>
      </c>
      <c r="Y49">
        <v>6.8965517241379306</v>
      </c>
    </row>
    <row r="50" spans="1:27" x14ac:dyDescent="0.35">
      <c r="A50" s="1">
        <v>45148</v>
      </c>
      <c r="B50" t="s">
        <v>4</v>
      </c>
      <c r="C50" t="s">
        <v>715</v>
      </c>
      <c r="D50" t="s">
        <v>716</v>
      </c>
      <c r="E50" t="s">
        <v>16</v>
      </c>
      <c r="F50">
        <v>1</v>
      </c>
      <c r="H50">
        <v>48</v>
      </c>
      <c r="K50" s="18">
        <f>MIN(Season4Data[[#This Row],[Brian]:[Spencer]])</f>
        <v>2</v>
      </c>
      <c r="L50" s="30">
        <f>AVERAGE(Season4Data[[#This Row],[Brian]:[Spencer]])</f>
        <v>3.5714285714285716</v>
      </c>
      <c r="M50" t="b">
        <f>IF(COUNTIF(Season4Data[[#This Row],[Brian]:[Spencer]], Season3Data[[#This Row],[Best Guess]]) &gt; 1, TRUE, FALSE)</f>
        <v>1</v>
      </c>
      <c r="O50">
        <v>4</v>
      </c>
      <c r="P50">
        <v>4</v>
      </c>
      <c r="Q50">
        <v>3</v>
      </c>
      <c r="R50">
        <v>3</v>
      </c>
      <c r="S50">
        <v>4</v>
      </c>
      <c r="T50">
        <v>5</v>
      </c>
      <c r="U50">
        <v>2</v>
      </c>
      <c r="X50" t="s">
        <v>6</v>
      </c>
      <c r="Y50">
        <v>12.5</v>
      </c>
    </row>
    <row r="51" spans="1:27" x14ac:dyDescent="0.35">
      <c r="A51" s="1">
        <v>45149</v>
      </c>
      <c r="B51" t="s">
        <v>16</v>
      </c>
      <c r="C51" t="s">
        <v>717</v>
      </c>
      <c r="D51" t="s">
        <v>718</v>
      </c>
      <c r="E51" t="s">
        <v>4</v>
      </c>
      <c r="F51">
        <v>1</v>
      </c>
      <c r="H51">
        <v>3093</v>
      </c>
      <c r="K51" s="18">
        <f>MIN(Season4Data[[#This Row],[Brian]:[Spencer]])</f>
        <v>3</v>
      </c>
      <c r="L51" s="30">
        <f>AVERAGE(Season4Data[[#This Row],[Brian]:[Spencer]])</f>
        <v>4</v>
      </c>
      <c r="M51" t="b">
        <f>IF(COUNTIF(Season4Data[[#This Row],[Brian]:[Spencer]], Season3Data[[#This Row],[Best Guess]]) &gt; 1, TRUE, FALSE)</f>
        <v>1</v>
      </c>
      <c r="O51">
        <v>3</v>
      </c>
      <c r="Q51">
        <v>3</v>
      </c>
      <c r="R51">
        <v>4</v>
      </c>
      <c r="S51">
        <v>4</v>
      </c>
      <c r="T51">
        <v>5</v>
      </c>
      <c r="U51">
        <v>5</v>
      </c>
      <c r="X51" t="s">
        <v>2</v>
      </c>
      <c r="Y51">
        <v>16.666666666666664</v>
      </c>
    </row>
    <row r="52" spans="1:27" x14ac:dyDescent="0.35">
      <c r="A52" s="1">
        <v>45150</v>
      </c>
      <c r="B52" t="s">
        <v>4</v>
      </c>
      <c r="C52" t="s">
        <v>719</v>
      </c>
      <c r="D52" t="s">
        <v>720</v>
      </c>
      <c r="E52" t="s">
        <v>1</v>
      </c>
      <c r="F52">
        <v>1</v>
      </c>
      <c r="H52">
        <v>98</v>
      </c>
      <c r="K52" s="18">
        <f>MIN(Season4Data[[#This Row],[Brian]:[Spencer]])</f>
        <v>2</v>
      </c>
      <c r="L52" s="30">
        <f>AVERAGE(Season4Data[[#This Row],[Brian]:[Spencer]])</f>
        <v>2.8571428571428572</v>
      </c>
      <c r="M52" t="b">
        <f>IF(COUNTIF(Season4Data[[#This Row],[Brian]:[Spencer]], Season3Data[[#This Row],[Best Guess]]) &gt; 1, TRUE, FALSE)</f>
        <v>1</v>
      </c>
      <c r="O52">
        <v>3</v>
      </c>
      <c r="P52">
        <v>3</v>
      </c>
      <c r="Q52">
        <v>3</v>
      </c>
      <c r="R52">
        <v>3</v>
      </c>
      <c r="S52">
        <v>2</v>
      </c>
      <c r="T52">
        <v>2</v>
      </c>
      <c r="U52">
        <v>4</v>
      </c>
      <c r="X52" t="s">
        <v>11</v>
      </c>
      <c r="Y52">
        <v>16.666666666666664</v>
      </c>
    </row>
    <row r="53" spans="1:27" x14ac:dyDescent="0.35">
      <c r="A53" s="1">
        <v>45151</v>
      </c>
      <c r="B53" t="s">
        <v>1</v>
      </c>
      <c r="C53" t="s">
        <v>437</v>
      </c>
      <c r="D53" t="s">
        <v>721</v>
      </c>
      <c r="E53" t="s">
        <v>13</v>
      </c>
      <c r="F53">
        <v>1</v>
      </c>
      <c r="H53">
        <v>691</v>
      </c>
      <c r="K53" s="18">
        <f>MIN(Season4Data[[#This Row],[Brian]:[Spencer]])</f>
        <v>3</v>
      </c>
      <c r="L53" s="30">
        <f>AVERAGE(Season4Data[[#This Row],[Brian]:[Spencer]])</f>
        <v>3.8333333333333335</v>
      </c>
      <c r="M53" t="b">
        <f>IF(COUNTIF(Season4Data[[#This Row],[Brian]:[Spencer]], Season3Data[[#This Row],[Best Guess]]) &gt; 1, TRUE, FALSE)</f>
        <v>1</v>
      </c>
      <c r="O53">
        <v>5</v>
      </c>
      <c r="Q53">
        <v>5</v>
      </c>
      <c r="R53">
        <v>3</v>
      </c>
      <c r="S53">
        <v>3</v>
      </c>
      <c r="T53">
        <v>3</v>
      </c>
      <c r="U53">
        <v>4</v>
      </c>
      <c r="X53" t="s">
        <v>13</v>
      </c>
      <c r="Y53">
        <v>13.333333333333334</v>
      </c>
    </row>
    <row r="54" spans="1:27" x14ac:dyDescent="0.35">
      <c r="A54" s="1">
        <v>45152</v>
      </c>
      <c r="B54" t="s">
        <v>13</v>
      </c>
      <c r="C54" t="s">
        <v>722</v>
      </c>
      <c r="D54" t="s">
        <v>723</v>
      </c>
      <c r="E54" t="s">
        <v>1</v>
      </c>
      <c r="F54">
        <v>1</v>
      </c>
      <c r="H54">
        <v>3249</v>
      </c>
      <c r="K54" s="18">
        <f>MIN(Season4Data[[#This Row],[Brian]:[Spencer]])</f>
        <v>3</v>
      </c>
      <c r="L54" s="30">
        <f>AVERAGE(Season4Data[[#This Row],[Brian]:[Spencer]])</f>
        <v>4.333333333333333</v>
      </c>
      <c r="M54" t="b">
        <f>IF(COUNTIF(Season4Data[[#This Row],[Brian]:[Spencer]], Season3Data[[#This Row],[Best Guess]]) &gt; 1, TRUE, FALSE)</f>
        <v>0</v>
      </c>
      <c r="O54">
        <v>5</v>
      </c>
      <c r="Q54">
        <v>5</v>
      </c>
      <c r="R54">
        <v>5</v>
      </c>
      <c r="S54">
        <v>4</v>
      </c>
      <c r="T54">
        <v>3</v>
      </c>
      <c r="U54">
        <v>4</v>
      </c>
      <c r="X54" t="s">
        <v>1</v>
      </c>
      <c r="Y54" s="25">
        <v>21.428571428571427</v>
      </c>
    </row>
    <row r="55" spans="1:27" x14ac:dyDescent="0.35">
      <c r="A55" s="1">
        <v>45153</v>
      </c>
      <c r="B55" t="s">
        <v>1</v>
      </c>
      <c r="C55" t="s">
        <v>724</v>
      </c>
      <c r="D55" t="s">
        <v>725</v>
      </c>
      <c r="E55" t="s">
        <v>16</v>
      </c>
      <c r="F55">
        <v>1</v>
      </c>
      <c r="H55">
        <v>364</v>
      </c>
      <c r="K55" s="18">
        <f>MIN(Season4Data[[#This Row],[Brian]:[Spencer]])</f>
        <v>3</v>
      </c>
      <c r="L55" s="30">
        <f>AVERAGE(Season4Data[[#This Row],[Brian]:[Spencer]])</f>
        <v>4.333333333333333</v>
      </c>
      <c r="M55" t="b">
        <f>IF(COUNTIF(Season4Data[[#This Row],[Brian]:[Spencer]], Season3Data[[#This Row],[Best Guess]]) &gt; 1, TRUE, FALSE)</f>
        <v>0</v>
      </c>
      <c r="O55">
        <v>5</v>
      </c>
      <c r="Q55">
        <v>5</v>
      </c>
      <c r="R55">
        <v>5</v>
      </c>
      <c r="S55">
        <v>4</v>
      </c>
      <c r="T55">
        <v>4</v>
      </c>
      <c r="U55">
        <v>3</v>
      </c>
      <c r="X55" t="s">
        <v>16</v>
      </c>
      <c r="Y55">
        <v>20.689655172413794</v>
      </c>
    </row>
    <row r="56" spans="1:27" x14ac:dyDescent="0.35">
      <c r="A56" s="1">
        <v>45154</v>
      </c>
      <c r="B56" t="s">
        <v>16</v>
      </c>
      <c r="C56" t="s">
        <v>726</v>
      </c>
      <c r="D56" t="s">
        <v>727</v>
      </c>
      <c r="E56" t="s">
        <v>13</v>
      </c>
      <c r="F56">
        <v>1</v>
      </c>
      <c r="H56">
        <v>3688</v>
      </c>
      <c r="K56" s="18">
        <f>MIN(Season4Data[[#This Row],[Brian]:[Spencer]])</f>
        <v>3</v>
      </c>
      <c r="L56" s="30">
        <f>AVERAGE(Season4Data[[#This Row],[Brian]:[Spencer]])</f>
        <v>4</v>
      </c>
      <c r="M56" t="b">
        <f>IF(COUNTIF(Season4Data[[#This Row],[Brian]:[Spencer]], Season3Data[[#This Row],[Best Guess]]) &gt; 1, TRUE, FALSE)</f>
        <v>1</v>
      </c>
      <c r="O56">
        <v>5</v>
      </c>
      <c r="Q56">
        <v>3</v>
      </c>
      <c r="R56">
        <v>4</v>
      </c>
      <c r="S56">
        <v>3</v>
      </c>
      <c r="T56">
        <v>5</v>
      </c>
      <c r="U56">
        <v>4</v>
      </c>
    </row>
    <row r="57" spans="1:27" x14ac:dyDescent="0.35">
      <c r="A57" s="1">
        <v>45155</v>
      </c>
      <c r="B57" t="s">
        <v>13</v>
      </c>
      <c r="C57" t="s">
        <v>732</v>
      </c>
      <c r="D57" t="s">
        <v>733</v>
      </c>
      <c r="E57" t="s">
        <v>4</v>
      </c>
      <c r="F57">
        <v>1</v>
      </c>
      <c r="H57">
        <v>2711</v>
      </c>
      <c r="K57" s="15">
        <f>MIN(Season4Data[[#This Row],[Brian]:[Spencer]])</f>
        <v>3</v>
      </c>
      <c r="L57" s="29">
        <f>AVERAGE(Season4Data[[#This Row],[Brian]:[Spencer]])</f>
        <v>4.2</v>
      </c>
      <c r="M57" t="b">
        <f>IF(COUNTIF(Season4Data[[#This Row],[Brian]:[Spencer]], Season3Data[[#This Row],[Best Guess]]) &gt; 1, TRUE, FALSE)</f>
        <v>0</v>
      </c>
      <c r="O57">
        <v>3</v>
      </c>
      <c r="Q57">
        <v>5</v>
      </c>
      <c r="R57">
        <v>4</v>
      </c>
      <c r="S57">
        <v>5</v>
      </c>
      <c r="U57">
        <v>4</v>
      </c>
    </row>
    <row r="58" spans="1:27" x14ac:dyDescent="0.35">
      <c r="A58" s="1">
        <v>45156</v>
      </c>
      <c r="B58" t="s">
        <v>4</v>
      </c>
      <c r="C58" t="s">
        <v>581</v>
      </c>
      <c r="D58" t="s">
        <v>734</v>
      </c>
      <c r="E58" t="s">
        <v>16</v>
      </c>
      <c r="F58">
        <v>1</v>
      </c>
      <c r="H58">
        <v>623</v>
      </c>
      <c r="K58" s="15">
        <f>MIN(Season4Data[[#This Row],[Brian]:[Spencer]])</f>
        <v>3</v>
      </c>
      <c r="L58" s="29">
        <f>AVERAGE(Season4Data[[#This Row],[Brian]:[Spencer]])</f>
        <v>4</v>
      </c>
      <c r="M58" t="b">
        <f>IF(COUNTIF(Season4Data[[#This Row],[Brian]:[Spencer]], Season3Data[[#This Row],[Best Guess]]) &gt; 1, TRUE, FALSE)</f>
        <v>1</v>
      </c>
      <c r="O58">
        <v>5</v>
      </c>
      <c r="Q58">
        <v>4</v>
      </c>
      <c r="R58">
        <v>4</v>
      </c>
      <c r="S58">
        <v>4</v>
      </c>
      <c r="U58">
        <v>3</v>
      </c>
      <c r="X58" s="26" t="s">
        <v>41</v>
      </c>
      <c r="Y58" t="s">
        <v>442</v>
      </c>
      <c r="Z58" t="s">
        <v>443</v>
      </c>
      <c r="AA58" t="s">
        <v>181</v>
      </c>
    </row>
    <row r="59" spans="1:27" x14ac:dyDescent="0.35">
      <c r="A59" s="1">
        <v>45157</v>
      </c>
      <c r="B59" t="s">
        <v>16</v>
      </c>
      <c r="C59" t="s">
        <v>731</v>
      </c>
      <c r="D59" t="s">
        <v>730</v>
      </c>
      <c r="E59" t="s">
        <v>4</v>
      </c>
      <c r="F59">
        <v>1</v>
      </c>
      <c r="H59">
        <v>1485</v>
      </c>
      <c r="K59" s="15">
        <f>MIN(Season4Data[[#This Row],[Brian]:[Spencer]])</f>
        <v>4</v>
      </c>
      <c r="L59" s="29">
        <f>AVERAGE(Season4Data[[#This Row],[Brian]:[Spencer]])</f>
        <v>5.166666666666667</v>
      </c>
      <c r="M59" t="b">
        <f>IF(COUNTIF(Season4Data[[#This Row],[Brian]:[Spencer]], Season3Data[[#This Row],[Best Guess]]) &gt; 1, TRUE, FALSE)</f>
        <v>0</v>
      </c>
      <c r="O59">
        <v>4</v>
      </c>
      <c r="Q59">
        <v>6</v>
      </c>
      <c r="R59">
        <v>6</v>
      </c>
      <c r="S59">
        <v>5</v>
      </c>
      <c r="T59">
        <v>5</v>
      </c>
      <c r="U59">
        <v>5</v>
      </c>
      <c r="X59" t="s">
        <v>4</v>
      </c>
      <c r="Y59">
        <v>4.1034482758620694</v>
      </c>
    </row>
    <row r="60" spans="1:27" x14ac:dyDescent="0.35">
      <c r="A60" s="1">
        <v>45158</v>
      </c>
      <c r="B60" t="s">
        <v>4</v>
      </c>
      <c r="C60" t="s">
        <v>729</v>
      </c>
      <c r="D60" t="s">
        <v>728</v>
      </c>
      <c r="E60" t="s">
        <v>2</v>
      </c>
      <c r="F60">
        <v>1</v>
      </c>
      <c r="H60">
        <v>245</v>
      </c>
      <c r="K60" s="15">
        <f>MIN(Season4Data[[#This Row],[Brian]:[Spencer]])</f>
        <v>4</v>
      </c>
      <c r="L60" s="29">
        <f>AVERAGE(Season4Data[[#This Row],[Brian]:[Spencer]])</f>
        <v>4.5</v>
      </c>
      <c r="M60" t="b">
        <f>IF(COUNTIF(Season4Data[[#This Row],[Brian]:[Spencer]], Season3Data[[#This Row],[Best Guess]]) &gt; 1, TRUE, FALSE)</f>
        <v>0</v>
      </c>
      <c r="O60">
        <v>4</v>
      </c>
      <c r="Q60">
        <v>4</v>
      </c>
      <c r="R60">
        <v>4</v>
      </c>
      <c r="S60">
        <v>5</v>
      </c>
      <c r="T60">
        <v>5</v>
      </c>
      <c r="U60">
        <v>5</v>
      </c>
      <c r="X60" t="s">
        <v>6</v>
      </c>
      <c r="Y60">
        <v>4.375</v>
      </c>
    </row>
    <row r="61" spans="1:27" x14ac:dyDescent="0.35">
      <c r="A61" s="1">
        <v>45159</v>
      </c>
      <c r="B61" t="s">
        <v>2</v>
      </c>
      <c r="C61" t="s">
        <v>274</v>
      </c>
      <c r="D61" t="s">
        <v>522</v>
      </c>
      <c r="E61" t="s">
        <v>4</v>
      </c>
      <c r="F61">
        <v>1</v>
      </c>
      <c r="H61">
        <v>1604</v>
      </c>
      <c r="K61" s="15">
        <f>MIN(Season4Data[[#This Row],[Brian]:[Spencer]])</f>
        <v>3</v>
      </c>
      <c r="L61" s="29">
        <f>AVERAGE(Season4Data[[#This Row],[Brian]:[Spencer]])</f>
        <v>3.8333333333333335</v>
      </c>
      <c r="M61" t="b">
        <f>IF(COUNTIF(Season4Data[[#This Row],[Brian]:[Spencer]], Season3Data[[#This Row],[Best Guess]]) &gt; 1, TRUE, FALSE)</f>
        <v>1</v>
      </c>
      <c r="O61">
        <v>3</v>
      </c>
      <c r="Q61">
        <v>4</v>
      </c>
      <c r="R61">
        <v>3</v>
      </c>
      <c r="S61">
        <v>4</v>
      </c>
      <c r="T61">
        <v>4</v>
      </c>
      <c r="U61">
        <v>5</v>
      </c>
      <c r="X61" t="s">
        <v>2</v>
      </c>
      <c r="Y61">
        <v>4.2</v>
      </c>
    </row>
    <row r="62" spans="1:27" x14ac:dyDescent="0.35">
      <c r="X62" t="s">
        <v>11</v>
      </c>
      <c r="Y62">
        <v>4.0333333333333332</v>
      </c>
    </row>
    <row r="63" spans="1:27" x14ac:dyDescent="0.35">
      <c r="X63" t="s">
        <v>13</v>
      </c>
      <c r="Y63">
        <v>4.3</v>
      </c>
    </row>
    <row r="64" spans="1:27" x14ac:dyDescent="0.35">
      <c r="X64" t="s">
        <v>1</v>
      </c>
      <c r="Y64" s="25">
        <v>3.9285714285714284</v>
      </c>
    </row>
    <row r="65" spans="24:27" x14ac:dyDescent="0.35">
      <c r="X65" t="s">
        <v>16</v>
      </c>
      <c r="Y65">
        <v>4.068965517241379</v>
      </c>
    </row>
    <row r="68" spans="24:27" x14ac:dyDescent="0.35">
      <c r="X68" s="26" t="s">
        <v>376</v>
      </c>
      <c r="Y68" t="s">
        <v>442</v>
      </c>
      <c r="Z68" t="s">
        <v>443</v>
      </c>
      <c r="AA68" t="s">
        <v>181</v>
      </c>
    </row>
    <row r="69" spans="24:27" x14ac:dyDescent="0.35">
      <c r="X69" t="s">
        <v>4</v>
      </c>
      <c r="Y69">
        <v>6</v>
      </c>
    </row>
    <row r="70" spans="24:27" x14ac:dyDescent="0.35">
      <c r="X70" t="s">
        <v>6</v>
      </c>
      <c r="Y70">
        <v>2</v>
      </c>
    </row>
    <row r="71" spans="24:27" x14ac:dyDescent="0.35">
      <c r="X71" t="s">
        <v>2</v>
      </c>
      <c r="Y71" s="25">
        <v>8</v>
      </c>
    </row>
    <row r="72" spans="24:27" x14ac:dyDescent="0.35">
      <c r="X72" t="s">
        <v>11</v>
      </c>
      <c r="Y72">
        <v>4</v>
      </c>
    </row>
    <row r="73" spans="24:27" x14ac:dyDescent="0.35">
      <c r="X73" t="s">
        <v>13</v>
      </c>
      <c r="Y73">
        <v>5</v>
      </c>
    </row>
    <row r="74" spans="24:27" x14ac:dyDescent="0.35">
      <c r="X74" t="s">
        <v>1</v>
      </c>
      <c r="Y74">
        <v>6</v>
      </c>
    </row>
    <row r="75" spans="24:27" x14ac:dyDescent="0.35">
      <c r="X75" t="s">
        <v>16</v>
      </c>
      <c r="Y75">
        <v>7</v>
      </c>
    </row>
    <row r="78" spans="24:27" x14ac:dyDescent="0.35">
      <c r="X78" s="26" t="s">
        <v>540</v>
      </c>
      <c r="Y78" t="s">
        <v>442</v>
      </c>
      <c r="Z78" t="s">
        <v>443</v>
      </c>
      <c r="AA78" t="s">
        <v>181</v>
      </c>
    </row>
    <row r="79" spans="24:27" x14ac:dyDescent="0.35">
      <c r="X79" t="s">
        <v>4</v>
      </c>
      <c r="Y79" t="s">
        <v>664</v>
      </c>
    </row>
    <row r="80" spans="24:27" x14ac:dyDescent="0.35">
      <c r="X80" t="s">
        <v>6</v>
      </c>
      <c r="Y80" t="s">
        <v>667</v>
      </c>
    </row>
    <row r="81" spans="24:27" x14ac:dyDescent="0.35">
      <c r="X81" t="s">
        <v>2</v>
      </c>
      <c r="Y81" t="s">
        <v>668</v>
      </c>
    </row>
    <row r="82" spans="24:27" x14ac:dyDescent="0.35">
      <c r="X82" t="s">
        <v>11</v>
      </c>
      <c r="Y82" t="s">
        <v>670</v>
      </c>
    </row>
    <row r="83" spans="24:27" x14ac:dyDescent="0.35">
      <c r="X83" t="s">
        <v>13</v>
      </c>
      <c r="Y83" t="s">
        <v>672</v>
      </c>
    </row>
    <row r="84" spans="24:27" x14ac:dyDescent="0.35">
      <c r="X84" t="s">
        <v>1</v>
      </c>
      <c r="Y84" t="s">
        <v>674</v>
      </c>
    </row>
    <row r="85" spans="24:27" x14ac:dyDescent="0.35">
      <c r="X85" t="s">
        <v>16</v>
      </c>
      <c r="Y85" s="25" t="s">
        <v>676</v>
      </c>
    </row>
    <row r="88" spans="24:27" x14ac:dyDescent="0.35">
      <c r="X88" s="26" t="s">
        <v>541</v>
      </c>
      <c r="Y88" t="s">
        <v>442</v>
      </c>
      <c r="Z88" t="s">
        <v>443</v>
      </c>
      <c r="AA88" t="s">
        <v>181</v>
      </c>
    </row>
    <row r="89" spans="24:27" x14ac:dyDescent="0.35">
      <c r="X89" t="s">
        <v>4</v>
      </c>
      <c r="Y89" t="s">
        <v>665</v>
      </c>
    </row>
    <row r="90" spans="24:27" x14ac:dyDescent="0.35">
      <c r="X90" t="s">
        <v>6</v>
      </c>
      <c r="Y90" t="s">
        <v>666</v>
      </c>
    </row>
    <row r="91" spans="24:27" x14ac:dyDescent="0.35">
      <c r="X91" t="s">
        <v>2</v>
      </c>
      <c r="Y91" t="s">
        <v>669</v>
      </c>
    </row>
    <row r="92" spans="24:27" x14ac:dyDescent="0.35">
      <c r="X92" t="s">
        <v>11</v>
      </c>
      <c r="Y92" t="s">
        <v>671</v>
      </c>
    </row>
    <row r="93" spans="24:27" x14ac:dyDescent="0.35">
      <c r="X93" t="s">
        <v>13</v>
      </c>
      <c r="Y93" t="s">
        <v>673</v>
      </c>
    </row>
    <row r="94" spans="24:27" x14ac:dyDescent="0.35">
      <c r="X94" t="s">
        <v>1</v>
      </c>
      <c r="Y94" t="s">
        <v>675</v>
      </c>
    </row>
    <row r="95" spans="24:27" x14ac:dyDescent="0.35">
      <c r="X95" t="s">
        <v>16</v>
      </c>
      <c r="Y95" s="25" t="s">
        <v>677</v>
      </c>
    </row>
    <row r="98" spans="24:27" x14ac:dyDescent="0.35">
      <c r="X98" s="26" t="s">
        <v>204</v>
      </c>
      <c r="Y98" t="s">
        <v>442</v>
      </c>
      <c r="Z98" t="s">
        <v>443</v>
      </c>
      <c r="AA98" t="s">
        <v>181</v>
      </c>
    </row>
    <row r="99" spans="24:27" x14ac:dyDescent="0.35">
      <c r="X99" t="s">
        <v>4</v>
      </c>
      <c r="Y99">
        <v>1548.5</v>
      </c>
    </row>
    <row r="100" spans="24:27" x14ac:dyDescent="0.35">
      <c r="X100" t="s">
        <v>6</v>
      </c>
      <c r="Y100" s="25">
        <v>344.66666666666669</v>
      </c>
    </row>
    <row r="101" spans="24:27" x14ac:dyDescent="0.35">
      <c r="X101" t="s">
        <v>2</v>
      </c>
      <c r="Y101">
        <v>2319.4</v>
      </c>
    </row>
    <row r="102" spans="24:27" x14ac:dyDescent="0.35">
      <c r="X102" t="s">
        <v>11</v>
      </c>
      <c r="Y102">
        <v>1031.4000000000001</v>
      </c>
    </row>
    <row r="103" spans="24:27" x14ac:dyDescent="0.35">
      <c r="X103" t="s">
        <v>13</v>
      </c>
      <c r="Y103">
        <v>1448.75</v>
      </c>
    </row>
    <row r="104" spans="24:27" x14ac:dyDescent="0.35">
      <c r="X104" t="s">
        <v>1</v>
      </c>
      <c r="Y104">
        <v>1141</v>
      </c>
    </row>
    <row r="105" spans="24:27" x14ac:dyDescent="0.35">
      <c r="X105" t="s">
        <v>16</v>
      </c>
      <c r="Y105">
        <v>416.5</v>
      </c>
    </row>
    <row r="108" spans="24:27" x14ac:dyDescent="0.35">
      <c r="X108" s="26" t="s">
        <v>239</v>
      </c>
      <c r="Y108" t="s">
        <v>442</v>
      </c>
      <c r="Z108" t="s">
        <v>443</v>
      </c>
      <c r="AA108" t="s">
        <v>181</v>
      </c>
    </row>
    <row r="109" spans="24:27" x14ac:dyDescent="0.35">
      <c r="X109" t="s">
        <v>4</v>
      </c>
      <c r="Y109">
        <v>4</v>
      </c>
    </row>
    <row r="110" spans="24:27" x14ac:dyDescent="0.35">
      <c r="X110" t="s">
        <v>6</v>
      </c>
      <c r="Y110">
        <v>3.9841269841269842</v>
      </c>
    </row>
    <row r="111" spans="24:27" x14ac:dyDescent="0.35">
      <c r="X111" t="s">
        <v>2</v>
      </c>
      <c r="Y111">
        <v>4.1047619047619044</v>
      </c>
    </row>
    <row r="112" spans="24:27" x14ac:dyDescent="0.35">
      <c r="X112" t="s">
        <v>11</v>
      </c>
      <c r="Y112" s="25">
        <v>3.6809523809523812</v>
      </c>
    </row>
    <row r="113" spans="24:25" x14ac:dyDescent="0.35">
      <c r="X113" t="s">
        <v>13</v>
      </c>
      <c r="Y113">
        <v>4.4761904761904763</v>
      </c>
    </row>
    <row r="114" spans="24:25" x14ac:dyDescent="0.35">
      <c r="X114" t="s">
        <v>1</v>
      </c>
      <c r="Y114">
        <v>4.1580952380952372</v>
      </c>
    </row>
    <row r="115" spans="24:25" x14ac:dyDescent="0.35">
      <c r="X115" t="s">
        <v>16</v>
      </c>
      <c r="Y115">
        <v>4.2785714285714285</v>
      </c>
    </row>
  </sheetData>
  <conditionalFormatting sqref="O2:U61">
    <cfRule type="containsBlanks" dxfId="5" priority="1">
      <formula>LEN(TRIM(O2))=0</formula>
    </cfRule>
    <cfRule type="expression" dxfId="4" priority="2">
      <formula>""</formula>
    </cfRule>
    <cfRule type="cellIs" dxfId="3" priority="3" operator="equal">
      <formula>"Season4Data[Best Guess]"</formula>
    </cfRule>
    <cfRule type="cellIs" dxfId="2" priority="6" operator="greaterThan">
      <formula>6</formula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66BC-6092-4A8E-AEC5-F7EBBD3B8B58}">
  <dimension ref="A1:AA115"/>
  <sheetViews>
    <sheetView topLeftCell="B1" workbookViewId="0">
      <selection activeCell="M2" sqref="M2:M93"/>
    </sheetView>
  </sheetViews>
  <sheetFormatPr defaultRowHeight="14.5" x14ac:dyDescent="0.35"/>
  <cols>
    <col min="1" max="1" width="13.08984375" customWidth="1"/>
    <col min="2" max="2" width="13.81640625" customWidth="1"/>
    <col min="3" max="3" width="15.7265625" customWidth="1"/>
    <col min="4" max="4" width="16.08984375" bestFit="1" customWidth="1"/>
    <col min="5" max="6" width="10.26953125" customWidth="1"/>
    <col min="7" max="7" width="17.54296875" customWidth="1"/>
    <col min="8" max="8" width="17.90625" bestFit="1" customWidth="1"/>
    <col min="9" max="9" width="10.26953125" customWidth="1"/>
    <col min="10" max="10" width="11.90625" customWidth="1"/>
    <col min="11" max="11" width="12.1796875" bestFit="1" customWidth="1"/>
    <col min="12" max="12" width="15.36328125" bestFit="1" customWidth="1"/>
    <col min="13" max="13" width="12.90625" bestFit="1" customWidth="1"/>
    <col min="14" max="14" width="10.54296875" bestFit="1" customWidth="1"/>
    <col min="15" max="15" width="10.453125" customWidth="1"/>
    <col min="16" max="16" width="10.7265625" bestFit="1" customWidth="1"/>
    <col min="17" max="18" width="9.26953125" bestFit="1" customWidth="1"/>
    <col min="19" max="19" width="9.7265625" bestFit="1" customWidth="1"/>
    <col min="21" max="21" width="9.7265625" bestFit="1" customWidth="1"/>
    <col min="24" max="24" width="55.1796875" bestFit="1" customWidth="1"/>
    <col min="25" max="25" width="19.453125" customWidth="1"/>
    <col min="26" max="26" width="19.36328125" customWidth="1"/>
  </cols>
  <sheetData>
    <row r="1" spans="1:27" x14ac:dyDescent="0.35">
      <c r="A1" s="16" t="s">
        <v>0</v>
      </c>
      <c r="B1" s="17" t="s">
        <v>62</v>
      </c>
      <c r="C1" s="17" t="s">
        <v>44</v>
      </c>
      <c r="D1" s="17" t="s">
        <v>63</v>
      </c>
      <c r="E1" s="17" t="s">
        <v>34</v>
      </c>
      <c r="F1" s="17" t="s">
        <v>510</v>
      </c>
      <c r="G1" s="17" t="s">
        <v>87</v>
      </c>
      <c r="H1" s="17" t="s">
        <v>79</v>
      </c>
      <c r="I1" s="17" t="s">
        <v>88</v>
      </c>
      <c r="J1" s="17" t="s">
        <v>89</v>
      </c>
      <c r="K1" s="17" t="s">
        <v>45</v>
      </c>
      <c r="L1" s="17" t="s">
        <v>41</v>
      </c>
      <c r="M1" s="17" t="s">
        <v>375</v>
      </c>
      <c r="N1" s="17" t="s">
        <v>90</v>
      </c>
      <c r="O1" s="17" t="s">
        <v>4</v>
      </c>
      <c r="P1" s="17" t="s">
        <v>6</v>
      </c>
      <c r="Q1" s="17" t="s">
        <v>2</v>
      </c>
      <c r="R1" s="17" t="s">
        <v>11</v>
      </c>
      <c r="S1" s="17" t="s">
        <v>13</v>
      </c>
      <c r="T1" s="17" t="s">
        <v>1</v>
      </c>
      <c r="U1" s="17" t="s">
        <v>16</v>
      </c>
      <c r="X1" t="s">
        <v>441</v>
      </c>
      <c r="Y1" t="s">
        <v>442</v>
      </c>
      <c r="Z1" t="s">
        <v>443</v>
      </c>
      <c r="AA1" t="s">
        <v>181</v>
      </c>
    </row>
    <row r="2" spans="1:27" x14ac:dyDescent="0.35">
      <c r="A2" s="1">
        <v>45008</v>
      </c>
      <c r="B2" t="s">
        <v>16</v>
      </c>
      <c r="C2" t="s">
        <v>378</v>
      </c>
      <c r="D2" t="s">
        <v>379</v>
      </c>
      <c r="E2" t="s">
        <v>11</v>
      </c>
      <c r="F2">
        <v>1</v>
      </c>
      <c r="H2">
        <v>67</v>
      </c>
      <c r="K2" s="15">
        <f>MIN(Season3Data[[#This Row],[Brian]:[Spencer]])</f>
        <v>3</v>
      </c>
      <c r="L2" s="15">
        <f>AVERAGE(Season3Data[[#This Row],[Brian]:[Spencer]])</f>
        <v>4.7142857142857144</v>
      </c>
      <c r="M2" t="b">
        <f>IF(COUNTIF(Season3Data[[#This Row],[Brian]:[Spencer]], Season3Data[[#This Row],[Best Guess]]) &gt; 1, TRUE, FALSE)</f>
        <v>1</v>
      </c>
      <c r="O2">
        <v>7</v>
      </c>
      <c r="P2">
        <v>5</v>
      </c>
      <c r="Q2">
        <v>6</v>
      </c>
      <c r="R2">
        <v>3</v>
      </c>
      <c r="S2">
        <v>3</v>
      </c>
      <c r="T2">
        <v>5</v>
      </c>
      <c r="U2">
        <v>4</v>
      </c>
      <c r="X2" t="s">
        <v>444</v>
      </c>
      <c r="Y2" t="s">
        <v>457</v>
      </c>
      <c r="Z2" t="s">
        <v>530</v>
      </c>
      <c r="AA2" t="s">
        <v>604</v>
      </c>
    </row>
    <row r="3" spans="1:27" x14ac:dyDescent="0.35">
      <c r="A3" s="1">
        <v>45009</v>
      </c>
      <c r="B3" t="s">
        <v>11</v>
      </c>
      <c r="C3" t="s">
        <v>382</v>
      </c>
      <c r="D3" t="s">
        <v>383</v>
      </c>
      <c r="E3" t="s">
        <v>13</v>
      </c>
      <c r="F3">
        <v>1</v>
      </c>
      <c r="H3">
        <v>1054</v>
      </c>
      <c r="K3" s="15">
        <f>MIN(Season3Data[[#This Row],[Brian]:[Spencer]])</f>
        <v>3</v>
      </c>
      <c r="L3" s="18">
        <f>AVERAGE(Season3Data[[#This Row],[Brian]:[Spencer]])</f>
        <v>4.4285714285714288</v>
      </c>
      <c r="M3" t="b">
        <f>IF(COUNTIF(Season3Data[[#This Row],[Brian]:[Spencer]], Season3Data[[#This Row],[Best Guess]]) &gt; 1, TRUE, FALSE)</f>
        <v>0</v>
      </c>
      <c r="O3">
        <v>4</v>
      </c>
      <c r="P3">
        <v>5</v>
      </c>
      <c r="Q3">
        <v>4</v>
      </c>
      <c r="R3">
        <v>5</v>
      </c>
      <c r="S3">
        <v>3</v>
      </c>
      <c r="T3">
        <v>6</v>
      </c>
      <c r="U3">
        <v>4</v>
      </c>
      <c r="X3" t="s">
        <v>445</v>
      </c>
      <c r="Y3" t="s">
        <v>458</v>
      </c>
      <c r="Z3" t="s">
        <v>531</v>
      </c>
      <c r="AA3" t="s">
        <v>605</v>
      </c>
    </row>
    <row r="4" spans="1:27" x14ac:dyDescent="0.35">
      <c r="A4" s="1">
        <v>45010</v>
      </c>
      <c r="B4" t="s">
        <v>13</v>
      </c>
      <c r="C4" t="s">
        <v>384</v>
      </c>
      <c r="D4" t="s">
        <v>385</v>
      </c>
      <c r="E4" t="s">
        <v>6</v>
      </c>
      <c r="F4">
        <v>1</v>
      </c>
      <c r="H4">
        <v>171</v>
      </c>
      <c r="K4" s="15">
        <f>MIN(Season3Data[[#This Row],[Brian]:[Spencer]])</f>
        <v>3</v>
      </c>
      <c r="L4" s="18">
        <f>AVERAGE(Season3Data[[#This Row],[Brian]:[Spencer]])</f>
        <v>4.4285714285714288</v>
      </c>
      <c r="M4" t="b">
        <f>IF(COUNTIF(Season3Data[[#This Row],[Brian]:[Spencer]], Season3Data[[#This Row],[Best Guess]]) &gt; 1, TRUE, FALSE)</f>
        <v>0</v>
      </c>
      <c r="O4">
        <v>4</v>
      </c>
      <c r="P4">
        <v>3</v>
      </c>
      <c r="Q4">
        <v>6</v>
      </c>
      <c r="R4">
        <v>5</v>
      </c>
      <c r="S4">
        <v>4</v>
      </c>
      <c r="T4">
        <v>5</v>
      </c>
      <c r="U4">
        <v>4</v>
      </c>
      <c r="X4" t="s">
        <v>446</v>
      </c>
      <c r="Y4" t="s">
        <v>459</v>
      </c>
      <c r="Z4" t="s">
        <v>532</v>
      </c>
      <c r="AA4" t="s">
        <v>606</v>
      </c>
    </row>
    <row r="5" spans="1:27" x14ac:dyDescent="0.35">
      <c r="A5" s="1">
        <v>45011</v>
      </c>
      <c r="B5" t="s">
        <v>6</v>
      </c>
      <c r="C5" t="s">
        <v>386</v>
      </c>
      <c r="D5" t="s">
        <v>122</v>
      </c>
      <c r="E5" t="s">
        <v>11</v>
      </c>
      <c r="F5">
        <v>1</v>
      </c>
      <c r="H5">
        <v>1719</v>
      </c>
      <c r="K5" s="18">
        <f>MIN(Season3Data[[#This Row],[Brian]:[Spencer]])</f>
        <v>3</v>
      </c>
      <c r="L5" s="18">
        <f>AVERAGE(Season3Data[[#This Row],[Brian]:[Spencer]])</f>
        <v>4</v>
      </c>
      <c r="M5" t="b">
        <f>IF(COUNTIF(Season3Data[[#This Row],[Brian]:[Spencer]], Season3Data[[#This Row],[Best Guess]]) &gt; 1, TRUE, FALSE)</f>
        <v>0</v>
      </c>
      <c r="O5">
        <v>4</v>
      </c>
      <c r="P5">
        <v>5</v>
      </c>
      <c r="Q5">
        <v>4</v>
      </c>
      <c r="R5">
        <v>3</v>
      </c>
      <c r="S5">
        <v>4</v>
      </c>
      <c r="T5" s="2"/>
      <c r="U5">
        <v>4</v>
      </c>
      <c r="X5" t="s">
        <v>602</v>
      </c>
      <c r="AA5" t="s">
        <v>603</v>
      </c>
    </row>
    <row r="6" spans="1:27" x14ac:dyDescent="0.35">
      <c r="A6" s="1">
        <v>45012</v>
      </c>
      <c r="B6" t="s">
        <v>11</v>
      </c>
      <c r="C6" t="s">
        <v>387</v>
      </c>
      <c r="D6" t="s">
        <v>388</v>
      </c>
      <c r="E6" t="s">
        <v>16</v>
      </c>
      <c r="F6">
        <v>1</v>
      </c>
      <c r="H6">
        <v>3850</v>
      </c>
      <c r="K6" s="18">
        <f>MIN(Season3Data[[#This Row],[Brian]:[Spencer]])</f>
        <v>4</v>
      </c>
      <c r="L6" s="18">
        <f>AVERAGE(Season3Data[[#This Row],[Brian]:[Spencer]])</f>
        <v>4.8571428571428568</v>
      </c>
      <c r="M6" t="b">
        <f>IF(COUNTIF(Season3Data[[#This Row],[Brian]:[Spencer]], Season3Data[[#This Row],[Best Guess]]) &gt; 1, TRUE, FALSE)</f>
        <v>1</v>
      </c>
      <c r="O6">
        <v>5</v>
      </c>
      <c r="P6">
        <v>5</v>
      </c>
      <c r="Q6">
        <v>6</v>
      </c>
      <c r="R6">
        <v>5</v>
      </c>
      <c r="S6">
        <v>5</v>
      </c>
      <c r="T6">
        <v>4</v>
      </c>
      <c r="U6">
        <v>4</v>
      </c>
      <c r="X6" t="s">
        <v>447</v>
      </c>
      <c r="Y6" t="s">
        <v>460</v>
      </c>
      <c r="Z6" t="s">
        <v>460</v>
      </c>
      <c r="AA6" t="s">
        <v>460</v>
      </c>
    </row>
    <row r="7" spans="1:27" x14ac:dyDescent="0.35">
      <c r="A7" s="1">
        <v>45013</v>
      </c>
      <c r="B7" t="s">
        <v>16</v>
      </c>
      <c r="C7" t="s">
        <v>389</v>
      </c>
      <c r="D7" t="s">
        <v>390</v>
      </c>
      <c r="E7" t="s">
        <v>13</v>
      </c>
      <c r="F7">
        <v>1</v>
      </c>
      <c r="H7">
        <v>2313</v>
      </c>
      <c r="K7" s="18">
        <f>MIN(Season3Data[[#This Row],[Brian]:[Spencer]])</f>
        <v>3</v>
      </c>
      <c r="L7" s="18">
        <f>AVERAGE(Season3Data[[#This Row],[Brian]:[Spencer]])</f>
        <v>4.7142857142857144</v>
      </c>
      <c r="M7" t="b">
        <f>IF(COUNTIF(Season3Data[[#This Row],[Brian]:[Spencer]], Season3Data[[#This Row],[Best Guess]]) &gt; 1, TRUE, FALSE)</f>
        <v>0</v>
      </c>
      <c r="O7">
        <v>4</v>
      </c>
      <c r="P7">
        <v>5</v>
      </c>
      <c r="Q7">
        <v>4</v>
      </c>
      <c r="R7">
        <v>6</v>
      </c>
      <c r="S7">
        <v>3</v>
      </c>
      <c r="T7">
        <v>5</v>
      </c>
      <c r="U7">
        <v>6</v>
      </c>
      <c r="X7" t="s">
        <v>448</v>
      </c>
      <c r="Y7" t="s">
        <v>461</v>
      </c>
      <c r="Z7" t="s">
        <v>533</v>
      </c>
      <c r="AA7" t="s">
        <v>607</v>
      </c>
    </row>
    <row r="8" spans="1:27" x14ac:dyDescent="0.35">
      <c r="A8" s="1">
        <v>45014</v>
      </c>
      <c r="B8" t="s">
        <v>13</v>
      </c>
      <c r="C8" t="s">
        <v>391</v>
      </c>
      <c r="D8" t="s">
        <v>392</v>
      </c>
      <c r="E8" t="s">
        <v>11</v>
      </c>
      <c r="F8">
        <v>1</v>
      </c>
      <c r="H8">
        <v>365</v>
      </c>
      <c r="K8" s="18">
        <f>MIN(Season3Data[[#This Row],[Brian]:[Spencer]])</f>
        <v>4</v>
      </c>
      <c r="L8" s="18">
        <f>AVERAGE(Season3Data[[#This Row],[Brian]:[Spencer]])</f>
        <v>4.5714285714285712</v>
      </c>
      <c r="M8" t="b">
        <f>IF(COUNTIF(Season3Data[[#This Row],[Brian]:[Spencer]], Season3Data[[#This Row],[Best Guess]]) &gt; 1, TRUE, FALSE)</f>
        <v>1</v>
      </c>
      <c r="O8">
        <v>4</v>
      </c>
      <c r="P8">
        <v>5</v>
      </c>
      <c r="Q8">
        <v>5</v>
      </c>
      <c r="R8">
        <v>4</v>
      </c>
      <c r="S8">
        <v>4</v>
      </c>
      <c r="T8">
        <v>5</v>
      </c>
      <c r="U8">
        <v>5</v>
      </c>
      <c r="X8" t="s">
        <v>449</v>
      </c>
      <c r="Y8" t="s">
        <v>462</v>
      </c>
      <c r="Z8" t="s">
        <v>534</v>
      </c>
      <c r="AA8" t="s">
        <v>608</v>
      </c>
    </row>
    <row r="9" spans="1:27" x14ac:dyDescent="0.35">
      <c r="A9" s="1">
        <v>45015</v>
      </c>
      <c r="B9" t="s">
        <v>11</v>
      </c>
      <c r="C9" t="s">
        <v>393</v>
      </c>
      <c r="D9" t="s">
        <v>194</v>
      </c>
      <c r="E9" t="s">
        <v>2</v>
      </c>
      <c r="F9">
        <v>1</v>
      </c>
      <c r="H9">
        <v>645</v>
      </c>
      <c r="K9" s="18">
        <f>MIN(Season3Data[[#This Row],[Brian]:[Spencer]])</f>
        <v>3</v>
      </c>
      <c r="L9" s="18">
        <f>AVERAGE(Season3Data[[#This Row],[Brian]:[Spencer]])</f>
        <v>3.7142857142857144</v>
      </c>
      <c r="M9" t="b">
        <f>IF(COUNTIF(Season3Data[[#This Row],[Brian]:[Spencer]], Season3Data[[#This Row],[Best Guess]]) &gt; 1, TRUE, FALSE)</f>
        <v>1</v>
      </c>
      <c r="O9">
        <v>3</v>
      </c>
      <c r="P9">
        <v>5</v>
      </c>
      <c r="Q9">
        <v>3</v>
      </c>
      <c r="R9">
        <v>3</v>
      </c>
      <c r="S9">
        <v>5</v>
      </c>
      <c r="T9">
        <v>3</v>
      </c>
      <c r="U9">
        <v>4</v>
      </c>
      <c r="X9" t="s">
        <v>450</v>
      </c>
      <c r="Y9" t="s">
        <v>463</v>
      </c>
      <c r="Z9" t="s">
        <v>463</v>
      </c>
      <c r="AA9" t="s">
        <v>463</v>
      </c>
    </row>
    <row r="10" spans="1:27" x14ac:dyDescent="0.35">
      <c r="A10" s="1">
        <v>45016</v>
      </c>
      <c r="B10" t="s">
        <v>2</v>
      </c>
      <c r="C10" t="s">
        <v>394</v>
      </c>
      <c r="D10" t="s">
        <v>395</v>
      </c>
      <c r="E10" t="s">
        <v>1</v>
      </c>
      <c r="F10">
        <v>1</v>
      </c>
      <c r="H10">
        <v>925</v>
      </c>
      <c r="K10" s="18">
        <f>MIN(Season3Data[[#This Row],[Brian]:[Spencer]])</f>
        <v>3</v>
      </c>
      <c r="L10" s="18">
        <f>AVERAGE(Season3Data[[#This Row],[Brian]:[Spencer]])</f>
        <v>4</v>
      </c>
      <c r="M10" t="b">
        <f>IF(COUNTIF(Season3Data[[#This Row],[Brian]:[Spencer]], Season3Data[[#This Row],[Best Guess]]) &gt; 1, TRUE, FALSE)</f>
        <v>0</v>
      </c>
      <c r="O10">
        <v>4</v>
      </c>
      <c r="P10">
        <v>5</v>
      </c>
      <c r="Q10">
        <v>4</v>
      </c>
      <c r="R10">
        <v>4</v>
      </c>
      <c r="S10">
        <v>4</v>
      </c>
      <c r="T10">
        <v>3</v>
      </c>
      <c r="U10">
        <v>4</v>
      </c>
      <c r="X10" t="s">
        <v>451</v>
      </c>
      <c r="Y10" t="s">
        <v>609</v>
      </c>
      <c r="Z10" t="s">
        <v>609</v>
      </c>
      <c r="AA10" t="s">
        <v>609</v>
      </c>
    </row>
    <row r="11" spans="1:27" x14ac:dyDescent="0.35">
      <c r="A11" s="1">
        <v>45017</v>
      </c>
      <c r="B11" t="s">
        <v>1</v>
      </c>
      <c r="C11" t="s">
        <v>396</v>
      </c>
      <c r="D11" t="s">
        <v>397</v>
      </c>
      <c r="E11" t="s">
        <v>16</v>
      </c>
      <c r="F11">
        <v>1</v>
      </c>
      <c r="H11">
        <v>10</v>
      </c>
      <c r="K11" s="18">
        <f>MIN(Season3Data[[#This Row],[Brian]:[Spencer]])</f>
        <v>2</v>
      </c>
      <c r="L11" s="18">
        <f>AVERAGE(Season3Data[[#This Row],[Brian]:[Spencer]])</f>
        <v>2.1428571428571428</v>
      </c>
      <c r="M11" t="b">
        <f>IF(COUNTIF(Season3Data[[#This Row],[Brian]:[Spencer]], Season3Data[[#This Row],[Best Guess]]) &gt; 1, TRUE, FALSE)</f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3</v>
      </c>
      <c r="U11">
        <v>2</v>
      </c>
      <c r="X11" t="s">
        <v>452</v>
      </c>
      <c r="Y11" t="s">
        <v>464</v>
      </c>
      <c r="Z11" t="s">
        <v>464</v>
      </c>
      <c r="AA11" t="s">
        <v>464</v>
      </c>
    </row>
    <row r="12" spans="1:27" x14ac:dyDescent="0.35">
      <c r="A12" s="1">
        <v>45018</v>
      </c>
      <c r="B12" t="s">
        <v>16</v>
      </c>
      <c r="C12" t="s">
        <v>398</v>
      </c>
      <c r="D12" t="s">
        <v>399</v>
      </c>
      <c r="E12" t="s">
        <v>1</v>
      </c>
      <c r="F12">
        <v>1</v>
      </c>
      <c r="H12">
        <v>367</v>
      </c>
      <c r="K12" s="18">
        <f>MIN(Season3Data[[#This Row],[Brian]:[Spencer]])</f>
        <v>3</v>
      </c>
      <c r="L12" s="18">
        <f>AVERAGE(Season3Data[[#This Row],[Brian]:[Spencer]])</f>
        <v>3.4285714285714284</v>
      </c>
      <c r="M12" t="b">
        <f>IF(COUNTIF(Season3Data[[#This Row],[Brian]:[Spencer]], Season3Data[[#This Row],[Best Guess]]) &gt; 1, TRUE, FALSE)</f>
        <v>1</v>
      </c>
      <c r="O12">
        <v>4</v>
      </c>
      <c r="P12">
        <v>3</v>
      </c>
      <c r="Q12">
        <v>3</v>
      </c>
      <c r="R12">
        <v>4</v>
      </c>
      <c r="S12">
        <v>3</v>
      </c>
      <c r="T12">
        <v>3</v>
      </c>
      <c r="U12">
        <v>4</v>
      </c>
      <c r="X12" t="s">
        <v>453</v>
      </c>
      <c r="Y12" t="s">
        <v>465</v>
      </c>
      <c r="Z12" t="s">
        <v>535</v>
      </c>
      <c r="AA12" t="s">
        <v>612</v>
      </c>
    </row>
    <row r="13" spans="1:27" x14ac:dyDescent="0.35">
      <c r="A13" s="1">
        <v>45019</v>
      </c>
      <c r="B13" t="s">
        <v>1</v>
      </c>
      <c r="C13" t="s">
        <v>400</v>
      </c>
      <c r="D13" t="s">
        <v>401</v>
      </c>
      <c r="E13" t="s">
        <v>6</v>
      </c>
      <c r="F13">
        <v>1</v>
      </c>
      <c r="H13">
        <v>108</v>
      </c>
      <c r="K13" s="18">
        <f>MIN(Season3Data[[#This Row],[Brian]:[Spencer]])</f>
        <v>4</v>
      </c>
      <c r="L13" s="18">
        <f>AVERAGE(Season3Data[[#This Row],[Brian]:[Spencer]])</f>
        <v>4.8571428571428568</v>
      </c>
      <c r="M13" t="b">
        <f>IF(COUNTIF(Season3Data[[#This Row],[Brian]:[Spencer]], Season3Data[[#This Row],[Best Guess]]) &gt; 1, TRUE, FALSE)</f>
        <v>1</v>
      </c>
      <c r="O13">
        <v>4</v>
      </c>
      <c r="P13">
        <v>4</v>
      </c>
      <c r="Q13">
        <v>5</v>
      </c>
      <c r="R13">
        <v>5</v>
      </c>
      <c r="S13">
        <v>5</v>
      </c>
      <c r="T13">
        <v>6</v>
      </c>
      <c r="U13">
        <v>5</v>
      </c>
      <c r="X13" t="s">
        <v>454</v>
      </c>
      <c r="Y13" t="s">
        <v>466</v>
      </c>
      <c r="Z13" t="s">
        <v>536</v>
      </c>
      <c r="AA13" t="s">
        <v>610</v>
      </c>
    </row>
    <row r="14" spans="1:27" x14ac:dyDescent="0.35">
      <c r="A14" s="1">
        <v>45020</v>
      </c>
      <c r="B14" t="s">
        <v>6</v>
      </c>
      <c r="C14" t="s">
        <v>402</v>
      </c>
      <c r="D14" t="s">
        <v>403</v>
      </c>
      <c r="E14" t="s">
        <v>11</v>
      </c>
      <c r="F14">
        <v>1</v>
      </c>
      <c r="H14">
        <v>1170</v>
      </c>
      <c r="K14" s="18">
        <f>MIN(Season3Data[[#This Row],[Brian]:[Spencer]])</f>
        <v>2</v>
      </c>
      <c r="L14" s="18">
        <f>AVERAGE(Season3Data[[#This Row],[Brian]:[Spencer]])</f>
        <v>3.1428571428571428</v>
      </c>
      <c r="M14" t="b">
        <f>IF(COUNTIF(Season3Data[[#This Row],[Brian]:[Spencer]], Season3Data[[#This Row],[Best Guess]]) &gt; 1, TRUE, FALSE)</f>
        <v>1</v>
      </c>
      <c r="O14">
        <v>2</v>
      </c>
      <c r="P14">
        <v>3</v>
      </c>
      <c r="Q14">
        <v>4</v>
      </c>
      <c r="R14">
        <v>2</v>
      </c>
      <c r="S14">
        <v>3</v>
      </c>
      <c r="T14">
        <v>4</v>
      </c>
      <c r="U14">
        <v>4</v>
      </c>
      <c r="X14" t="s">
        <v>455</v>
      </c>
      <c r="Y14" t="s">
        <v>467</v>
      </c>
      <c r="Z14" t="s">
        <v>537</v>
      </c>
      <c r="AA14" t="s">
        <v>611</v>
      </c>
    </row>
    <row r="15" spans="1:27" x14ac:dyDescent="0.35">
      <c r="A15" s="1">
        <v>45021</v>
      </c>
      <c r="B15" t="s">
        <v>11</v>
      </c>
      <c r="C15" t="s">
        <v>405</v>
      </c>
      <c r="D15" t="s">
        <v>404</v>
      </c>
      <c r="E15" t="s">
        <v>6</v>
      </c>
      <c r="F15">
        <v>1</v>
      </c>
      <c r="H15">
        <v>35</v>
      </c>
      <c r="K15" s="18">
        <f>MIN(Season3Data[[#This Row],[Brian]:[Spencer]])</f>
        <v>3</v>
      </c>
      <c r="L15" s="18">
        <f>AVERAGE(Season3Data[[#This Row],[Brian]:[Spencer]])</f>
        <v>3.1428571428571428</v>
      </c>
      <c r="M15" t="b">
        <f>IF(COUNTIF(Season3Data[[#This Row],[Brian]:[Spencer]], Season3Data[[#This Row],[Best Guess]]) &gt; 1, TRUE, FALSE)</f>
        <v>1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X15" t="s">
        <v>456</v>
      </c>
      <c r="Y15" t="s">
        <v>473</v>
      </c>
      <c r="Z15" t="s">
        <v>538</v>
      </c>
      <c r="AA15" t="s">
        <v>613</v>
      </c>
    </row>
    <row r="16" spans="1:27" x14ac:dyDescent="0.35">
      <c r="A16" s="1">
        <v>45022</v>
      </c>
      <c r="B16" t="s">
        <v>6</v>
      </c>
      <c r="C16" t="s">
        <v>172</v>
      </c>
      <c r="D16" t="s">
        <v>93</v>
      </c>
      <c r="E16" t="s">
        <v>16</v>
      </c>
      <c r="F16">
        <v>1</v>
      </c>
      <c r="H16">
        <v>530</v>
      </c>
      <c r="K16" s="18">
        <f>MIN(Season3Data[[#This Row],[Brian]:[Spencer]])</f>
        <v>3</v>
      </c>
      <c r="L16" s="18">
        <f>AVERAGE(Season3Data[[#This Row],[Brian]:[Spencer]])</f>
        <v>5</v>
      </c>
      <c r="M16" t="b">
        <f>IF(COUNTIF(Season3Data[[#This Row],[Brian]:[Spencer]], Season3Data[[#This Row],[Best Guess]]) &gt; 1, TRUE, FALSE)</f>
        <v>0</v>
      </c>
      <c r="O16">
        <v>5</v>
      </c>
      <c r="P16">
        <v>5</v>
      </c>
      <c r="Q16">
        <v>5</v>
      </c>
      <c r="R16">
        <v>5</v>
      </c>
      <c r="S16">
        <v>7</v>
      </c>
      <c r="T16">
        <v>5</v>
      </c>
      <c r="U16">
        <v>3</v>
      </c>
    </row>
    <row r="17" spans="1:27" x14ac:dyDescent="0.35">
      <c r="A17" s="1">
        <v>45023</v>
      </c>
      <c r="B17" t="s">
        <v>16</v>
      </c>
      <c r="C17" t="s">
        <v>406</v>
      </c>
      <c r="D17" t="s">
        <v>407</v>
      </c>
      <c r="E17" t="s">
        <v>1</v>
      </c>
      <c r="F17">
        <v>1</v>
      </c>
      <c r="H17">
        <v>67</v>
      </c>
      <c r="K17" s="18">
        <f>MIN(Season3Data[[#This Row],[Brian]:[Spencer]])</f>
        <v>2</v>
      </c>
      <c r="L17" s="18">
        <f>AVERAGE(Season3Data[[#This Row],[Brian]:[Spencer]])</f>
        <v>3.2857142857142856</v>
      </c>
      <c r="M17" t="b">
        <f>IF(COUNTIF(Season3Data[[#This Row],[Brian]:[Spencer]], Season3Data[[#This Row],[Best Guess]]) &gt; 1, TRUE, FALSE)</f>
        <v>0</v>
      </c>
      <c r="O17">
        <v>3</v>
      </c>
      <c r="P17">
        <v>3</v>
      </c>
      <c r="Q17">
        <v>4</v>
      </c>
      <c r="R17">
        <v>4</v>
      </c>
      <c r="S17">
        <v>4</v>
      </c>
      <c r="T17">
        <v>2</v>
      </c>
      <c r="U17">
        <v>3</v>
      </c>
    </row>
    <row r="18" spans="1:27" x14ac:dyDescent="0.35">
      <c r="A18" s="1">
        <v>45024</v>
      </c>
      <c r="B18" t="s">
        <v>1</v>
      </c>
      <c r="C18" t="s">
        <v>411</v>
      </c>
      <c r="D18" t="s">
        <v>412</v>
      </c>
      <c r="E18" t="s">
        <v>16</v>
      </c>
      <c r="F18">
        <v>1</v>
      </c>
      <c r="H18">
        <v>397</v>
      </c>
      <c r="K18" s="18">
        <f>MIN(Season3Data[[#This Row],[Brian]:[Spencer]])</f>
        <v>3</v>
      </c>
      <c r="L18" s="18">
        <f>AVERAGE(Season3Data[[#This Row],[Brian]:[Spencer]])</f>
        <v>4.1428571428571432</v>
      </c>
      <c r="M18" t="b">
        <f>IF(COUNTIF(Season3Data[[#This Row],[Brian]:[Spencer]], Season3Data[[#This Row],[Best Guess]]) &gt; 1, TRUE, FALSE)</f>
        <v>0</v>
      </c>
      <c r="O18">
        <v>5</v>
      </c>
      <c r="P18">
        <v>4</v>
      </c>
      <c r="Q18">
        <v>5</v>
      </c>
      <c r="R18">
        <v>4</v>
      </c>
      <c r="S18">
        <v>4</v>
      </c>
      <c r="T18">
        <v>4</v>
      </c>
      <c r="U18">
        <v>3</v>
      </c>
      <c r="X18" s="26" t="s">
        <v>539</v>
      </c>
      <c r="Y18" t="s">
        <v>442</v>
      </c>
      <c r="Z18" t="s">
        <v>443</v>
      </c>
      <c r="AA18" t="s">
        <v>181</v>
      </c>
    </row>
    <row r="19" spans="1:27" x14ac:dyDescent="0.35">
      <c r="A19" s="1">
        <v>45025</v>
      </c>
      <c r="B19" t="s">
        <v>16</v>
      </c>
      <c r="C19" t="s">
        <v>413</v>
      </c>
      <c r="D19" t="s">
        <v>414</v>
      </c>
      <c r="E19" t="s">
        <v>11</v>
      </c>
      <c r="F19">
        <v>1</v>
      </c>
      <c r="H19">
        <v>384</v>
      </c>
      <c r="K19" s="18">
        <f>MIN(Season3Data[[#This Row],[Brian]:[Spencer]])</f>
        <v>3</v>
      </c>
      <c r="L19" s="18">
        <f>AVERAGE(Season3Data[[#This Row],[Brian]:[Spencer]])</f>
        <v>3.2857142857142856</v>
      </c>
      <c r="M19" t="b">
        <f>IF(COUNTIF(Season3Data[[#This Row],[Brian]:[Spencer]], Season3Data[[#This Row],[Best Guess]]) &gt; 1, TRUE, FALSE)</f>
        <v>1</v>
      </c>
      <c r="O19">
        <v>3</v>
      </c>
      <c r="P19">
        <v>3</v>
      </c>
      <c r="Q19">
        <v>4</v>
      </c>
      <c r="R19">
        <v>3</v>
      </c>
      <c r="S19">
        <v>3</v>
      </c>
      <c r="T19">
        <v>3</v>
      </c>
      <c r="U19">
        <v>4</v>
      </c>
      <c r="X19" t="s">
        <v>4</v>
      </c>
      <c r="Y19">
        <v>0</v>
      </c>
      <c r="Z19">
        <v>7</v>
      </c>
      <c r="AA19">
        <v>9</v>
      </c>
    </row>
    <row r="20" spans="1:27" x14ac:dyDescent="0.35">
      <c r="A20" s="1">
        <v>45026</v>
      </c>
      <c r="B20" t="s">
        <v>11</v>
      </c>
      <c r="C20" t="s">
        <v>415</v>
      </c>
      <c r="D20" t="s">
        <v>416</v>
      </c>
      <c r="E20" t="s">
        <v>6</v>
      </c>
      <c r="F20">
        <v>1</v>
      </c>
      <c r="H20">
        <v>2015</v>
      </c>
      <c r="K20" s="18">
        <f>MIN(Season3Data[[#This Row],[Brian]:[Spencer]])</f>
        <v>3</v>
      </c>
      <c r="L20" s="18">
        <f>AVERAGE(Season3Data[[#This Row],[Brian]:[Spencer]])</f>
        <v>4.4285714285714288</v>
      </c>
      <c r="M20" t="b">
        <f>IF(COUNTIF(Season3Data[[#This Row],[Brian]:[Spencer]], Season3Data[[#This Row],[Best Guess]]) &gt; 1, TRUE, FALSE)</f>
        <v>0</v>
      </c>
      <c r="O20">
        <v>4</v>
      </c>
      <c r="P20">
        <v>3</v>
      </c>
      <c r="Q20">
        <v>5</v>
      </c>
      <c r="R20">
        <v>5</v>
      </c>
      <c r="S20">
        <v>4</v>
      </c>
      <c r="T20">
        <v>6</v>
      </c>
      <c r="U20">
        <v>4</v>
      </c>
      <c r="X20" t="s">
        <v>6</v>
      </c>
      <c r="Y20">
        <v>7</v>
      </c>
      <c r="Z20">
        <v>10</v>
      </c>
      <c r="AA20">
        <v>13</v>
      </c>
    </row>
    <row r="21" spans="1:27" x14ac:dyDescent="0.35">
      <c r="A21" s="1">
        <v>45027</v>
      </c>
      <c r="B21" t="s">
        <v>6</v>
      </c>
      <c r="C21" t="s">
        <v>417</v>
      </c>
      <c r="D21" t="s">
        <v>418</v>
      </c>
      <c r="E21" t="s">
        <v>16</v>
      </c>
      <c r="F21">
        <v>1</v>
      </c>
      <c r="H21">
        <v>495</v>
      </c>
      <c r="K21" s="18">
        <f>MIN(Season3Data[[#This Row],[Brian]:[Spencer]])</f>
        <v>3</v>
      </c>
      <c r="L21" s="18">
        <f>AVERAGE(Season3Data[[#This Row],[Brian]:[Spencer]])</f>
        <v>4</v>
      </c>
      <c r="M21" t="b">
        <f>IF(COUNTIF(Season3Data[[#This Row],[Brian]:[Spencer]], Season3Data[[#This Row],[Best Guess]]) &gt; 1, TRUE, FALSE)</f>
        <v>1</v>
      </c>
      <c r="O21">
        <v>4</v>
      </c>
      <c r="P21">
        <v>4</v>
      </c>
      <c r="Q21">
        <v>5</v>
      </c>
      <c r="R21">
        <v>4</v>
      </c>
      <c r="S21">
        <v>3</v>
      </c>
      <c r="T21">
        <v>5</v>
      </c>
      <c r="U21">
        <v>3</v>
      </c>
      <c r="X21" t="s">
        <v>2</v>
      </c>
      <c r="Y21">
        <v>1</v>
      </c>
      <c r="Z21">
        <v>7</v>
      </c>
      <c r="AA21">
        <v>14</v>
      </c>
    </row>
    <row r="22" spans="1:27" x14ac:dyDescent="0.35">
      <c r="A22" s="1">
        <v>45028</v>
      </c>
      <c r="B22" t="s">
        <v>16</v>
      </c>
      <c r="C22" t="s">
        <v>419</v>
      </c>
      <c r="D22" t="s">
        <v>420</v>
      </c>
      <c r="E22" t="s">
        <v>11</v>
      </c>
      <c r="F22">
        <v>1</v>
      </c>
      <c r="H22">
        <v>1655</v>
      </c>
      <c r="K22" s="18">
        <f>MIN(Season3Data[[#This Row],[Brian]:[Spencer]])</f>
        <v>3</v>
      </c>
      <c r="L22" s="18">
        <f>AVERAGE(Season3Data[[#This Row],[Brian]:[Spencer]])</f>
        <v>4.2857142857142856</v>
      </c>
      <c r="M22" t="b">
        <f>IF(COUNTIF(Season3Data[[#This Row],[Brian]:[Spencer]], Season3Data[[#This Row],[Best Guess]]) &gt; 1, TRUE, FALSE)</f>
        <v>1</v>
      </c>
      <c r="O22">
        <v>5</v>
      </c>
      <c r="P22">
        <v>4</v>
      </c>
      <c r="Q22">
        <v>5</v>
      </c>
      <c r="R22">
        <v>3</v>
      </c>
      <c r="S22">
        <v>5</v>
      </c>
      <c r="T22">
        <v>5</v>
      </c>
      <c r="U22">
        <v>3</v>
      </c>
      <c r="X22" t="s">
        <v>11</v>
      </c>
      <c r="Y22" s="25">
        <v>8</v>
      </c>
      <c r="Z22">
        <v>9</v>
      </c>
      <c r="AA22">
        <v>13</v>
      </c>
    </row>
    <row r="23" spans="1:27" x14ac:dyDescent="0.35">
      <c r="A23" s="1">
        <v>45029</v>
      </c>
      <c r="B23" t="s">
        <v>11</v>
      </c>
      <c r="C23" t="s">
        <v>421</v>
      </c>
      <c r="D23" t="s">
        <v>422</v>
      </c>
      <c r="E23" t="s">
        <v>6</v>
      </c>
      <c r="F23">
        <v>1</v>
      </c>
      <c r="H23">
        <v>249</v>
      </c>
      <c r="K23" s="18">
        <f>MIN(Season3Data[[#This Row],[Brian]:[Spencer]])</f>
        <v>3</v>
      </c>
      <c r="L23" s="18">
        <f>AVERAGE(Season3Data[[#This Row],[Brian]:[Spencer]])</f>
        <v>4.4285714285714288</v>
      </c>
      <c r="M23" t="b">
        <f>IF(COUNTIF(Season3Data[[#This Row],[Brian]:[Spencer]], Season3Data[[#This Row],[Best Guess]]) &gt; 1, TRUE, FALSE)</f>
        <v>0</v>
      </c>
      <c r="O23">
        <v>4</v>
      </c>
      <c r="P23">
        <v>3</v>
      </c>
      <c r="Q23">
        <v>4</v>
      </c>
      <c r="R23">
        <v>5</v>
      </c>
      <c r="S23">
        <v>5</v>
      </c>
      <c r="T23">
        <v>5</v>
      </c>
      <c r="U23">
        <v>5</v>
      </c>
      <c r="X23" t="s">
        <v>13</v>
      </c>
      <c r="Y23">
        <v>3</v>
      </c>
      <c r="Z23">
        <v>7</v>
      </c>
      <c r="AA23">
        <v>13</v>
      </c>
    </row>
    <row r="24" spans="1:27" x14ac:dyDescent="0.35">
      <c r="A24" s="1">
        <v>45030</v>
      </c>
      <c r="B24" t="s">
        <v>6</v>
      </c>
      <c r="C24" t="s">
        <v>423</v>
      </c>
      <c r="D24" t="s">
        <v>424</v>
      </c>
      <c r="E24" t="s">
        <v>1</v>
      </c>
      <c r="F24">
        <v>1</v>
      </c>
      <c r="H24">
        <v>1361</v>
      </c>
      <c r="K24" s="18">
        <f>MIN(Season3Data[[#This Row],[Brian]:[Spencer]])</f>
        <v>3</v>
      </c>
      <c r="L24" s="18">
        <f>AVERAGE(Season3Data[[#This Row],[Brian]:[Spencer]])</f>
        <v>4.1428571428571432</v>
      </c>
      <c r="M24" t="b">
        <f>IF(COUNTIF(Season3Data[[#This Row],[Brian]:[Spencer]], Season3Data[[#This Row],[Best Guess]]) &gt; 1, TRUE, FALSE)</f>
        <v>0</v>
      </c>
      <c r="O24">
        <v>5</v>
      </c>
      <c r="P24">
        <v>4</v>
      </c>
      <c r="Q24">
        <v>4</v>
      </c>
      <c r="R24">
        <v>4</v>
      </c>
      <c r="S24">
        <v>4</v>
      </c>
      <c r="T24">
        <v>3</v>
      </c>
      <c r="U24">
        <v>5</v>
      </c>
      <c r="X24" t="s">
        <v>1</v>
      </c>
      <c r="Y24">
        <v>5</v>
      </c>
      <c r="Z24">
        <v>6</v>
      </c>
      <c r="AA24">
        <v>11</v>
      </c>
    </row>
    <row r="25" spans="1:27" x14ac:dyDescent="0.35">
      <c r="A25" s="1">
        <v>45031</v>
      </c>
      <c r="B25" t="s">
        <v>1</v>
      </c>
      <c r="C25" t="s">
        <v>425</v>
      </c>
      <c r="D25" t="s">
        <v>426</v>
      </c>
      <c r="E25" t="s">
        <v>13</v>
      </c>
      <c r="F25">
        <v>1</v>
      </c>
      <c r="H25">
        <v>674</v>
      </c>
      <c r="K25" s="18">
        <f>MIN(Season3Data[[#This Row],[Brian]:[Spencer]])</f>
        <v>3</v>
      </c>
      <c r="L25" s="18">
        <f>AVERAGE(Season3Data[[#This Row],[Brian]:[Spencer]])</f>
        <v>3.8571428571428572</v>
      </c>
      <c r="M25" t="b">
        <f>IF(COUNTIF(Season3Data[[#This Row],[Brian]:[Spencer]], Season3Data[[#This Row],[Best Guess]]) &gt; 1, TRUE, FALSE)</f>
        <v>0</v>
      </c>
      <c r="O25">
        <v>4</v>
      </c>
      <c r="P25">
        <v>4</v>
      </c>
      <c r="Q25">
        <v>4</v>
      </c>
      <c r="R25">
        <v>4</v>
      </c>
      <c r="S25">
        <v>3</v>
      </c>
      <c r="T25">
        <v>4</v>
      </c>
      <c r="U25">
        <v>4</v>
      </c>
      <c r="X25" t="s">
        <v>16</v>
      </c>
      <c r="Y25">
        <v>7</v>
      </c>
      <c r="Z25" s="25">
        <v>15</v>
      </c>
      <c r="AA25" s="25">
        <v>19</v>
      </c>
    </row>
    <row r="26" spans="1:27" x14ac:dyDescent="0.35">
      <c r="A26" s="1">
        <v>45032</v>
      </c>
      <c r="B26" t="s">
        <v>13</v>
      </c>
      <c r="C26" t="s">
        <v>427</v>
      </c>
      <c r="D26" t="s">
        <v>428</v>
      </c>
      <c r="E26" t="s">
        <v>1</v>
      </c>
      <c r="F26">
        <v>1</v>
      </c>
      <c r="H26">
        <v>1768</v>
      </c>
      <c r="K26" s="18">
        <f>MIN(Season3Data[[#This Row],[Brian]:[Spencer]])</f>
        <v>3</v>
      </c>
      <c r="L26" s="18">
        <f>AVERAGE(Season3Data[[#This Row],[Brian]:[Spencer]])</f>
        <v>4.1428571428571432</v>
      </c>
      <c r="M26" t="b">
        <f>IF(COUNTIF(Season3Data[[#This Row],[Brian]:[Spencer]], Season3Data[[#This Row],[Best Guess]]) &gt; 1, TRUE, FALSE)</f>
        <v>1</v>
      </c>
      <c r="O26">
        <v>5</v>
      </c>
      <c r="P26">
        <v>5</v>
      </c>
      <c r="Q26">
        <v>3</v>
      </c>
      <c r="R26">
        <v>4</v>
      </c>
      <c r="S26">
        <v>5</v>
      </c>
      <c r="T26">
        <v>3</v>
      </c>
      <c r="U26">
        <v>4</v>
      </c>
    </row>
    <row r="27" spans="1:27" x14ac:dyDescent="0.35">
      <c r="A27" s="1">
        <v>45033</v>
      </c>
      <c r="B27" t="s">
        <v>1</v>
      </c>
      <c r="C27" t="s">
        <v>429</v>
      </c>
      <c r="D27" t="s">
        <v>430</v>
      </c>
      <c r="E27" t="s">
        <v>16</v>
      </c>
      <c r="F27">
        <v>1</v>
      </c>
      <c r="H27">
        <v>355</v>
      </c>
      <c r="K27" s="18">
        <f>MIN(Season3Data[[#This Row],[Brian]:[Spencer]])</f>
        <v>3</v>
      </c>
      <c r="L27" s="18">
        <f>AVERAGE(Season3Data[[#This Row],[Brian]:[Spencer]])</f>
        <v>4.2857142857142856</v>
      </c>
      <c r="M27" t="b">
        <f>IF(COUNTIF(Season3Data[[#This Row],[Brian]:[Spencer]], Season3Data[[#This Row],[Best Guess]]) &gt; 1, TRUE, FALSE)</f>
        <v>0</v>
      </c>
      <c r="O27">
        <v>5</v>
      </c>
      <c r="P27">
        <v>5</v>
      </c>
      <c r="Q27">
        <v>4</v>
      </c>
      <c r="R27">
        <v>4</v>
      </c>
      <c r="S27">
        <v>4</v>
      </c>
      <c r="T27">
        <v>5</v>
      </c>
      <c r="U27">
        <v>3</v>
      </c>
    </row>
    <row r="28" spans="1:27" x14ac:dyDescent="0.35">
      <c r="A28" s="1">
        <v>45034</v>
      </c>
      <c r="B28" t="s">
        <v>16</v>
      </c>
      <c r="C28" t="s">
        <v>431</v>
      </c>
      <c r="D28" t="s">
        <v>432</v>
      </c>
      <c r="E28" t="s">
        <v>6</v>
      </c>
      <c r="F28">
        <v>1</v>
      </c>
      <c r="H28">
        <v>411</v>
      </c>
      <c r="K28" s="18">
        <f>MIN(Season3Data[[#This Row],[Brian]:[Spencer]])</f>
        <v>3</v>
      </c>
      <c r="L28" s="18">
        <f>AVERAGE(Season3Data[[#This Row],[Brian]:[Spencer]])</f>
        <v>4.8571428571428568</v>
      </c>
      <c r="M28" t="b">
        <f>IF(COUNTIF(Season3Data[[#This Row],[Brian]:[Spencer]], Season3Data[[#This Row],[Best Guess]]) &gt; 1, TRUE, FALSE)</f>
        <v>1</v>
      </c>
      <c r="O28">
        <v>7</v>
      </c>
      <c r="P28">
        <v>3</v>
      </c>
      <c r="Q28">
        <v>6</v>
      </c>
      <c r="R28">
        <v>6</v>
      </c>
      <c r="S28">
        <v>3</v>
      </c>
      <c r="T28">
        <v>4</v>
      </c>
      <c r="U28">
        <v>5</v>
      </c>
      <c r="X28" s="26" t="s">
        <v>373</v>
      </c>
      <c r="Y28" t="s">
        <v>442</v>
      </c>
      <c r="Z28" t="s">
        <v>443</v>
      </c>
      <c r="AA28" t="s">
        <v>181</v>
      </c>
    </row>
    <row r="29" spans="1:27" x14ac:dyDescent="0.35">
      <c r="A29" s="1">
        <v>45035</v>
      </c>
      <c r="B29" t="s">
        <v>6</v>
      </c>
      <c r="C29" t="s">
        <v>433</v>
      </c>
      <c r="D29" t="s">
        <v>434</v>
      </c>
      <c r="E29" t="s">
        <v>16</v>
      </c>
      <c r="F29">
        <v>1</v>
      </c>
      <c r="H29">
        <v>3</v>
      </c>
      <c r="K29" s="18">
        <f>MIN(Season3Data[[#This Row],[Brian]:[Spencer]])</f>
        <v>2</v>
      </c>
      <c r="L29" s="18">
        <f>AVERAGE(Season3Data[[#This Row],[Brian]:[Spencer]])</f>
        <v>2.1428571428571428</v>
      </c>
      <c r="M29" t="b">
        <f>IF(COUNTIF(Season3Data[[#This Row],[Brian]:[Spencer]], Season3Data[[#This Row],[Best Guess]]) &gt; 1, TRUE, FALSE)</f>
        <v>1</v>
      </c>
      <c r="O29">
        <v>2</v>
      </c>
      <c r="P29">
        <v>2</v>
      </c>
      <c r="Q29">
        <v>2</v>
      </c>
      <c r="R29">
        <v>3</v>
      </c>
      <c r="S29">
        <v>2</v>
      </c>
      <c r="T29">
        <v>2</v>
      </c>
      <c r="U29">
        <v>2</v>
      </c>
      <c r="X29" t="s">
        <v>4</v>
      </c>
      <c r="AA29">
        <v>4</v>
      </c>
    </row>
    <row r="30" spans="1:27" x14ac:dyDescent="0.35">
      <c r="A30" s="1">
        <v>45036</v>
      </c>
      <c r="B30" t="s">
        <v>16</v>
      </c>
      <c r="C30" t="s">
        <v>435</v>
      </c>
      <c r="D30" t="s">
        <v>436</v>
      </c>
      <c r="E30" t="s">
        <v>11</v>
      </c>
      <c r="F30">
        <v>1</v>
      </c>
      <c r="H30">
        <v>485</v>
      </c>
      <c r="K30" s="18">
        <f>MIN(Season3Data[[#This Row],[Brian]:[Spencer]])</f>
        <v>2</v>
      </c>
      <c r="L30" s="18">
        <f>AVERAGE(Season3Data[[#This Row],[Brian]:[Spencer]])</f>
        <v>3.4285714285714284</v>
      </c>
      <c r="M30" t="b">
        <f>IF(COUNTIF(Season3Data[[#This Row],[Brian]:[Spencer]], Season3Data[[#This Row],[Best Guess]]) &gt; 1, TRUE, FALSE)</f>
        <v>0</v>
      </c>
      <c r="O30">
        <v>4</v>
      </c>
      <c r="P30">
        <v>4</v>
      </c>
      <c r="Q30">
        <v>3</v>
      </c>
      <c r="R30">
        <v>2</v>
      </c>
      <c r="S30">
        <v>3</v>
      </c>
      <c r="T30">
        <v>4</v>
      </c>
      <c r="U30">
        <v>4</v>
      </c>
      <c r="X30" t="s">
        <v>6</v>
      </c>
      <c r="AA30">
        <v>7</v>
      </c>
    </row>
    <row r="31" spans="1:27" x14ac:dyDescent="0.35">
      <c r="A31" s="1">
        <v>45037</v>
      </c>
      <c r="B31" t="s">
        <v>11</v>
      </c>
      <c r="C31" t="s">
        <v>437</v>
      </c>
      <c r="D31" t="s">
        <v>438</v>
      </c>
      <c r="E31" t="s">
        <v>6</v>
      </c>
      <c r="F31">
        <v>1</v>
      </c>
      <c r="H31">
        <v>420</v>
      </c>
      <c r="K31" s="18">
        <f>MIN(Season3Data[[#This Row],[Brian]:[Spencer]])</f>
        <v>3</v>
      </c>
      <c r="L31" s="18">
        <f>AVERAGE(Season3Data[[#This Row],[Brian]:[Spencer]])</f>
        <v>3.8571428571428572</v>
      </c>
      <c r="M31" t="b">
        <f>IF(COUNTIF(Season3Data[[#This Row],[Brian]:[Spencer]], Season3Data[[#This Row],[Best Guess]]) &gt; 1, TRUE, FALSE)</f>
        <v>0</v>
      </c>
      <c r="O31">
        <v>4</v>
      </c>
      <c r="P31">
        <v>3</v>
      </c>
      <c r="Q31">
        <v>4</v>
      </c>
      <c r="R31">
        <v>4</v>
      </c>
      <c r="S31">
        <v>4</v>
      </c>
      <c r="T31">
        <v>4</v>
      </c>
      <c r="U31">
        <v>4</v>
      </c>
      <c r="X31" t="s">
        <v>2</v>
      </c>
      <c r="AA31">
        <v>2</v>
      </c>
    </row>
    <row r="32" spans="1:27" x14ac:dyDescent="0.35">
      <c r="A32" s="1">
        <v>45038</v>
      </c>
      <c r="B32" t="s">
        <v>6</v>
      </c>
      <c r="C32" t="s">
        <v>439</v>
      </c>
      <c r="D32" t="s">
        <v>440</v>
      </c>
      <c r="E32" t="s">
        <v>11</v>
      </c>
      <c r="F32">
        <v>1</v>
      </c>
      <c r="H32">
        <v>258</v>
      </c>
      <c r="K32" s="18">
        <f>MIN(Season3Data[[#This Row],[Brian]:[Spencer]])</f>
        <v>3</v>
      </c>
      <c r="L32" s="18">
        <f>AVERAGE(Season3Data[[#This Row],[Brian]:[Spencer]])</f>
        <v>3.7142857142857144</v>
      </c>
      <c r="M32" t="b">
        <f>IF(COUNTIF(Season3Data[[#This Row],[Brian]:[Spencer]], Season3Data[[#This Row],[Best Guess]]) &gt; 1, TRUE, FALSE)</f>
        <v>1</v>
      </c>
      <c r="O32">
        <v>4</v>
      </c>
      <c r="P32">
        <v>4</v>
      </c>
      <c r="Q32">
        <v>4</v>
      </c>
      <c r="R32">
        <v>3</v>
      </c>
      <c r="S32">
        <v>3</v>
      </c>
      <c r="T32">
        <v>4</v>
      </c>
      <c r="U32">
        <v>4</v>
      </c>
      <c r="X32" t="s">
        <v>11</v>
      </c>
      <c r="AA32">
        <v>4</v>
      </c>
    </row>
    <row r="33" spans="1:27" x14ac:dyDescent="0.35">
      <c r="A33" s="1">
        <v>45039</v>
      </c>
      <c r="B33" t="s">
        <v>11</v>
      </c>
      <c r="C33" t="s">
        <v>156</v>
      </c>
      <c r="D33" t="s">
        <v>468</v>
      </c>
      <c r="E33" t="s">
        <v>2</v>
      </c>
      <c r="F33">
        <v>1</v>
      </c>
      <c r="H33">
        <v>645</v>
      </c>
      <c r="K33" s="18">
        <f>MIN(Season3Data[[#This Row],[Brian]:[Spencer]])</f>
        <v>3</v>
      </c>
      <c r="L33" s="18">
        <f>AVERAGE(Season3Data[[#This Row],[Brian]:[Spencer]])</f>
        <v>3.8571428571428572</v>
      </c>
      <c r="M33" t="b">
        <f>IF(COUNTIF(Season3Data[[#This Row],[Brian]:[Spencer]], Season3Data[[#This Row],[Best Guess]]) &gt; 1, TRUE, FALSE)</f>
        <v>0</v>
      </c>
      <c r="O33">
        <v>4</v>
      </c>
      <c r="P33">
        <v>4</v>
      </c>
      <c r="Q33">
        <v>3</v>
      </c>
      <c r="R33">
        <v>4</v>
      </c>
      <c r="S33">
        <v>4</v>
      </c>
      <c r="T33">
        <v>4</v>
      </c>
      <c r="U33">
        <v>4</v>
      </c>
      <c r="X33" t="s">
        <v>13</v>
      </c>
      <c r="AA33" s="25">
        <v>9</v>
      </c>
    </row>
    <row r="34" spans="1:27" x14ac:dyDescent="0.35">
      <c r="A34" s="1">
        <v>45040</v>
      </c>
      <c r="B34" t="s">
        <v>2</v>
      </c>
      <c r="C34" t="s">
        <v>469</v>
      </c>
      <c r="D34" t="s">
        <v>470</v>
      </c>
      <c r="E34" t="s">
        <v>16</v>
      </c>
      <c r="F34">
        <v>1</v>
      </c>
      <c r="H34">
        <v>625</v>
      </c>
      <c r="K34" s="18">
        <f>MIN(Season3Data[[#This Row],[Brian]:[Spencer]])</f>
        <v>3</v>
      </c>
      <c r="L34" s="18">
        <f>AVERAGE(Season3Data[[#This Row],[Brian]:[Spencer]])</f>
        <v>4</v>
      </c>
      <c r="M34" t="b">
        <f>IF(COUNTIF(Season3Data[[#This Row],[Brian]:[Spencer]], Season3Data[[#This Row],[Best Guess]]) &gt; 1, TRUE, FALSE)</f>
        <v>0</v>
      </c>
      <c r="O34">
        <v>4</v>
      </c>
      <c r="P34">
        <v>4</v>
      </c>
      <c r="Q34">
        <v>4</v>
      </c>
      <c r="R34">
        <v>4</v>
      </c>
      <c r="S34">
        <v>4</v>
      </c>
      <c r="T34">
        <v>5</v>
      </c>
      <c r="U34">
        <v>3</v>
      </c>
      <c r="X34" t="s">
        <v>1</v>
      </c>
      <c r="AA34">
        <v>6</v>
      </c>
    </row>
    <row r="35" spans="1:27" x14ac:dyDescent="0.35">
      <c r="A35" s="1">
        <v>45041</v>
      </c>
      <c r="B35" t="s">
        <v>16</v>
      </c>
      <c r="C35" t="s">
        <v>471</v>
      </c>
      <c r="D35" t="s">
        <v>472</v>
      </c>
      <c r="E35" t="s">
        <v>4</v>
      </c>
      <c r="F35">
        <v>1</v>
      </c>
      <c r="H35">
        <v>769</v>
      </c>
      <c r="K35" s="18">
        <f>MIN(Season3Data[[#This Row],[Brian]:[Spencer]])</f>
        <v>4</v>
      </c>
      <c r="L35" s="18">
        <f>AVERAGE(Season3Data[[#This Row],[Brian]:[Spencer]])</f>
        <v>5.4285714285714288</v>
      </c>
      <c r="M35" t="b">
        <f>IF(COUNTIF(Season3Data[[#This Row],[Brian]:[Spencer]], Season3Data[[#This Row],[Best Guess]]) &gt; 1, TRUE, FALSE)</f>
        <v>0</v>
      </c>
      <c r="O35">
        <v>4</v>
      </c>
      <c r="P35">
        <v>5</v>
      </c>
      <c r="Q35">
        <v>7</v>
      </c>
      <c r="R35">
        <v>7</v>
      </c>
      <c r="S35">
        <v>5</v>
      </c>
      <c r="T35">
        <v>5</v>
      </c>
      <c r="U35">
        <v>5</v>
      </c>
      <c r="X35" t="s">
        <v>16</v>
      </c>
      <c r="AA35">
        <v>7</v>
      </c>
    </row>
    <row r="36" spans="1:27" x14ac:dyDescent="0.35">
      <c r="A36" s="1">
        <v>45042</v>
      </c>
      <c r="B36" t="s">
        <v>4</v>
      </c>
      <c r="C36" t="s">
        <v>474</v>
      </c>
      <c r="D36" t="s">
        <v>475</v>
      </c>
      <c r="E36" t="s">
        <v>4</v>
      </c>
      <c r="F36">
        <v>2</v>
      </c>
      <c r="H36">
        <v>102</v>
      </c>
      <c r="K36" s="18">
        <f>MIN(Season3Data[[#This Row],[Brian]:[Spencer]])</f>
        <v>3</v>
      </c>
      <c r="L36" s="18">
        <f>AVERAGE(Season3Data[[#This Row],[Brian]:[Spencer]])</f>
        <v>4</v>
      </c>
      <c r="M36" t="b">
        <f>IF(COUNTIF(Season3Data[[#This Row],[Brian]:[Spencer]], Season3Data[[#This Row],[Best Guess]]) &gt; 1, TRUE, FALSE)</f>
        <v>0</v>
      </c>
      <c r="O36">
        <v>3</v>
      </c>
      <c r="P36">
        <v>4</v>
      </c>
      <c r="Q36">
        <v>4</v>
      </c>
      <c r="R36">
        <v>4</v>
      </c>
      <c r="S36">
        <v>4</v>
      </c>
      <c r="T36">
        <v>4</v>
      </c>
      <c r="U36">
        <v>5</v>
      </c>
    </row>
    <row r="37" spans="1:27" x14ac:dyDescent="0.35">
      <c r="A37" s="1">
        <v>45043</v>
      </c>
      <c r="B37" t="s">
        <v>4</v>
      </c>
      <c r="C37" t="s">
        <v>476</v>
      </c>
      <c r="D37" t="s">
        <v>477</v>
      </c>
      <c r="E37" t="s">
        <v>4</v>
      </c>
      <c r="F37">
        <v>3</v>
      </c>
      <c r="H37">
        <v>261</v>
      </c>
      <c r="K37" s="18">
        <f>MIN(Season3Data[[#This Row],[Brian]:[Spencer]])</f>
        <v>3</v>
      </c>
      <c r="L37" s="18">
        <f>AVERAGE(Season3Data[[#This Row],[Brian]:[Spencer]])</f>
        <v>3.4285714285714284</v>
      </c>
      <c r="M37" t="b">
        <f>IF(COUNTIF(Season3Data[[#This Row],[Brian]:[Spencer]], Season3Data[[#This Row],[Best Guess]]) &gt; 1, TRUE, FALSE)</f>
        <v>1</v>
      </c>
      <c r="O37">
        <v>3</v>
      </c>
      <c r="P37">
        <v>4</v>
      </c>
      <c r="Q37">
        <v>3</v>
      </c>
      <c r="R37">
        <v>3</v>
      </c>
      <c r="S37">
        <v>4</v>
      </c>
      <c r="T37">
        <v>4</v>
      </c>
      <c r="U37">
        <v>3</v>
      </c>
    </row>
    <row r="38" spans="1:27" x14ac:dyDescent="0.35">
      <c r="A38" s="1">
        <v>45044</v>
      </c>
      <c r="B38" t="s">
        <v>4</v>
      </c>
      <c r="C38" t="s">
        <v>478</v>
      </c>
      <c r="D38" t="s">
        <v>479</v>
      </c>
      <c r="E38" t="s">
        <v>16</v>
      </c>
      <c r="F38">
        <v>1</v>
      </c>
      <c r="H38">
        <v>1927</v>
      </c>
      <c r="K38" s="18">
        <f>MIN(Season3Data[[#This Row],[Brian]:[Spencer]])</f>
        <v>4</v>
      </c>
      <c r="L38" s="18">
        <f>AVERAGE(Season3Data[[#This Row],[Brian]:[Spencer]])</f>
        <v>4.7142857142857144</v>
      </c>
      <c r="M38" t="b">
        <f>IF(COUNTIF(Season3Data[[#This Row],[Brian]:[Spencer]], Season3Data[[#This Row],[Best Guess]]) &gt; 1, TRUE, FALSE)</f>
        <v>1</v>
      </c>
      <c r="O38">
        <v>5</v>
      </c>
      <c r="P38">
        <v>5</v>
      </c>
      <c r="Q38">
        <v>4</v>
      </c>
      <c r="R38">
        <v>5</v>
      </c>
      <c r="S38">
        <v>4</v>
      </c>
      <c r="T38">
        <v>6</v>
      </c>
      <c r="U38">
        <v>4</v>
      </c>
      <c r="X38" s="26" t="s">
        <v>374</v>
      </c>
      <c r="Y38" t="s">
        <v>442</v>
      </c>
      <c r="Z38" t="s">
        <v>443</v>
      </c>
      <c r="AA38" t="s">
        <v>181</v>
      </c>
    </row>
    <row r="39" spans="1:27" x14ac:dyDescent="0.35">
      <c r="A39" s="1">
        <v>45045</v>
      </c>
      <c r="B39" t="s">
        <v>16</v>
      </c>
      <c r="C39" t="s">
        <v>480</v>
      </c>
      <c r="D39" t="s">
        <v>481</v>
      </c>
      <c r="E39" t="s">
        <v>16</v>
      </c>
      <c r="F39">
        <v>2</v>
      </c>
      <c r="H39">
        <v>107</v>
      </c>
      <c r="K39" s="18">
        <f>MIN(Season3Data[[#This Row],[Brian]:[Spencer]])</f>
        <v>3</v>
      </c>
      <c r="L39" s="18">
        <f>AVERAGE(Season3Data[[#This Row],[Brian]:[Spencer]])</f>
        <v>3.1428571428571428</v>
      </c>
      <c r="M39" t="b">
        <f>IF(COUNTIF(Season3Data[[#This Row],[Brian]:[Spencer]], Season3Data[[#This Row],[Best Guess]]) &gt; 1, TRUE, FALSE)</f>
        <v>1</v>
      </c>
      <c r="O39">
        <v>3</v>
      </c>
      <c r="P39">
        <v>3</v>
      </c>
      <c r="Q39">
        <v>3</v>
      </c>
      <c r="R39">
        <v>4</v>
      </c>
      <c r="S39">
        <v>3</v>
      </c>
      <c r="T39">
        <v>3</v>
      </c>
      <c r="U39">
        <v>3</v>
      </c>
      <c r="X39" t="s">
        <v>4</v>
      </c>
      <c r="AA39">
        <v>5</v>
      </c>
    </row>
    <row r="40" spans="1:27" x14ac:dyDescent="0.35">
      <c r="A40" s="1">
        <v>45046</v>
      </c>
      <c r="B40" t="s">
        <v>16</v>
      </c>
      <c r="C40" t="s">
        <v>482</v>
      </c>
      <c r="D40" t="s">
        <v>483</v>
      </c>
      <c r="E40" t="s">
        <v>13</v>
      </c>
      <c r="F40">
        <v>1</v>
      </c>
      <c r="H40">
        <v>247</v>
      </c>
      <c r="K40" s="18">
        <f>MIN(Season3Data[[#This Row],[Brian]:[Spencer]])</f>
        <v>4</v>
      </c>
      <c r="L40" s="18">
        <f>AVERAGE(Season3Data[[#This Row],[Brian]:[Spencer]])</f>
        <v>4.8571428571428568</v>
      </c>
      <c r="M40" t="b">
        <f>IF(COUNTIF(Season3Data[[#This Row],[Brian]:[Spencer]], Season3Data[[#This Row],[Best Guess]]) &gt; 1, TRUE, FALSE)</f>
        <v>0</v>
      </c>
      <c r="O40">
        <v>5</v>
      </c>
      <c r="P40">
        <v>5</v>
      </c>
      <c r="Q40">
        <v>5</v>
      </c>
      <c r="R40">
        <v>5</v>
      </c>
      <c r="S40">
        <v>4</v>
      </c>
      <c r="T40">
        <v>5</v>
      </c>
      <c r="U40">
        <v>5</v>
      </c>
      <c r="X40" t="s">
        <v>6</v>
      </c>
      <c r="AA40">
        <v>6</v>
      </c>
    </row>
    <row r="41" spans="1:27" x14ac:dyDescent="0.35">
      <c r="A41" s="1">
        <v>45047</v>
      </c>
      <c r="B41" t="s">
        <v>13</v>
      </c>
      <c r="C41" t="s">
        <v>484</v>
      </c>
      <c r="D41" t="s">
        <v>485</v>
      </c>
      <c r="E41" t="s">
        <v>13</v>
      </c>
      <c r="F41">
        <v>2</v>
      </c>
      <c r="H41">
        <v>2879</v>
      </c>
      <c r="K41" s="18">
        <f>MIN(Season3Data[[#This Row],[Brian]:[Spencer]])</f>
        <v>3</v>
      </c>
      <c r="L41" s="18">
        <f>AVERAGE(Season3Data[[#This Row],[Brian]:[Spencer]])</f>
        <v>4.7142857142857144</v>
      </c>
      <c r="M41" t="b">
        <f>IF(COUNTIF(Season3Data[[#This Row],[Brian]:[Spencer]], Season3Data[[#This Row],[Best Guess]]) &gt; 1, TRUE, FALSE)</f>
        <v>0</v>
      </c>
      <c r="O41">
        <v>5</v>
      </c>
      <c r="P41">
        <v>4</v>
      </c>
      <c r="Q41">
        <v>5</v>
      </c>
      <c r="R41">
        <v>5</v>
      </c>
      <c r="S41">
        <v>3</v>
      </c>
      <c r="T41">
        <v>6</v>
      </c>
      <c r="U41">
        <v>5</v>
      </c>
      <c r="X41" t="s">
        <v>2</v>
      </c>
      <c r="AA41" s="25">
        <v>12</v>
      </c>
    </row>
    <row r="42" spans="1:27" x14ac:dyDescent="0.35">
      <c r="A42" s="1">
        <v>45048</v>
      </c>
      <c r="B42" t="s">
        <v>13</v>
      </c>
      <c r="C42" t="s">
        <v>486</v>
      </c>
      <c r="D42" t="s">
        <v>487</v>
      </c>
      <c r="E42" t="s">
        <v>6</v>
      </c>
      <c r="F42">
        <v>1</v>
      </c>
      <c r="H42">
        <v>246</v>
      </c>
      <c r="K42" s="18">
        <f>MIN(Season3Data[[#This Row],[Brian]:[Spencer]])</f>
        <v>3</v>
      </c>
      <c r="L42" s="18">
        <f>AVERAGE(Season3Data[[#This Row],[Brian]:[Spencer]])</f>
        <v>3.7142857142857144</v>
      </c>
      <c r="M42" t="b">
        <f>IF(COUNTIF(Season3Data[[#This Row],[Brian]:[Spencer]], Season3Data[[#This Row],[Best Guess]]) &gt; 1, TRUE, FALSE)</f>
        <v>1</v>
      </c>
      <c r="O42">
        <v>4</v>
      </c>
      <c r="P42">
        <v>3</v>
      </c>
      <c r="Q42">
        <v>3</v>
      </c>
      <c r="R42">
        <v>5</v>
      </c>
      <c r="S42">
        <v>4</v>
      </c>
      <c r="T42">
        <v>3</v>
      </c>
      <c r="U42">
        <v>4</v>
      </c>
      <c r="X42" t="s">
        <v>11</v>
      </c>
      <c r="AA42">
        <v>9</v>
      </c>
    </row>
    <row r="43" spans="1:27" x14ac:dyDescent="0.35">
      <c r="A43" s="1">
        <v>45049</v>
      </c>
      <c r="B43" t="s">
        <v>6</v>
      </c>
      <c r="C43" t="s">
        <v>488</v>
      </c>
      <c r="D43" t="s">
        <v>489</v>
      </c>
      <c r="E43" t="s">
        <v>2</v>
      </c>
      <c r="F43">
        <v>1</v>
      </c>
      <c r="H43">
        <v>180</v>
      </c>
      <c r="K43" s="18">
        <f>MIN(Season3Data[[#This Row],[Brian]:[Spencer]])</f>
        <v>4</v>
      </c>
      <c r="L43" s="18">
        <f>AVERAGE(Season3Data[[#This Row],[Brian]:[Spencer]])</f>
        <v>4.5714285714285712</v>
      </c>
      <c r="M43" t="b">
        <f>IF(COUNTIF(Season3Data[[#This Row],[Brian]:[Spencer]], Season3Data[[#This Row],[Best Guess]]) &gt; 1, TRUE, FALSE)</f>
        <v>1</v>
      </c>
      <c r="O43">
        <v>5</v>
      </c>
      <c r="P43">
        <v>4</v>
      </c>
      <c r="Q43">
        <v>4</v>
      </c>
      <c r="R43">
        <v>4</v>
      </c>
      <c r="S43">
        <v>6</v>
      </c>
      <c r="T43">
        <v>5</v>
      </c>
      <c r="U43">
        <v>4</v>
      </c>
      <c r="X43" t="s">
        <v>13</v>
      </c>
      <c r="AA43">
        <v>4</v>
      </c>
    </row>
    <row r="44" spans="1:27" x14ac:dyDescent="0.35">
      <c r="A44" s="1">
        <v>45050</v>
      </c>
      <c r="B44" t="s">
        <v>2</v>
      </c>
      <c r="C44" t="s">
        <v>490</v>
      </c>
      <c r="D44" t="s">
        <v>491</v>
      </c>
      <c r="E44" t="s">
        <v>6</v>
      </c>
      <c r="F44">
        <v>1</v>
      </c>
      <c r="H44">
        <v>3312</v>
      </c>
      <c r="K44" s="18">
        <f>MIN(Season3Data[[#This Row],[Brian]:[Spencer]])</f>
        <v>3</v>
      </c>
      <c r="L44" s="18">
        <f>AVERAGE(Season3Data[[#This Row],[Brian]:[Spencer]])</f>
        <v>4.5714285714285712</v>
      </c>
      <c r="M44" t="b">
        <f>IF(COUNTIF(Season3Data[[#This Row],[Brian]:[Spencer]], Season3Data[[#This Row],[Best Guess]]) &gt; 1, TRUE, FALSE)</f>
        <v>0</v>
      </c>
      <c r="O44">
        <v>4</v>
      </c>
      <c r="P44">
        <v>3</v>
      </c>
      <c r="Q44">
        <v>6</v>
      </c>
      <c r="R44">
        <v>5</v>
      </c>
      <c r="S44">
        <v>4</v>
      </c>
      <c r="T44">
        <v>4</v>
      </c>
      <c r="U44">
        <v>6</v>
      </c>
      <c r="X44" t="s">
        <v>1</v>
      </c>
      <c r="AA44">
        <v>5</v>
      </c>
    </row>
    <row r="45" spans="1:27" x14ac:dyDescent="0.35">
      <c r="A45" s="1">
        <v>45051</v>
      </c>
      <c r="B45" t="s">
        <v>6</v>
      </c>
      <c r="C45" t="s">
        <v>492</v>
      </c>
      <c r="D45" t="s">
        <v>493</v>
      </c>
      <c r="E45" t="s">
        <v>4</v>
      </c>
      <c r="F45">
        <v>1</v>
      </c>
      <c r="H45">
        <v>301</v>
      </c>
      <c r="K45" s="18">
        <f>MIN(Season3Data[[#This Row],[Brian]:[Spencer]])</f>
        <v>3</v>
      </c>
      <c r="L45" s="18">
        <f>AVERAGE(Season3Data[[#This Row],[Brian]:[Spencer]])</f>
        <v>3</v>
      </c>
      <c r="M45" t="b">
        <f>IF(COUNTIF(Season3Data[[#This Row],[Brian]:[Spencer]], Season3Data[[#This Row],[Best Guess]]) &gt; 1, TRUE, FALSE)</f>
        <v>1</v>
      </c>
      <c r="O45">
        <v>3</v>
      </c>
      <c r="P45" s="2"/>
      <c r="Q45">
        <v>3</v>
      </c>
      <c r="R45">
        <v>3</v>
      </c>
      <c r="S45">
        <v>3</v>
      </c>
      <c r="T45" s="2"/>
      <c r="U45">
        <v>3</v>
      </c>
      <c r="X45" t="s">
        <v>16</v>
      </c>
      <c r="AA45" s="25">
        <v>12</v>
      </c>
    </row>
    <row r="46" spans="1:27" x14ac:dyDescent="0.35">
      <c r="A46" s="1">
        <v>45052</v>
      </c>
      <c r="B46" t="s">
        <v>4</v>
      </c>
      <c r="C46" t="s">
        <v>494</v>
      </c>
      <c r="D46" t="s">
        <v>495</v>
      </c>
      <c r="E46" t="s">
        <v>16</v>
      </c>
      <c r="F46">
        <v>1</v>
      </c>
      <c r="H46">
        <v>309</v>
      </c>
      <c r="K46" s="18">
        <f>MIN(Season3Data[[#This Row],[Brian]:[Spencer]])</f>
        <v>3</v>
      </c>
      <c r="L46" s="18">
        <f>AVERAGE(Season3Data[[#This Row],[Brian]:[Spencer]])</f>
        <v>4.4000000000000004</v>
      </c>
      <c r="M46" t="b">
        <f>IF(COUNTIF(Season3Data[[#This Row],[Brian]:[Spencer]], Season3Data[[#This Row],[Best Guess]]) &gt; 1, TRUE, FALSE)</f>
        <v>1</v>
      </c>
      <c r="O46">
        <v>3</v>
      </c>
      <c r="P46" s="2"/>
      <c r="Q46">
        <v>5</v>
      </c>
      <c r="R46">
        <v>7</v>
      </c>
      <c r="S46">
        <v>4</v>
      </c>
      <c r="T46" s="2"/>
      <c r="U46">
        <v>3</v>
      </c>
    </row>
    <row r="47" spans="1:27" x14ac:dyDescent="0.35">
      <c r="A47" s="1">
        <v>45053</v>
      </c>
      <c r="B47" t="s">
        <v>16</v>
      </c>
      <c r="C47" t="s">
        <v>496</v>
      </c>
      <c r="D47" t="s">
        <v>33</v>
      </c>
      <c r="E47" t="s">
        <v>16</v>
      </c>
      <c r="F47">
        <v>2</v>
      </c>
      <c r="H47">
        <v>70</v>
      </c>
      <c r="K47" s="18">
        <f>MIN(Season3Data[[#This Row],[Brian]:[Spencer]])</f>
        <v>2</v>
      </c>
      <c r="L47" s="18">
        <f>AVERAGE(Season3Data[[#This Row],[Brian]:[Spencer]])</f>
        <v>2.6666666666666665</v>
      </c>
      <c r="M47" t="b">
        <f>IF(COUNTIF(Season3Data[[#This Row],[Brian]:[Spencer]], Season3Data[[#This Row],[Best Guess]]) &gt; 1, TRUE, FALSE)</f>
        <v>1</v>
      </c>
      <c r="O47">
        <v>2</v>
      </c>
      <c r="P47" s="2"/>
      <c r="Q47">
        <v>3</v>
      </c>
      <c r="R47">
        <v>3</v>
      </c>
      <c r="S47">
        <v>3</v>
      </c>
      <c r="T47">
        <v>3</v>
      </c>
      <c r="U47">
        <v>2</v>
      </c>
    </row>
    <row r="48" spans="1:27" x14ac:dyDescent="0.35">
      <c r="A48" s="1">
        <v>45054</v>
      </c>
      <c r="B48" t="s">
        <v>16</v>
      </c>
      <c r="C48" t="s">
        <v>497</v>
      </c>
      <c r="D48" t="s">
        <v>498</v>
      </c>
      <c r="E48" t="s">
        <v>16</v>
      </c>
      <c r="F48">
        <v>3</v>
      </c>
      <c r="H48">
        <v>304</v>
      </c>
      <c r="K48" s="18">
        <f>MIN(Season3Data[[#This Row],[Brian]:[Spencer]])</f>
        <v>3</v>
      </c>
      <c r="L48" s="18">
        <f>AVERAGE(Season3Data[[#This Row],[Brian]:[Spencer]])</f>
        <v>4.2</v>
      </c>
      <c r="M48" t="b">
        <f>IF(COUNTIF(Season3Data[[#This Row],[Brian]:[Spencer]], Season3Data[[#This Row],[Best Guess]]) &gt; 1, TRUE, FALSE)</f>
        <v>0</v>
      </c>
      <c r="O48">
        <v>4</v>
      </c>
      <c r="P48" s="2"/>
      <c r="Q48">
        <v>5</v>
      </c>
      <c r="R48">
        <v>4</v>
      </c>
      <c r="S48">
        <v>5</v>
      </c>
      <c r="T48" s="2"/>
      <c r="U48">
        <v>3</v>
      </c>
      <c r="X48" s="26" t="s">
        <v>599</v>
      </c>
      <c r="Y48" t="s">
        <v>442</v>
      </c>
      <c r="Z48" t="s">
        <v>443</v>
      </c>
      <c r="AA48" t="s">
        <v>181</v>
      </c>
    </row>
    <row r="49" spans="1:27" x14ac:dyDescent="0.35">
      <c r="A49" s="1">
        <v>45055</v>
      </c>
      <c r="B49" t="s">
        <v>16</v>
      </c>
      <c r="C49" t="s">
        <v>499</v>
      </c>
      <c r="D49" t="s">
        <v>500</v>
      </c>
      <c r="E49" t="s">
        <v>4</v>
      </c>
      <c r="F49">
        <v>1</v>
      </c>
      <c r="H49">
        <v>965</v>
      </c>
      <c r="K49" s="18">
        <f>MIN(Season3Data[[#This Row],[Brian]:[Spencer]])</f>
        <v>4</v>
      </c>
      <c r="L49" s="18">
        <f>AVERAGE(Season3Data[[#This Row],[Brian]:[Spencer]])</f>
        <v>4.8</v>
      </c>
      <c r="M49" t="b">
        <f>IF(COUNTIF(Season3Data[[#This Row],[Brian]:[Spencer]], Season3Data[[#This Row],[Best Guess]]) &gt; 1, TRUE, FALSE)</f>
        <v>0</v>
      </c>
      <c r="O49">
        <v>4</v>
      </c>
      <c r="P49" s="2"/>
      <c r="Q49">
        <v>5</v>
      </c>
      <c r="R49">
        <v>5</v>
      </c>
      <c r="S49">
        <v>5</v>
      </c>
      <c r="T49" s="2"/>
      <c r="U49">
        <v>5</v>
      </c>
      <c r="X49" t="s">
        <v>4</v>
      </c>
      <c r="AA49" s="14">
        <v>9.7826086956521738</v>
      </c>
    </row>
    <row r="50" spans="1:27" x14ac:dyDescent="0.35">
      <c r="A50" s="1">
        <v>45056</v>
      </c>
      <c r="B50" t="s">
        <v>4</v>
      </c>
      <c r="C50" t="s">
        <v>501</v>
      </c>
      <c r="D50" t="s">
        <v>484</v>
      </c>
      <c r="E50" t="s">
        <v>4</v>
      </c>
      <c r="F50">
        <v>2</v>
      </c>
      <c r="H50">
        <v>556</v>
      </c>
      <c r="K50" s="18">
        <f>MIN(Season3Data[[#This Row],[Brian]:[Spencer]])</f>
        <v>4</v>
      </c>
      <c r="L50" s="18">
        <f>AVERAGE(Season3Data[[#This Row],[Brian]:[Spencer]])</f>
        <v>4.166666666666667</v>
      </c>
      <c r="M50" t="b">
        <f>IF(COUNTIF(Season3Data[[#This Row],[Brian]:[Spencer]], Season3Data[[#This Row],[Best Guess]]) &gt; 1, TRUE, FALSE)</f>
        <v>1</v>
      </c>
      <c r="O50">
        <v>4</v>
      </c>
      <c r="P50" s="2"/>
      <c r="Q50">
        <v>4</v>
      </c>
      <c r="R50">
        <v>5</v>
      </c>
      <c r="S50">
        <v>4</v>
      </c>
      <c r="T50">
        <v>4</v>
      </c>
      <c r="U50">
        <v>4</v>
      </c>
      <c r="X50" t="s">
        <v>6</v>
      </c>
      <c r="AA50" s="14">
        <v>19.117647058823529</v>
      </c>
    </row>
    <row r="51" spans="1:27" x14ac:dyDescent="0.35">
      <c r="A51" s="1">
        <v>45057</v>
      </c>
      <c r="B51" t="s">
        <v>4</v>
      </c>
      <c r="C51" t="s">
        <v>398</v>
      </c>
      <c r="D51" t="s">
        <v>502</v>
      </c>
      <c r="E51" t="s">
        <v>1</v>
      </c>
      <c r="F51">
        <v>1</v>
      </c>
      <c r="H51">
        <v>421</v>
      </c>
      <c r="K51" s="18">
        <f>MIN(Season3Data[[#This Row],[Brian]:[Spencer]])</f>
        <v>3</v>
      </c>
      <c r="L51" s="18">
        <f>AVERAGE(Season3Data[[#This Row],[Brian]:[Spencer]])</f>
        <v>3.8571428571428572</v>
      </c>
      <c r="M51" t="b">
        <f>IF(COUNTIF(Season3Data[[#This Row],[Brian]:[Spencer]], Season3Data[[#This Row],[Best Guess]]) &gt; 1, TRUE, FALSE)</f>
        <v>1</v>
      </c>
      <c r="O51">
        <v>6</v>
      </c>
      <c r="P51">
        <v>4</v>
      </c>
      <c r="Q51">
        <v>4</v>
      </c>
      <c r="R51">
        <v>4</v>
      </c>
      <c r="S51">
        <v>3</v>
      </c>
      <c r="T51">
        <v>3</v>
      </c>
      <c r="U51">
        <v>3</v>
      </c>
      <c r="X51" t="s">
        <v>2</v>
      </c>
      <c r="AA51" s="14">
        <v>15.217391304347828</v>
      </c>
    </row>
    <row r="52" spans="1:27" x14ac:dyDescent="0.35">
      <c r="A52" s="1">
        <v>45058</v>
      </c>
      <c r="B52" t="s">
        <v>1</v>
      </c>
      <c r="C52" t="s">
        <v>123</v>
      </c>
      <c r="D52" t="s">
        <v>503</v>
      </c>
      <c r="E52" t="s">
        <v>6</v>
      </c>
      <c r="F52">
        <v>1</v>
      </c>
      <c r="H52">
        <v>30</v>
      </c>
      <c r="K52" s="18">
        <f>MIN(Season3Data[[#This Row],[Brian]:[Spencer]])</f>
        <v>3</v>
      </c>
      <c r="L52" s="18">
        <f>AVERAGE(Season3Data[[#This Row],[Brian]:[Spencer]])</f>
        <v>3.8571428571428572</v>
      </c>
      <c r="M52" t="b">
        <f>IF(COUNTIF(Season3Data[[#This Row],[Brian]:[Spencer]], Season3Data[[#This Row],[Best Guess]]) &gt; 1, TRUE, FALSE)</f>
        <v>1</v>
      </c>
      <c r="O52">
        <v>3</v>
      </c>
      <c r="P52">
        <v>3</v>
      </c>
      <c r="Q52">
        <v>3</v>
      </c>
      <c r="R52">
        <v>4</v>
      </c>
      <c r="S52">
        <v>5</v>
      </c>
      <c r="T52">
        <v>3</v>
      </c>
      <c r="U52">
        <v>6</v>
      </c>
      <c r="X52" t="s">
        <v>11</v>
      </c>
      <c r="AA52" s="14">
        <v>14.285714285714285</v>
      </c>
    </row>
    <row r="53" spans="1:27" x14ac:dyDescent="0.35">
      <c r="A53" s="1">
        <v>45059</v>
      </c>
      <c r="B53" t="s">
        <v>6</v>
      </c>
      <c r="C53" t="s">
        <v>504</v>
      </c>
      <c r="D53" t="s">
        <v>505</v>
      </c>
      <c r="E53" t="s">
        <v>16</v>
      </c>
      <c r="F53">
        <v>1</v>
      </c>
      <c r="H53">
        <v>908</v>
      </c>
      <c r="K53" s="18">
        <f>MIN(Season3Data[[#This Row],[Brian]:[Spencer]])</f>
        <v>3</v>
      </c>
      <c r="L53" s="18">
        <f>AVERAGE(Season3Data[[#This Row],[Brian]:[Spencer]])</f>
        <v>3.8571428571428572</v>
      </c>
      <c r="M53" t="b">
        <f>IF(COUNTIF(Season3Data[[#This Row],[Brian]:[Spencer]], Season3Data[[#This Row],[Best Guess]]) &gt; 1, TRUE, FALSE)</f>
        <v>0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3</v>
      </c>
      <c r="X53" t="s">
        <v>13</v>
      </c>
      <c r="AA53" s="14">
        <v>14.130434782608695</v>
      </c>
    </row>
    <row r="54" spans="1:27" x14ac:dyDescent="0.35">
      <c r="A54" s="1">
        <v>45060</v>
      </c>
      <c r="B54" t="s">
        <v>16</v>
      </c>
      <c r="C54" t="s">
        <v>506</v>
      </c>
      <c r="D54" t="s">
        <v>507</v>
      </c>
      <c r="E54" t="s">
        <v>2</v>
      </c>
      <c r="F54">
        <v>1</v>
      </c>
      <c r="H54">
        <v>127</v>
      </c>
      <c r="K54" s="18">
        <f>MIN(Season3Data[[#This Row],[Brian]:[Spencer]])</f>
        <v>3</v>
      </c>
      <c r="L54" s="18">
        <f>AVERAGE(Season3Data[[#This Row],[Brian]:[Spencer]])</f>
        <v>4.2857142857142856</v>
      </c>
      <c r="M54" t="b">
        <f>IF(COUNTIF(Season3Data[[#This Row],[Brian]:[Spencer]], Season3Data[[#This Row],[Best Guess]]) &gt; 1, TRUE, FALSE)</f>
        <v>1</v>
      </c>
      <c r="O54">
        <v>3</v>
      </c>
      <c r="P54">
        <v>5</v>
      </c>
      <c r="Q54">
        <v>3</v>
      </c>
      <c r="R54">
        <v>4</v>
      </c>
      <c r="S54">
        <v>4</v>
      </c>
      <c r="T54">
        <v>5</v>
      </c>
      <c r="U54">
        <v>6</v>
      </c>
      <c r="X54" t="s">
        <v>1</v>
      </c>
      <c r="AA54" s="14">
        <v>14.285714285714285</v>
      </c>
    </row>
    <row r="55" spans="1:27" x14ac:dyDescent="0.35">
      <c r="A55" s="1">
        <v>45061</v>
      </c>
      <c r="B55" t="s">
        <v>2</v>
      </c>
      <c r="C55" t="s">
        <v>81</v>
      </c>
      <c r="D55" t="s">
        <v>508</v>
      </c>
      <c r="E55" t="s">
        <v>2</v>
      </c>
      <c r="F55">
        <v>2</v>
      </c>
      <c r="H55">
        <v>14</v>
      </c>
      <c r="K55" s="18">
        <f>MIN(Season3Data[[#This Row],[Brian]:[Spencer]])</f>
        <v>2</v>
      </c>
      <c r="L55" s="18">
        <f>AVERAGE(Season3Data[[#This Row],[Brian]:[Spencer]])</f>
        <v>3</v>
      </c>
      <c r="M55" t="b">
        <f>IF(COUNTIF(Season3Data[[#This Row],[Brian]:[Spencer]], Season3Data[[#This Row],[Best Guess]]) &gt; 1, TRUE, FALSE)</f>
        <v>1</v>
      </c>
      <c r="O55">
        <v>4</v>
      </c>
      <c r="P55">
        <v>3</v>
      </c>
      <c r="Q55">
        <v>2</v>
      </c>
      <c r="R55">
        <v>4</v>
      </c>
      <c r="S55">
        <v>2</v>
      </c>
      <c r="T55">
        <v>2</v>
      </c>
      <c r="U55">
        <v>4</v>
      </c>
      <c r="X55" t="s">
        <v>16</v>
      </c>
      <c r="AA55" s="27">
        <v>20.652173913043477</v>
      </c>
    </row>
    <row r="56" spans="1:27" x14ac:dyDescent="0.35">
      <c r="A56" s="1">
        <v>45062</v>
      </c>
      <c r="B56" t="s">
        <v>2</v>
      </c>
      <c r="C56" t="s">
        <v>165</v>
      </c>
      <c r="D56" t="s">
        <v>509</v>
      </c>
      <c r="E56" t="s">
        <v>2</v>
      </c>
      <c r="F56">
        <v>3</v>
      </c>
      <c r="H56">
        <v>97</v>
      </c>
      <c r="K56" s="18">
        <f>MIN(Season3Data[[#This Row],[Brian]:[Spencer]])</f>
        <v>3</v>
      </c>
      <c r="L56" s="18">
        <f>AVERAGE(Season3Data[[#This Row],[Brian]:[Spencer]])</f>
        <v>3.1428571428571428</v>
      </c>
      <c r="M56" t="b">
        <f>IF(COUNTIF(Season3Data[[#This Row],[Brian]:[Spencer]], Season3Data[[#This Row],[Best Guess]]) &gt; 1, TRUE, FALSE)</f>
        <v>1</v>
      </c>
      <c r="O56">
        <v>3</v>
      </c>
      <c r="P56">
        <v>3</v>
      </c>
      <c r="Q56">
        <v>3</v>
      </c>
      <c r="R56">
        <v>3</v>
      </c>
      <c r="S56">
        <v>4</v>
      </c>
      <c r="T56">
        <v>3</v>
      </c>
      <c r="U56">
        <v>3</v>
      </c>
    </row>
    <row r="57" spans="1:27" x14ac:dyDescent="0.35">
      <c r="A57" s="1">
        <v>45063</v>
      </c>
      <c r="B57" t="s">
        <v>2</v>
      </c>
      <c r="C57" t="s">
        <v>511</v>
      </c>
      <c r="D57" t="s">
        <v>512</v>
      </c>
      <c r="E57" t="s">
        <v>4</v>
      </c>
      <c r="F57">
        <v>1</v>
      </c>
      <c r="H57">
        <v>2488</v>
      </c>
      <c r="K57" s="18">
        <f>MIN(Season3Data[[#This Row],[Brian]:[Spencer]])</f>
        <v>3</v>
      </c>
      <c r="L57" s="18">
        <f>AVERAGE(Season3Data[[#This Row],[Brian]:[Spencer]])</f>
        <v>3.5</v>
      </c>
      <c r="M57" t="b">
        <f>IF(COUNTIF(Season3Data[[#This Row],[Brian]:[Spencer]], Season3Data[[#This Row],[Best Guess]]) &gt; 1, TRUE, FALSE)</f>
        <v>1</v>
      </c>
      <c r="O57">
        <v>3</v>
      </c>
      <c r="P57" s="2"/>
      <c r="Q57">
        <v>3</v>
      </c>
      <c r="R57">
        <v>5</v>
      </c>
      <c r="S57">
        <v>4</v>
      </c>
      <c r="T57">
        <v>3</v>
      </c>
      <c r="U57">
        <v>3</v>
      </c>
    </row>
    <row r="58" spans="1:27" x14ac:dyDescent="0.35">
      <c r="A58" s="1">
        <v>45064</v>
      </c>
      <c r="B58" t="s">
        <v>4</v>
      </c>
      <c r="C58" t="s">
        <v>513</v>
      </c>
      <c r="D58" t="s">
        <v>514</v>
      </c>
      <c r="E58" t="s">
        <v>13</v>
      </c>
      <c r="F58">
        <v>1</v>
      </c>
      <c r="H58">
        <v>1214</v>
      </c>
      <c r="K58" s="18">
        <f>MIN(Season3Data[[#This Row],[Brian]:[Spencer]])</f>
        <v>4</v>
      </c>
      <c r="L58" s="18">
        <f>AVERAGE(Season3Data[[#This Row],[Brian]:[Spencer]])</f>
        <v>4.7142857142857144</v>
      </c>
      <c r="M58" t="b">
        <f>IF(COUNTIF(Season3Data[[#This Row],[Brian]:[Spencer]], Season3Data[[#This Row],[Best Guess]]) &gt; 1, TRUE, FALSE)</f>
        <v>1</v>
      </c>
      <c r="O58">
        <v>4</v>
      </c>
      <c r="P58">
        <v>5</v>
      </c>
      <c r="Q58">
        <v>5</v>
      </c>
      <c r="R58">
        <v>5</v>
      </c>
      <c r="S58">
        <v>4</v>
      </c>
      <c r="T58">
        <v>6</v>
      </c>
      <c r="U58">
        <v>4</v>
      </c>
      <c r="X58" s="26" t="s">
        <v>41</v>
      </c>
      <c r="Y58" t="s">
        <v>442</v>
      </c>
      <c r="Z58" t="s">
        <v>443</v>
      </c>
      <c r="AA58" t="s">
        <v>181</v>
      </c>
    </row>
    <row r="59" spans="1:27" x14ac:dyDescent="0.35">
      <c r="A59" s="1">
        <v>45065</v>
      </c>
      <c r="B59" t="s">
        <v>13</v>
      </c>
      <c r="C59" t="s">
        <v>515</v>
      </c>
      <c r="D59" t="s">
        <v>516</v>
      </c>
      <c r="E59" t="s">
        <v>13</v>
      </c>
      <c r="F59">
        <v>2</v>
      </c>
      <c r="H59">
        <v>1390</v>
      </c>
      <c r="K59" s="18">
        <f>MIN(Season3Data[[#This Row],[Brian]:[Spencer]])</f>
        <v>3</v>
      </c>
      <c r="L59" s="18">
        <f>AVERAGE(Season3Data[[#This Row],[Brian]:[Spencer]])</f>
        <v>4.1428571428571432</v>
      </c>
      <c r="M59" t="b">
        <f>IF(COUNTIF(Season3Data[[#This Row],[Brian]:[Spencer]], Season3Data[[#This Row],[Best Guess]]) &gt; 1, TRUE, FALSE)</f>
        <v>0</v>
      </c>
      <c r="O59">
        <v>5</v>
      </c>
      <c r="P59">
        <v>4</v>
      </c>
      <c r="Q59">
        <v>4</v>
      </c>
      <c r="R59">
        <v>5</v>
      </c>
      <c r="S59">
        <v>3</v>
      </c>
      <c r="T59">
        <v>4</v>
      </c>
      <c r="U59">
        <v>4</v>
      </c>
      <c r="X59" t="s">
        <v>4</v>
      </c>
      <c r="Y59">
        <v>4.0970000000000004</v>
      </c>
      <c r="Z59">
        <v>3.984</v>
      </c>
      <c r="AA59" s="14">
        <v>4.0978260869565215</v>
      </c>
    </row>
    <row r="60" spans="1:27" x14ac:dyDescent="0.35">
      <c r="A60" s="1">
        <v>45066</v>
      </c>
      <c r="B60" t="s">
        <v>13</v>
      </c>
      <c r="C60" t="s">
        <v>31</v>
      </c>
      <c r="D60" t="s">
        <v>517</v>
      </c>
      <c r="E60" t="s">
        <v>16</v>
      </c>
      <c r="F60">
        <v>1</v>
      </c>
      <c r="H60">
        <v>656</v>
      </c>
      <c r="K60" s="18">
        <f>MIN(Season3Data[[#This Row],[Brian]:[Spencer]])</f>
        <v>3</v>
      </c>
      <c r="L60" s="18">
        <f>AVERAGE(Season3Data[[#This Row],[Brian]:[Spencer]])</f>
        <v>4</v>
      </c>
      <c r="M60" t="b">
        <f>IF(COUNTIF(Season3Data[[#This Row],[Brian]:[Spencer]], Season3Data[[#This Row],[Best Guess]]) &gt; 1, TRUE, FALSE)</f>
        <v>0</v>
      </c>
      <c r="O60">
        <v>4</v>
      </c>
      <c r="P60">
        <v>4</v>
      </c>
      <c r="Q60">
        <v>4</v>
      </c>
      <c r="R60">
        <v>4</v>
      </c>
      <c r="S60">
        <v>5</v>
      </c>
      <c r="T60">
        <v>4</v>
      </c>
      <c r="U60">
        <v>3</v>
      </c>
      <c r="X60" t="s">
        <v>6</v>
      </c>
      <c r="Y60">
        <v>3.903</v>
      </c>
      <c r="Z60">
        <v>3.9249999999999998</v>
      </c>
      <c r="AA60" s="14">
        <v>3.9411764705882355</v>
      </c>
    </row>
    <row r="61" spans="1:27" x14ac:dyDescent="0.35">
      <c r="A61" s="1">
        <v>45067</v>
      </c>
      <c r="B61" t="s">
        <v>16</v>
      </c>
      <c r="C61" t="s">
        <v>499</v>
      </c>
      <c r="D61" t="s">
        <v>518</v>
      </c>
      <c r="E61" t="s">
        <v>11</v>
      </c>
      <c r="F61">
        <v>1</v>
      </c>
      <c r="H61">
        <v>101</v>
      </c>
      <c r="K61" s="18">
        <f>MIN(Season3Data[[#This Row],[Brian]:[Spencer]])</f>
        <v>3</v>
      </c>
      <c r="L61" s="18">
        <f>AVERAGE(Season3Data[[#This Row],[Brian]:[Spencer]])</f>
        <v>3.6666666666666665</v>
      </c>
      <c r="M61" t="b">
        <f>IF(COUNTIF(Season3Data[[#This Row],[Brian]:[Spencer]], Season3Data[[#This Row],[Best Guess]]) &gt; 1, TRUE, FALSE)</f>
        <v>1</v>
      </c>
      <c r="O61">
        <v>4</v>
      </c>
      <c r="P61" s="2"/>
      <c r="Q61">
        <v>4</v>
      </c>
      <c r="R61">
        <v>3</v>
      </c>
      <c r="S61">
        <v>4</v>
      </c>
      <c r="T61">
        <v>4</v>
      </c>
      <c r="U61">
        <v>3</v>
      </c>
      <c r="X61" t="s">
        <v>2</v>
      </c>
      <c r="Y61">
        <v>4.194</v>
      </c>
      <c r="Z61">
        <v>4.0659999999999998</v>
      </c>
      <c r="AA61" s="14">
        <v>3.9891304347826089</v>
      </c>
    </row>
    <row r="62" spans="1:27" x14ac:dyDescent="0.35">
      <c r="A62" s="1">
        <v>45068</v>
      </c>
      <c r="B62" t="s">
        <v>11</v>
      </c>
      <c r="C62" t="s">
        <v>519</v>
      </c>
      <c r="D62" t="s">
        <v>520</v>
      </c>
      <c r="E62" t="s">
        <v>2</v>
      </c>
      <c r="F62">
        <v>1</v>
      </c>
      <c r="H62">
        <v>440</v>
      </c>
      <c r="K62" s="18">
        <f>MIN(Season3Data[[#This Row],[Brian]:[Spencer]])</f>
        <v>3</v>
      </c>
      <c r="L62" s="18">
        <f>AVERAGE(Season3Data[[#This Row],[Brian]:[Spencer]])</f>
        <v>3.7142857142857144</v>
      </c>
      <c r="M62" t="b">
        <f>IF(COUNTIF(Season3Data[[#This Row],[Brian]:[Spencer]], Season3Data[[#This Row],[Best Guess]]) &gt; 1, TRUE, FALSE)</f>
        <v>1</v>
      </c>
      <c r="O62">
        <v>4</v>
      </c>
      <c r="P62">
        <v>4</v>
      </c>
      <c r="Q62">
        <v>3</v>
      </c>
      <c r="R62">
        <v>3</v>
      </c>
      <c r="S62">
        <v>5</v>
      </c>
      <c r="T62">
        <v>3</v>
      </c>
      <c r="U62">
        <v>4</v>
      </c>
      <c r="X62" t="s">
        <v>11</v>
      </c>
      <c r="Y62">
        <v>3.903</v>
      </c>
      <c r="Z62">
        <v>4.1150000000000002</v>
      </c>
      <c r="AA62" s="14">
        <v>4.0549450549450547</v>
      </c>
    </row>
    <row r="63" spans="1:27" x14ac:dyDescent="0.35">
      <c r="A63" s="1">
        <v>45069</v>
      </c>
      <c r="B63" t="s">
        <v>2</v>
      </c>
      <c r="C63" t="s">
        <v>278</v>
      </c>
      <c r="D63" t="s">
        <v>521</v>
      </c>
      <c r="E63" t="s">
        <v>1</v>
      </c>
      <c r="F63">
        <v>1</v>
      </c>
      <c r="H63">
        <v>1722</v>
      </c>
      <c r="K63" s="18">
        <f>MIN(Season3Data[[#This Row],[Brian]:[Spencer]])</f>
        <v>3</v>
      </c>
      <c r="L63" s="18">
        <f>AVERAGE(Season3Data[[#This Row],[Brian]:[Spencer]])</f>
        <v>3.8571428571428572</v>
      </c>
      <c r="M63" t="b">
        <f>IF(COUNTIF(Season3Data[[#This Row],[Brian]:[Spencer]], Season3Data[[#This Row],[Best Guess]]) &gt; 1, TRUE, FALSE)</f>
        <v>1</v>
      </c>
      <c r="O63">
        <v>4</v>
      </c>
      <c r="P63">
        <v>5</v>
      </c>
      <c r="Q63">
        <v>3</v>
      </c>
      <c r="R63">
        <v>3</v>
      </c>
      <c r="S63">
        <v>4</v>
      </c>
      <c r="T63">
        <v>3</v>
      </c>
      <c r="U63">
        <v>5</v>
      </c>
      <c r="X63" t="s">
        <v>13</v>
      </c>
      <c r="Y63" s="25">
        <v>3.774</v>
      </c>
      <c r="Z63" s="25">
        <v>3.8849999999999998</v>
      </c>
      <c r="AA63" s="27">
        <v>3.8804347826086958</v>
      </c>
    </row>
    <row r="64" spans="1:27" x14ac:dyDescent="0.35">
      <c r="A64" s="1">
        <v>45070</v>
      </c>
      <c r="B64" t="s">
        <v>1</v>
      </c>
      <c r="C64" t="s">
        <v>522</v>
      </c>
      <c r="D64" t="s">
        <v>523</v>
      </c>
      <c r="E64" t="s">
        <v>16</v>
      </c>
      <c r="F64">
        <v>1</v>
      </c>
      <c r="H64">
        <v>2099</v>
      </c>
      <c r="K64" s="18">
        <f>MIN(Season3Data[[#This Row],[Brian]:[Spencer]])</f>
        <v>3</v>
      </c>
      <c r="L64" s="18">
        <f>AVERAGE(Season3Data[[#This Row],[Brian]:[Spencer]])</f>
        <v>3.5714285714285716</v>
      </c>
      <c r="M64" t="b">
        <f>IF(COUNTIF(Season3Data[[#This Row],[Brian]:[Spencer]], Season3Data[[#This Row],[Best Guess]]) &gt; 1, TRUE, FALSE)</f>
        <v>1</v>
      </c>
      <c r="O64">
        <v>4</v>
      </c>
      <c r="P64">
        <v>5</v>
      </c>
      <c r="Q64">
        <v>3</v>
      </c>
      <c r="R64">
        <v>3</v>
      </c>
      <c r="S64">
        <v>4</v>
      </c>
      <c r="T64">
        <v>3</v>
      </c>
      <c r="U64">
        <v>3</v>
      </c>
      <c r="X64" t="s">
        <v>1</v>
      </c>
      <c r="Y64">
        <v>4.0999999999999996</v>
      </c>
      <c r="Z64">
        <v>4.0709999999999997</v>
      </c>
      <c r="AA64" s="14">
        <v>3.9090909090909092</v>
      </c>
    </row>
    <row r="65" spans="1:27" x14ac:dyDescent="0.35">
      <c r="A65" s="1">
        <v>45071</v>
      </c>
      <c r="B65" t="s">
        <v>16</v>
      </c>
      <c r="C65" t="s">
        <v>155</v>
      </c>
      <c r="D65" t="s">
        <v>524</v>
      </c>
      <c r="E65" t="s">
        <v>13</v>
      </c>
      <c r="F65">
        <v>1</v>
      </c>
      <c r="H65">
        <v>1812</v>
      </c>
      <c r="K65" s="18">
        <f>MIN(Season3Data[[#This Row],[Brian]:[Spencer]])</f>
        <v>3</v>
      </c>
      <c r="L65" s="18">
        <f>AVERAGE(Season3Data[[#This Row],[Brian]:[Spencer]])</f>
        <v>3.8</v>
      </c>
      <c r="M65" t="b">
        <f>IF(COUNTIF(Season3Data[[#This Row],[Brian]:[Spencer]], Season3Data[[#This Row],[Best Guess]]) &gt; 1, TRUE, FALSE)</f>
        <v>1</v>
      </c>
      <c r="O65">
        <v>4</v>
      </c>
      <c r="P65" s="2"/>
      <c r="Q65">
        <v>3</v>
      </c>
      <c r="R65">
        <v>5</v>
      </c>
      <c r="S65">
        <v>3</v>
      </c>
      <c r="U65">
        <v>4</v>
      </c>
      <c r="X65" t="s">
        <v>16</v>
      </c>
      <c r="Y65">
        <v>3.903</v>
      </c>
      <c r="Z65">
        <v>3.9020000000000001</v>
      </c>
      <c r="AA65" s="14">
        <v>4.0434782608695654</v>
      </c>
    </row>
    <row r="66" spans="1:27" x14ac:dyDescent="0.35">
      <c r="A66" s="1">
        <v>45072</v>
      </c>
      <c r="B66" t="s">
        <v>13</v>
      </c>
      <c r="C66" t="s">
        <v>525</v>
      </c>
      <c r="D66" t="s">
        <v>526</v>
      </c>
      <c r="E66" t="s">
        <v>16</v>
      </c>
      <c r="F66">
        <v>1</v>
      </c>
      <c r="H66">
        <v>323</v>
      </c>
      <c r="K66" s="18">
        <f>MIN(Season3Data[[#This Row],[Brian]:[Spencer]])</f>
        <v>3</v>
      </c>
      <c r="L66" s="18">
        <f>AVERAGE(Season3Data[[#This Row],[Brian]:[Spencer]])</f>
        <v>3.3333333333333335</v>
      </c>
      <c r="M66" t="b">
        <f>IF(COUNTIF(Season3Data[[#This Row],[Brian]:[Spencer]], Season3Data[[#This Row],[Best Guess]]) &gt; 1, TRUE, FALSE)</f>
        <v>1</v>
      </c>
      <c r="O66">
        <v>5</v>
      </c>
      <c r="P66" s="2"/>
      <c r="Q66">
        <v>3</v>
      </c>
      <c r="R66">
        <v>3</v>
      </c>
      <c r="S66">
        <v>3</v>
      </c>
      <c r="T66">
        <v>3</v>
      </c>
      <c r="U66">
        <v>3</v>
      </c>
    </row>
    <row r="67" spans="1:27" x14ac:dyDescent="0.35">
      <c r="A67" s="1">
        <v>45073</v>
      </c>
      <c r="B67" t="s">
        <v>16</v>
      </c>
      <c r="C67" t="s">
        <v>437</v>
      </c>
      <c r="D67" t="s">
        <v>527</v>
      </c>
      <c r="E67" t="s">
        <v>6</v>
      </c>
      <c r="F67">
        <v>1</v>
      </c>
      <c r="H67">
        <v>281</v>
      </c>
      <c r="K67" s="18">
        <f>MIN(Season3Data[[#This Row],[Brian]:[Spencer]])</f>
        <v>3</v>
      </c>
      <c r="L67" s="18">
        <f>AVERAGE(Season3Data[[#This Row],[Brian]:[Spencer]])</f>
        <v>4.333333333333333</v>
      </c>
      <c r="M67" t="b">
        <f>IF(COUNTIF(Season3Data[[#This Row],[Brian]:[Spencer]], Season3Data[[#This Row],[Best Guess]]) &gt; 1, TRUE, FALSE)</f>
        <v>0</v>
      </c>
      <c r="O67">
        <v>5</v>
      </c>
      <c r="P67">
        <v>3</v>
      </c>
      <c r="Q67">
        <v>5</v>
      </c>
      <c r="R67">
        <v>5</v>
      </c>
      <c r="S67">
        <v>4</v>
      </c>
      <c r="T67" s="2"/>
      <c r="U67">
        <v>4</v>
      </c>
    </row>
    <row r="68" spans="1:27" x14ac:dyDescent="0.35">
      <c r="A68" s="1">
        <v>45074</v>
      </c>
      <c r="B68" t="s">
        <v>6</v>
      </c>
      <c r="C68" t="s">
        <v>528</v>
      </c>
      <c r="D68" t="s">
        <v>529</v>
      </c>
      <c r="E68" t="s">
        <v>1</v>
      </c>
      <c r="F68">
        <v>1</v>
      </c>
      <c r="H68">
        <v>404</v>
      </c>
      <c r="K68" s="18">
        <f>MIN(Season3Data[[#This Row],[Brian]:[Spencer]])</f>
        <v>3</v>
      </c>
      <c r="L68" s="18">
        <f>AVERAGE(Season3Data[[#This Row],[Brian]:[Spencer]])</f>
        <v>4</v>
      </c>
      <c r="M68" t="b">
        <f>IF(COUNTIF(Season3Data[[#This Row],[Brian]:[Spencer]], Season3Data[[#This Row],[Best Guess]]) &gt; 1, TRUE, FALSE)</f>
        <v>0</v>
      </c>
      <c r="O68">
        <v>4</v>
      </c>
      <c r="P68" s="2"/>
      <c r="Q68">
        <v>4</v>
      </c>
      <c r="R68">
        <v>5</v>
      </c>
      <c r="S68">
        <v>4</v>
      </c>
      <c r="T68">
        <v>3</v>
      </c>
      <c r="U68">
        <v>4</v>
      </c>
      <c r="X68" s="26" t="s">
        <v>376</v>
      </c>
      <c r="Y68" t="s">
        <v>442</v>
      </c>
      <c r="Z68" t="s">
        <v>443</v>
      </c>
      <c r="AA68" t="s">
        <v>181</v>
      </c>
    </row>
    <row r="69" spans="1:27" x14ac:dyDescent="0.35">
      <c r="A69" s="1">
        <v>45075</v>
      </c>
      <c r="B69" t="s">
        <v>1</v>
      </c>
      <c r="C69" t="s">
        <v>217</v>
      </c>
      <c r="D69" t="s">
        <v>559</v>
      </c>
      <c r="E69" t="s">
        <v>11</v>
      </c>
      <c r="F69">
        <v>1</v>
      </c>
      <c r="H69">
        <v>870</v>
      </c>
      <c r="K69" s="18">
        <f>MIN(Season3Data[[#This Row],[Brian]:[Spencer]])</f>
        <v>2</v>
      </c>
      <c r="L69" s="18">
        <f>AVERAGE(Season3Data[[#This Row],[Brian]:[Spencer]])</f>
        <v>3.2</v>
      </c>
      <c r="M69" t="b">
        <f>IF(COUNTIF(Season3Data[[#This Row],[Brian]:[Spencer]], Season3Data[[#This Row],[Best Guess]]) &gt; 1, TRUE, FALSE)</f>
        <v>0</v>
      </c>
      <c r="O69">
        <v>3</v>
      </c>
      <c r="P69" s="2"/>
      <c r="Q69">
        <v>4</v>
      </c>
      <c r="R69">
        <v>2</v>
      </c>
      <c r="S69">
        <v>3</v>
      </c>
      <c r="T69" s="2"/>
      <c r="U69">
        <v>4</v>
      </c>
      <c r="X69" t="s">
        <v>4</v>
      </c>
      <c r="Y69">
        <v>8</v>
      </c>
      <c r="Z69">
        <v>15</v>
      </c>
      <c r="AA69">
        <v>17</v>
      </c>
    </row>
    <row r="70" spans="1:27" x14ac:dyDescent="0.35">
      <c r="A70" s="1">
        <v>45076</v>
      </c>
      <c r="B70" t="s">
        <v>11</v>
      </c>
      <c r="C70" t="s">
        <v>560</v>
      </c>
      <c r="D70" t="s">
        <v>561</v>
      </c>
      <c r="E70" t="s">
        <v>13</v>
      </c>
      <c r="F70">
        <v>1</v>
      </c>
      <c r="H70">
        <v>73</v>
      </c>
      <c r="K70" s="18">
        <f>MIN(Season3Data[[#This Row],[Brian]:[Spencer]])</f>
        <v>3</v>
      </c>
      <c r="L70" s="18">
        <f>AVERAGE(Season3Data[[#This Row],[Brian]:[Spencer]])</f>
        <v>4</v>
      </c>
      <c r="M70" t="b">
        <f>IF(COUNTIF(Season3Data[[#This Row],[Brian]:[Spencer]], Season3Data[[#This Row],[Best Guess]]) &gt; 1, TRUE, FALSE)</f>
        <v>1</v>
      </c>
      <c r="O70">
        <v>6</v>
      </c>
      <c r="P70" s="2"/>
      <c r="Q70">
        <v>3</v>
      </c>
      <c r="R70">
        <v>5</v>
      </c>
      <c r="S70">
        <v>3</v>
      </c>
      <c r="T70" s="2"/>
      <c r="U70">
        <v>3</v>
      </c>
      <c r="X70" t="s">
        <v>6</v>
      </c>
      <c r="Y70">
        <v>4</v>
      </c>
      <c r="Z70">
        <v>7</v>
      </c>
      <c r="AA70">
        <v>9</v>
      </c>
    </row>
    <row r="71" spans="1:27" x14ac:dyDescent="0.35">
      <c r="A71" s="1">
        <v>45077</v>
      </c>
      <c r="B71" t="s">
        <v>13</v>
      </c>
      <c r="C71" t="s">
        <v>121</v>
      </c>
      <c r="D71" t="s">
        <v>562</v>
      </c>
      <c r="E71" t="s">
        <v>2</v>
      </c>
      <c r="F71">
        <v>1</v>
      </c>
      <c r="H71">
        <v>16</v>
      </c>
      <c r="K71" s="18">
        <f>MIN(Season3Data[[#This Row],[Brian]:[Spencer]])</f>
        <v>3</v>
      </c>
      <c r="L71" s="18">
        <f>AVERAGE(Season3Data[[#This Row],[Brian]:[Spencer]])</f>
        <v>3.5</v>
      </c>
      <c r="M71" t="b">
        <f>IF(COUNTIF(Season3Data[[#This Row],[Brian]:[Spencer]], Season3Data[[#This Row],[Best Guess]]) &gt; 1, TRUE, FALSE)</f>
        <v>1</v>
      </c>
      <c r="O71">
        <v>4</v>
      </c>
      <c r="P71" s="2"/>
      <c r="Q71">
        <v>3</v>
      </c>
      <c r="R71">
        <v>4</v>
      </c>
      <c r="S71">
        <v>3</v>
      </c>
      <c r="T71">
        <v>3</v>
      </c>
      <c r="U71">
        <v>4</v>
      </c>
      <c r="X71" t="s">
        <v>2</v>
      </c>
      <c r="Y71">
        <v>5</v>
      </c>
      <c r="Z71">
        <v>13</v>
      </c>
      <c r="AA71" s="25">
        <v>21</v>
      </c>
    </row>
    <row r="72" spans="1:27" x14ac:dyDescent="0.35">
      <c r="A72" s="1">
        <v>45078</v>
      </c>
      <c r="B72" t="s">
        <v>2</v>
      </c>
      <c r="C72" t="s">
        <v>563</v>
      </c>
      <c r="D72" t="s">
        <v>564</v>
      </c>
      <c r="E72" t="s">
        <v>6</v>
      </c>
      <c r="F72">
        <v>1</v>
      </c>
      <c r="H72">
        <v>3585</v>
      </c>
      <c r="K72" s="18">
        <f>MIN(Season3Data[[#This Row],[Brian]:[Spencer]])</f>
        <v>3</v>
      </c>
      <c r="L72" s="18">
        <f>AVERAGE(Season3Data[[#This Row],[Brian]:[Spencer]])</f>
        <v>5.4285714285714288</v>
      </c>
      <c r="M72" t="b">
        <f>IF(COUNTIF(Season3Data[[#This Row],[Brian]:[Spencer]], Season3Data[[#This Row],[Best Guess]]) &gt; 1, TRUE, FALSE)</f>
        <v>0</v>
      </c>
      <c r="O72">
        <v>6</v>
      </c>
      <c r="P72">
        <v>3</v>
      </c>
      <c r="Q72">
        <v>7</v>
      </c>
      <c r="R72">
        <v>4</v>
      </c>
      <c r="S72">
        <v>6</v>
      </c>
      <c r="T72">
        <v>5</v>
      </c>
      <c r="U72">
        <v>7</v>
      </c>
      <c r="X72" t="s">
        <v>11</v>
      </c>
      <c r="Y72">
        <v>6</v>
      </c>
      <c r="Z72">
        <v>8</v>
      </c>
      <c r="AA72">
        <v>16</v>
      </c>
    </row>
    <row r="73" spans="1:27" x14ac:dyDescent="0.35">
      <c r="A73" s="1">
        <v>45079</v>
      </c>
      <c r="B73" t="s">
        <v>6</v>
      </c>
      <c r="C73" t="s">
        <v>565</v>
      </c>
      <c r="D73" t="s">
        <v>566</v>
      </c>
      <c r="E73" t="s">
        <v>13</v>
      </c>
      <c r="F73">
        <v>1</v>
      </c>
      <c r="H73">
        <v>3134</v>
      </c>
      <c r="K73" s="18">
        <f>MIN(Season3Data[[#This Row],[Brian]:[Spencer]])</f>
        <v>3</v>
      </c>
      <c r="L73" s="18">
        <f>AVERAGE(Season3Data[[#This Row],[Brian]:[Spencer]])</f>
        <v>4</v>
      </c>
      <c r="M73" t="b">
        <f>IF(COUNTIF(Season3Data[[#This Row],[Brian]:[Spencer]], Season3Data[[#This Row],[Best Guess]]) &gt; 1, TRUE, FALSE)</f>
        <v>0</v>
      </c>
      <c r="O73">
        <v>5</v>
      </c>
      <c r="P73">
        <v>4</v>
      </c>
      <c r="Q73">
        <v>4</v>
      </c>
      <c r="R73">
        <v>4</v>
      </c>
      <c r="S73">
        <v>3</v>
      </c>
      <c r="T73">
        <v>4</v>
      </c>
      <c r="U73">
        <v>4</v>
      </c>
      <c r="X73" t="s">
        <v>13</v>
      </c>
      <c r="Y73" s="25">
        <v>10</v>
      </c>
      <c r="Z73" s="25">
        <v>16</v>
      </c>
      <c r="AA73" s="25">
        <v>21</v>
      </c>
    </row>
    <row r="74" spans="1:27" x14ac:dyDescent="0.35">
      <c r="A74" s="1">
        <v>45080</v>
      </c>
      <c r="B74" t="s">
        <v>13</v>
      </c>
      <c r="C74" t="s">
        <v>220</v>
      </c>
      <c r="D74" t="s">
        <v>567</v>
      </c>
      <c r="E74" t="s">
        <v>2</v>
      </c>
      <c r="F74">
        <v>1</v>
      </c>
      <c r="H74">
        <v>1715</v>
      </c>
      <c r="K74" s="18">
        <f>MIN(Season3Data[[#This Row],[Brian]:[Spencer]])</f>
        <v>3</v>
      </c>
      <c r="L74" s="18">
        <f>AVERAGE(Season3Data[[#This Row],[Brian]:[Spencer]])</f>
        <v>4</v>
      </c>
      <c r="M74" t="b">
        <f>IF(COUNTIF(Season3Data[[#This Row],[Brian]:[Spencer]], Season3Data[[#This Row],[Best Guess]]) &gt; 1, TRUE, FALSE)</f>
        <v>1</v>
      </c>
      <c r="O74">
        <v>5</v>
      </c>
      <c r="P74" s="2"/>
      <c r="Q74">
        <v>3</v>
      </c>
      <c r="R74">
        <v>3</v>
      </c>
      <c r="S74">
        <v>5</v>
      </c>
      <c r="T74" s="2"/>
      <c r="U74">
        <v>4</v>
      </c>
      <c r="X74" t="s">
        <v>1</v>
      </c>
      <c r="Y74">
        <v>5</v>
      </c>
      <c r="Z74">
        <v>13</v>
      </c>
      <c r="AA74">
        <v>20</v>
      </c>
    </row>
    <row r="75" spans="1:27" x14ac:dyDescent="0.35">
      <c r="A75" s="1">
        <v>45081</v>
      </c>
      <c r="B75" t="s">
        <v>2</v>
      </c>
      <c r="C75" t="s">
        <v>568</v>
      </c>
      <c r="D75" t="s">
        <v>37</v>
      </c>
      <c r="E75" t="s">
        <v>2</v>
      </c>
      <c r="F75">
        <v>2</v>
      </c>
      <c r="H75">
        <v>448</v>
      </c>
      <c r="K75" s="18">
        <f>MIN(Season3Data[[#This Row],[Brian]:[Spencer]])</f>
        <v>3</v>
      </c>
      <c r="L75" s="18">
        <f>AVERAGE(Season3Data[[#This Row],[Brian]:[Spencer]])</f>
        <v>4</v>
      </c>
      <c r="M75" t="b">
        <f>IF(COUNTIF(Season3Data[[#This Row],[Brian]:[Spencer]], Season3Data[[#This Row],[Best Guess]]) &gt; 1, TRUE, FALSE)</f>
        <v>1</v>
      </c>
      <c r="O75">
        <v>4</v>
      </c>
      <c r="P75">
        <v>5</v>
      </c>
      <c r="Q75">
        <v>3</v>
      </c>
      <c r="R75">
        <v>4</v>
      </c>
      <c r="S75">
        <v>3</v>
      </c>
      <c r="T75">
        <v>4</v>
      </c>
      <c r="U75">
        <v>5</v>
      </c>
      <c r="X75" t="s">
        <v>16</v>
      </c>
      <c r="Y75">
        <v>1</v>
      </c>
      <c r="Z75">
        <v>10</v>
      </c>
      <c r="AA75">
        <v>13</v>
      </c>
    </row>
    <row r="76" spans="1:27" x14ac:dyDescent="0.35">
      <c r="A76" s="1">
        <v>45082</v>
      </c>
      <c r="B76" t="s">
        <v>2</v>
      </c>
      <c r="C76" t="s">
        <v>569</v>
      </c>
      <c r="D76" t="s">
        <v>570</v>
      </c>
      <c r="E76" t="s">
        <v>2</v>
      </c>
      <c r="F76">
        <v>3</v>
      </c>
      <c r="H76">
        <v>696</v>
      </c>
      <c r="K76" s="18">
        <f>MIN(Season3Data[[#This Row],[Brian]:[Spencer]])</f>
        <v>3</v>
      </c>
      <c r="L76" s="18">
        <f>AVERAGE(Season3Data[[#This Row],[Brian]:[Spencer]])</f>
        <v>3.7142857142857144</v>
      </c>
      <c r="M76" t="b">
        <f>IF(COUNTIF(Season3Data[[#This Row],[Brian]:[Spencer]], Season3Data[[#This Row],[Best Guess]]) &gt; 1, TRUE, FALSE)</f>
        <v>1</v>
      </c>
      <c r="O76">
        <v>4</v>
      </c>
      <c r="P76">
        <v>4</v>
      </c>
      <c r="Q76">
        <v>3</v>
      </c>
      <c r="R76">
        <v>3</v>
      </c>
      <c r="S76">
        <v>4</v>
      </c>
      <c r="T76">
        <v>4</v>
      </c>
      <c r="U76">
        <v>4</v>
      </c>
    </row>
    <row r="77" spans="1:27" x14ac:dyDescent="0.35">
      <c r="A77" s="1">
        <v>45083</v>
      </c>
      <c r="B77" t="s">
        <v>2</v>
      </c>
      <c r="C77" t="s">
        <v>213</v>
      </c>
      <c r="D77" t="s">
        <v>571</v>
      </c>
      <c r="E77" t="s">
        <v>13</v>
      </c>
      <c r="F77">
        <v>1</v>
      </c>
      <c r="H77">
        <v>85</v>
      </c>
      <c r="K77" s="18">
        <f>MIN(Season3Data[[#This Row],[Brian]:[Spencer]])</f>
        <v>3</v>
      </c>
      <c r="L77" s="18">
        <f>AVERAGE(Season3Data[[#This Row],[Brian]:[Spencer]])</f>
        <v>4.1428571428571432</v>
      </c>
      <c r="M77" t="b">
        <f>IF(COUNTIF(Season3Data[[#This Row],[Brian]:[Spencer]], Season3Data[[#This Row],[Best Guess]]) &gt; 1, TRUE, FALSE)</f>
        <v>0</v>
      </c>
      <c r="O77">
        <v>5</v>
      </c>
      <c r="P77">
        <v>4</v>
      </c>
      <c r="Q77">
        <v>4</v>
      </c>
      <c r="R77">
        <v>5</v>
      </c>
      <c r="S77">
        <v>3</v>
      </c>
      <c r="T77">
        <v>4</v>
      </c>
      <c r="U77">
        <v>4</v>
      </c>
    </row>
    <row r="78" spans="1:27" x14ac:dyDescent="0.35">
      <c r="A78" s="1">
        <v>45084</v>
      </c>
      <c r="B78" t="s">
        <v>13</v>
      </c>
      <c r="C78" t="s">
        <v>572</v>
      </c>
      <c r="D78" t="s">
        <v>573</v>
      </c>
      <c r="E78" t="s">
        <v>2</v>
      </c>
      <c r="F78">
        <v>1</v>
      </c>
      <c r="H78">
        <v>243</v>
      </c>
      <c r="K78" s="18">
        <f>MIN(Season3Data[[#This Row],[Brian]:[Spencer]])</f>
        <v>4</v>
      </c>
      <c r="L78" s="18">
        <f>AVERAGE(Season3Data[[#This Row],[Brian]:[Spencer]])</f>
        <v>6</v>
      </c>
      <c r="M78" t="b">
        <f>IF(COUNTIF(Season3Data[[#This Row],[Brian]:[Spencer]], Season3Data[[#This Row],[Best Guess]]) &gt; 1, TRUE, FALSE)</f>
        <v>0</v>
      </c>
      <c r="O78">
        <v>6</v>
      </c>
      <c r="P78" s="2"/>
      <c r="Q78">
        <v>4</v>
      </c>
      <c r="R78">
        <v>7</v>
      </c>
      <c r="S78">
        <v>7</v>
      </c>
      <c r="T78" s="2"/>
      <c r="U78">
        <v>6</v>
      </c>
      <c r="X78" s="26" t="s">
        <v>540</v>
      </c>
      <c r="Y78" t="s">
        <v>442</v>
      </c>
      <c r="Z78" t="s">
        <v>443</v>
      </c>
      <c r="AA78" t="s">
        <v>181</v>
      </c>
    </row>
    <row r="79" spans="1:27" x14ac:dyDescent="0.35">
      <c r="A79" s="1">
        <v>45085</v>
      </c>
      <c r="B79" t="s">
        <v>2</v>
      </c>
      <c r="C79" t="s">
        <v>32</v>
      </c>
      <c r="D79" t="s">
        <v>574</v>
      </c>
      <c r="E79" t="s">
        <v>13</v>
      </c>
      <c r="F79">
        <v>1</v>
      </c>
      <c r="H79">
        <v>285</v>
      </c>
      <c r="K79" s="18">
        <f>MIN(Season3Data[[#This Row],[Brian]:[Spencer]])</f>
        <v>3</v>
      </c>
      <c r="L79" s="18">
        <f>AVERAGE(Season3Data[[#This Row],[Brian]:[Spencer]])</f>
        <v>3.3333333333333335</v>
      </c>
      <c r="M79" t="b">
        <f>IF(COUNTIF(Season3Data[[#This Row],[Brian]:[Spencer]], Season3Data[[#This Row],[Best Guess]]) &gt; 1, TRUE, FALSE)</f>
        <v>1</v>
      </c>
      <c r="O79">
        <v>4</v>
      </c>
      <c r="P79" s="2"/>
      <c r="Q79">
        <v>3</v>
      </c>
      <c r="R79">
        <v>3</v>
      </c>
      <c r="S79">
        <v>3</v>
      </c>
      <c r="T79">
        <v>3</v>
      </c>
      <c r="U79">
        <v>4</v>
      </c>
      <c r="X79" t="s">
        <v>4</v>
      </c>
      <c r="Y79" t="s">
        <v>460</v>
      </c>
      <c r="Z79" t="s">
        <v>542</v>
      </c>
      <c r="AA79" t="s">
        <v>542</v>
      </c>
    </row>
    <row r="80" spans="1:27" x14ac:dyDescent="0.35">
      <c r="A80" s="1">
        <v>45086</v>
      </c>
      <c r="B80" t="s">
        <v>13</v>
      </c>
      <c r="C80" t="s">
        <v>181</v>
      </c>
      <c r="D80" t="s">
        <v>575</v>
      </c>
      <c r="E80" t="s">
        <v>13</v>
      </c>
      <c r="F80">
        <v>2</v>
      </c>
      <c r="H80">
        <v>686</v>
      </c>
      <c r="K80" s="18">
        <f>MIN(Season3Data[[#This Row],[Brian]:[Spencer]])</f>
        <v>3</v>
      </c>
      <c r="L80" s="18">
        <f>AVERAGE(Season3Data[[#This Row],[Brian]:[Spencer]])</f>
        <v>4.7142857142857144</v>
      </c>
      <c r="M80" t="b">
        <f>IF(COUNTIF(Season3Data[[#This Row],[Brian]:[Spencer]], Season3Data[[#This Row],[Best Guess]]) &gt; 1, TRUE, FALSE)</f>
        <v>0</v>
      </c>
      <c r="O80">
        <v>5</v>
      </c>
      <c r="P80">
        <v>5</v>
      </c>
      <c r="Q80">
        <v>6</v>
      </c>
      <c r="R80">
        <v>5</v>
      </c>
      <c r="S80">
        <v>3</v>
      </c>
      <c r="T80">
        <v>4</v>
      </c>
      <c r="U80">
        <v>5</v>
      </c>
      <c r="X80" t="s">
        <v>6</v>
      </c>
      <c r="Y80" s="25" t="s">
        <v>615</v>
      </c>
      <c r="Z80" s="25" t="s">
        <v>615</v>
      </c>
      <c r="AA80" s="25" t="s">
        <v>615</v>
      </c>
    </row>
    <row r="81" spans="1:27" x14ac:dyDescent="0.35">
      <c r="A81" s="1">
        <v>45087</v>
      </c>
      <c r="B81" t="s">
        <v>13</v>
      </c>
      <c r="C81" t="s">
        <v>576</v>
      </c>
      <c r="D81" t="s">
        <v>577</v>
      </c>
      <c r="E81" t="s">
        <v>11</v>
      </c>
      <c r="F81">
        <v>1</v>
      </c>
      <c r="H81">
        <v>55</v>
      </c>
      <c r="K81" s="18">
        <f>MIN(Season3Data[[#This Row],[Brian]:[Spencer]])</f>
        <v>2</v>
      </c>
      <c r="L81" s="18">
        <f>AVERAGE(Season3Data[[#This Row],[Brian]:[Spencer]])</f>
        <v>3</v>
      </c>
      <c r="M81" t="b">
        <f>IF(COUNTIF(Season3Data[[#This Row],[Brian]:[Spencer]], Season3Data[[#This Row],[Best Guess]]) &gt; 1, TRUE, FALSE)</f>
        <v>0</v>
      </c>
      <c r="O81">
        <v>3</v>
      </c>
      <c r="P81">
        <v>4</v>
      </c>
      <c r="Q81">
        <v>3</v>
      </c>
      <c r="R81">
        <v>2</v>
      </c>
      <c r="S81">
        <v>3</v>
      </c>
      <c r="T81">
        <v>3</v>
      </c>
      <c r="U81">
        <v>3</v>
      </c>
      <c r="X81" t="s">
        <v>2</v>
      </c>
      <c r="Y81" t="s">
        <v>554</v>
      </c>
      <c r="Z81" t="s">
        <v>545</v>
      </c>
      <c r="AA81" t="s">
        <v>545</v>
      </c>
    </row>
    <row r="82" spans="1:27" x14ac:dyDescent="0.35">
      <c r="A82" s="1">
        <v>45088</v>
      </c>
      <c r="B82" t="s">
        <v>11</v>
      </c>
      <c r="C82" t="s">
        <v>580</v>
      </c>
      <c r="D82" t="s">
        <v>581</v>
      </c>
      <c r="E82" t="s">
        <v>4</v>
      </c>
      <c r="F82">
        <v>1</v>
      </c>
      <c r="H82">
        <v>1114</v>
      </c>
      <c r="K82" s="18">
        <f>MIN(Season3Data[[#This Row],[Brian]:[Spencer]])</f>
        <v>3</v>
      </c>
      <c r="L82" s="18">
        <f>AVERAGE(Season3Data[[#This Row],[Brian]:[Spencer]])</f>
        <v>4.166666666666667</v>
      </c>
      <c r="M82" t="b">
        <f>IF(COUNTIF(Season3Data[[#This Row],[Brian]:[Spencer]], Season3Data[[#This Row],[Best Guess]]) &gt; 1, TRUE, FALSE)</f>
        <v>0</v>
      </c>
      <c r="O82">
        <v>3</v>
      </c>
      <c r="P82">
        <v>4</v>
      </c>
      <c r="Q82">
        <v>5</v>
      </c>
      <c r="R82">
        <v>4</v>
      </c>
      <c r="S82">
        <v>4</v>
      </c>
      <c r="T82" s="2"/>
      <c r="U82">
        <v>5</v>
      </c>
      <c r="X82" t="s">
        <v>11</v>
      </c>
      <c r="Y82" t="s">
        <v>547</v>
      </c>
      <c r="Z82" t="s">
        <v>547</v>
      </c>
      <c r="AA82" t="s">
        <v>547</v>
      </c>
    </row>
    <row r="83" spans="1:27" x14ac:dyDescent="0.35">
      <c r="A83" s="1">
        <v>45089</v>
      </c>
      <c r="B83" t="s">
        <v>4</v>
      </c>
      <c r="C83" t="s">
        <v>154</v>
      </c>
      <c r="D83" t="s">
        <v>582</v>
      </c>
      <c r="E83" t="s">
        <v>11</v>
      </c>
      <c r="F83">
        <v>1</v>
      </c>
      <c r="H83">
        <v>641</v>
      </c>
      <c r="K83" s="18">
        <f>MIN(Season3Data[[#This Row],[Brian]:[Spencer]])</f>
        <v>3</v>
      </c>
      <c r="L83" s="18">
        <f>AVERAGE(Season3Data[[#This Row],[Brian]:[Spencer]])</f>
        <v>3.6666666666666665</v>
      </c>
      <c r="M83" t="b">
        <f>IF(COUNTIF(Season3Data[[#This Row],[Brian]:[Spencer]], Season3Data[[#This Row],[Best Guess]]) &gt; 1, TRUE, FALSE)</f>
        <v>1</v>
      </c>
      <c r="O83">
        <v>4</v>
      </c>
      <c r="P83" s="2"/>
      <c r="Q83">
        <v>3</v>
      </c>
      <c r="R83">
        <v>3</v>
      </c>
      <c r="S83">
        <v>4</v>
      </c>
      <c r="T83">
        <v>4</v>
      </c>
      <c r="U83">
        <v>4</v>
      </c>
      <c r="X83" t="s">
        <v>13</v>
      </c>
      <c r="Y83" t="s">
        <v>549</v>
      </c>
      <c r="Z83" t="s">
        <v>549</v>
      </c>
      <c r="AA83" t="s">
        <v>616</v>
      </c>
    </row>
    <row r="84" spans="1:27" x14ac:dyDescent="0.35">
      <c r="A84" s="1">
        <v>45090</v>
      </c>
      <c r="B84" t="s">
        <v>11</v>
      </c>
      <c r="C84" t="s">
        <v>518</v>
      </c>
      <c r="D84" t="s">
        <v>583</v>
      </c>
      <c r="E84" t="s">
        <v>1</v>
      </c>
      <c r="F84">
        <v>1</v>
      </c>
      <c r="H84">
        <v>2109</v>
      </c>
      <c r="K84" s="18">
        <f>MIN(Season3Data[[#This Row],[Brian]:[Spencer]])</f>
        <v>3</v>
      </c>
      <c r="L84" s="18">
        <f>AVERAGE(Season3Data[[#This Row],[Brian]:[Spencer]])</f>
        <v>3.8571428571428572</v>
      </c>
      <c r="M84" t="b">
        <f>IF(COUNTIF(Season3Data[[#This Row],[Brian]:[Spencer]], Season3Data[[#This Row],[Best Guess]]) &gt; 1, TRUE, FALSE)</f>
        <v>1</v>
      </c>
      <c r="O84">
        <v>4</v>
      </c>
      <c r="P84">
        <v>3</v>
      </c>
      <c r="Q84">
        <v>4</v>
      </c>
      <c r="R84">
        <v>4</v>
      </c>
      <c r="S84">
        <v>4</v>
      </c>
      <c r="T84">
        <v>3</v>
      </c>
      <c r="U84">
        <v>5</v>
      </c>
      <c r="X84" t="s">
        <v>1</v>
      </c>
      <c r="Y84" t="s">
        <v>550</v>
      </c>
      <c r="Z84" t="s">
        <v>550</v>
      </c>
      <c r="AA84" t="s">
        <v>550</v>
      </c>
    </row>
    <row r="85" spans="1:27" x14ac:dyDescent="0.35">
      <c r="A85" s="1">
        <v>45091</v>
      </c>
      <c r="B85" t="s">
        <v>1</v>
      </c>
      <c r="C85" t="s">
        <v>584</v>
      </c>
      <c r="D85" t="s">
        <v>243</v>
      </c>
      <c r="E85" t="s">
        <v>16</v>
      </c>
      <c r="F85">
        <v>1</v>
      </c>
      <c r="H85">
        <v>404</v>
      </c>
      <c r="K85" s="18">
        <f>MIN(Season3Data[[#This Row],[Brian]:[Spencer]])</f>
        <v>3</v>
      </c>
      <c r="L85" s="18">
        <f>AVERAGE(Season3Data[[#This Row],[Brian]:[Spencer]])</f>
        <v>3.7142857142857144</v>
      </c>
      <c r="M85" t="b">
        <f>IF(COUNTIF(Season3Data[[#This Row],[Brian]:[Spencer]], Season3Data[[#This Row],[Best Guess]]) &gt; 1, TRUE, FALSE)</f>
        <v>1</v>
      </c>
      <c r="O85">
        <v>4</v>
      </c>
      <c r="P85">
        <v>3</v>
      </c>
      <c r="Q85">
        <v>4</v>
      </c>
      <c r="R85">
        <v>5</v>
      </c>
      <c r="S85">
        <v>4</v>
      </c>
      <c r="T85">
        <v>3</v>
      </c>
      <c r="U85">
        <v>3</v>
      </c>
      <c r="X85" t="s">
        <v>16</v>
      </c>
      <c r="Y85" t="s">
        <v>552</v>
      </c>
      <c r="Z85" t="s">
        <v>552</v>
      </c>
      <c r="AA85" t="s">
        <v>552</v>
      </c>
    </row>
    <row r="86" spans="1:27" x14ac:dyDescent="0.35">
      <c r="A86" s="1">
        <v>45092</v>
      </c>
      <c r="B86" t="s">
        <v>16</v>
      </c>
      <c r="C86" t="s">
        <v>585</v>
      </c>
      <c r="D86" t="s">
        <v>586</v>
      </c>
      <c r="E86" t="s">
        <v>11</v>
      </c>
      <c r="F86">
        <v>1</v>
      </c>
      <c r="H86">
        <v>597</v>
      </c>
      <c r="K86" s="18">
        <f>MIN(Season3Data[[#This Row],[Brian]:[Spencer]])</f>
        <v>3</v>
      </c>
      <c r="L86" s="18">
        <f>AVERAGE(Season3Data[[#This Row],[Brian]:[Spencer]])</f>
        <v>4</v>
      </c>
      <c r="M86" t="b">
        <f>IF(COUNTIF(Season3Data[[#This Row],[Brian]:[Spencer]], Season3Data[[#This Row],[Best Guess]]) &gt; 1, TRUE, FALSE)</f>
        <v>1</v>
      </c>
      <c r="O86">
        <v>4</v>
      </c>
      <c r="P86" s="2"/>
      <c r="Q86">
        <v>4</v>
      </c>
      <c r="R86">
        <v>3</v>
      </c>
      <c r="S86">
        <v>3</v>
      </c>
      <c r="T86" s="2"/>
      <c r="U86">
        <v>6</v>
      </c>
    </row>
    <row r="87" spans="1:27" x14ac:dyDescent="0.35">
      <c r="A87" s="1">
        <v>45093</v>
      </c>
      <c r="B87" t="s">
        <v>11</v>
      </c>
      <c r="C87" t="s">
        <v>238</v>
      </c>
      <c r="D87" t="s">
        <v>587</v>
      </c>
      <c r="E87" t="s">
        <v>2</v>
      </c>
      <c r="F87">
        <v>1</v>
      </c>
      <c r="H87">
        <v>2291</v>
      </c>
      <c r="K87" s="18">
        <f>MIN(Season3Data[[#This Row],[Brian]:[Spencer]])</f>
        <v>4</v>
      </c>
      <c r="L87" s="18">
        <f>AVERAGE(Season3Data[[#This Row],[Brian]:[Spencer]])</f>
        <v>4</v>
      </c>
      <c r="M87" t="b">
        <f>IF(COUNTIF(Season3Data[[#This Row],[Brian]:[Spencer]], Season3Data[[#This Row],[Best Guess]]) &gt; 1, TRUE, FALSE)</f>
        <v>1</v>
      </c>
      <c r="O87">
        <v>4</v>
      </c>
      <c r="P87" s="2"/>
      <c r="Q87">
        <v>4</v>
      </c>
      <c r="S87">
        <v>4</v>
      </c>
      <c r="T87" s="2"/>
      <c r="U87">
        <v>4</v>
      </c>
    </row>
    <row r="88" spans="1:27" x14ac:dyDescent="0.35">
      <c r="A88" s="1">
        <v>45094</v>
      </c>
      <c r="B88" t="s">
        <v>2</v>
      </c>
      <c r="C88" t="s">
        <v>588</v>
      </c>
      <c r="D88" t="s">
        <v>589</v>
      </c>
      <c r="E88" t="s">
        <v>16</v>
      </c>
      <c r="F88">
        <v>1</v>
      </c>
      <c r="H88">
        <v>174</v>
      </c>
      <c r="K88" s="18">
        <f>MIN(Season3Data[[#This Row],[Brian]:[Spencer]])</f>
        <v>3</v>
      </c>
      <c r="L88" s="18">
        <f>AVERAGE(Season3Data[[#This Row],[Brian]:[Spencer]])</f>
        <v>3.6</v>
      </c>
      <c r="M88" t="b">
        <f>IF(COUNTIF(Season3Data[[#This Row],[Brian]:[Spencer]], Season3Data[[#This Row],[Best Guess]]) &gt; 1, TRUE, FALSE)</f>
        <v>1</v>
      </c>
      <c r="O88">
        <v>4</v>
      </c>
      <c r="P88" s="2"/>
      <c r="Q88">
        <v>3</v>
      </c>
      <c r="R88">
        <v>4</v>
      </c>
      <c r="S88">
        <v>4</v>
      </c>
      <c r="T88" s="2"/>
      <c r="U88">
        <v>3</v>
      </c>
      <c r="X88" s="26" t="s">
        <v>541</v>
      </c>
      <c r="Y88" t="s">
        <v>442</v>
      </c>
      <c r="Z88" t="s">
        <v>443</v>
      </c>
      <c r="AA88" t="s">
        <v>181</v>
      </c>
    </row>
    <row r="89" spans="1:27" x14ac:dyDescent="0.35">
      <c r="A89" s="1">
        <v>45095</v>
      </c>
      <c r="B89" t="s">
        <v>16</v>
      </c>
      <c r="C89" t="s">
        <v>590</v>
      </c>
      <c r="D89" t="s">
        <v>591</v>
      </c>
      <c r="E89" t="s">
        <v>1</v>
      </c>
      <c r="F89">
        <v>1</v>
      </c>
      <c r="H89">
        <v>92</v>
      </c>
      <c r="K89" s="18">
        <f>MIN(Season3Data[[#This Row],[Brian]:[Spencer]])</f>
        <v>3</v>
      </c>
      <c r="L89" s="18">
        <f>AVERAGE(Season3Data[[#This Row],[Brian]:[Spencer]])</f>
        <v>4.333333333333333</v>
      </c>
      <c r="M89" t="b">
        <f>IF(COUNTIF(Season3Data[[#This Row],[Brian]:[Spencer]], Season3Data[[#This Row],[Best Guess]]) &gt; 1, TRUE, FALSE)</f>
        <v>0</v>
      </c>
      <c r="O89">
        <v>4</v>
      </c>
      <c r="P89" s="2"/>
      <c r="Q89">
        <v>5</v>
      </c>
      <c r="R89">
        <v>5</v>
      </c>
      <c r="S89">
        <v>4</v>
      </c>
      <c r="T89">
        <v>3</v>
      </c>
      <c r="U89">
        <v>5</v>
      </c>
      <c r="X89" t="s">
        <v>4</v>
      </c>
      <c r="Y89" t="s">
        <v>460</v>
      </c>
      <c r="Z89" t="s">
        <v>543</v>
      </c>
      <c r="AA89" t="s">
        <v>614</v>
      </c>
    </row>
    <row r="90" spans="1:27" x14ac:dyDescent="0.35">
      <c r="A90" s="1">
        <v>45096</v>
      </c>
      <c r="B90" t="s">
        <v>1</v>
      </c>
      <c r="C90" t="s">
        <v>592</v>
      </c>
      <c r="D90" t="s">
        <v>593</v>
      </c>
      <c r="E90" t="s">
        <v>1</v>
      </c>
      <c r="F90">
        <v>2</v>
      </c>
      <c r="H90">
        <v>1526</v>
      </c>
      <c r="K90" s="18">
        <f>MIN(Season3Data[[#This Row],[Brian]:[Spencer]])</f>
        <v>4</v>
      </c>
      <c r="L90" s="18">
        <f>AVERAGE(Season3Data[[#This Row],[Brian]:[Spencer]])</f>
        <v>4.8571428571428568</v>
      </c>
      <c r="M90" t="b">
        <f>IF(COUNTIF(Season3Data[[#This Row],[Brian]:[Spencer]], Season3Data[[#This Row],[Best Guess]]) &gt; 1, TRUE, FALSE)</f>
        <v>0</v>
      </c>
      <c r="O90">
        <v>5</v>
      </c>
      <c r="P90">
        <v>5</v>
      </c>
      <c r="Q90">
        <v>5</v>
      </c>
      <c r="R90">
        <v>5</v>
      </c>
      <c r="S90">
        <v>5</v>
      </c>
      <c r="T90">
        <v>4</v>
      </c>
      <c r="U90">
        <v>5</v>
      </c>
      <c r="X90" t="s">
        <v>6</v>
      </c>
      <c r="Y90" s="25" t="s">
        <v>544</v>
      </c>
      <c r="Z90" s="25" t="s">
        <v>544</v>
      </c>
      <c r="AA90" s="25" t="s">
        <v>544</v>
      </c>
    </row>
    <row r="91" spans="1:27" x14ac:dyDescent="0.35">
      <c r="A91" s="1">
        <v>45097</v>
      </c>
      <c r="B91" t="s">
        <v>1</v>
      </c>
      <c r="C91" t="s">
        <v>594</v>
      </c>
      <c r="D91" t="s">
        <v>580</v>
      </c>
      <c r="E91" t="s">
        <v>4</v>
      </c>
      <c r="F91">
        <v>1</v>
      </c>
      <c r="H91">
        <v>881</v>
      </c>
      <c r="K91" s="18">
        <f>MIN(Season3Data[[#This Row],[Brian]:[Spencer]])</f>
        <v>3</v>
      </c>
      <c r="L91" s="18">
        <f>AVERAGE(Season3Data[[#This Row],[Brian]:[Spencer]])</f>
        <v>3.6666666666666665</v>
      </c>
      <c r="M91" t="b">
        <f>IF(COUNTIF(Season3Data[[#This Row],[Brian]:[Spencer]], Season3Data[[#This Row],[Best Guess]]) &gt; 1, TRUE, FALSE)</f>
        <v>1</v>
      </c>
      <c r="O91">
        <v>3</v>
      </c>
      <c r="P91" s="2"/>
      <c r="Q91">
        <v>4</v>
      </c>
      <c r="R91">
        <v>4</v>
      </c>
      <c r="S91">
        <v>5</v>
      </c>
      <c r="T91">
        <v>3</v>
      </c>
      <c r="U91">
        <v>3</v>
      </c>
      <c r="X91" t="s">
        <v>2</v>
      </c>
      <c r="Y91" t="s">
        <v>555</v>
      </c>
      <c r="Z91" t="s">
        <v>546</v>
      </c>
      <c r="AA91" t="s">
        <v>618</v>
      </c>
    </row>
    <row r="92" spans="1:27" x14ac:dyDescent="0.35">
      <c r="A92" s="1">
        <v>45098</v>
      </c>
      <c r="B92" t="s">
        <v>4</v>
      </c>
      <c r="C92" t="s">
        <v>116</v>
      </c>
      <c r="D92" t="s">
        <v>595</v>
      </c>
      <c r="E92" t="s">
        <v>2</v>
      </c>
      <c r="F92">
        <v>1</v>
      </c>
      <c r="H92">
        <v>404</v>
      </c>
      <c r="K92" s="18">
        <f>MIN(Season3Data[[#This Row],[Brian]:[Spencer]])</f>
        <v>3</v>
      </c>
      <c r="L92" s="18">
        <f>AVERAGE(Season3Data[[#This Row],[Brian]:[Spencer]])</f>
        <v>3.3333333333333335</v>
      </c>
      <c r="M92" t="b">
        <f>IF(COUNTIF(Season3Data[[#This Row],[Brian]:[Spencer]], Season3Data[[#This Row],[Best Guess]]) &gt; 1, TRUE, FALSE)</f>
        <v>1</v>
      </c>
      <c r="O92">
        <v>3</v>
      </c>
      <c r="P92" s="2"/>
      <c r="Q92">
        <v>3</v>
      </c>
      <c r="R92">
        <v>3</v>
      </c>
      <c r="S92">
        <v>4</v>
      </c>
      <c r="T92">
        <v>3</v>
      </c>
      <c r="U92">
        <v>4</v>
      </c>
      <c r="X92" t="s">
        <v>11</v>
      </c>
      <c r="Y92" t="s">
        <v>548</v>
      </c>
      <c r="Z92" t="s">
        <v>548</v>
      </c>
      <c r="AA92" t="s">
        <v>548</v>
      </c>
    </row>
    <row r="93" spans="1:27" x14ac:dyDescent="0.35">
      <c r="A93" s="1">
        <v>45099</v>
      </c>
      <c r="B93" t="s">
        <v>2</v>
      </c>
      <c r="C93" t="s">
        <v>596</v>
      </c>
      <c r="D93" t="s">
        <v>597</v>
      </c>
      <c r="E93" t="s">
        <v>6</v>
      </c>
      <c r="F93">
        <v>1</v>
      </c>
      <c r="H93">
        <v>564</v>
      </c>
      <c r="K93" s="18">
        <f>MIN(Season3Data[[#This Row],[Brian]:[Spencer]])</f>
        <v>3</v>
      </c>
      <c r="L93" s="18">
        <f>AVERAGE(Season3Data[[#This Row],[Brian]:[Spencer]])</f>
        <v>4.4285714285714288</v>
      </c>
      <c r="M93" t="b">
        <f>IF(COUNTIF(Season3Data[[#This Row],[Brian]:[Spencer]], Season3Data[[#This Row],[Best Guess]]) &gt; 1, TRUE, FALSE)</f>
        <v>1</v>
      </c>
      <c r="O93">
        <v>6</v>
      </c>
      <c r="P93">
        <v>3</v>
      </c>
      <c r="Q93">
        <v>4</v>
      </c>
      <c r="R93">
        <v>3</v>
      </c>
      <c r="S93">
        <v>4</v>
      </c>
      <c r="T93">
        <v>4</v>
      </c>
      <c r="U93">
        <v>7</v>
      </c>
      <c r="X93" t="s">
        <v>13</v>
      </c>
      <c r="Y93" t="s">
        <v>557</v>
      </c>
      <c r="Z93" t="s">
        <v>556</v>
      </c>
      <c r="AA93" t="s">
        <v>617</v>
      </c>
    </row>
    <row r="94" spans="1:27" x14ac:dyDescent="0.35">
      <c r="X94" t="s">
        <v>1</v>
      </c>
      <c r="Y94" s="25" t="s">
        <v>551</v>
      </c>
      <c r="Z94" s="25" t="s">
        <v>551</v>
      </c>
      <c r="AA94" s="25" t="s">
        <v>551</v>
      </c>
    </row>
    <row r="95" spans="1:27" x14ac:dyDescent="0.35">
      <c r="X95" t="s">
        <v>16</v>
      </c>
      <c r="Y95" t="s">
        <v>558</v>
      </c>
      <c r="Z95" t="s">
        <v>553</v>
      </c>
      <c r="AA95" t="s">
        <v>553</v>
      </c>
    </row>
    <row r="98" spans="24:27" x14ac:dyDescent="0.35">
      <c r="X98" s="26" t="s">
        <v>204</v>
      </c>
      <c r="Y98" t="s">
        <v>442</v>
      </c>
      <c r="Z98" t="s">
        <v>443</v>
      </c>
      <c r="AA98" t="s">
        <v>181</v>
      </c>
    </row>
    <row r="99" spans="24:27" x14ac:dyDescent="0.35">
      <c r="X99" t="s">
        <v>4</v>
      </c>
      <c r="Y99" t="s">
        <v>460</v>
      </c>
      <c r="Z99">
        <v>684.29</v>
      </c>
      <c r="AA99" s="14">
        <v>648.33333333333337</v>
      </c>
    </row>
    <row r="100" spans="24:27" x14ac:dyDescent="0.35">
      <c r="X100" t="s">
        <v>6</v>
      </c>
      <c r="Y100">
        <v>790.85699999999997</v>
      </c>
      <c r="Z100">
        <v>692.5</v>
      </c>
      <c r="AA100" s="14">
        <v>871.91666666666663</v>
      </c>
    </row>
    <row r="101" spans="24:27" x14ac:dyDescent="0.35">
      <c r="X101" t="s">
        <v>2</v>
      </c>
      <c r="Y101">
        <v>925</v>
      </c>
      <c r="Z101">
        <v>1243.5</v>
      </c>
      <c r="AA101" s="14">
        <v>1072.8571428571429</v>
      </c>
    </row>
    <row r="102" spans="24:27" x14ac:dyDescent="0.35">
      <c r="X102" t="s">
        <v>11</v>
      </c>
      <c r="Y102">
        <v>1181.143</v>
      </c>
      <c r="Z102">
        <v>1039.222</v>
      </c>
      <c r="AA102" s="14">
        <v>1149.2307692307693</v>
      </c>
    </row>
    <row r="103" spans="24:27" x14ac:dyDescent="0.35">
      <c r="X103" t="s">
        <v>13</v>
      </c>
      <c r="Y103">
        <v>768</v>
      </c>
      <c r="Z103">
        <v>1067.857</v>
      </c>
      <c r="AA103" s="14">
        <v>808.69230769230774</v>
      </c>
    </row>
    <row r="104" spans="24:27" x14ac:dyDescent="0.35">
      <c r="X104" t="s">
        <v>1</v>
      </c>
      <c r="Y104" s="25">
        <v>308.8</v>
      </c>
      <c r="Z104" s="25">
        <v>262.33300000000003</v>
      </c>
      <c r="AA104" s="14">
        <v>668.5454545454545</v>
      </c>
    </row>
    <row r="105" spans="24:27" x14ac:dyDescent="0.35">
      <c r="X105" t="s">
        <v>16</v>
      </c>
      <c r="Y105">
        <v>718.625</v>
      </c>
      <c r="Z105">
        <v>527.43799999999999</v>
      </c>
      <c r="AA105" s="27">
        <v>561.04999999999995</v>
      </c>
    </row>
    <row r="108" spans="24:27" x14ac:dyDescent="0.35">
      <c r="X108" s="26" t="s">
        <v>239</v>
      </c>
      <c r="Y108" t="s">
        <v>442</v>
      </c>
      <c r="Z108" t="s">
        <v>443</v>
      </c>
      <c r="AA108" t="s">
        <v>181</v>
      </c>
    </row>
    <row r="109" spans="24:27" x14ac:dyDescent="0.35">
      <c r="X109" t="s">
        <v>4</v>
      </c>
      <c r="Y109" t="s">
        <v>460</v>
      </c>
      <c r="Z109">
        <v>4.18</v>
      </c>
      <c r="AA109" s="14">
        <v>4.0312169312169317</v>
      </c>
    </row>
    <row r="110" spans="24:27" x14ac:dyDescent="0.35">
      <c r="X110" t="s">
        <v>6</v>
      </c>
      <c r="Y110" s="25">
        <v>3.7349999999999999</v>
      </c>
      <c r="Z110">
        <v>3.7570000000000001</v>
      </c>
      <c r="AA110" s="27">
        <v>3.7976190476190474</v>
      </c>
    </row>
    <row r="111" spans="24:27" x14ac:dyDescent="0.35">
      <c r="X111" t="s">
        <v>2</v>
      </c>
      <c r="Y111">
        <v>4</v>
      </c>
      <c r="Z111" s="25">
        <v>3.702</v>
      </c>
      <c r="AA111" s="14">
        <v>3.9085034013605449</v>
      </c>
    </row>
    <row r="112" spans="24:27" x14ac:dyDescent="0.35">
      <c r="X112" t="s">
        <v>11</v>
      </c>
      <c r="Y112">
        <v>4.1219999999999999</v>
      </c>
      <c r="Z112">
        <v>4.048</v>
      </c>
      <c r="AA112" s="14">
        <v>4.0347985347985347</v>
      </c>
    </row>
    <row r="113" spans="24:27" x14ac:dyDescent="0.35">
      <c r="X113" t="s">
        <v>13</v>
      </c>
      <c r="Y113">
        <v>4.3810000000000002</v>
      </c>
      <c r="Z113">
        <v>4.2450000000000001</v>
      </c>
      <c r="AA113" s="14">
        <v>4.1739926739926743</v>
      </c>
    </row>
    <row r="114" spans="24:27" x14ac:dyDescent="0.35">
      <c r="X114" t="s">
        <v>1</v>
      </c>
      <c r="Y114">
        <v>3.8570000000000002</v>
      </c>
      <c r="Z114">
        <v>3.8570000000000002</v>
      </c>
      <c r="AA114" s="14">
        <v>3.8320346320346315</v>
      </c>
    </row>
    <row r="115" spans="24:27" x14ac:dyDescent="0.35">
      <c r="X115" t="s">
        <v>16</v>
      </c>
      <c r="Y115">
        <v>4</v>
      </c>
      <c r="Z115">
        <v>4.0650000000000004</v>
      </c>
      <c r="AA115" s="14">
        <v>4.0757142857142847</v>
      </c>
    </row>
  </sheetData>
  <phoneticPr fontId="2" type="noConversion"/>
  <conditionalFormatting sqref="O2:U93">
    <cfRule type="cellIs" dxfId="1" priority="1" operator="greaterThan">
      <formula>6</formula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7F7D-77CF-4B33-902D-6084712D8833}">
  <dimension ref="A1:V91"/>
  <sheetViews>
    <sheetView workbookViewId="0">
      <selection activeCell="V2" sqref="V2"/>
    </sheetView>
  </sheetViews>
  <sheetFormatPr defaultRowHeight="14.5" x14ac:dyDescent="0.35"/>
  <cols>
    <col min="1" max="1" width="10.453125" bestFit="1" customWidth="1"/>
    <col min="2" max="2" width="13.08984375" customWidth="1"/>
    <col min="3" max="3" width="13.81640625" customWidth="1"/>
    <col min="4" max="4" width="15.7265625" customWidth="1"/>
    <col min="5" max="5" width="9" customWidth="1"/>
    <col min="6" max="6" width="10.26953125" customWidth="1"/>
    <col min="7" max="7" width="17.54296875" customWidth="1"/>
    <col min="8" max="9" width="10.26953125" customWidth="1"/>
    <col min="10" max="10" width="11.90625" customWidth="1"/>
    <col min="11" max="11" width="15" customWidth="1"/>
    <col min="12" max="12" width="10.26953125" customWidth="1"/>
    <col min="15" max="15" width="10.453125" customWidth="1"/>
    <col min="16" max="17" width="9" customWidth="1"/>
    <col min="18" max="18" width="9.453125" customWidth="1"/>
    <col min="20" max="20" width="9.453125" customWidth="1"/>
  </cols>
  <sheetData>
    <row r="1" spans="1:22" x14ac:dyDescent="0.35">
      <c r="A1" s="9" t="s">
        <v>0</v>
      </c>
      <c r="B1" s="10" t="s">
        <v>62</v>
      </c>
      <c r="C1" s="10" t="s">
        <v>44</v>
      </c>
      <c r="D1" s="10" t="s">
        <v>63</v>
      </c>
      <c r="E1" s="10" t="s">
        <v>34</v>
      </c>
      <c r="F1" s="10" t="s">
        <v>87</v>
      </c>
      <c r="G1" s="10" t="s">
        <v>79</v>
      </c>
      <c r="H1" s="10" t="s">
        <v>88</v>
      </c>
      <c r="I1" s="10" t="s">
        <v>89</v>
      </c>
      <c r="J1" s="10" t="s">
        <v>45</v>
      </c>
      <c r="K1" s="10" t="s">
        <v>41</v>
      </c>
      <c r="L1" s="10" t="s">
        <v>90</v>
      </c>
      <c r="M1" s="10" t="s">
        <v>4</v>
      </c>
      <c r="N1" s="10" t="s">
        <v>20</v>
      </c>
      <c r="O1" s="10" t="s">
        <v>6</v>
      </c>
      <c r="P1" s="10" t="s">
        <v>2</v>
      </c>
      <c r="Q1" s="10" t="s">
        <v>11</v>
      </c>
      <c r="R1" s="10" t="s">
        <v>13</v>
      </c>
      <c r="S1" s="10" t="s">
        <v>1</v>
      </c>
      <c r="T1" s="11" t="s">
        <v>16</v>
      </c>
    </row>
    <row r="2" spans="1:22" x14ac:dyDescent="0.35">
      <c r="A2" s="6">
        <v>44918</v>
      </c>
      <c r="B2" s="7" t="s">
        <v>11</v>
      </c>
      <c r="C2" s="4" t="s">
        <v>205</v>
      </c>
      <c r="D2" s="4" t="s">
        <v>206</v>
      </c>
      <c r="E2" s="4" t="s">
        <v>4</v>
      </c>
      <c r="F2" s="4"/>
      <c r="G2" s="4">
        <v>3481</v>
      </c>
      <c r="H2" s="4"/>
      <c r="I2" s="4"/>
      <c r="J2" s="4">
        <f t="shared" ref="J2:J33" si="0">MIN(M2:T2)</f>
        <v>3</v>
      </c>
      <c r="K2" s="4">
        <f t="shared" ref="K2:K33" si="1">AVERAGE(M2:T2)</f>
        <v>4.625</v>
      </c>
      <c r="L2" s="4"/>
      <c r="M2" s="4">
        <v>3</v>
      </c>
      <c r="N2" s="8">
        <v>7</v>
      </c>
      <c r="O2" s="4">
        <v>4</v>
      </c>
      <c r="P2" s="4">
        <v>6</v>
      </c>
      <c r="Q2" s="4">
        <v>4</v>
      </c>
      <c r="R2" s="4">
        <v>4</v>
      </c>
      <c r="S2" s="4">
        <v>4</v>
      </c>
      <c r="T2" s="5">
        <v>5</v>
      </c>
      <c r="V2" s="4" t="b">
        <f>IF(COUNTIF(Season2Data[[#This Row],[Brian]:[Spencer]], Season2Data[[#This Row],[Best Guess]]) &gt; 1, TRUE, FALSE)</f>
        <v>0</v>
      </c>
    </row>
    <row r="3" spans="1:22" x14ac:dyDescent="0.35">
      <c r="A3" s="1">
        <v>44919</v>
      </c>
      <c r="B3" t="s">
        <v>4</v>
      </c>
      <c r="C3" t="s">
        <v>208</v>
      </c>
      <c r="D3" t="s">
        <v>196</v>
      </c>
      <c r="E3" t="s">
        <v>20</v>
      </c>
      <c r="G3">
        <v>2298</v>
      </c>
      <c r="J3">
        <f t="shared" si="0"/>
        <v>4</v>
      </c>
      <c r="K3">
        <f t="shared" si="1"/>
        <v>4.75</v>
      </c>
      <c r="M3">
        <v>5</v>
      </c>
      <c r="N3">
        <v>4</v>
      </c>
      <c r="O3">
        <v>4</v>
      </c>
      <c r="P3">
        <v>6</v>
      </c>
      <c r="Q3">
        <v>5</v>
      </c>
      <c r="R3">
        <v>5</v>
      </c>
      <c r="S3">
        <v>5</v>
      </c>
      <c r="T3">
        <v>4</v>
      </c>
      <c r="V3" s="4" t="b">
        <f>IF(COUNTIF(Season2Data[[#This Row],[Brian]:[Spencer]], Season2Data[[#This Row],[Best Guess]]) &gt; 1, TRUE, FALSE)</f>
        <v>1</v>
      </c>
    </row>
    <row r="4" spans="1:22" x14ac:dyDescent="0.35">
      <c r="A4" s="1">
        <v>44920</v>
      </c>
      <c r="B4" t="s">
        <v>20</v>
      </c>
      <c r="C4" t="s">
        <v>209</v>
      </c>
      <c r="D4" t="s">
        <v>210</v>
      </c>
      <c r="E4" t="s">
        <v>2</v>
      </c>
      <c r="G4">
        <v>838</v>
      </c>
      <c r="J4">
        <f t="shared" si="0"/>
        <v>3</v>
      </c>
      <c r="K4">
        <f t="shared" si="1"/>
        <v>3.875</v>
      </c>
      <c r="M4">
        <v>3</v>
      </c>
      <c r="N4">
        <v>5</v>
      </c>
      <c r="O4">
        <v>5</v>
      </c>
      <c r="P4">
        <v>3</v>
      </c>
      <c r="Q4">
        <v>3</v>
      </c>
      <c r="R4">
        <v>4</v>
      </c>
      <c r="S4">
        <v>4</v>
      </c>
      <c r="T4">
        <v>4</v>
      </c>
      <c r="V4" s="4" t="b">
        <f>IF(COUNTIF(Season2Data[[#This Row],[Brian]:[Spencer]], Season2Data[[#This Row],[Best Guess]]) &gt; 1, TRUE, FALSE)</f>
        <v>1</v>
      </c>
    </row>
    <row r="5" spans="1:22" x14ac:dyDescent="0.35">
      <c r="A5" s="1">
        <v>44921</v>
      </c>
      <c r="B5" t="s">
        <v>2</v>
      </c>
      <c r="C5" t="s">
        <v>211</v>
      </c>
      <c r="D5" t="s">
        <v>212</v>
      </c>
      <c r="E5" t="s">
        <v>2</v>
      </c>
      <c r="G5">
        <v>2962</v>
      </c>
      <c r="J5">
        <f t="shared" si="0"/>
        <v>4</v>
      </c>
      <c r="K5">
        <f t="shared" si="1"/>
        <v>6.125</v>
      </c>
      <c r="M5" s="3">
        <v>7</v>
      </c>
      <c r="N5">
        <v>6</v>
      </c>
      <c r="O5" s="3">
        <v>7</v>
      </c>
      <c r="P5">
        <v>4</v>
      </c>
      <c r="Q5" s="3">
        <v>7</v>
      </c>
      <c r="R5">
        <v>4</v>
      </c>
      <c r="S5" s="3">
        <v>7</v>
      </c>
      <c r="T5" s="3">
        <v>7</v>
      </c>
      <c r="V5" s="4" t="b">
        <f>IF(COUNTIF(Season2Data[[#This Row],[Brian]:[Spencer]], Season2Data[[#This Row],[Best Guess]]) &gt; 1, TRUE, FALSE)</f>
        <v>1</v>
      </c>
    </row>
    <row r="6" spans="1:22" x14ac:dyDescent="0.35">
      <c r="A6" s="1">
        <v>44922</v>
      </c>
      <c r="B6" t="s">
        <v>2</v>
      </c>
      <c r="C6" t="s">
        <v>213</v>
      </c>
      <c r="D6" t="s">
        <v>216</v>
      </c>
      <c r="E6" t="s">
        <v>2</v>
      </c>
      <c r="G6">
        <v>1267</v>
      </c>
      <c r="J6">
        <f t="shared" si="0"/>
        <v>3</v>
      </c>
      <c r="K6">
        <f t="shared" si="1"/>
        <v>3.5</v>
      </c>
      <c r="M6">
        <v>4</v>
      </c>
      <c r="N6">
        <v>5</v>
      </c>
      <c r="O6">
        <v>3</v>
      </c>
      <c r="P6">
        <v>3</v>
      </c>
      <c r="Q6">
        <v>3</v>
      </c>
      <c r="R6">
        <v>3</v>
      </c>
      <c r="S6">
        <v>3</v>
      </c>
      <c r="T6">
        <v>4</v>
      </c>
      <c r="V6" s="4" t="b">
        <f>IF(COUNTIF(Season2Data[[#This Row],[Brian]:[Spencer]], Season2Data[[#This Row],[Best Guess]]) &gt; 1, TRUE, FALSE)</f>
        <v>1</v>
      </c>
    </row>
    <row r="7" spans="1:22" x14ac:dyDescent="0.35">
      <c r="A7" s="1">
        <v>44923</v>
      </c>
      <c r="B7" t="s">
        <v>2</v>
      </c>
      <c r="C7" t="s">
        <v>217</v>
      </c>
      <c r="D7" t="s">
        <v>218</v>
      </c>
      <c r="E7" t="s">
        <v>13</v>
      </c>
      <c r="G7">
        <v>194</v>
      </c>
      <c r="J7">
        <f t="shared" si="0"/>
        <v>3</v>
      </c>
      <c r="K7">
        <f t="shared" si="1"/>
        <v>4.75</v>
      </c>
      <c r="M7">
        <v>4</v>
      </c>
      <c r="N7">
        <v>6</v>
      </c>
      <c r="O7">
        <v>5</v>
      </c>
      <c r="P7">
        <v>6</v>
      </c>
      <c r="Q7">
        <v>5</v>
      </c>
      <c r="R7">
        <v>3</v>
      </c>
      <c r="S7">
        <v>4</v>
      </c>
      <c r="T7">
        <v>5</v>
      </c>
      <c r="V7" s="4" t="b">
        <f>IF(COUNTIF(Season2Data[[#This Row],[Brian]:[Spencer]], Season2Data[[#This Row],[Best Guess]]) &gt; 1, TRUE, FALSE)</f>
        <v>0</v>
      </c>
    </row>
    <row r="8" spans="1:22" x14ac:dyDescent="0.35">
      <c r="A8" s="1">
        <v>44924</v>
      </c>
      <c r="B8" t="s">
        <v>13</v>
      </c>
      <c r="C8" t="s">
        <v>219</v>
      </c>
      <c r="D8" t="s">
        <v>220</v>
      </c>
      <c r="E8" t="s">
        <v>2</v>
      </c>
      <c r="G8">
        <v>1845</v>
      </c>
      <c r="J8">
        <f t="shared" si="0"/>
        <v>4</v>
      </c>
      <c r="K8">
        <f t="shared" si="1"/>
        <v>4.875</v>
      </c>
      <c r="M8">
        <v>5</v>
      </c>
      <c r="N8">
        <v>6</v>
      </c>
      <c r="O8">
        <v>5</v>
      </c>
      <c r="P8">
        <v>4</v>
      </c>
      <c r="Q8">
        <v>5</v>
      </c>
      <c r="R8">
        <v>4</v>
      </c>
      <c r="S8">
        <v>5</v>
      </c>
      <c r="T8">
        <v>5</v>
      </c>
      <c r="V8" s="4" t="b">
        <f>IF(COUNTIF(Season2Data[[#This Row],[Brian]:[Spencer]], Season2Data[[#This Row],[Best Guess]]) &gt; 1, TRUE, FALSE)</f>
        <v>1</v>
      </c>
    </row>
    <row r="9" spans="1:22" x14ac:dyDescent="0.35">
      <c r="A9" s="1">
        <v>44925</v>
      </c>
      <c r="B9" t="s">
        <v>2</v>
      </c>
      <c r="C9" t="s">
        <v>221</v>
      </c>
      <c r="D9" t="s">
        <v>222</v>
      </c>
      <c r="E9" t="s">
        <v>6</v>
      </c>
      <c r="G9">
        <v>398</v>
      </c>
      <c r="J9">
        <f t="shared" si="0"/>
        <v>2</v>
      </c>
      <c r="K9">
        <f t="shared" si="1"/>
        <v>4.125</v>
      </c>
      <c r="M9">
        <v>6</v>
      </c>
      <c r="N9">
        <v>5</v>
      </c>
      <c r="O9">
        <v>2</v>
      </c>
      <c r="P9">
        <v>4</v>
      </c>
      <c r="Q9">
        <v>4</v>
      </c>
      <c r="R9">
        <v>4</v>
      </c>
      <c r="S9">
        <v>4</v>
      </c>
      <c r="T9">
        <v>4</v>
      </c>
      <c r="V9" s="4" t="b">
        <f>IF(COUNTIF(Season2Data[[#This Row],[Brian]:[Spencer]], Season2Data[[#This Row],[Best Guess]]) &gt; 1, TRUE, FALSE)</f>
        <v>0</v>
      </c>
    </row>
    <row r="10" spans="1:22" x14ac:dyDescent="0.35">
      <c r="A10" s="1">
        <v>44926</v>
      </c>
      <c r="B10" t="s">
        <v>6</v>
      </c>
      <c r="C10" t="s">
        <v>225</v>
      </c>
      <c r="D10" t="s">
        <v>226</v>
      </c>
      <c r="E10" t="s">
        <v>16</v>
      </c>
      <c r="G10">
        <v>2172</v>
      </c>
      <c r="J10">
        <f t="shared" si="0"/>
        <v>3</v>
      </c>
      <c r="K10">
        <f t="shared" si="1"/>
        <v>3.75</v>
      </c>
      <c r="M10">
        <v>4</v>
      </c>
      <c r="N10">
        <v>4</v>
      </c>
      <c r="O10">
        <v>3</v>
      </c>
      <c r="P10">
        <v>3</v>
      </c>
      <c r="Q10">
        <v>4</v>
      </c>
      <c r="R10">
        <v>5</v>
      </c>
      <c r="S10">
        <v>4</v>
      </c>
      <c r="T10">
        <v>3</v>
      </c>
      <c r="V10" s="4" t="b">
        <f>IF(COUNTIF(Season2Data[[#This Row],[Brian]:[Spencer]], Season2Data[[#This Row],[Best Guess]]) &gt; 1, TRUE, FALSE)</f>
        <v>1</v>
      </c>
    </row>
    <row r="11" spans="1:22" x14ac:dyDescent="0.35">
      <c r="A11" s="1">
        <v>44927</v>
      </c>
      <c r="B11" t="s">
        <v>16</v>
      </c>
      <c r="C11" t="s">
        <v>223</v>
      </c>
      <c r="D11" t="s">
        <v>224</v>
      </c>
      <c r="E11" t="s">
        <v>11</v>
      </c>
      <c r="G11">
        <v>45</v>
      </c>
      <c r="J11">
        <f t="shared" si="0"/>
        <v>2</v>
      </c>
      <c r="K11">
        <f t="shared" si="1"/>
        <v>3</v>
      </c>
      <c r="M11">
        <v>2</v>
      </c>
      <c r="N11">
        <v>4</v>
      </c>
      <c r="O11">
        <v>4</v>
      </c>
      <c r="P11">
        <v>4</v>
      </c>
      <c r="Q11">
        <v>2</v>
      </c>
      <c r="R11">
        <v>3</v>
      </c>
      <c r="S11">
        <v>2</v>
      </c>
      <c r="T11">
        <v>3</v>
      </c>
      <c r="V11" s="4" t="b">
        <f>IF(COUNTIF(Season2Data[[#This Row],[Brian]:[Spencer]], Season2Data[[#This Row],[Best Guess]]) &gt; 1, TRUE, FALSE)</f>
        <v>1</v>
      </c>
    </row>
    <row r="12" spans="1:22" x14ac:dyDescent="0.35">
      <c r="A12" s="1">
        <v>44928</v>
      </c>
      <c r="B12" t="s">
        <v>11</v>
      </c>
      <c r="C12" t="s">
        <v>227</v>
      </c>
      <c r="D12" t="s">
        <v>228</v>
      </c>
      <c r="E12" t="s">
        <v>4</v>
      </c>
      <c r="G12">
        <v>282</v>
      </c>
      <c r="J12">
        <f t="shared" si="0"/>
        <v>3</v>
      </c>
      <c r="K12">
        <f t="shared" si="1"/>
        <v>3.875</v>
      </c>
      <c r="M12">
        <v>3</v>
      </c>
      <c r="N12">
        <v>5</v>
      </c>
      <c r="O12">
        <v>4</v>
      </c>
      <c r="P12">
        <v>3</v>
      </c>
      <c r="Q12">
        <v>4</v>
      </c>
      <c r="R12">
        <v>4</v>
      </c>
      <c r="S12">
        <v>3</v>
      </c>
      <c r="T12">
        <v>5</v>
      </c>
      <c r="V12" s="4" t="b">
        <f>IF(COUNTIF(Season2Data[[#This Row],[Brian]:[Spencer]], Season2Data[[#This Row],[Best Guess]]) &gt; 1, TRUE, FALSE)</f>
        <v>1</v>
      </c>
    </row>
    <row r="13" spans="1:22" x14ac:dyDescent="0.35">
      <c r="A13" s="1">
        <v>44929</v>
      </c>
      <c r="B13" t="s">
        <v>4</v>
      </c>
      <c r="C13" t="s">
        <v>229</v>
      </c>
      <c r="D13" t="s">
        <v>230</v>
      </c>
      <c r="E13" t="s">
        <v>16</v>
      </c>
      <c r="G13">
        <v>424</v>
      </c>
      <c r="J13">
        <f t="shared" si="0"/>
        <v>3</v>
      </c>
      <c r="K13">
        <f t="shared" si="1"/>
        <v>4</v>
      </c>
      <c r="M13">
        <v>4</v>
      </c>
      <c r="N13">
        <v>4</v>
      </c>
      <c r="O13">
        <v>4</v>
      </c>
      <c r="P13">
        <v>5</v>
      </c>
      <c r="Q13">
        <v>5</v>
      </c>
      <c r="R13">
        <v>4</v>
      </c>
      <c r="S13">
        <v>3</v>
      </c>
      <c r="T13">
        <v>3</v>
      </c>
      <c r="V13" s="4" t="b">
        <f>IF(COUNTIF(Season2Data[[#This Row],[Brian]:[Spencer]], Season2Data[[#This Row],[Best Guess]]) &gt; 1, TRUE, FALSE)</f>
        <v>1</v>
      </c>
    </row>
    <row r="14" spans="1:22" x14ac:dyDescent="0.35">
      <c r="A14" s="1">
        <v>44930</v>
      </c>
      <c r="B14" t="s">
        <v>16</v>
      </c>
      <c r="C14" t="s">
        <v>231</v>
      </c>
      <c r="D14" t="s">
        <v>232</v>
      </c>
      <c r="E14" t="s">
        <v>4</v>
      </c>
      <c r="G14">
        <v>474</v>
      </c>
      <c r="J14">
        <f t="shared" si="0"/>
        <v>3</v>
      </c>
      <c r="K14">
        <f t="shared" si="1"/>
        <v>3.625</v>
      </c>
      <c r="M14">
        <v>3</v>
      </c>
      <c r="N14">
        <v>4</v>
      </c>
      <c r="O14">
        <v>3</v>
      </c>
      <c r="P14">
        <v>4</v>
      </c>
      <c r="Q14">
        <v>3</v>
      </c>
      <c r="R14">
        <v>4</v>
      </c>
      <c r="S14">
        <v>4</v>
      </c>
      <c r="T14">
        <v>4</v>
      </c>
      <c r="V14" s="4" t="b">
        <f>IF(COUNTIF(Season2Data[[#This Row],[Brian]:[Spencer]], Season2Data[[#This Row],[Best Guess]]) &gt; 1, TRUE, FALSE)</f>
        <v>1</v>
      </c>
    </row>
    <row r="15" spans="1:22" x14ac:dyDescent="0.35">
      <c r="A15" s="1">
        <v>44931</v>
      </c>
      <c r="B15" t="s">
        <v>4</v>
      </c>
      <c r="C15" t="s">
        <v>233</v>
      </c>
      <c r="D15" t="s">
        <v>234</v>
      </c>
      <c r="E15" t="s">
        <v>16</v>
      </c>
      <c r="G15">
        <v>2338</v>
      </c>
      <c r="J15">
        <f t="shared" si="0"/>
        <v>3</v>
      </c>
      <c r="K15">
        <f t="shared" si="1"/>
        <v>4.125</v>
      </c>
      <c r="M15">
        <v>4</v>
      </c>
      <c r="N15">
        <v>4</v>
      </c>
      <c r="O15">
        <v>5</v>
      </c>
      <c r="P15">
        <v>5</v>
      </c>
      <c r="Q15">
        <v>4</v>
      </c>
      <c r="R15">
        <v>4</v>
      </c>
      <c r="S15">
        <v>4</v>
      </c>
      <c r="T15">
        <v>3</v>
      </c>
      <c r="V15" s="4" t="b">
        <f>IF(COUNTIF(Season2Data[[#This Row],[Brian]:[Spencer]], Season2Data[[#This Row],[Best Guess]]) &gt; 1, TRUE, FALSE)</f>
        <v>0</v>
      </c>
    </row>
    <row r="16" spans="1:22" x14ac:dyDescent="0.35">
      <c r="A16" s="1">
        <v>44932</v>
      </c>
      <c r="B16" t="s">
        <v>16</v>
      </c>
      <c r="C16" t="s">
        <v>235</v>
      </c>
      <c r="D16" t="s">
        <v>236</v>
      </c>
      <c r="E16" t="s">
        <v>16</v>
      </c>
      <c r="G16">
        <v>569</v>
      </c>
      <c r="J16">
        <f t="shared" si="0"/>
        <v>5</v>
      </c>
      <c r="K16">
        <f t="shared" si="1"/>
        <v>5.2857142857142856</v>
      </c>
      <c r="M16">
        <v>6</v>
      </c>
      <c r="N16">
        <v>5</v>
      </c>
      <c r="O16" s="2"/>
      <c r="P16">
        <v>5</v>
      </c>
      <c r="Q16">
        <v>5</v>
      </c>
      <c r="R16">
        <v>5</v>
      </c>
      <c r="S16">
        <v>6</v>
      </c>
      <c r="T16">
        <v>5</v>
      </c>
      <c r="V16" s="4" t="b">
        <f>IF(COUNTIF(Season2Data[[#This Row],[Brian]:[Spencer]], Season2Data[[#This Row],[Best Guess]]) &gt; 1, TRUE, FALSE)</f>
        <v>1</v>
      </c>
    </row>
    <row r="17" spans="1:22" x14ac:dyDescent="0.35">
      <c r="A17" s="1">
        <v>44933</v>
      </c>
      <c r="B17" t="s">
        <v>16</v>
      </c>
      <c r="C17" t="s">
        <v>237</v>
      </c>
      <c r="D17" t="s">
        <v>238</v>
      </c>
      <c r="E17" t="s">
        <v>16</v>
      </c>
      <c r="G17">
        <v>599</v>
      </c>
      <c r="J17">
        <f t="shared" si="0"/>
        <v>4</v>
      </c>
      <c r="K17">
        <f t="shared" si="1"/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V17" s="4" t="b">
        <f>IF(COUNTIF(Season2Data[[#This Row],[Brian]:[Spencer]], Season2Data[[#This Row],[Best Guess]]) &gt; 1, TRUE, FALSE)</f>
        <v>1</v>
      </c>
    </row>
    <row r="18" spans="1:22" x14ac:dyDescent="0.35">
      <c r="A18" s="1">
        <v>44934</v>
      </c>
      <c r="B18" t="s">
        <v>16</v>
      </c>
      <c r="C18" t="s">
        <v>114</v>
      </c>
      <c r="D18" t="s">
        <v>240</v>
      </c>
      <c r="E18" t="s">
        <v>13</v>
      </c>
      <c r="G18">
        <v>433</v>
      </c>
      <c r="J18">
        <f t="shared" si="0"/>
        <v>3</v>
      </c>
      <c r="K18">
        <f t="shared" si="1"/>
        <v>4</v>
      </c>
      <c r="M18">
        <v>4</v>
      </c>
      <c r="N18">
        <v>4</v>
      </c>
      <c r="O18">
        <v>5</v>
      </c>
      <c r="P18">
        <v>4</v>
      </c>
      <c r="Q18">
        <v>4</v>
      </c>
      <c r="R18">
        <v>3</v>
      </c>
      <c r="S18" s="2"/>
      <c r="T18">
        <v>4</v>
      </c>
      <c r="V18" s="4" t="b">
        <f>IF(COUNTIF(Season2Data[[#This Row],[Brian]:[Spencer]], Season2Data[[#This Row],[Best Guess]]) &gt; 1, TRUE, FALSE)</f>
        <v>0</v>
      </c>
    </row>
    <row r="19" spans="1:22" x14ac:dyDescent="0.35">
      <c r="A19" s="1">
        <v>44935</v>
      </c>
      <c r="B19" t="s">
        <v>13</v>
      </c>
      <c r="C19" t="s">
        <v>241</v>
      </c>
      <c r="D19" t="s">
        <v>242</v>
      </c>
      <c r="E19" t="s">
        <v>1</v>
      </c>
      <c r="G19">
        <v>145</v>
      </c>
      <c r="J19">
        <f t="shared" si="0"/>
        <v>3</v>
      </c>
      <c r="K19">
        <f t="shared" si="1"/>
        <v>4.5714285714285712</v>
      </c>
      <c r="M19">
        <v>4</v>
      </c>
      <c r="N19" s="2"/>
      <c r="O19">
        <v>6</v>
      </c>
      <c r="P19">
        <v>6</v>
      </c>
      <c r="Q19">
        <v>5</v>
      </c>
      <c r="R19">
        <v>4</v>
      </c>
      <c r="S19">
        <v>3</v>
      </c>
      <c r="T19">
        <v>4</v>
      </c>
      <c r="V19" s="4" t="b">
        <f>IF(COUNTIF(Season2Data[[#This Row],[Brian]:[Spencer]], Season2Data[[#This Row],[Best Guess]]) &gt; 1, TRUE, FALSE)</f>
        <v>0</v>
      </c>
    </row>
    <row r="20" spans="1:22" x14ac:dyDescent="0.35">
      <c r="A20" s="1">
        <v>44936</v>
      </c>
      <c r="B20" t="s">
        <v>1</v>
      </c>
      <c r="C20" t="s">
        <v>243</v>
      </c>
      <c r="D20" t="s">
        <v>244</v>
      </c>
      <c r="E20" t="s">
        <v>2</v>
      </c>
      <c r="G20">
        <v>9</v>
      </c>
      <c r="J20">
        <f t="shared" si="0"/>
        <v>2</v>
      </c>
      <c r="K20">
        <f t="shared" si="1"/>
        <v>2.125</v>
      </c>
      <c r="M20">
        <v>2</v>
      </c>
      <c r="N20">
        <v>2</v>
      </c>
      <c r="O20">
        <v>2</v>
      </c>
      <c r="P20">
        <v>2</v>
      </c>
      <c r="Q20">
        <v>3</v>
      </c>
      <c r="R20">
        <v>2</v>
      </c>
      <c r="S20">
        <v>2</v>
      </c>
      <c r="T20">
        <v>2</v>
      </c>
      <c r="V20" s="4" t="b">
        <f>IF(COUNTIF(Season2Data[[#This Row],[Brian]:[Spencer]], Season2Data[[#This Row],[Best Guess]]) &gt; 1, TRUE, FALSE)</f>
        <v>1</v>
      </c>
    </row>
    <row r="21" spans="1:22" x14ac:dyDescent="0.35">
      <c r="A21" s="1">
        <v>44937</v>
      </c>
      <c r="B21" t="s">
        <v>2</v>
      </c>
      <c r="C21" t="s">
        <v>113</v>
      </c>
      <c r="D21" t="s">
        <v>245</v>
      </c>
      <c r="E21" t="s">
        <v>4</v>
      </c>
      <c r="G21">
        <v>85</v>
      </c>
      <c r="J21">
        <f t="shared" si="0"/>
        <v>3</v>
      </c>
      <c r="K21">
        <f t="shared" si="1"/>
        <v>3.75</v>
      </c>
      <c r="M21">
        <v>3</v>
      </c>
      <c r="N21">
        <v>3</v>
      </c>
      <c r="O21">
        <v>5</v>
      </c>
      <c r="P21">
        <v>4</v>
      </c>
      <c r="Q21">
        <v>5</v>
      </c>
      <c r="R21">
        <v>3</v>
      </c>
      <c r="S21">
        <v>4</v>
      </c>
      <c r="T21">
        <v>3</v>
      </c>
      <c r="V21" s="4" t="b">
        <f>IF(COUNTIF(Season2Data[[#This Row],[Brian]:[Spencer]], Season2Data[[#This Row],[Best Guess]]) &gt; 1, TRUE, FALSE)</f>
        <v>1</v>
      </c>
    </row>
    <row r="22" spans="1:22" x14ac:dyDescent="0.35">
      <c r="A22" s="1">
        <v>44938</v>
      </c>
      <c r="B22" t="s">
        <v>4</v>
      </c>
      <c r="C22" t="s">
        <v>246</v>
      </c>
      <c r="D22" t="s">
        <v>247</v>
      </c>
      <c r="E22" t="s">
        <v>11</v>
      </c>
      <c r="G22">
        <v>3055</v>
      </c>
      <c r="J22">
        <f t="shared" si="0"/>
        <v>3</v>
      </c>
      <c r="K22">
        <f t="shared" si="1"/>
        <v>4.125</v>
      </c>
      <c r="M22">
        <v>4</v>
      </c>
      <c r="N22">
        <v>5</v>
      </c>
      <c r="O22">
        <v>4</v>
      </c>
      <c r="P22">
        <v>4</v>
      </c>
      <c r="Q22">
        <v>3</v>
      </c>
      <c r="R22">
        <v>4</v>
      </c>
      <c r="S22">
        <v>4</v>
      </c>
      <c r="T22">
        <v>5</v>
      </c>
      <c r="V22" s="4" t="b">
        <f>IF(COUNTIF(Season2Data[[#This Row],[Brian]:[Spencer]], Season2Data[[#This Row],[Best Guess]]) &gt; 1, TRUE, FALSE)</f>
        <v>0</v>
      </c>
    </row>
    <row r="23" spans="1:22" x14ac:dyDescent="0.35">
      <c r="A23" s="1">
        <v>44939</v>
      </c>
      <c r="B23" t="s">
        <v>11</v>
      </c>
      <c r="C23" t="s">
        <v>202</v>
      </c>
      <c r="D23" t="s">
        <v>175</v>
      </c>
      <c r="E23" t="s">
        <v>6</v>
      </c>
      <c r="G23">
        <v>493</v>
      </c>
      <c r="J23">
        <f t="shared" si="0"/>
        <v>3</v>
      </c>
      <c r="K23">
        <f t="shared" si="1"/>
        <v>3.5</v>
      </c>
      <c r="M23">
        <v>4</v>
      </c>
      <c r="N23">
        <v>3</v>
      </c>
      <c r="O23">
        <v>3</v>
      </c>
      <c r="P23">
        <v>3</v>
      </c>
      <c r="Q23">
        <v>5</v>
      </c>
      <c r="R23">
        <v>3</v>
      </c>
      <c r="S23">
        <v>4</v>
      </c>
      <c r="T23">
        <v>3</v>
      </c>
      <c r="V23" s="4" t="b">
        <f>IF(COUNTIF(Season2Data[[#This Row],[Brian]:[Spencer]], Season2Data[[#This Row],[Best Guess]]) &gt; 1, TRUE, FALSE)</f>
        <v>1</v>
      </c>
    </row>
    <row r="24" spans="1:22" x14ac:dyDescent="0.35">
      <c r="A24" s="1">
        <v>44940</v>
      </c>
      <c r="B24" t="s">
        <v>6</v>
      </c>
      <c r="C24" t="s">
        <v>248</v>
      </c>
      <c r="D24" t="s">
        <v>249</v>
      </c>
      <c r="E24" t="s">
        <v>6</v>
      </c>
      <c r="G24">
        <v>1606</v>
      </c>
      <c r="J24">
        <f t="shared" si="0"/>
        <v>3</v>
      </c>
      <c r="K24">
        <f t="shared" si="1"/>
        <v>4.25</v>
      </c>
      <c r="M24">
        <v>4</v>
      </c>
      <c r="N24">
        <v>5</v>
      </c>
      <c r="O24">
        <v>3</v>
      </c>
      <c r="P24">
        <v>5</v>
      </c>
      <c r="Q24">
        <v>4</v>
      </c>
      <c r="R24">
        <v>4</v>
      </c>
      <c r="S24">
        <v>5</v>
      </c>
      <c r="T24">
        <v>4</v>
      </c>
      <c r="V24" s="4" t="b">
        <f>IF(COUNTIF(Season2Data[[#This Row],[Brian]:[Spencer]], Season2Data[[#This Row],[Best Guess]]) &gt; 1, TRUE, FALSE)</f>
        <v>0</v>
      </c>
    </row>
    <row r="25" spans="1:22" x14ac:dyDescent="0.35">
      <c r="A25" s="1">
        <v>44941</v>
      </c>
      <c r="B25" t="s">
        <v>6</v>
      </c>
      <c r="C25" t="s">
        <v>250</v>
      </c>
      <c r="D25" t="s">
        <v>251</v>
      </c>
      <c r="E25" t="s">
        <v>11</v>
      </c>
      <c r="G25">
        <v>128</v>
      </c>
      <c r="J25">
        <f t="shared" si="0"/>
        <v>2</v>
      </c>
      <c r="K25">
        <f t="shared" si="1"/>
        <v>3.625</v>
      </c>
      <c r="M25">
        <v>3</v>
      </c>
      <c r="N25">
        <v>6</v>
      </c>
      <c r="O25">
        <v>4</v>
      </c>
      <c r="P25">
        <v>4</v>
      </c>
      <c r="Q25">
        <v>2</v>
      </c>
      <c r="R25">
        <v>3</v>
      </c>
      <c r="S25">
        <v>4</v>
      </c>
      <c r="T25">
        <v>3</v>
      </c>
      <c r="V25" s="4" t="b">
        <f>IF(COUNTIF(Season2Data[[#This Row],[Brian]:[Spencer]], Season2Data[[#This Row],[Best Guess]]) &gt; 1, TRUE, FALSE)</f>
        <v>0</v>
      </c>
    </row>
    <row r="26" spans="1:22" x14ac:dyDescent="0.35">
      <c r="A26" s="1">
        <v>44942</v>
      </c>
      <c r="B26" t="s">
        <v>11</v>
      </c>
      <c r="C26" t="s">
        <v>252</v>
      </c>
      <c r="D26" t="s">
        <v>253</v>
      </c>
      <c r="E26" t="s">
        <v>16</v>
      </c>
      <c r="G26">
        <v>17</v>
      </c>
      <c r="J26">
        <f t="shared" si="0"/>
        <v>2</v>
      </c>
      <c r="K26">
        <f t="shared" si="1"/>
        <v>3.125</v>
      </c>
      <c r="M26">
        <v>4</v>
      </c>
      <c r="N26">
        <v>3</v>
      </c>
      <c r="O26">
        <v>3</v>
      </c>
      <c r="P26">
        <v>4</v>
      </c>
      <c r="Q26">
        <v>3</v>
      </c>
      <c r="R26">
        <v>3</v>
      </c>
      <c r="S26">
        <v>3</v>
      </c>
      <c r="T26">
        <v>2</v>
      </c>
      <c r="V26" s="4" t="b">
        <f>IF(COUNTIF(Season2Data[[#This Row],[Brian]:[Spencer]], Season2Data[[#This Row],[Best Guess]]) &gt; 1, TRUE, FALSE)</f>
        <v>0</v>
      </c>
    </row>
    <row r="27" spans="1:22" x14ac:dyDescent="0.35">
      <c r="A27" s="1">
        <v>44943</v>
      </c>
      <c r="B27" t="s">
        <v>16</v>
      </c>
      <c r="C27" t="s">
        <v>254</v>
      </c>
      <c r="D27" t="s">
        <v>255</v>
      </c>
      <c r="E27" t="s">
        <v>13</v>
      </c>
      <c r="G27">
        <v>208</v>
      </c>
      <c r="J27">
        <f t="shared" si="0"/>
        <v>3</v>
      </c>
      <c r="K27">
        <f t="shared" si="1"/>
        <v>3.875</v>
      </c>
      <c r="M27">
        <v>4</v>
      </c>
      <c r="N27">
        <v>4</v>
      </c>
      <c r="O27">
        <v>4</v>
      </c>
      <c r="P27">
        <v>3</v>
      </c>
      <c r="Q27">
        <v>4</v>
      </c>
      <c r="R27">
        <v>3</v>
      </c>
      <c r="S27">
        <v>5</v>
      </c>
      <c r="T27">
        <v>4</v>
      </c>
      <c r="V27" s="4" t="b">
        <f>IF(COUNTIF(Season2Data[[#This Row],[Brian]:[Spencer]], Season2Data[[#This Row],[Best Guess]]) &gt; 1, TRUE, FALSE)</f>
        <v>1</v>
      </c>
    </row>
    <row r="28" spans="1:22" x14ac:dyDescent="0.35">
      <c r="A28" s="1">
        <v>44944</v>
      </c>
      <c r="B28" t="s">
        <v>13</v>
      </c>
      <c r="C28" t="s">
        <v>256</v>
      </c>
      <c r="D28" t="s">
        <v>257</v>
      </c>
      <c r="E28" t="s">
        <v>6</v>
      </c>
      <c r="G28">
        <v>1620</v>
      </c>
      <c r="J28">
        <f t="shared" si="0"/>
        <v>3</v>
      </c>
      <c r="K28">
        <f t="shared" si="1"/>
        <v>4.4285714285714288</v>
      </c>
      <c r="M28">
        <v>5</v>
      </c>
      <c r="N28" s="2"/>
      <c r="O28">
        <v>3</v>
      </c>
      <c r="P28">
        <v>4</v>
      </c>
      <c r="Q28">
        <v>5</v>
      </c>
      <c r="R28">
        <v>5</v>
      </c>
      <c r="S28">
        <v>4</v>
      </c>
      <c r="T28">
        <v>5</v>
      </c>
      <c r="V28" s="4" t="b">
        <f>IF(COUNTIF(Season2Data[[#This Row],[Brian]:[Spencer]], Season2Data[[#This Row],[Best Guess]]) &gt; 1, TRUE, FALSE)</f>
        <v>0</v>
      </c>
    </row>
    <row r="29" spans="1:22" x14ac:dyDescent="0.35">
      <c r="A29" s="1">
        <v>44945</v>
      </c>
      <c r="B29" t="s">
        <v>6</v>
      </c>
      <c r="C29" t="s">
        <v>258</v>
      </c>
      <c r="D29" t="s">
        <v>259</v>
      </c>
      <c r="E29" t="s">
        <v>6</v>
      </c>
      <c r="G29">
        <v>3282</v>
      </c>
      <c r="J29">
        <f t="shared" si="0"/>
        <v>4</v>
      </c>
      <c r="K29">
        <f t="shared" si="1"/>
        <v>4.125</v>
      </c>
      <c r="M29">
        <v>4</v>
      </c>
      <c r="N29">
        <v>4</v>
      </c>
      <c r="O29">
        <v>4</v>
      </c>
      <c r="P29">
        <v>4</v>
      </c>
      <c r="Q29">
        <v>5</v>
      </c>
      <c r="R29">
        <v>4</v>
      </c>
      <c r="S29">
        <v>4</v>
      </c>
      <c r="T29">
        <v>4</v>
      </c>
      <c r="V29" s="4" t="b">
        <f>IF(COUNTIF(Season2Data[[#This Row],[Brian]:[Spencer]], Season2Data[[#This Row],[Best Guess]]) &gt; 1, TRUE, FALSE)</f>
        <v>1</v>
      </c>
    </row>
    <row r="30" spans="1:22" x14ac:dyDescent="0.35">
      <c r="A30" s="1">
        <v>44946</v>
      </c>
      <c r="B30" t="s">
        <v>6</v>
      </c>
      <c r="C30" t="s">
        <v>260</v>
      </c>
      <c r="D30" t="s">
        <v>261</v>
      </c>
      <c r="E30" t="s">
        <v>6</v>
      </c>
      <c r="G30">
        <v>336</v>
      </c>
      <c r="J30">
        <f t="shared" si="0"/>
        <v>3</v>
      </c>
      <c r="K30">
        <f t="shared" si="1"/>
        <v>4.25</v>
      </c>
      <c r="M30">
        <v>5</v>
      </c>
      <c r="N30">
        <v>5</v>
      </c>
      <c r="O30">
        <v>3</v>
      </c>
      <c r="P30">
        <v>4</v>
      </c>
      <c r="Q30">
        <v>4</v>
      </c>
      <c r="R30">
        <v>4</v>
      </c>
      <c r="S30">
        <v>5</v>
      </c>
      <c r="T30">
        <v>4</v>
      </c>
      <c r="V30" s="4" t="b">
        <f>IF(COUNTIF(Season2Data[[#This Row],[Brian]:[Spencer]], Season2Data[[#This Row],[Best Guess]]) &gt; 1, TRUE, FALSE)</f>
        <v>0</v>
      </c>
    </row>
    <row r="31" spans="1:22" x14ac:dyDescent="0.35">
      <c r="A31" s="1">
        <v>44947</v>
      </c>
      <c r="B31" t="s">
        <v>6</v>
      </c>
      <c r="C31" t="s">
        <v>262</v>
      </c>
      <c r="D31" t="s">
        <v>263</v>
      </c>
      <c r="E31" t="s">
        <v>20</v>
      </c>
      <c r="G31">
        <v>218</v>
      </c>
      <c r="J31">
        <f t="shared" si="0"/>
        <v>3</v>
      </c>
      <c r="K31">
        <f t="shared" si="1"/>
        <v>4.375</v>
      </c>
      <c r="M31">
        <v>4</v>
      </c>
      <c r="N31">
        <v>3</v>
      </c>
      <c r="O31">
        <v>4</v>
      </c>
      <c r="P31">
        <v>6</v>
      </c>
      <c r="Q31">
        <v>4</v>
      </c>
      <c r="R31">
        <v>5</v>
      </c>
      <c r="S31">
        <v>4</v>
      </c>
      <c r="T31">
        <v>5</v>
      </c>
      <c r="V31" s="4" t="b">
        <f>IF(COUNTIF(Season2Data[[#This Row],[Brian]:[Spencer]], Season2Data[[#This Row],[Best Guess]]) &gt; 1, TRUE, FALSE)</f>
        <v>0</v>
      </c>
    </row>
    <row r="32" spans="1:22" x14ac:dyDescent="0.35">
      <c r="A32" s="1">
        <v>44948</v>
      </c>
      <c r="B32" t="s">
        <v>20</v>
      </c>
      <c r="C32" t="s">
        <v>264</v>
      </c>
      <c r="D32" t="s">
        <v>265</v>
      </c>
      <c r="E32" t="s">
        <v>16</v>
      </c>
      <c r="G32">
        <v>1862</v>
      </c>
      <c r="J32">
        <f t="shared" si="0"/>
        <v>3</v>
      </c>
      <c r="K32">
        <f t="shared" si="1"/>
        <v>5</v>
      </c>
      <c r="M32">
        <v>6</v>
      </c>
      <c r="N32" s="3">
        <v>7</v>
      </c>
      <c r="O32">
        <v>5</v>
      </c>
      <c r="P32">
        <v>6</v>
      </c>
      <c r="Q32">
        <v>4</v>
      </c>
      <c r="R32">
        <v>5</v>
      </c>
      <c r="S32">
        <v>4</v>
      </c>
      <c r="T32">
        <v>3</v>
      </c>
      <c r="V32" s="4" t="b">
        <f>IF(COUNTIF(Season2Data[[#This Row],[Brian]:[Spencer]], Season2Data[[#This Row],[Best Guess]]) &gt; 1, TRUE, FALSE)</f>
        <v>0</v>
      </c>
    </row>
    <row r="33" spans="1:22" x14ac:dyDescent="0.35">
      <c r="A33" s="1">
        <v>44949</v>
      </c>
      <c r="B33" t="s">
        <v>16</v>
      </c>
      <c r="C33" t="s">
        <v>266</v>
      </c>
      <c r="D33" t="s">
        <v>267</v>
      </c>
      <c r="E33" t="s">
        <v>13</v>
      </c>
      <c r="G33">
        <v>1651</v>
      </c>
      <c r="J33">
        <f t="shared" si="0"/>
        <v>2</v>
      </c>
      <c r="K33">
        <f t="shared" si="1"/>
        <v>4.25</v>
      </c>
      <c r="M33">
        <v>4</v>
      </c>
      <c r="N33">
        <v>4</v>
      </c>
      <c r="O33">
        <v>4</v>
      </c>
      <c r="P33">
        <v>5</v>
      </c>
      <c r="Q33" s="3">
        <v>7</v>
      </c>
      <c r="R33">
        <v>2</v>
      </c>
      <c r="S33">
        <v>4</v>
      </c>
      <c r="T33">
        <v>4</v>
      </c>
      <c r="V33" s="4" t="b">
        <f>IF(COUNTIF(Season2Data[[#This Row],[Brian]:[Spencer]], Season2Data[[#This Row],[Best Guess]]) &gt; 1, TRUE, FALSE)</f>
        <v>0</v>
      </c>
    </row>
    <row r="34" spans="1:22" x14ac:dyDescent="0.35">
      <c r="A34" s="1">
        <v>44950</v>
      </c>
      <c r="B34" t="s">
        <v>13</v>
      </c>
      <c r="C34" t="s">
        <v>268</v>
      </c>
      <c r="D34" t="s">
        <v>269</v>
      </c>
      <c r="E34" t="s">
        <v>2</v>
      </c>
      <c r="G34">
        <v>641</v>
      </c>
      <c r="J34">
        <f t="shared" ref="J34:J65" si="2">MIN(M34:T34)</f>
        <v>3</v>
      </c>
      <c r="K34">
        <f t="shared" ref="K34:K65" si="3">AVERAGE(M34:T34)</f>
        <v>4</v>
      </c>
      <c r="M34">
        <v>4</v>
      </c>
      <c r="N34">
        <v>5</v>
      </c>
      <c r="O34">
        <v>4</v>
      </c>
      <c r="P34">
        <v>3</v>
      </c>
      <c r="Q34">
        <v>4</v>
      </c>
      <c r="R34">
        <v>3</v>
      </c>
      <c r="S34">
        <v>5</v>
      </c>
      <c r="T34">
        <v>4</v>
      </c>
      <c r="V34" s="4" t="b">
        <f>IF(COUNTIF(Season2Data[[#This Row],[Brian]:[Spencer]], Season2Data[[#This Row],[Best Guess]]) &gt; 1, TRUE, FALSE)</f>
        <v>1</v>
      </c>
    </row>
    <row r="35" spans="1:22" x14ac:dyDescent="0.35">
      <c r="A35" s="1">
        <v>44951</v>
      </c>
      <c r="B35" t="s">
        <v>2</v>
      </c>
      <c r="C35" t="s">
        <v>270</v>
      </c>
      <c r="D35" t="s">
        <v>271</v>
      </c>
      <c r="E35" t="s">
        <v>4</v>
      </c>
      <c r="G35">
        <v>12</v>
      </c>
      <c r="J35">
        <f t="shared" si="2"/>
        <v>2</v>
      </c>
      <c r="K35">
        <f t="shared" si="3"/>
        <v>2.625</v>
      </c>
      <c r="M35">
        <v>2</v>
      </c>
      <c r="N35">
        <v>4</v>
      </c>
      <c r="O35">
        <v>2</v>
      </c>
      <c r="P35">
        <v>3</v>
      </c>
      <c r="Q35">
        <v>2</v>
      </c>
      <c r="R35">
        <v>2</v>
      </c>
      <c r="S35">
        <v>3</v>
      </c>
      <c r="T35">
        <v>3</v>
      </c>
      <c r="V35" s="4" t="b">
        <f>IF(COUNTIF(Season2Data[[#This Row],[Brian]:[Spencer]], Season2Data[[#This Row],[Best Guess]]) &gt; 1, TRUE, FALSE)</f>
        <v>1</v>
      </c>
    </row>
    <row r="36" spans="1:22" x14ac:dyDescent="0.35">
      <c r="A36" s="1">
        <v>44952</v>
      </c>
      <c r="B36" t="s">
        <v>4</v>
      </c>
      <c r="C36" t="s">
        <v>272</v>
      </c>
      <c r="D36" t="s">
        <v>273</v>
      </c>
      <c r="E36" t="s">
        <v>4</v>
      </c>
      <c r="G36">
        <v>965</v>
      </c>
      <c r="J36">
        <f t="shared" si="2"/>
        <v>3</v>
      </c>
      <c r="K36">
        <f t="shared" si="3"/>
        <v>5.25</v>
      </c>
      <c r="M36">
        <v>3</v>
      </c>
      <c r="N36">
        <v>6</v>
      </c>
      <c r="O36">
        <v>5</v>
      </c>
      <c r="P36">
        <v>6</v>
      </c>
      <c r="Q36">
        <v>5</v>
      </c>
      <c r="R36">
        <v>6</v>
      </c>
      <c r="S36">
        <v>6</v>
      </c>
      <c r="T36">
        <v>5</v>
      </c>
      <c r="V36" s="4" t="b">
        <f>IF(COUNTIF(Season2Data[[#This Row],[Brian]:[Spencer]], Season2Data[[#This Row],[Best Guess]]) &gt; 1, TRUE, FALSE)</f>
        <v>0</v>
      </c>
    </row>
    <row r="37" spans="1:22" x14ac:dyDescent="0.35">
      <c r="A37" s="1">
        <v>44953</v>
      </c>
      <c r="B37" t="s">
        <v>4</v>
      </c>
      <c r="C37" t="s">
        <v>274</v>
      </c>
      <c r="D37" t="s">
        <v>275</v>
      </c>
      <c r="E37" t="s">
        <v>4</v>
      </c>
      <c r="G37">
        <v>11</v>
      </c>
      <c r="J37">
        <f t="shared" si="2"/>
        <v>2</v>
      </c>
      <c r="K37">
        <f t="shared" si="3"/>
        <v>3</v>
      </c>
      <c r="M37">
        <v>2</v>
      </c>
      <c r="N37">
        <v>2</v>
      </c>
      <c r="O37">
        <v>4</v>
      </c>
      <c r="P37">
        <v>4</v>
      </c>
      <c r="Q37">
        <v>3</v>
      </c>
      <c r="R37">
        <v>2</v>
      </c>
      <c r="S37">
        <v>4</v>
      </c>
      <c r="T37">
        <v>3</v>
      </c>
      <c r="V37" s="4" t="b">
        <f>IF(COUNTIF(Season2Data[[#This Row],[Brian]:[Spencer]], Season2Data[[#This Row],[Best Guess]]) &gt; 1, TRUE, FALSE)</f>
        <v>1</v>
      </c>
    </row>
    <row r="38" spans="1:22" x14ac:dyDescent="0.35">
      <c r="A38" s="1">
        <v>44954</v>
      </c>
      <c r="B38" t="s">
        <v>4</v>
      </c>
      <c r="C38" t="s">
        <v>276</v>
      </c>
      <c r="D38" t="s">
        <v>277</v>
      </c>
      <c r="E38" t="s">
        <v>2</v>
      </c>
      <c r="G38">
        <v>96</v>
      </c>
      <c r="J38">
        <f t="shared" si="2"/>
        <v>2</v>
      </c>
      <c r="K38">
        <f t="shared" si="3"/>
        <v>2.75</v>
      </c>
      <c r="M38">
        <v>2</v>
      </c>
      <c r="N38">
        <v>3</v>
      </c>
      <c r="O38">
        <v>3</v>
      </c>
      <c r="P38">
        <v>2</v>
      </c>
      <c r="Q38">
        <v>3</v>
      </c>
      <c r="R38">
        <v>3</v>
      </c>
      <c r="S38">
        <v>3</v>
      </c>
      <c r="T38">
        <v>3</v>
      </c>
      <c r="V38" s="4" t="b">
        <f>IF(COUNTIF(Season2Data[[#This Row],[Brian]:[Spencer]], Season2Data[[#This Row],[Best Guess]]) &gt; 1, TRUE, FALSE)</f>
        <v>1</v>
      </c>
    </row>
    <row r="39" spans="1:22" x14ac:dyDescent="0.35">
      <c r="A39" s="1">
        <v>44955</v>
      </c>
      <c r="B39" t="s">
        <v>2</v>
      </c>
      <c r="C39" t="s">
        <v>278</v>
      </c>
      <c r="D39" t="s">
        <v>279</v>
      </c>
      <c r="E39" t="s">
        <v>2</v>
      </c>
      <c r="G39">
        <v>519</v>
      </c>
      <c r="J39">
        <f t="shared" si="2"/>
        <v>3</v>
      </c>
      <c r="K39">
        <f t="shared" si="3"/>
        <v>4.125</v>
      </c>
      <c r="M39">
        <v>4</v>
      </c>
      <c r="N39">
        <v>5</v>
      </c>
      <c r="O39">
        <v>4</v>
      </c>
      <c r="P39">
        <v>3</v>
      </c>
      <c r="Q39">
        <v>4</v>
      </c>
      <c r="R39">
        <v>4</v>
      </c>
      <c r="S39">
        <v>5</v>
      </c>
      <c r="T39">
        <v>4</v>
      </c>
      <c r="V39" s="4" t="b">
        <f>IF(COUNTIF(Season2Data[[#This Row],[Brian]:[Spencer]], Season2Data[[#This Row],[Best Guess]]) &gt; 1, TRUE, FALSE)</f>
        <v>0</v>
      </c>
    </row>
    <row r="40" spans="1:22" x14ac:dyDescent="0.35">
      <c r="A40" s="1">
        <v>44956</v>
      </c>
      <c r="B40" t="s">
        <v>2</v>
      </c>
      <c r="C40" t="s">
        <v>280</v>
      </c>
      <c r="D40" t="s">
        <v>252</v>
      </c>
      <c r="E40" t="s">
        <v>13</v>
      </c>
      <c r="G40">
        <v>575</v>
      </c>
      <c r="J40">
        <f t="shared" si="2"/>
        <v>3</v>
      </c>
      <c r="K40">
        <f t="shared" si="3"/>
        <v>4.125</v>
      </c>
      <c r="M40">
        <v>4</v>
      </c>
      <c r="N40">
        <v>3</v>
      </c>
      <c r="O40">
        <v>4</v>
      </c>
      <c r="P40">
        <v>5</v>
      </c>
      <c r="Q40">
        <v>5</v>
      </c>
      <c r="R40">
        <v>3</v>
      </c>
      <c r="S40">
        <v>4</v>
      </c>
      <c r="T40">
        <v>5</v>
      </c>
      <c r="V40" s="4" t="b">
        <f>IF(COUNTIF(Season2Data[[#This Row],[Brian]:[Spencer]], Season2Data[[#This Row],[Best Guess]]) &gt; 1, TRUE, FALSE)</f>
        <v>1</v>
      </c>
    </row>
    <row r="41" spans="1:22" x14ac:dyDescent="0.35">
      <c r="A41" s="1">
        <v>44957</v>
      </c>
      <c r="B41" t="s">
        <v>13</v>
      </c>
      <c r="C41" t="s">
        <v>281</v>
      </c>
      <c r="D41" t="s">
        <v>282</v>
      </c>
      <c r="E41" t="s">
        <v>20</v>
      </c>
      <c r="G41">
        <v>188</v>
      </c>
      <c r="J41">
        <f t="shared" si="2"/>
        <v>3</v>
      </c>
      <c r="K41">
        <f t="shared" si="3"/>
        <v>4.625</v>
      </c>
      <c r="M41">
        <v>5</v>
      </c>
      <c r="N41">
        <v>3</v>
      </c>
      <c r="O41">
        <v>5</v>
      </c>
      <c r="P41">
        <v>6</v>
      </c>
      <c r="Q41">
        <v>4</v>
      </c>
      <c r="R41">
        <v>6</v>
      </c>
      <c r="S41">
        <v>3</v>
      </c>
      <c r="T41">
        <v>5</v>
      </c>
      <c r="V41" s="4" t="b">
        <f>IF(COUNTIF(Season2Data[[#This Row],[Brian]:[Spencer]], Season2Data[[#This Row],[Best Guess]]) &gt; 1, TRUE, FALSE)</f>
        <v>1</v>
      </c>
    </row>
    <row r="42" spans="1:22" x14ac:dyDescent="0.35">
      <c r="A42" s="1">
        <v>44958</v>
      </c>
      <c r="B42" t="s">
        <v>20</v>
      </c>
      <c r="C42" t="s">
        <v>283</v>
      </c>
      <c r="D42" t="s">
        <v>284</v>
      </c>
      <c r="E42" t="s">
        <v>2</v>
      </c>
      <c r="G42">
        <v>861</v>
      </c>
      <c r="J42">
        <f t="shared" si="2"/>
        <v>4</v>
      </c>
      <c r="K42">
        <f t="shared" si="3"/>
        <v>5.125</v>
      </c>
      <c r="M42">
        <v>5</v>
      </c>
      <c r="N42">
        <v>6</v>
      </c>
      <c r="O42">
        <v>4</v>
      </c>
      <c r="P42">
        <v>4</v>
      </c>
      <c r="Q42" s="3">
        <v>7</v>
      </c>
      <c r="R42">
        <v>4</v>
      </c>
      <c r="S42">
        <v>6</v>
      </c>
      <c r="T42">
        <v>5</v>
      </c>
      <c r="V42" s="4" t="b">
        <f>IF(COUNTIF(Season2Data[[#This Row],[Brian]:[Spencer]], Season2Data[[#This Row],[Best Guess]]) &gt; 1, TRUE, FALSE)</f>
        <v>1</v>
      </c>
    </row>
    <row r="43" spans="1:22" x14ac:dyDescent="0.35">
      <c r="A43" s="1">
        <v>44959</v>
      </c>
      <c r="B43" t="s">
        <v>2</v>
      </c>
      <c r="C43" t="s">
        <v>181</v>
      </c>
      <c r="D43" t="s">
        <v>285</v>
      </c>
      <c r="E43" t="s">
        <v>1</v>
      </c>
      <c r="G43">
        <v>794</v>
      </c>
      <c r="J43">
        <f t="shared" si="2"/>
        <v>3</v>
      </c>
      <c r="K43">
        <f t="shared" si="3"/>
        <v>4.125</v>
      </c>
      <c r="M43">
        <v>3</v>
      </c>
      <c r="N43">
        <v>5</v>
      </c>
      <c r="O43">
        <v>4</v>
      </c>
      <c r="P43">
        <v>4</v>
      </c>
      <c r="Q43">
        <v>5</v>
      </c>
      <c r="R43">
        <v>4</v>
      </c>
      <c r="S43">
        <v>3</v>
      </c>
      <c r="T43">
        <v>5</v>
      </c>
      <c r="V43" s="4" t="b">
        <f>IF(COUNTIF(Season2Data[[#This Row],[Brian]:[Spencer]], Season2Data[[#This Row],[Best Guess]]) &gt; 1, TRUE, FALSE)</f>
        <v>1</v>
      </c>
    </row>
    <row r="44" spans="1:22" x14ac:dyDescent="0.35">
      <c r="A44" s="1">
        <v>44960</v>
      </c>
      <c r="B44" t="s">
        <v>1</v>
      </c>
      <c r="C44" t="s">
        <v>286</v>
      </c>
      <c r="D44" t="s">
        <v>287</v>
      </c>
      <c r="E44" t="s">
        <v>11</v>
      </c>
      <c r="G44">
        <v>3212</v>
      </c>
      <c r="J44">
        <f t="shared" si="2"/>
        <v>3</v>
      </c>
      <c r="K44">
        <f t="shared" si="3"/>
        <v>3.8571428571428572</v>
      </c>
      <c r="M44">
        <v>4</v>
      </c>
      <c r="N44">
        <v>4</v>
      </c>
      <c r="O44" s="2"/>
      <c r="P44">
        <v>4</v>
      </c>
      <c r="Q44">
        <v>3</v>
      </c>
      <c r="R44">
        <v>4</v>
      </c>
      <c r="S44">
        <v>4</v>
      </c>
      <c r="T44">
        <v>4</v>
      </c>
      <c r="V44" s="4" t="b">
        <f>IF(COUNTIF(Season2Data[[#This Row],[Brian]:[Spencer]], Season2Data[[#This Row],[Best Guess]]) &gt; 1, TRUE, FALSE)</f>
        <v>0</v>
      </c>
    </row>
    <row r="45" spans="1:22" x14ac:dyDescent="0.35">
      <c r="A45" s="1">
        <v>44961</v>
      </c>
      <c r="B45" t="s">
        <v>11</v>
      </c>
      <c r="C45" t="s">
        <v>288</v>
      </c>
      <c r="D45" t="s">
        <v>289</v>
      </c>
      <c r="E45" t="s">
        <v>4</v>
      </c>
      <c r="G45">
        <v>1455</v>
      </c>
      <c r="J45">
        <f t="shared" si="2"/>
        <v>3</v>
      </c>
      <c r="K45">
        <f t="shared" si="3"/>
        <v>3.5714285714285716</v>
      </c>
      <c r="M45">
        <v>3</v>
      </c>
      <c r="N45">
        <v>5</v>
      </c>
      <c r="O45" s="2"/>
      <c r="P45">
        <v>3</v>
      </c>
      <c r="Q45">
        <v>4</v>
      </c>
      <c r="R45">
        <v>3</v>
      </c>
      <c r="S45">
        <v>4</v>
      </c>
      <c r="T45">
        <v>3</v>
      </c>
      <c r="V45" s="4" t="b">
        <f>IF(COUNTIF(Season2Data[[#This Row],[Brian]:[Spencer]], Season2Data[[#This Row],[Best Guess]]) &gt; 1, TRUE, FALSE)</f>
        <v>1</v>
      </c>
    </row>
    <row r="46" spans="1:22" x14ac:dyDescent="0.35">
      <c r="A46" s="1">
        <v>44962</v>
      </c>
      <c r="B46" t="s">
        <v>4</v>
      </c>
      <c r="C46" t="s">
        <v>290</v>
      </c>
      <c r="D46" t="s">
        <v>291</v>
      </c>
      <c r="E46" t="s">
        <v>1</v>
      </c>
      <c r="G46">
        <v>4076</v>
      </c>
      <c r="J46">
        <f t="shared" si="2"/>
        <v>3</v>
      </c>
      <c r="K46">
        <f t="shared" si="3"/>
        <v>3.4285714285714284</v>
      </c>
      <c r="M46">
        <v>3</v>
      </c>
      <c r="N46">
        <v>4</v>
      </c>
      <c r="O46" s="2"/>
      <c r="P46">
        <v>4</v>
      </c>
      <c r="Q46">
        <v>3</v>
      </c>
      <c r="R46">
        <v>3</v>
      </c>
      <c r="S46">
        <v>3</v>
      </c>
      <c r="T46">
        <v>4</v>
      </c>
      <c r="V46" s="4" t="b">
        <f>IF(COUNTIF(Season2Data[[#This Row],[Brian]:[Spencer]], Season2Data[[#This Row],[Best Guess]]) &gt; 1, TRUE, FALSE)</f>
        <v>1</v>
      </c>
    </row>
    <row r="47" spans="1:22" x14ac:dyDescent="0.35">
      <c r="A47" s="1">
        <v>44963</v>
      </c>
      <c r="B47" t="s">
        <v>1</v>
      </c>
      <c r="C47" t="s">
        <v>292</v>
      </c>
      <c r="D47" t="s">
        <v>293</v>
      </c>
      <c r="E47" t="s">
        <v>11</v>
      </c>
      <c r="G47">
        <v>146</v>
      </c>
      <c r="J47">
        <f t="shared" si="2"/>
        <v>3</v>
      </c>
      <c r="K47">
        <f t="shared" si="3"/>
        <v>4.4285714285714288</v>
      </c>
      <c r="M47">
        <v>3</v>
      </c>
      <c r="N47">
        <v>5</v>
      </c>
      <c r="O47" s="2"/>
      <c r="P47">
        <v>4</v>
      </c>
      <c r="Q47">
        <v>3</v>
      </c>
      <c r="R47">
        <v>5</v>
      </c>
      <c r="S47">
        <v>5</v>
      </c>
      <c r="T47">
        <v>6</v>
      </c>
      <c r="V47" s="4" t="b">
        <f>IF(COUNTIF(Season2Data[[#This Row],[Brian]:[Spencer]], Season2Data[[#This Row],[Best Guess]]) &gt; 1, TRUE, FALSE)</f>
        <v>1</v>
      </c>
    </row>
    <row r="48" spans="1:22" x14ac:dyDescent="0.35">
      <c r="A48" s="1">
        <v>44964</v>
      </c>
      <c r="B48" t="s">
        <v>11</v>
      </c>
      <c r="C48" t="s">
        <v>274</v>
      </c>
      <c r="D48" t="s">
        <v>294</v>
      </c>
      <c r="E48" t="s">
        <v>2</v>
      </c>
      <c r="G48">
        <v>148</v>
      </c>
      <c r="J48">
        <f t="shared" si="2"/>
        <v>3</v>
      </c>
      <c r="K48">
        <f t="shared" si="3"/>
        <v>3.4285714285714284</v>
      </c>
      <c r="M48">
        <v>4</v>
      </c>
      <c r="N48">
        <v>4</v>
      </c>
      <c r="O48" s="2"/>
      <c r="P48">
        <v>3</v>
      </c>
      <c r="Q48">
        <v>3</v>
      </c>
      <c r="R48">
        <v>3</v>
      </c>
      <c r="S48">
        <v>3</v>
      </c>
      <c r="T48">
        <v>4</v>
      </c>
      <c r="V48" s="4" t="b">
        <f>IF(COUNTIF(Season2Data[[#This Row],[Brian]:[Spencer]], Season2Data[[#This Row],[Best Guess]]) &gt; 1, TRUE, FALSE)</f>
        <v>1</v>
      </c>
    </row>
    <row r="49" spans="1:22" x14ac:dyDescent="0.35">
      <c r="A49" s="1">
        <v>44965</v>
      </c>
      <c r="B49" t="s">
        <v>2</v>
      </c>
      <c r="C49" t="s">
        <v>295</v>
      </c>
      <c r="D49" t="s">
        <v>296</v>
      </c>
      <c r="E49" t="s">
        <v>13</v>
      </c>
      <c r="G49">
        <v>1034</v>
      </c>
      <c r="J49">
        <f t="shared" si="2"/>
        <v>3</v>
      </c>
      <c r="K49">
        <f t="shared" si="3"/>
        <v>5</v>
      </c>
      <c r="M49">
        <v>4</v>
      </c>
      <c r="N49" s="3">
        <v>7</v>
      </c>
      <c r="O49" s="2"/>
      <c r="P49">
        <v>6</v>
      </c>
      <c r="Q49">
        <v>5</v>
      </c>
      <c r="R49">
        <v>3</v>
      </c>
      <c r="S49">
        <v>5</v>
      </c>
      <c r="T49">
        <v>5</v>
      </c>
      <c r="V49" s="4" t="b">
        <f>IF(COUNTIF(Season2Data[[#This Row],[Brian]:[Spencer]], Season2Data[[#This Row],[Best Guess]]) &gt; 1, TRUE, FALSE)</f>
        <v>0</v>
      </c>
    </row>
    <row r="50" spans="1:22" x14ac:dyDescent="0.35">
      <c r="A50" s="1">
        <v>44966</v>
      </c>
      <c r="B50" t="s">
        <v>13</v>
      </c>
      <c r="C50" t="s">
        <v>297</v>
      </c>
      <c r="D50" t="s">
        <v>298</v>
      </c>
      <c r="E50" t="s">
        <v>13</v>
      </c>
      <c r="G50">
        <v>87</v>
      </c>
      <c r="J50">
        <f t="shared" si="2"/>
        <v>3</v>
      </c>
      <c r="K50">
        <f t="shared" si="3"/>
        <v>4.2857142857142856</v>
      </c>
      <c r="M50">
        <v>5</v>
      </c>
      <c r="N50">
        <v>5</v>
      </c>
      <c r="O50" s="2"/>
      <c r="P50">
        <v>4</v>
      </c>
      <c r="Q50">
        <v>5</v>
      </c>
      <c r="R50">
        <v>3</v>
      </c>
      <c r="S50">
        <v>5</v>
      </c>
      <c r="T50">
        <v>3</v>
      </c>
      <c r="V50" s="4" t="b">
        <f>IF(COUNTIF(Season2Data[[#This Row],[Brian]:[Spencer]], Season2Data[[#This Row],[Best Guess]]) &gt; 1, TRUE, FALSE)</f>
        <v>1</v>
      </c>
    </row>
    <row r="51" spans="1:22" x14ac:dyDescent="0.35">
      <c r="A51" s="1">
        <v>44967</v>
      </c>
      <c r="B51" t="s">
        <v>13</v>
      </c>
      <c r="C51" t="s">
        <v>299</v>
      </c>
      <c r="D51" t="s">
        <v>300</v>
      </c>
      <c r="E51" t="s">
        <v>6</v>
      </c>
      <c r="G51">
        <v>497</v>
      </c>
      <c r="J51">
        <f t="shared" si="2"/>
        <v>3</v>
      </c>
      <c r="K51">
        <f t="shared" si="3"/>
        <v>5</v>
      </c>
      <c r="M51">
        <v>5</v>
      </c>
      <c r="N51" s="3">
        <v>7</v>
      </c>
      <c r="O51">
        <v>3</v>
      </c>
      <c r="P51">
        <v>5</v>
      </c>
      <c r="Q51">
        <v>5</v>
      </c>
      <c r="R51">
        <v>5</v>
      </c>
      <c r="S51">
        <v>6</v>
      </c>
      <c r="T51">
        <v>4</v>
      </c>
      <c r="V51" s="4" t="b">
        <f>IF(COUNTIF(Season2Data[[#This Row],[Brian]:[Spencer]], Season2Data[[#This Row],[Best Guess]]) &gt; 1, TRUE, FALSE)</f>
        <v>0</v>
      </c>
    </row>
    <row r="52" spans="1:22" x14ac:dyDescent="0.35">
      <c r="A52" s="1">
        <v>44968</v>
      </c>
      <c r="B52" t="s">
        <v>6</v>
      </c>
      <c r="C52" t="s">
        <v>301</v>
      </c>
      <c r="D52" t="s">
        <v>302</v>
      </c>
      <c r="E52" t="s">
        <v>11</v>
      </c>
      <c r="G52">
        <v>1018</v>
      </c>
      <c r="J52">
        <f t="shared" si="2"/>
        <v>5</v>
      </c>
      <c r="K52">
        <f t="shared" si="3"/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V52" s="4" t="b">
        <f>IF(COUNTIF(Season2Data[[#This Row],[Brian]:[Spencer]], Season2Data[[#This Row],[Best Guess]]) &gt; 1, TRUE, FALSE)</f>
        <v>1</v>
      </c>
    </row>
    <row r="53" spans="1:22" x14ac:dyDescent="0.35">
      <c r="A53" s="1">
        <v>44969</v>
      </c>
      <c r="B53" t="s">
        <v>11</v>
      </c>
      <c r="C53" t="s">
        <v>303</v>
      </c>
      <c r="D53" t="s">
        <v>304</v>
      </c>
      <c r="E53" t="s">
        <v>305</v>
      </c>
      <c r="G53">
        <v>225</v>
      </c>
      <c r="J53">
        <f t="shared" si="2"/>
        <v>3</v>
      </c>
      <c r="K53">
        <f t="shared" si="3"/>
        <v>3.625</v>
      </c>
      <c r="M53">
        <v>5</v>
      </c>
      <c r="N53">
        <v>3</v>
      </c>
      <c r="O53">
        <v>4</v>
      </c>
      <c r="P53">
        <v>3</v>
      </c>
      <c r="Q53">
        <v>3</v>
      </c>
      <c r="R53">
        <v>4</v>
      </c>
      <c r="S53">
        <v>3</v>
      </c>
      <c r="T53">
        <v>4</v>
      </c>
      <c r="V53" s="4" t="b">
        <f>IF(COUNTIF(Season2Data[[#This Row],[Brian]:[Spencer]], Season2Data[[#This Row],[Best Guess]]) &gt; 1, TRUE, FALSE)</f>
        <v>1</v>
      </c>
    </row>
    <row r="54" spans="1:22" x14ac:dyDescent="0.35">
      <c r="A54" s="1">
        <v>44970</v>
      </c>
      <c r="B54" t="s">
        <v>2</v>
      </c>
      <c r="C54" t="s">
        <v>306</v>
      </c>
      <c r="D54" t="s">
        <v>307</v>
      </c>
      <c r="E54" t="s">
        <v>1</v>
      </c>
      <c r="G54">
        <v>50</v>
      </c>
      <c r="J54">
        <f t="shared" si="2"/>
        <v>2</v>
      </c>
      <c r="K54">
        <f t="shared" si="3"/>
        <v>3.25</v>
      </c>
      <c r="M54">
        <v>4</v>
      </c>
      <c r="N54">
        <v>4</v>
      </c>
      <c r="O54">
        <v>4</v>
      </c>
      <c r="P54">
        <v>2</v>
      </c>
      <c r="Q54">
        <v>3</v>
      </c>
      <c r="R54">
        <v>4</v>
      </c>
      <c r="S54">
        <v>2</v>
      </c>
      <c r="T54">
        <v>3</v>
      </c>
      <c r="V54" s="4" t="b">
        <f>IF(COUNTIF(Season2Data[[#This Row],[Brian]:[Spencer]], Season2Data[[#This Row],[Best Guess]]) &gt; 1, TRUE, FALSE)</f>
        <v>1</v>
      </c>
    </row>
    <row r="55" spans="1:22" x14ac:dyDescent="0.35">
      <c r="A55" s="1">
        <v>44971</v>
      </c>
      <c r="B55" t="s">
        <v>1</v>
      </c>
      <c r="C55" t="s">
        <v>308</v>
      </c>
      <c r="D55" t="s">
        <v>309</v>
      </c>
      <c r="E55" t="s">
        <v>11</v>
      </c>
      <c r="G55">
        <v>3</v>
      </c>
      <c r="J55">
        <f t="shared" si="2"/>
        <v>2</v>
      </c>
      <c r="K55">
        <f t="shared" si="3"/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V55" s="4" t="b">
        <f>IF(COUNTIF(Season2Data[[#This Row],[Brian]:[Spencer]], Season2Data[[#This Row],[Best Guess]]) &gt; 1, TRUE, FALSE)</f>
        <v>1</v>
      </c>
    </row>
    <row r="56" spans="1:22" x14ac:dyDescent="0.35">
      <c r="A56" s="1">
        <v>44972</v>
      </c>
      <c r="B56" t="s">
        <v>11</v>
      </c>
      <c r="C56" t="s">
        <v>310</v>
      </c>
      <c r="D56" t="s">
        <v>311</v>
      </c>
      <c r="E56" t="s">
        <v>2</v>
      </c>
      <c r="G56">
        <v>2604</v>
      </c>
      <c r="J56">
        <f t="shared" si="2"/>
        <v>3</v>
      </c>
      <c r="K56">
        <f t="shared" si="3"/>
        <v>3.875</v>
      </c>
      <c r="M56">
        <v>3</v>
      </c>
      <c r="N56">
        <v>3</v>
      </c>
      <c r="O56">
        <v>5</v>
      </c>
      <c r="P56">
        <v>3</v>
      </c>
      <c r="Q56">
        <v>5</v>
      </c>
      <c r="R56">
        <v>4</v>
      </c>
      <c r="S56">
        <v>4</v>
      </c>
      <c r="T56">
        <v>4</v>
      </c>
      <c r="V56" s="4" t="b">
        <f>IF(COUNTIF(Season2Data[[#This Row],[Brian]:[Spencer]], Season2Data[[#This Row],[Best Guess]]) &gt; 1, TRUE, FALSE)</f>
        <v>1</v>
      </c>
    </row>
    <row r="57" spans="1:22" x14ac:dyDescent="0.35">
      <c r="A57" s="1">
        <v>44973</v>
      </c>
      <c r="B57" t="s">
        <v>2</v>
      </c>
      <c r="C57" t="s">
        <v>312</v>
      </c>
      <c r="D57" t="s">
        <v>313</v>
      </c>
      <c r="E57" t="s">
        <v>4</v>
      </c>
      <c r="G57">
        <v>2596</v>
      </c>
      <c r="J57">
        <f t="shared" si="2"/>
        <v>3</v>
      </c>
      <c r="K57">
        <f t="shared" si="3"/>
        <v>3.625</v>
      </c>
      <c r="M57">
        <v>3</v>
      </c>
      <c r="N57">
        <v>5</v>
      </c>
      <c r="O57">
        <v>4</v>
      </c>
      <c r="P57">
        <v>4</v>
      </c>
      <c r="Q57">
        <v>4</v>
      </c>
      <c r="R57">
        <v>3</v>
      </c>
      <c r="S57">
        <v>3</v>
      </c>
      <c r="T57">
        <v>3</v>
      </c>
      <c r="V57" s="4" t="b">
        <f>IF(COUNTIF(Season2Data[[#This Row],[Brian]:[Spencer]], Season2Data[[#This Row],[Best Guess]]) &gt; 1, TRUE, FALSE)</f>
        <v>1</v>
      </c>
    </row>
    <row r="58" spans="1:22" x14ac:dyDescent="0.35">
      <c r="A58" s="1">
        <v>44974</v>
      </c>
      <c r="B58" t="s">
        <v>4</v>
      </c>
      <c r="C58" t="s">
        <v>314</v>
      </c>
      <c r="D58" t="s">
        <v>315</v>
      </c>
      <c r="E58" t="s">
        <v>171</v>
      </c>
      <c r="G58">
        <v>213</v>
      </c>
      <c r="J58">
        <f t="shared" si="2"/>
        <v>3</v>
      </c>
      <c r="K58">
        <f t="shared" si="3"/>
        <v>3.625</v>
      </c>
      <c r="M58">
        <v>4</v>
      </c>
      <c r="N58">
        <v>3</v>
      </c>
      <c r="O58">
        <v>3</v>
      </c>
      <c r="P58">
        <v>4</v>
      </c>
      <c r="Q58">
        <v>4</v>
      </c>
      <c r="R58">
        <v>3</v>
      </c>
      <c r="S58">
        <v>3</v>
      </c>
      <c r="T58">
        <v>5</v>
      </c>
      <c r="V58" s="4" t="b">
        <f>IF(COUNTIF(Season2Data[[#This Row],[Brian]:[Spencer]], Season2Data[[#This Row],[Best Guess]]) &gt; 1, TRUE, FALSE)</f>
        <v>1</v>
      </c>
    </row>
    <row r="59" spans="1:22" x14ac:dyDescent="0.35">
      <c r="A59" s="1">
        <v>44975</v>
      </c>
      <c r="B59" t="s">
        <v>6</v>
      </c>
      <c r="C59" t="s">
        <v>316</v>
      </c>
      <c r="D59" t="s">
        <v>319</v>
      </c>
      <c r="E59" t="s">
        <v>4</v>
      </c>
      <c r="G59">
        <v>507</v>
      </c>
      <c r="J59">
        <f t="shared" si="2"/>
        <v>4</v>
      </c>
      <c r="K59">
        <f t="shared" si="3"/>
        <v>4.75</v>
      </c>
      <c r="M59">
        <v>4</v>
      </c>
      <c r="N59" s="3">
        <v>7</v>
      </c>
      <c r="O59">
        <v>5</v>
      </c>
      <c r="P59">
        <v>4</v>
      </c>
      <c r="Q59">
        <v>5</v>
      </c>
      <c r="R59">
        <v>4</v>
      </c>
      <c r="S59">
        <v>5</v>
      </c>
      <c r="T59">
        <v>4</v>
      </c>
      <c r="V59" s="4" t="b">
        <f>IF(COUNTIF(Season2Data[[#This Row],[Brian]:[Spencer]], Season2Data[[#This Row],[Best Guess]]) &gt; 1, TRUE, FALSE)</f>
        <v>1</v>
      </c>
    </row>
    <row r="60" spans="1:22" x14ac:dyDescent="0.35">
      <c r="A60" s="1">
        <v>44976</v>
      </c>
      <c r="B60" t="s">
        <v>4</v>
      </c>
      <c r="C60" t="s">
        <v>317</v>
      </c>
      <c r="D60" t="s">
        <v>318</v>
      </c>
      <c r="E60" t="s">
        <v>20</v>
      </c>
      <c r="G60">
        <v>26</v>
      </c>
      <c r="J60">
        <f t="shared" si="2"/>
        <v>3</v>
      </c>
      <c r="K60">
        <f t="shared" si="3"/>
        <v>3.625</v>
      </c>
      <c r="M60">
        <v>3</v>
      </c>
      <c r="N60">
        <v>3</v>
      </c>
      <c r="O60">
        <v>4</v>
      </c>
      <c r="P60">
        <v>4</v>
      </c>
      <c r="Q60">
        <v>4</v>
      </c>
      <c r="R60">
        <v>4</v>
      </c>
      <c r="S60">
        <v>4</v>
      </c>
      <c r="T60">
        <v>3</v>
      </c>
      <c r="V60" s="4" t="b">
        <f>IF(COUNTIF(Season2Data[[#This Row],[Brian]:[Spencer]], Season2Data[[#This Row],[Best Guess]]) &gt; 1, TRUE, FALSE)</f>
        <v>1</v>
      </c>
    </row>
    <row r="61" spans="1:22" x14ac:dyDescent="0.35">
      <c r="A61" s="1">
        <v>44977</v>
      </c>
      <c r="B61" t="s">
        <v>20</v>
      </c>
      <c r="C61" t="s">
        <v>116</v>
      </c>
      <c r="D61" t="s">
        <v>320</v>
      </c>
      <c r="E61" t="s">
        <v>16</v>
      </c>
      <c r="G61">
        <v>2229</v>
      </c>
      <c r="J61">
        <f t="shared" si="2"/>
        <v>3</v>
      </c>
      <c r="K61">
        <f t="shared" si="3"/>
        <v>4.125</v>
      </c>
      <c r="M61">
        <v>3</v>
      </c>
      <c r="N61">
        <v>5</v>
      </c>
      <c r="O61">
        <v>5</v>
      </c>
      <c r="P61">
        <v>3</v>
      </c>
      <c r="Q61">
        <v>5</v>
      </c>
      <c r="R61">
        <v>4</v>
      </c>
      <c r="S61">
        <v>5</v>
      </c>
      <c r="T61">
        <v>3</v>
      </c>
      <c r="V61" s="4" t="b">
        <f>IF(COUNTIF(Season2Data[[#This Row],[Brian]:[Spencer]], Season2Data[[#This Row],[Best Guess]]) &gt; 1, TRUE, FALSE)</f>
        <v>1</v>
      </c>
    </row>
    <row r="62" spans="1:22" x14ac:dyDescent="0.35">
      <c r="A62" s="1">
        <v>44978</v>
      </c>
      <c r="B62" t="s">
        <v>16</v>
      </c>
      <c r="C62" t="s">
        <v>321</v>
      </c>
      <c r="D62" t="s">
        <v>322</v>
      </c>
      <c r="E62" t="s">
        <v>4</v>
      </c>
      <c r="G62">
        <v>4199</v>
      </c>
      <c r="J62">
        <f t="shared" si="2"/>
        <v>4</v>
      </c>
      <c r="K62">
        <f t="shared" si="3"/>
        <v>4.5714285714285712</v>
      </c>
      <c r="M62">
        <v>4</v>
      </c>
      <c r="N62">
        <v>4</v>
      </c>
      <c r="O62" s="2"/>
      <c r="P62">
        <v>6</v>
      </c>
      <c r="Q62">
        <v>4</v>
      </c>
      <c r="R62">
        <v>4</v>
      </c>
      <c r="S62">
        <v>6</v>
      </c>
      <c r="T62">
        <v>4</v>
      </c>
      <c r="V62" s="4" t="b">
        <f>IF(COUNTIF(Season2Data[[#This Row],[Brian]:[Spencer]], Season2Data[[#This Row],[Best Guess]]) &gt; 1, TRUE, FALSE)</f>
        <v>1</v>
      </c>
    </row>
    <row r="63" spans="1:22" x14ac:dyDescent="0.35">
      <c r="A63" s="1">
        <v>44979</v>
      </c>
      <c r="B63" t="s">
        <v>4</v>
      </c>
      <c r="C63" t="s">
        <v>323</v>
      </c>
      <c r="D63" t="s">
        <v>324</v>
      </c>
      <c r="E63" t="s">
        <v>16</v>
      </c>
      <c r="G63">
        <v>413</v>
      </c>
      <c r="J63">
        <f t="shared" si="2"/>
        <v>3</v>
      </c>
      <c r="K63">
        <f t="shared" si="3"/>
        <v>5.25</v>
      </c>
      <c r="M63">
        <v>6</v>
      </c>
      <c r="N63" s="3">
        <v>7</v>
      </c>
      <c r="O63">
        <v>4</v>
      </c>
      <c r="P63">
        <v>6</v>
      </c>
      <c r="Q63">
        <v>5</v>
      </c>
      <c r="R63">
        <v>6</v>
      </c>
      <c r="S63">
        <v>5</v>
      </c>
      <c r="T63">
        <v>3</v>
      </c>
      <c r="V63" s="4" t="b">
        <f>IF(COUNTIF(Season2Data[[#This Row],[Brian]:[Spencer]], Season2Data[[#This Row],[Best Guess]]) &gt; 1, TRUE, FALSE)</f>
        <v>0</v>
      </c>
    </row>
    <row r="64" spans="1:22" x14ac:dyDescent="0.35">
      <c r="A64" s="1">
        <v>44980</v>
      </c>
      <c r="B64" t="s">
        <v>16</v>
      </c>
      <c r="C64" t="s">
        <v>325</v>
      </c>
      <c r="D64" t="s">
        <v>256</v>
      </c>
      <c r="E64" t="s">
        <v>2</v>
      </c>
      <c r="G64">
        <v>1235</v>
      </c>
      <c r="J64">
        <f t="shared" si="2"/>
        <v>3</v>
      </c>
      <c r="K64">
        <f t="shared" si="3"/>
        <v>4</v>
      </c>
      <c r="M64">
        <v>4</v>
      </c>
      <c r="N64">
        <v>5</v>
      </c>
      <c r="O64">
        <v>3</v>
      </c>
      <c r="P64">
        <v>3</v>
      </c>
      <c r="Q64">
        <v>3</v>
      </c>
      <c r="R64">
        <v>4</v>
      </c>
      <c r="S64">
        <v>5</v>
      </c>
      <c r="T64">
        <v>5</v>
      </c>
      <c r="V64" s="4" t="b">
        <f>IF(COUNTIF(Season2Data[[#This Row],[Brian]:[Spencer]], Season2Data[[#This Row],[Best Guess]]) &gt; 1, TRUE, FALSE)</f>
        <v>1</v>
      </c>
    </row>
    <row r="65" spans="1:22" x14ac:dyDescent="0.35">
      <c r="A65" s="1">
        <v>44981</v>
      </c>
      <c r="B65" t="s">
        <v>2</v>
      </c>
      <c r="C65" t="s">
        <v>326</v>
      </c>
      <c r="D65" t="s">
        <v>327</v>
      </c>
      <c r="E65" t="s">
        <v>16</v>
      </c>
      <c r="G65">
        <v>18</v>
      </c>
      <c r="J65">
        <f t="shared" si="2"/>
        <v>2</v>
      </c>
      <c r="K65">
        <f t="shared" si="3"/>
        <v>3.125</v>
      </c>
      <c r="M65">
        <v>3</v>
      </c>
      <c r="N65">
        <v>4</v>
      </c>
      <c r="O65">
        <v>3</v>
      </c>
      <c r="P65">
        <v>4</v>
      </c>
      <c r="Q65">
        <v>4</v>
      </c>
      <c r="R65">
        <v>2</v>
      </c>
      <c r="S65">
        <v>3</v>
      </c>
      <c r="T65">
        <v>2</v>
      </c>
      <c r="V65" s="4" t="b">
        <f>IF(COUNTIF(Season2Data[[#This Row],[Brian]:[Spencer]], Season2Data[[#This Row],[Best Guess]]) &gt; 1, TRUE, FALSE)</f>
        <v>1</v>
      </c>
    </row>
    <row r="66" spans="1:22" x14ac:dyDescent="0.35">
      <c r="A66" s="1">
        <v>44982</v>
      </c>
      <c r="B66" t="s">
        <v>16</v>
      </c>
      <c r="C66" t="s">
        <v>328</v>
      </c>
      <c r="D66" t="s">
        <v>329</v>
      </c>
      <c r="E66" t="s">
        <v>2</v>
      </c>
      <c r="G66">
        <v>5172</v>
      </c>
      <c r="J66">
        <f t="shared" ref="J66:J91" si="4">MIN(M66:T66)</f>
        <v>3</v>
      </c>
      <c r="K66">
        <f t="shared" ref="K66:K91" si="5">AVERAGE(M66:T66)</f>
        <v>4</v>
      </c>
      <c r="M66">
        <v>5</v>
      </c>
      <c r="N66" s="2"/>
      <c r="O66">
        <v>4</v>
      </c>
      <c r="P66">
        <v>3</v>
      </c>
      <c r="Q66">
        <v>4</v>
      </c>
      <c r="R66">
        <v>4</v>
      </c>
      <c r="S66">
        <v>4</v>
      </c>
      <c r="T66">
        <v>4</v>
      </c>
      <c r="V66" s="4" t="b">
        <f>IF(COUNTIF(Season2Data[[#This Row],[Brian]:[Spencer]], Season2Data[[#This Row],[Best Guess]]) &gt; 1, TRUE, FALSE)</f>
        <v>0</v>
      </c>
    </row>
    <row r="67" spans="1:22" x14ac:dyDescent="0.35">
      <c r="A67" s="1">
        <v>44983</v>
      </c>
      <c r="B67" t="s">
        <v>2</v>
      </c>
      <c r="C67" t="s">
        <v>330</v>
      </c>
      <c r="D67" t="s">
        <v>331</v>
      </c>
      <c r="E67" t="s">
        <v>1</v>
      </c>
      <c r="G67">
        <v>374</v>
      </c>
      <c r="J67">
        <f t="shared" si="4"/>
        <v>3</v>
      </c>
      <c r="K67">
        <f t="shared" si="5"/>
        <v>3.5714285714285716</v>
      </c>
      <c r="M67">
        <v>3</v>
      </c>
      <c r="N67" s="2"/>
      <c r="O67">
        <v>4</v>
      </c>
      <c r="P67">
        <v>3</v>
      </c>
      <c r="Q67">
        <v>5</v>
      </c>
      <c r="R67">
        <v>3</v>
      </c>
      <c r="S67">
        <v>3</v>
      </c>
      <c r="T67">
        <v>4</v>
      </c>
      <c r="V67" s="4" t="b">
        <f>IF(COUNTIF(Season2Data[[#This Row],[Brian]:[Spencer]], Season2Data[[#This Row],[Best Guess]]) &gt; 1, TRUE, FALSE)</f>
        <v>1</v>
      </c>
    </row>
    <row r="68" spans="1:22" x14ac:dyDescent="0.35">
      <c r="A68" s="1">
        <v>44984</v>
      </c>
      <c r="B68" t="s">
        <v>1</v>
      </c>
      <c r="C68" t="s">
        <v>332</v>
      </c>
      <c r="D68" t="s">
        <v>333</v>
      </c>
      <c r="E68" t="s">
        <v>6</v>
      </c>
      <c r="G68">
        <v>2209</v>
      </c>
      <c r="J68">
        <f t="shared" si="4"/>
        <v>3</v>
      </c>
      <c r="K68">
        <f t="shared" si="5"/>
        <v>4</v>
      </c>
      <c r="M68">
        <v>5</v>
      </c>
      <c r="N68" s="2"/>
      <c r="O68">
        <v>3</v>
      </c>
      <c r="P68">
        <v>4</v>
      </c>
      <c r="Q68">
        <v>4</v>
      </c>
      <c r="R68">
        <v>4</v>
      </c>
      <c r="S68">
        <v>4</v>
      </c>
      <c r="T68">
        <v>4</v>
      </c>
      <c r="V68" s="4" t="b">
        <f>IF(COUNTIF(Season2Data[[#This Row],[Brian]:[Spencer]], Season2Data[[#This Row],[Best Guess]]) &gt; 1, TRUE, FALSE)</f>
        <v>0</v>
      </c>
    </row>
    <row r="69" spans="1:22" x14ac:dyDescent="0.35">
      <c r="A69" s="1">
        <v>44985</v>
      </c>
      <c r="B69" t="s">
        <v>6</v>
      </c>
      <c r="C69" t="s">
        <v>334</v>
      </c>
      <c r="D69" t="s">
        <v>335</v>
      </c>
      <c r="E69" t="s">
        <v>2</v>
      </c>
      <c r="G69">
        <v>152</v>
      </c>
      <c r="J69">
        <f t="shared" si="4"/>
        <v>2</v>
      </c>
      <c r="K69">
        <f t="shared" si="5"/>
        <v>3.7142857142857144</v>
      </c>
      <c r="M69">
        <v>3</v>
      </c>
      <c r="N69" s="2"/>
      <c r="O69">
        <v>4</v>
      </c>
      <c r="P69">
        <v>2</v>
      </c>
      <c r="Q69">
        <v>4</v>
      </c>
      <c r="R69">
        <v>3</v>
      </c>
      <c r="S69">
        <v>6</v>
      </c>
      <c r="T69">
        <v>4</v>
      </c>
      <c r="V69" s="4" t="b">
        <f>IF(COUNTIF(Season2Data[[#This Row],[Brian]:[Spencer]], Season2Data[[#This Row],[Best Guess]]) &gt; 1, TRUE, FALSE)</f>
        <v>0</v>
      </c>
    </row>
    <row r="70" spans="1:22" x14ac:dyDescent="0.35">
      <c r="A70" s="1">
        <v>44986</v>
      </c>
      <c r="B70" t="s">
        <v>2</v>
      </c>
      <c r="C70" t="s">
        <v>336</v>
      </c>
      <c r="D70" t="s">
        <v>337</v>
      </c>
      <c r="E70" t="s">
        <v>338</v>
      </c>
      <c r="G70">
        <v>1526</v>
      </c>
      <c r="J70">
        <f t="shared" si="4"/>
        <v>3</v>
      </c>
      <c r="K70">
        <f t="shared" si="5"/>
        <v>4.5</v>
      </c>
      <c r="M70">
        <v>4</v>
      </c>
      <c r="N70">
        <v>5</v>
      </c>
      <c r="O70">
        <v>3</v>
      </c>
      <c r="P70">
        <v>6</v>
      </c>
      <c r="Q70">
        <v>5</v>
      </c>
      <c r="R70">
        <v>3</v>
      </c>
      <c r="S70">
        <v>6</v>
      </c>
      <c r="T70">
        <v>4</v>
      </c>
      <c r="V70" s="4" t="b">
        <f>IF(COUNTIF(Season2Data[[#This Row],[Brian]:[Spencer]], Season2Data[[#This Row],[Best Guess]]) &gt; 1, TRUE, FALSE)</f>
        <v>1</v>
      </c>
    </row>
    <row r="71" spans="1:22" x14ac:dyDescent="0.35">
      <c r="A71" s="1">
        <v>44987</v>
      </c>
      <c r="B71" t="s">
        <v>13</v>
      </c>
      <c r="C71" t="s">
        <v>339</v>
      </c>
      <c r="D71" t="s">
        <v>340</v>
      </c>
      <c r="E71" t="s">
        <v>6</v>
      </c>
      <c r="G71">
        <v>117</v>
      </c>
      <c r="J71">
        <f t="shared" si="4"/>
        <v>3</v>
      </c>
      <c r="K71">
        <f t="shared" si="5"/>
        <v>4.625</v>
      </c>
      <c r="M71" s="3">
        <v>7</v>
      </c>
      <c r="N71">
        <v>4</v>
      </c>
      <c r="O71">
        <v>3</v>
      </c>
      <c r="P71">
        <v>4</v>
      </c>
      <c r="Q71">
        <v>5</v>
      </c>
      <c r="R71">
        <v>5</v>
      </c>
      <c r="S71">
        <v>4</v>
      </c>
      <c r="T71">
        <v>5</v>
      </c>
      <c r="V71" s="4" t="b">
        <f>IF(COUNTIF(Season2Data[[#This Row],[Brian]:[Spencer]], Season2Data[[#This Row],[Best Guess]]) &gt; 1, TRUE, FALSE)</f>
        <v>0</v>
      </c>
    </row>
    <row r="72" spans="1:22" x14ac:dyDescent="0.35">
      <c r="A72" s="1">
        <v>44988</v>
      </c>
      <c r="B72" t="s">
        <v>6</v>
      </c>
      <c r="C72" t="s">
        <v>341</v>
      </c>
      <c r="D72" t="s">
        <v>342</v>
      </c>
      <c r="E72" t="s">
        <v>16</v>
      </c>
      <c r="G72">
        <v>57</v>
      </c>
      <c r="J72">
        <f t="shared" si="4"/>
        <v>3</v>
      </c>
      <c r="K72">
        <f t="shared" si="5"/>
        <v>3.7142857142857144</v>
      </c>
      <c r="M72">
        <v>3</v>
      </c>
      <c r="N72" s="2"/>
      <c r="O72">
        <v>3</v>
      </c>
      <c r="P72">
        <v>3</v>
      </c>
      <c r="Q72">
        <v>5</v>
      </c>
      <c r="R72">
        <v>5</v>
      </c>
      <c r="S72">
        <v>4</v>
      </c>
      <c r="T72">
        <v>3</v>
      </c>
      <c r="V72" s="4" t="b">
        <f>IF(COUNTIF(Season2Data[[#This Row],[Brian]:[Spencer]], Season2Data[[#This Row],[Best Guess]]) &gt; 1, TRUE, FALSE)</f>
        <v>1</v>
      </c>
    </row>
    <row r="73" spans="1:22" x14ac:dyDescent="0.35">
      <c r="A73" s="1">
        <v>44989</v>
      </c>
      <c r="B73" t="s">
        <v>16</v>
      </c>
      <c r="C73" t="s">
        <v>313</v>
      </c>
      <c r="D73" t="s">
        <v>343</v>
      </c>
      <c r="E73" t="s">
        <v>13</v>
      </c>
      <c r="G73">
        <v>3521</v>
      </c>
      <c r="J73">
        <f t="shared" si="4"/>
        <v>3</v>
      </c>
      <c r="K73">
        <f t="shared" si="5"/>
        <v>4</v>
      </c>
      <c r="M73">
        <v>4</v>
      </c>
      <c r="N73" s="2"/>
      <c r="O73">
        <v>3</v>
      </c>
      <c r="P73">
        <v>4</v>
      </c>
      <c r="Q73">
        <v>5</v>
      </c>
      <c r="R73">
        <v>3</v>
      </c>
      <c r="S73">
        <v>5</v>
      </c>
      <c r="T73">
        <v>4</v>
      </c>
      <c r="V73" s="4" t="b">
        <f>IF(COUNTIF(Season2Data[[#This Row],[Brian]:[Spencer]], Season2Data[[#This Row],[Best Guess]]) &gt; 1, TRUE, FALSE)</f>
        <v>1</v>
      </c>
    </row>
    <row r="74" spans="1:22" x14ac:dyDescent="0.35">
      <c r="A74" s="1">
        <v>44990</v>
      </c>
      <c r="B74" t="s">
        <v>13</v>
      </c>
      <c r="C74" t="s">
        <v>344</v>
      </c>
      <c r="D74" t="s">
        <v>345</v>
      </c>
      <c r="E74" t="s">
        <v>4</v>
      </c>
      <c r="G74">
        <v>584</v>
      </c>
      <c r="J74">
        <f t="shared" si="4"/>
        <v>3</v>
      </c>
      <c r="K74">
        <f t="shared" si="5"/>
        <v>3.7142857142857144</v>
      </c>
      <c r="M74">
        <v>3</v>
      </c>
      <c r="N74" s="2"/>
      <c r="O74">
        <v>4</v>
      </c>
      <c r="P74">
        <v>4</v>
      </c>
      <c r="Q74">
        <v>4</v>
      </c>
      <c r="R74">
        <v>3</v>
      </c>
      <c r="S74">
        <v>4</v>
      </c>
      <c r="T74">
        <v>4</v>
      </c>
      <c r="V74" s="4" t="b">
        <f>IF(COUNTIF(Season2Data[[#This Row],[Brian]:[Spencer]], Season2Data[[#This Row],[Best Guess]]) &gt; 1, TRUE, FALSE)</f>
        <v>1</v>
      </c>
    </row>
    <row r="75" spans="1:22" x14ac:dyDescent="0.35">
      <c r="A75" s="1">
        <v>44991</v>
      </c>
      <c r="B75" t="s">
        <v>4</v>
      </c>
      <c r="C75" t="s">
        <v>346</v>
      </c>
      <c r="D75" t="s">
        <v>347</v>
      </c>
      <c r="E75" t="s">
        <v>6</v>
      </c>
      <c r="G75">
        <v>877</v>
      </c>
      <c r="J75">
        <f t="shared" si="4"/>
        <v>3</v>
      </c>
      <c r="K75">
        <f t="shared" si="5"/>
        <v>4.2857142857142856</v>
      </c>
      <c r="M75">
        <v>6</v>
      </c>
      <c r="N75" s="2"/>
      <c r="O75">
        <v>3</v>
      </c>
      <c r="P75">
        <v>6</v>
      </c>
      <c r="Q75">
        <v>4</v>
      </c>
      <c r="R75">
        <v>3</v>
      </c>
      <c r="S75">
        <v>3</v>
      </c>
      <c r="T75">
        <v>5</v>
      </c>
      <c r="V75" s="4" t="b">
        <f>IF(COUNTIF(Season2Data[[#This Row],[Brian]:[Spencer]], Season2Data[[#This Row],[Best Guess]]) &gt; 1, TRUE, FALSE)</f>
        <v>1</v>
      </c>
    </row>
    <row r="76" spans="1:22" x14ac:dyDescent="0.35">
      <c r="A76" s="1">
        <v>44992</v>
      </c>
      <c r="B76" t="s">
        <v>6</v>
      </c>
      <c r="C76" t="s">
        <v>348</v>
      </c>
      <c r="D76" t="s">
        <v>349</v>
      </c>
      <c r="E76" t="s">
        <v>16</v>
      </c>
      <c r="G76">
        <v>64</v>
      </c>
      <c r="J76">
        <f t="shared" si="4"/>
        <v>3</v>
      </c>
      <c r="K76">
        <f t="shared" si="5"/>
        <v>3.4285714285714284</v>
      </c>
      <c r="M76">
        <v>4</v>
      </c>
      <c r="N76" s="2"/>
      <c r="O76">
        <v>3</v>
      </c>
      <c r="P76">
        <v>3</v>
      </c>
      <c r="Q76">
        <v>3</v>
      </c>
      <c r="R76">
        <v>4</v>
      </c>
      <c r="S76">
        <v>4</v>
      </c>
      <c r="T76">
        <v>3</v>
      </c>
      <c r="V76" s="4" t="b">
        <f>IF(COUNTIF(Season2Data[[#This Row],[Brian]:[Spencer]], Season2Data[[#This Row],[Best Guess]]) &gt; 1, TRUE, FALSE)</f>
        <v>1</v>
      </c>
    </row>
    <row r="77" spans="1:22" x14ac:dyDescent="0.35">
      <c r="A77" s="1">
        <v>44993</v>
      </c>
      <c r="B77" t="s">
        <v>16</v>
      </c>
      <c r="C77" t="s">
        <v>350</v>
      </c>
      <c r="D77" t="s">
        <v>351</v>
      </c>
      <c r="E77" t="s">
        <v>4</v>
      </c>
      <c r="G77">
        <v>964</v>
      </c>
      <c r="J77">
        <f t="shared" si="4"/>
        <v>3</v>
      </c>
      <c r="K77">
        <f t="shared" si="5"/>
        <v>4.2857142857142856</v>
      </c>
      <c r="M77">
        <v>3</v>
      </c>
      <c r="N77" s="2"/>
      <c r="O77">
        <v>5</v>
      </c>
      <c r="P77">
        <v>5</v>
      </c>
      <c r="Q77">
        <v>5</v>
      </c>
      <c r="R77">
        <v>4</v>
      </c>
      <c r="S77">
        <v>4</v>
      </c>
      <c r="T77">
        <v>4</v>
      </c>
      <c r="V77" s="4" t="b">
        <f>IF(COUNTIF(Season2Data[[#This Row],[Brian]:[Spencer]], Season2Data[[#This Row],[Best Guess]]) &gt; 1, TRUE, FALSE)</f>
        <v>0</v>
      </c>
    </row>
    <row r="78" spans="1:22" x14ac:dyDescent="0.35">
      <c r="A78" s="1">
        <v>44994</v>
      </c>
      <c r="B78" t="s">
        <v>4</v>
      </c>
      <c r="C78" t="s">
        <v>352</v>
      </c>
      <c r="D78" t="s">
        <v>353</v>
      </c>
      <c r="E78" t="s">
        <v>4</v>
      </c>
      <c r="G78">
        <v>4897</v>
      </c>
      <c r="J78">
        <f t="shared" si="4"/>
        <v>3</v>
      </c>
      <c r="K78">
        <f t="shared" si="5"/>
        <v>4.4285714285714288</v>
      </c>
      <c r="M78">
        <v>3</v>
      </c>
      <c r="N78" s="2"/>
      <c r="O78">
        <v>5</v>
      </c>
      <c r="P78">
        <v>5</v>
      </c>
      <c r="Q78">
        <v>5</v>
      </c>
      <c r="R78">
        <v>4</v>
      </c>
      <c r="S78">
        <v>5</v>
      </c>
      <c r="T78">
        <v>4</v>
      </c>
      <c r="V78" s="4" t="b">
        <f>IF(COUNTIF(Season2Data[[#This Row],[Brian]:[Spencer]], Season2Data[[#This Row],[Best Guess]]) &gt; 1, TRUE, FALSE)</f>
        <v>0</v>
      </c>
    </row>
    <row r="79" spans="1:22" x14ac:dyDescent="0.35">
      <c r="A79" s="1">
        <v>44995</v>
      </c>
      <c r="B79" t="s">
        <v>4</v>
      </c>
      <c r="C79" t="s">
        <v>354</v>
      </c>
      <c r="D79" t="s">
        <v>288</v>
      </c>
      <c r="E79" t="s">
        <v>1</v>
      </c>
      <c r="G79">
        <v>1224</v>
      </c>
      <c r="J79">
        <f t="shared" si="4"/>
        <v>3</v>
      </c>
      <c r="K79">
        <f t="shared" si="5"/>
        <v>4.5714285714285712</v>
      </c>
      <c r="M79">
        <v>5</v>
      </c>
      <c r="N79" s="2"/>
      <c r="O79">
        <v>5</v>
      </c>
      <c r="P79">
        <v>5</v>
      </c>
      <c r="Q79">
        <v>3</v>
      </c>
      <c r="R79">
        <v>5</v>
      </c>
      <c r="S79">
        <v>3</v>
      </c>
      <c r="T79">
        <v>6</v>
      </c>
      <c r="V79" s="4" t="b">
        <f>IF(COUNTIF(Season2Data[[#This Row],[Brian]:[Spencer]], Season2Data[[#This Row],[Best Guess]]) &gt; 1, TRUE, FALSE)</f>
        <v>1</v>
      </c>
    </row>
    <row r="80" spans="1:22" x14ac:dyDescent="0.35">
      <c r="A80" s="1">
        <v>44996</v>
      </c>
      <c r="B80" t="s">
        <v>1</v>
      </c>
      <c r="C80" t="s">
        <v>355</v>
      </c>
      <c r="D80" t="s">
        <v>356</v>
      </c>
      <c r="E80" t="s">
        <v>1</v>
      </c>
      <c r="G80">
        <v>273</v>
      </c>
      <c r="J80">
        <f t="shared" si="4"/>
        <v>3</v>
      </c>
      <c r="K80">
        <f t="shared" si="5"/>
        <v>3.4285714285714284</v>
      </c>
      <c r="M80">
        <v>3</v>
      </c>
      <c r="N80" s="2"/>
      <c r="O80">
        <v>3</v>
      </c>
      <c r="P80">
        <v>3</v>
      </c>
      <c r="Q80">
        <v>4</v>
      </c>
      <c r="R80">
        <v>4</v>
      </c>
      <c r="S80">
        <v>3</v>
      </c>
      <c r="T80">
        <v>4</v>
      </c>
      <c r="V80" s="4" t="b">
        <f>IF(COUNTIF(Season2Data[[#This Row],[Brian]:[Spencer]], Season2Data[[#This Row],[Best Guess]]) &gt; 1, TRUE, FALSE)</f>
        <v>1</v>
      </c>
    </row>
    <row r="81" spans="1:22" x14ac:dyDescent="0.35">
      <c r="A81" s="1">
        <v>44997</v>
      </c>
      <c r="B81" t="s">
        <v>1</v>
      </c>
      <c r="C81" t="s">
        <v>357</v>
      </c>
      <c r="D81" t="s">
        <v>91</v>
      </c>
      <c r="E81" t="s">
        <v>4</v>
      </c>
      <c r="G81">
        <v>3708</v>
      </c>
      <c r="J81">
        <f t="shared" si="4"/>
        <v>3</v>
      </c>
      <c r="K81">
        <f t="shared" si="5"/>
        <v>4.1428571428571432</v>
      </c>
      <c r="M81">
        <v>3</v>
      </c>
      <c r="N81" s="2"/>
      <c r="O81">
        <v>4</v>
      </c>
      <c r="P81">
        <v>4</v>
      </c>
      <c r="Q81">
        <v>5</v>
      </c>
      <c r="R81">
        <v>4</v>
      </c>
      <c r="S81">
        <v>5</v>
      </c>
      <c r="T81">
        <v>4</v>
      </c>
      <c r="V81" s="4" t="b">
        <f>IF(COUNTIF(Season2Data[[#This Row],[Brian]:[Spencer]], Season2Data[[#This Row],[Best Guess]]) &gt; 1, TRUE, FALSE)</f>
        <v>0</v>
      </c>
    </row>
    <row r="82" spans="1:22" x14ac:dyDescent="0.35">
      <c r="A82" s="1">
        <v>44998</v>
      </c>
      <c r="B82" t="s">
        <v>4</v>
      </c>
      <c r="C82" t="s">
        <v>358</v>
      </c>
      <c r="D82" t="s">
        <v>359</v>
      </c>
      <c r="E82" t="s">
        <v>2</v>
      </c>
      <c r="G82">
        <v>2230</v>
      </c>
      <c r="J82">
        <f t="shared" si="4"/>
        <v>2</v>
      </c>
      <c r="K82">
        <f t="shared" si="5"/>
        <v>3.5714285714285716</v>
      </c>
      <c r="M82">
        <v>4</v>
      </c>
      <c r="N82" s="2"/>
      <c r="O82">
        <v>4</v>
      </c>
      <c r="P82">
        <v>2</v>
      </c>
      <c r="Q82">
        <v>4</v>
      </c>
      <c r="R82">
        <v>4</v>
      </c>
      <c r="S82">
        <v>4</v>
      </c>
      <c r="T82">
        <v>3</v>
      </c>
      <c r="V82" s="4" t="b">
        <f>IF(COUNTIF(Season2Data[[#This Row],[Brian]:[Spencer]], Season2Data[[#This Row],[Best Guess]]) &gt; 1, TRUE, FALSE)</f>
        <v>0</v>
      </c>
    </row>
    <row r="83" spans="1:22" x14ac:dyDescent="0.35">
      <c r="A83" s="1">
        <v>44999</v>
      </c>
      <c r="B83" t="s">
        <v>2</v>
      </c>
      <c r="C83" t="s">
        <v>3</v>
      </c>
      <c r="D83" t="s">
        <v>360</v>
      </c>
      <c r="E83" t="s">
        <v>13</v>
      </c>
      <c r="G83">
        <v>641</v>
      </c>
      <c r="J83">
        <f t="shared" si="4"/>
        <v>3</v>
      </c>
      <c r="K83">
        <f t="shared" si="5"/>
        <v>3.5714285714285716</v>
      </c>
      <c r="M83">
        <v>3</v>
      </c>
      <c r="N83" s="2"/>
      <c r="O83">
        <v>3</v>
      </c>
      <c r="P83">
        <v>4</v>
      </c>
      <c r="Q83">
        <v>3</v>
      </c>
      <c r="R83">
        <v>3</v>
      </c>
      <c r="S83">
        <v>5</v>
      </c>
      <c r="T83">
        <v>4</v>
      </c>
      <c r="V83" s="4" t="b">
        <f>IF(COUNTIF(Season2Data[[#This Row],[Brian]:[Spencer]], Season2Data[[#This Row],[Best Guess]]) &gt; 1, TRUE, FALSE)</f>
        <v>1</v>
      </c>
    </row>
    <row r="84" spans="1:22" x14ac:dyDescent="0.35">
      <c r="A84" s="1">
        <v>45000</v>
      </c>
      <c r="B84" t="s">
        <v>13</v>
      </c>
      <c r="C84" t="s">
        <v>240</v>
      </c>
      <c r="D84" t="s">
        <v>361</v>
      </c>
      <c r="E84" t="s">
        <v>13</v>
      </c>
      <c r="G84">
        <v>67</v>
      </c>
      <c r="J84">
        <f t="shared" si="4"/>
        <v>3</v>
      </c>
      <c r="K84">
        <f t="shared" si="5"/>
        <v>4.4285714285714288</v>
      </c>
      <c r="M84">
        <v>6</v>
      </c>
      <c r="N84" s="2"/>
      <c r="O84">
        <v>5</v>
      </c>
      <c r="P84">
        <v>5</v>
      </c>
      <c r="Q84">
        <v>3</v>
      </c>
      <c r="R84">
        <v>3</v>
      </c>
      <c r="S84">
        <v>5</v>
      </c>
      <c r="T84">
        <v>4</v>
      </c>
      <c r="V84" s="4" t="b">
        <f>IF(COUNTIF(Season2Data[[#This Row],[Brian]:[Spencer]], Season2Data[[#This Row],[Best Guess]]) &gt; 1, TRUE, FALSE)</f>
        <v>1</v>
      </c>
    </row>
    <row r="85" spans="1:22" x14ac:dyDescent="0.35">
      <c r="A85" s="1">
        <v>45001</v>
      </c>
      <c r="B85" t="s">
        <v>13</v>
      </c>
      <c r="C85" t="s">
        <v>153</v>
      </c>
      <c r="D85" t="s">
        <v>362</v>
      </c>
      <c r="E85" t="s">
        <v>16</v>
      </c>
      <c r="G85">
        <v>72</v>
      </c>
      <c r="J85">
        <f t="shared" si="4"/>
        <v>2</v>
      </c>
      <c r="K85">
        <f t="shared" si="5"/>
        <v>3</v>
      </c>
      <c r="M85">
        <v>4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  <c r="V85" s="4" t="b">
        <f>IF(COUNTIF(Season2Data[[#This Row],[Brian]:[Spencer]], Season2Data[[#This Row],[Best Guess]]) &gt; 1, TRUE, FALSE)</f>
        <v>0</v>
      </c>
    </row>
    <row r="86" spans="1:22" x14ac:dyDescent="0.35">
      <c r="A86" s="1">
        <v>45002</v>
      </c>
      <c r="B86" t="s">
        <v>16</v>
      </c>
      <c r="C86" t="s">
        <v>363</v>
      </c>
      <c r="D86" t="s">
        <v>364</v>
      </c>
      <c r="E86" t="s">
        <v>1</v>
      </c>
      <c r="G86">
        <v>1705</v>
      </c>
      <c r="J86">
        <f t="shared" si="4"/>
        <v>3</v>
      </c>
      <c r="K86">
        <f t="shared" si="5"/>
        <v>4.2857142857142856</v>
      </c>
      <c r="M86">
        <v>5</v>
      </c>
      <c r="N86" s="2"/>
      <c r="O86">
        <v>5</v>
      </c>
      <c r="P86">
        <v>5</v>
      </c>
      <c r="Q86">
        <v>4</v>
      </c>
      <c r="R86">
        <v>4</v>
      </c>
      <c r="S86">
        <v>3</v>
      </c>
      <c r="T86">
        <v>4</v>
      </c>
      <c r="V86" s="4" t="b">
        <f>IF(COUNTIF(Season2Data[[#This Row],[Brian]:[Spencer]], Season2Data[[#This Row],[Best Guess]]) &gt; 1, TRUE, FALSE)</f>
        <v>0</v>
      </c>
    </row>
    <row r="87" spans="1:22" x14ac:dyDescent="0.35">
      <c r="A87" s="1">
        <v>45003</v>
      </c>
      <c r="B87" t="s">
        <v>1</v>
      </c>
      <c r="C87" t="s">
        <v>366</v>
      </c>
      <c r="D87" t="s">
        <v>85</v>
      </c>
      <c r="E87" t="s">
        <v>16</v>
      </c>
      <c r="G87">
        <v>233</v>
      </c>
      <c r="J87">
        <f t="shared" si="4"/>
        <v>3</v>
      </c>
      <c r="K87">
        <f t="shared" si="5"/>
        <v>3.7142857142857144</v>
      </c>
      <c r="M87">
        <v>5</v>
      </c>
      <c r="N87" s="2"/>
      <c r="O87">
        <v>3</v>
      </c>
      <c r="P87">
        <v>3</v>
      </c>
      <c r="Q87">
        <v>4</v>
      </c>
      <c r="R87">
        <v>4</v>
      </c>
      <c r="S87">
        <v>4</v>
      </c>
      <c r="T87">
        <v>3</v>
      </c>
      <c r="V87" s="4" t="b">
        <f>IF(COUNTIF(Season2Data[[#This Row],[Brian]:[Spencer]], Season2Data[[#This Row],[Best Guess]]) &gt; 1, TRUE, FALSE)</f>
        <v>1</v>
      </c>
    </row>
    <row r="88" spans="1:22" x14ac:dyDescent="0.35">
      <c r="A88" s="1">
        <v>45004</v>
      </c>
      <c r="B88" t="s">
        <v>16</v>
      </c>
      <c r="C88" t="s">
        <v>367</v>
      </c>
      <c r="D88" t="s">
        <v>368</v>
      </c>
      <c r="E88" t="s">
        <v>6</v>
      </c>
      <c r="G88">
        <v>70</v>
      </c>
      <c r="J88">
        <f t="shared" si="4"/>
        <v>2</v>
      </c>
      <c r="K88">
        <f t="shared" si="5"/>
        <v>3</v>
      </c>
      <c r="M88">
        <v>3</v>
      </c>
      <c r="N88" s="2"/>
      <c r="O88">
        <v>2</v>
      </c>
      <c r="P88">
        <v>3</v>
      </c>
      <c r="Q88">
        <v>3</v>
      </c>
      <c r="R88">
        <v>4</v>
      </c>
      <c r="S88">
        <v>3</v>
      </c>
      <c r="T88">
        <v>3</v>
      </c>
      <c r="V88" s="4" t="b">
        <f>IF(COUNTIF(Season2Data[[#This Row],[Brian]:[Spencer]], Season2Data[[#This Row],[Best Guess]]) &gt; 1, TRUE, FALSE)</f>
        <v>0</v>
      </c>
    </row>
    <row r="89" spans="1:22" x14ac:dyDescent="0.35">
      <c r="A89" s="1">
        <v>45005</v>
      </c>
      <c r="B89" t="s">
        <v>6</v>
      </c>
      <c r="C89" t="s">
        <v>369</v>
      </c>
      <c r="D89" t="s">
        <v>370</v>
      </c>
      <c r="E89" t="s">
        <v>16</v>
      </c>
      <c r="G89">
        <v>78</v>
      </c>
      <c r="J89">
        <f t="shared" si="4"/>
        <v>3</v>
      </c>
      <c r="K89">
        <f t="shared" si="5"/>
        <v>3.5714285714285716</v>
      </c>
      <c r="M89">
        <v>4</v>
      </c>
      <c r="N89" s="2"/>
      <c r="O89">
        <v>4</v>
      </c>
      <c r="P89">
        <v>3</v>
      </c>
      <c r="Q89">
        <v>4</v>
      </c>
      <c r="R89">
        <v>4</v>
      </c>
      <c r="S89">
        <v>3</v>
      </c>
      <c r="T89">
        <v>3</v>
      </c>
      <c r="V89" s="4" t="b">
        <f>IF(COUNTIF(Season2Data[[#This Row],[Brian]:[Spencer]], Season2Data[[#This Row],[Best Guess]]) &gt; 1, TRUE, FALSE)</f>
        <v>1</v>
      </c>
    </row>
    <row r="90" spans="1:22" x14ac:dyDescent="0.35">
      <c r="A90" s="1">
        <v>45006</v>
      </c>
      <c r="B90" t="s">
        <v>16</v>
      </c>
      <c r="C90" t="s">
        <v>371</v>
      </c>
      <c r="D90" t="s">
        <v>372</v>
      </c>
      <c r="E90" t="s">
        <v>4</v>
      </c>
      <c r="G90">
        <v>1821</v>
      </c>
      <c r="J90">
        <f t="shared" si="4"/>
        <v>3</v>
      </c>
      <c r="K90">
        <f t="shared" si="5"/>
        <v>4.4285714285714288</v>
      </c>
      <c r="M90">
        <v>3</v>
      </c>
      <c r="N90" s="2"/>
      <c r="O90">
        <v>5</v>
      </c>
      <c r="P90">
        <v>5</v>
      </c>
      <c r="Q90">
        <v>4</v>
      </c>
      <c r="R90">
        <v>5</v>
      </c>
      <c r="S90">
        <v>4</v>
      </c>
      <c r="T90">
        <v>5</v>
      </c>
      <c r="V90" s="4" t="b">
        <f>IF(COUNTIF(Season2Data[[#This Row],[Brian]:[Spencer]], Season2Data[[#This Row],[Best Guess]]) &gt; 1, TRUE, FALSE)</f>
        <v>0</v>
      </c>
    </row>
    <row r="91" spans="1:22" x14ac:dyDescent="0.35">
      <c r="A91" s="1">
        <v>45007</v>
      </c>
      <c r="B91" t="s">
        <v>4</v>
      </c>
      <c r="C91" t="s">
        <v>66</v>
      </c>
      <c r="D91" t="s">
        <v>377</v>
      </c>
      <c r="E91" t="s">
        <v>16</v>
      </c>
      <c r="G91">
        <v>360</v>
      </c>
      <c r="J91">
        <f t="shared" si="4"/>
        <v>3</v>
      </c>
      <c r="K91">
        <f t="shared" si="5"/>
        <v>3.5714285714285716</v>
      </c>
      <c r="M91">
        <v>4</v>
      </c>
      <c r="N91" s="2"/>
      <c r="O91">
        <v>3</v>
      </c>
      <c r="P91">
        <v>3</v>
      </c>
      <c r="Q91">
        <v>4</v>
      </c>
      <c r="R91">
        <v>4</v>
      </c>
      <c r="S91">
        <v>4</v>
      </c>
      <c r="T91">
        <v>3</v>
      </c>
      <c r="V91" s="4" t="b">
        <f>IF(COUNTIF(Season2Data[[#This Row],[Brian]:[Spencer]], Season2Data[[#This Row],[Best Guess]]) &gt; 1, TRUE, FALSE)</f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F19E-9A8A-41D9-9AA7-01A16FE65D4B}">
  <dimension ref="A1:AP101"/>
  <sheetViews>
    <sheetView topLeftCell="A69" workbookViewId="0">
      <selection activeCell="E93" sqref="E93"/>
    </sheetView>
  </sheetViews>
  <sheetFormatPr defaultRowHeight="14.5" x14ac:dyDescent="0.35"/>
  <cols>
    <col min="1" max="1" width="12.453125" customWidth="1"/>
    <col min="2" max="2" width="13.08984375" customWidth="1"/>
    <col min="3" max="3" width="13.81640625" customWidth="1"/>
    <col min="4" max="5" width="15.7265625" customWidth="1"/>
    <col min="6" max="6" width="10.26953125" customWidth="1"/>
    <col min="7" max="7" width="17.54296875" customWidth="1"/>
    <col min="8" max="8" width="15.6328125" customWidth="1"/>
    <col min="9" max="9" width="10.26953125" customWidth="1"/>
    <col min="10" max="10" width="11.90625" customWidth="1"/>
    <col min="11" max="11" width="15" customWidth="1"/>
    <col min="12" max="12" width="10.26953125" customWidth="1"/>
    <col min="15" max="15" width="10.453125" customWidth="1"/>
    <col min="16" max="16" width="9.453125" customWidth="1"/>
    <col min="17" max="18" width="9" customWidth="1"/>
    <col min="20" max="20" width="9.453125" customWidth="1"/>
    <col min="23" max="23" width="12.1796875" customWidth="1"/>
    <col min="24" max="24" width="13.08984375" customWidth="1"/>
    <col min="25" max="25" width="13.81640625" customWidth="1"/>
    <col min="26" max="26" width="15.7265625" customWidth="1"/>
    <col min="27" max="27" width="9" customWidth="1"/>
    <col min="28" max="28" width="10.26953125" customWidth="1"/>
    <col min="29" max="29" width="17.54296875" customWidth="1"/>
    <col min="30" max="31" width="10.26953125" customWidth="1"/>
    <col min="32" max="32" width="11.90625" customWidth="1"/>
    <col min="33" max="33" width="15" customWidth="1"/>
    <col min="34" max="34" width="10.26953125" customWidth="1"/>
    <col min="37" max="37" width="10.453125" customWidth="1"/>
    <col min="38" max="39" width="9" customWidth="1"/>
    <col min="40" max="40" width="9.453125" customWidth="1"/>
    <col min="42" max="42" width="9.453125" customWidth="1"/>
  </cols>
  <sheetData>
    <row r="1" spans="1:42" x14ac:dyDescent="0.35">
      <c r="A1" t="s">
        <v>0</v>
      </c>
      <c r="B1" t="s">
        <v>62</v>
      </c>
      <c r="C1" t="s">
        <v>44</v>
      </c>
      <c r="D1" t="s">
        <v>63</v>
      </c>
      <c r="E1" t="s">
        <v>34</v>
      </c>
      <c r="F1" t="s">
        <v>87</v>
      </c>
      <c r="G1" t="s">
        <v>79</v>
      </c>
      <c r="H1" t="s">
        <v>88</v>
      </c>
      <c r="I1" t="s">
        <v>89</v>
      </c>
      <c r="J1" t="s">
        <v>45</v>
      </c>
      <c r="K1" t="s">
        <v>41</v>
      </c>
      <c r="L1" t="s">
        <v>90</v>
      </c>
      <c r="M1" t="s">
        <v>4</v>
      </c>
      <c r="N1" t="s">
        <v>20</v>
      </c>
      <c r="O1" t="s">
        <v>6</v>
      </c>
      <c r="P1" t="s">
        <v>2</v>
      </c>
      <c r="Q1" t="s">
        <v>11</v>
      </c>
      <c r="R1" t="s">
        <v>13</v>
      </c>
      <c r="S1" t="s">
        <v>1</v>
      </c>
      <c r="T1" t="s">
        <v>16</v>
      </c>
    </row>
    <row r="2" spans="1:42" x14ac:dyDescent="0.35">
      <c r="A2" s="1">
        <v>44826</v>
      </c>
      <c r="B2" s="1" t="s">
        <v>11</v>
      </c>
      <c r="C2" t="s">
        <v>26</v>
      </c>
      <c r="D2" t="s">
        <v>56</v>
      </c>
      <c r="E2" t="s">
        <v>171</v>
      </c>
      <c r="G2">
        <v>86</v>
      </c>
      <c r="J2">
        <f t="shared" ref="J2:J33" si="0">MIN(M2:T2)</f>
        <v>3</v>
      </c>
      <c r="K2">
        <f t="shared" ref="K2:K33" si="1">AVERAGE(M2:T2)</f>
        <v>4.125</v>
      </c>
      <c r="M2">
        <v>6</v>
      </c>
      <c r="N2">
        <v>5</v>
      </c>
      <c r="O2">
        <v>3</v>
      </c>
      <c r="P2">
        <v>4</v>
      </c>
      <c r="Q2">
        <v>4</v>
      </c>
      <c r="R2">
        <v>4</v>
      </c>
      <c r="S2">
        <v>3</v>
      </c>
      <c r="T2">
        <v>4</v>
      </c>
      <c r="W2" t="s">
        <v>408</v>
      </c>
    </row>
    <row r="3" spans="1:42" x14ac:dyDescent="0.35">
      <c r="A3" s="1">
        <v>44827</v>
      </c>
      <c r="B3" s="1" t="s">
        <v>27</v>
      </c>
      <c r="C3" t="s">
        <v>25</v>
      </c>
      <c r="D3" t="s">
        <v>77</v>
      </c>
      <c r="E3" t="s">
        <v>4</v>
      </c>
      <c r="G3">
        <v>113</v>
      </c>
      <c r="J3">
        <f t="shared" si="0"/>
        <v>3</v>
      </c>
      <c r="K3">
        <f t="shared" si="1"/>
        <v>3.375</v>
      </c>
      <c r="M3">
        <v>3</v>
      </c>
      <c r="N3">
        <v>4</v>
      </c>
      <c r="O3">
        <v>3</v>
      </c>
      <c r="P3">
        <v>4</v>
      </c>
      <c r="Q3">
        <v>3</v>
      </c>
      <c r="R3">
        <v>4</v>
      </c>
      <c r="S3">
        <v>3</v>
      </c>
      <c r="T3">
        <v>3</v>
      </c>
      <c r="W3" s="10" t="s">
        <v>0</v>
      </c>
      <c r="X3" s="10" t="s">
        <v>62</v>
      </c>
      <c r="Y3" s="10" t="s">
        <v>44</v>
      </c>
      <c r="Z3" s="10" t="s">
        <v>63</v>
      </c>
      <c r="AA3" s="10" t="s">
        <v>34</v>
      </c>
      <c r="AB3" s="10" t="s">
        <v>87</v>
      </c>
      <c r="AC3" s="10" t="s">
        <v>79</v>
      </c>
      <c r="AD3" s="10" t="s">
        <v>88</v>
      </c>
      <c r="AE3" s="10" t="s">
        <v>89</v>
      </c>
      <c r="AF3" s="10" t="s">
        <v>45</v>
      </c>
      <c r="AG3" s="10" t="s">
        <v>41</v>
      </c>
      <c r="AH3" s="10" t="s">
        <v>90</v>
      </c>
      <c r="AI3" s="10" t="s">
        <v>4</v>
      </c>
      <c r="AJ3" s="10" t="s">
        <v>20</v>
      </c>
      <c r="AK3" s="10" t="s">
        <v>6</v>
      </c>
      <c r="AL3" s="10" t="s">
        <v>2</v>
      </c>
      <c r="AM3" s="10" t="s">
        <v>11</v>
      </c>
      <c r="AN3" s="10" t="s">
        <v>13</v>
      </c>
      <c r="AO3" s="10" t="s">
        <v>1</v>
      </c>
      <c r="AP3" s="10" t="s">
        <v>16</v>
      </c>
    </row>
    <row r="4" spans="1:42" x14ac:dyDescent="0.35">
      <c r="A4" s="1">
        <v>44828</v>
      </c>
      <c r="B4" s="1" t="s">
        <v>4</v>
      </c>
      <c r="C4" t="s">
        <v>23</v>
      </c>
      <c r="D4" t="s">
        <v>76</v>
      </c>
      <c r="E4" t="s">
        <v>16</v>
      </c>
      <c r="G4">
        <v>89</v>
      </c>
      <c r="J4">
        <f t="shared" si="0"/>
        <v>3</v>
      </c>
      <c r="K4">
        <f t="shared" si="1"/>
        <v>5.125</v>
      </c>
      <c r="M4">
        <v>4</v>
      </c>
      <c r="N4">
        <v>4</v>
      </c>
      <c r="O4">
        <v>6</v>
      </c>
      <c r="P4" s="3">
        <v>7</v>
      </c>
      <c r="Q4" s="3">
        <v>7</v>
      </c>
      <c r="R4">
        <v>6</v>
      </c>
      <c r="S4">
        <v>4</v>
      </c>
      <c r="T4">
        <v>3</v>
      </c>
      <c r="W4" s="7">
        <v>44826</v>
      </c>
      <c r="X4" s="7" t="s">
        <v>11</v>
      </c>
      <c r="Y4" s="4" t="s">
        <v>26</v>
      </c>
      <c r="Z4" s="4" t="s">
        <v>56</v>
      </c>
      <c r="AA4" s="4" t="s">
        <v>171</v>
      </c>
      <c r="AB4" s="4"/>
      <c r="AC4" s="4">
        <v>86</v>
      </c>
      <c r="AD4" s="4"/>
      <c r="AE4" s="4"/>
      <c r="AF4" s="4">
        <f t="shared" ref="AF4:AF34" si="2">MIN(AI4:AP4)</f>
        <v>3</v>
      </c>
      <c r="AG4" s="4">
        <f t="shared" ref="AG4:AG34" si="3">AVERAGE(AI4:AP4)</f>
        <v>4.125</v>
      </c>
      <c r="AH4" s="4"/>
      <c r="AI4" s="4">
        <v>6</v>
      </c>
      <c r="AJ4" s="4">
        <v>5</v>
      </c>
      <c r="AK4" s="4">
        <v>3</v>
      </c>
      <c r="AL4" s="4">
        <v>4</v>
      </c>
      <c r="AM4" s="4">
        <v>4</v>
      </c>
      <c r="AN4" s="4">
        <v>4</v>
      </c>
      <c r="AO4" s="4">
        <v>3</v>
      </c>
      <c r="AP4" s="4">
        <v>4</v>
      </c>
    </row>
    <row r="5" spans="1:42" x14ac:dyDescent="0.35">
      <c r="A5" s="1">
        <v>44829</v>
      </c>
      <c r="B5" s="1" t="s">
        <v>16</v>
      </c>
      <c r="C5" t="s">
        <v>24</v>
      </c>
      <c r="D5" t="s">
        <v>75</v>
      </c>
      <c r="E5" t="s">
        <v>16</v>
      </c>
      <c r="G5">
        <v>530</v>
      </c>
      <c r="J5">
        <f t="shared" si="0"/>
        <v>3</v>
      </c>
      <c r="K5">
        <f t="shared" si="1"/>
        <v>4.25</v>
      </c>
      <c r="M5">
        <v>3</v>
      </c>
      <c r="N5">
        <v>4</v>
      </c>
      <c r="O5">
        <v>5</v>
      </c>
      <c r="P5">
        <v>4</v>
      </c>
      <c r="Q5">
        <v>3</v>
      </c>
      <c r="R5">
        <v>6</v>
      </c>
      <c r="S5">
        <v>6</v>
      </c>
      <c r="T5">
        <v>3</v>
      </c>
      <c r="W5" s="19">
        <v>44827</v>
      </c>
      <c r="X5" s="19" t="s">
        <v>27</v>
      </c>
      <c r="Y5" s="15" t="s">
        <v>25</v>
      </c>
      <c r="Z5" s="15" t="s">
        <v>77</v>
      </c>
      <c r="AA5" s="15" t="s">
        <v>4</v>
      </c>
      <c r="AB5" s="15"/>
      <c r="AC5" s="15">
        <v>113</v>
      </c>
      <c r="AD5" s="15"/>
      <c r="AE5" s="15"/>
      <c r="AF5" s="15">
        <f t="shared" si="2"/>
        <v>3</v>
      </c>
      <c r="AG5" s="15">
        <f t="shared" si="3"/>
        <v>3.375</v>
      </c>
      <c r="AH5" s="15"/>
      <c r="AI5" s="15">
        <v>3</v>
      </c>
      <c r="AJ5" s="15">
        <v>4</v>
      </c>
      <c r="AK5" s="15">
        <v>3</v>
      </c>
      <c r="AL5" s="15">
        <v>4</v>
      </c>
      <c r="AM5" s="15">
        <v>3</v>
      </c>
      <c r="AN5" s="15">
        <v>4</v>
      </c>
      <c r="AO5" s="15">
        <v>3</v>
      </c>
      <c r="AP5" s="15">
        <v>3</v>
      </c>
    </row>
    <row r="6" spans="1:42" x14ac:dyDescent="0.35">
      <c r="A6" s="1">
        <v>44830</v>
      </c>
      <c r="B6" s="1" t="s">
        <v>16</v>
      </c>
      <c r="C6" t="s">
        <v>28</v>
      </c>
      <c r="D6" t="s">
        <v>57</v>
      </c>
      <c r="E6" t="s">
        <v>11</v>
      </c>
      <c r="G6">
        <v>5547</v>
      </c>
      <c r="J6">
        <f t="shared" si="0"/>
        <v>3</v>
      </c>
      <c r="K6">
        <f t="shared" si="1"/>
        <v>4.375</v>
      </c>
      <c r="M6">
        <v>4</v>
      </c>
      <c r="N6">
        <v>4</v>
      </c>
      <c r="O6">
        <v>5</v>
      </c>
      <c r="P6">
        <v>6</v>
      </c>
      <c r="Q6">
        <v>3</v>
      </c>
      <c r="R6">
        <v>4</v>
      </c>
      <c r="S6">
        <v>5</v>
      </c>
      <c r="T6">
        <v>4</v>
      </c>
      <c r="W6" s="7">
        <v>44828</v>
      </c>
      <c r="X6" s="7" t="s">
        <v>4</v>
      </c>
      <c r="Y6" s="4" t="s">
        <v>23</v>
      </c>
      <c r="Z6" s="4" t="s">
        <v>76</v>
      </c>
      <c r="AA6" s="4" t="s">
        <v>16</v>
      </c>
      <c r="AB6" s="4"/>
      <c r="AC6" s="4">
        <v>89</v>
      </c>
      <c r="AD6" s="4"/>
      <c r="AE6" s="4"/>
      <c r="AF6" s="4">
        <f t="shared" si="2"/>
        <v>3</v>
      </c>
      <c r="AG6" s="4">
        <f t="shared" si="3"/>
        <v>5.125</v>
      </c>
      <c r="AH6" s="4"/>
      <c r="AI6" s="4">
        <v>4</v>
      </c>
      <c r="AJ6" s="4">
        <v>4</v>
      </c>
      <c r="AK6" s="4">
        <v>6</v>
      </c>
      <c r="AL6" s="20">
        <v>7</v>
      </c>
      <c r="AM6" s="20">
        <v>7</v>
      </c>
      <c r="AN6" s="4">
        <v>6</v>
      </c>
      <c r="AO6" s="4">
        <v>4</v>
      </c>
      <c r="AP6" s="4">
        <v>3</v>
      </c>
    </row>
    <row r="7" spans="1:42" x14ac:dyDescent="0.35">
      <c r="A7" s="1">
        <v>44831</v>
      </c>
      <c r="B7" s="1" t="s">
        <v>11</v>
      </c>
      <c r="C7" t="s">
        <v>29</v>
      </c>
      <c r="D7" t="s">
        <v>58</v>
      </c>
      <c r="E7" t="s">
        <v>11</v>
      </c>
      <c r="G7">
        <v>1814</v>
      </c>
      <c r="J7">
        <f t="shared" si="0"/>
        <v>3</v>
      </c>
      <c r="K7">
        <f t="shared" si="1"/>
        <v>4.375</v>
      </c>
      <c r="M7">
        <v>4</v>
      </c>
      <c r="N7">
        <v>4</v>
      </c>
      <c r="O7">
        <v>4</v>
      </c>
      <c r="P7">
        <v>5</v>
      </c>
      <c r="Q7">
        <v>3</v>
      </c>
      <c r="R7">
        <v>5</v>
      </c>
      <c r="S7">
        <v>6</v>
      </c>
      <c r="T7">
        <v>4</v>
      </c>
      <c r="W7" s="19">
        <v>44829</v>
      </c>
      <c r="X7" s="19" t="s">
        <v>16</v>
      </c>
      <c r="Y7" s="15" t="s">
        <v>24</v>
      </c>
      <c r="Z7" s="15" t="s">
        <v>75</v>
      </c>
      <c r="AA7" s="15" t="s">
        <v>16</v>
      </c>
      <c r="AB7" s="15"/>
      <c r="AC7" s="15">
        <v>530</v>
      </c>
      <c r="AD7" s="15"/>
      <c r="AE7" s="15"/>
      <c r="AF7" s="15">
        <f t="shared" si="2"/>
        <v>3</v>
      </c>
      <c r="AG7" s="15">
        <f t="shared" si="3"/>
        <v>4.25</v>
      </c>
      <c r="AH7" s="15"/>
      <c r="AI7" s="15">
        <v>3</v>
      </c>
      <c r="AJ7" s="15">
        <v>4</v>
      </c>
      <c r="AK7" s="15">
        <v>5</v>
      </c>
      <c r="AL7" s="15">
        <v>4</v>
      </c>
      <c r="AM7" s="15">
        <v>3</v>
      </c>
      <c r="AN7" s="15">
        <v>6</v>
      </c>
      <c r="AO7" s="15">
        <v>6</v>
      </c>
      <c r="AP7" s="15">
        <v>3</v>
      </c>
    </row>
    <row r="8" spans="1:42" x14ac:dyDescent="0.35">
      <c r="A8" s="1">
        <v>44832</v>
      </c>
      <c r="B8" s="1" t="s">
        <v>11</v>
      </c>
      <c r="C8" t="s">
        <v>30</v>
      </c>
      <c r="D8" t="s">
        <v>59</v>
      </c>
      <c r="E8" t="s">
        <v>4</v>
      </c>
      <c r="G8">
        <v>43</v>
      </c>
      <c r="J8">
        <f t="shared" si="0"/>
        <v>3</v>
      </c>
      <c r="K8">
        <f t="shared" si="1"/>
        <v>3.125</v>
      </c>
      <c r="M8">
        <v>3</v>
      </c>
      <c r="N8">
        <v>3</v>
      </c>
      <c r="O8">
        <v>3</v>
      </c>
      <c r="P8">
        <v>3</v>
      </c>
      <c r="Q8">
        <v>3</v>
      </c>
      <c r="R8">
        <v>4</v>
      </c>
      <c r="S8">
        <v>3</v>
      </c>
      <c r="T8">
        <v>3</v>
      </c>
      <c r="W8" s="7">
        <v>44830</v>
      </c>
      <c r="X8" s="7" t="s">
        <v>16</v>
      </c>
      <c r="Y8" s="4" t="s">
        <v>28</v>
      </c>
      <c r="Z8" s="4" t="s">
        <v>57</v>
      </c>
      <c r="AA8" s="4" t="s">
        <v>11</v>
      </c>
      <c r="AB8" s="4"/>
      <c r="AC8" s="4">
        <v>5547</v>
      </c>
      <c r="AD8" s="4"/>
      <c r="AE8" s="4"/>
      <c r="AF8" s="4">
        <f t="shared" si="2"/>
        <v>3</v>
      </c>
      <c r="AG8" s="4">
        <f t="shared" si="3"/>
        <v>4.375</v>
      </c>
      <c r="AH8" s="4"/>
      <c r="AI8" s="4">
        <v>4</v>
      </c>
      <c r="AJ8" s="4">
        <v>4</v>
      </c>
      <c r="AK8" s="4">
        <v>5</v>
      </c>
      <c r="AL8" s="4">
        <v>6</v>
      </c>
      <c r="AM8" s="4">
        <v>3</v>
      </c>
      <c r="AN8" s="4">
        <v>4</v>
      </c>
      <c r="AO8" s="4">
        <v>5</v>
      </c>
      <c r="AP8" s="4">
        <v>4</v>
      </c>
    </row>
    <row r="9" spans="1:42" x14ac:dyDescent="0.35">
      <c r="A9" s="1">
        <v>44833</v>
      </c>
      <c r="B9" s="1" t="s">
        <v>4</v>
      </c>
      <c r="C9" t="s">
        <v>31</v>
      </c>
      <c r="D9" t="s">
        <v>60</v>
      </c>
      <c r="E9" t="s">
        <v>16</v>
      </c>
      <c r="G9">
        <v>190</v>
      </c>
      <c r="J9">
        <f t="shared" si="0"/>
        <v>2</v>
      </c>
      <c r="K9">
        <f t="shared" si="1"/>
        <v>4.375</v>
      </c>
      <c r="M9">
        <v>4</v>
      </c>
      <c r="N9" s="2">
        <v>5</v>
      </c>
      <c r="O9">
        <v>4</v>
      </c>
      <c r="P9">
        <v>5</v>
      </c>
      <c r="Q9">
        <v>5</v>
      </c>
      <c r="R9">
        <v>3</v>
      </c>
      <c r="S9" s="3">
        <v>7</v>
      </c>
      <c r="T9">
        <v>2</v>
      </c>
      <c r="W9" s="19">
        <v>44831</v>
      </c>
      <c r="X9" s="19" t="s">
        <v>11</v>
      </c>
      <c r="Y9" s="15" t="s">
        <v>29</v>
      </c>
      <c r="Z9" s="15" t="s">
        <v>58</v>
      </c>
      <c r="AA9" s="15" t="s">
        <v>11</v>
      </c>
      <c r="AB9" s="15"/>
      <c r="AC9" s="15">
        <v>1814</v>
      </c>
      <c r="AD9" s="15"/>
      <c r="AE9" s="15"/>
      <c r="AF9" s="15">
        <f t="shared" si="2"/>
        <v>3</v>
      </c>
      <c r="AG9" s="15">
        <f t="shared" si="3"/>
        <v>4.375</v>
      </c>
      <c r="AH9" s="15"/>
      <c r="AI9" s="15">
        <v>4</v>
      </c>
      <c r="AJ9" s="15">
        <v>4</v>
      </c>
      <c r="AK9" s="15">
        <v>4</v>
      </c>
      <c r="AL9" s="15">
        <v>5</v>
      </c>
      <c r="AM9" s="15">
        <v>3</v>
      </c>
      <c r="AN9" s="15">
        <v>5</v>
      </c>
      <c r="AO9" s="15">
        <v>6</v>
      </c>
      <c r="AP9" s="15">
        <v>4</v>
      </c>
    </row>
    <row r="10" spans="1:42" x14ac:dyDescent="0.35">
      <c r="A10" s="1">
        <v>44834</v>
      </c>
      <c r="B10" s="1" t="s">
        <v>16</v>
      </c>
      <c r="C10" t="s">
        <v>32</v>
      </c>
      <c r="D10" t="s">
        <v>55</v>
      </c>
      <c r="E10" t="s">
        <v>2</v>
      </c>
      <c r="G10">
        <v>1929</v>
      </c>
      <c r="J10">
        <f t="shared" si="0"/>
        <v>3</v>
      </c>
      <c r="K10">
        <f t="shared" si="1"/>
        <v>3.625</v>
      </c>
      <c r="M10">
        <v>3</v>
      </c>
      <c r="N10">
        <v>4</v>
      </c>
      <c r="O10" s="2">
        <v>4</v>
      </c>
      <c r="P10">
        <v>3</v>
      </c>
      <c r="Q10">
        <v>4</v>
      </c>
      <c r="R10">
        <v>4</v>
      </c>
      <c r="S10">
        <v>3</v>
      </c>
      <c r="T10">
        <v>4</v>
      </c>
      <c r="W10" s="7">
        <v>44832</v>
      </c>
      <c r="X10" s="7" t="s">
        <v>11</v>
      </c>
      <c r="Y10" s="4" t="s">
        <v>30</v>
      </c>
      <c r="Z10" s="4" t="s">
        <v>59</v>
      </c>
      <c r="AA10" s="4" t="s">
        <v>4</v>
      </c>
      <c r="AB10" s="4"/>
      <c r="AC10" s="4">
        <v>43</v>
      </c>
      <c r="AD10" s="4"/>
      <c r="AE10" s="4"/>
      <c r="AF10" s="4">
        <f t="shared" si="2"/>
        <v>3</v>
      </c>
      <c r="AG10" s="4">
        <f t="shared" si="3"/>
        <v>3.125</v>
      </c>
      <c r="AH10" s="4"/>
      <c r="AI10" s="4">
        <v>3</v>
      </c>
      <c r="AJ10" s="4">
        <v>3</v>
      </c>
      <c r="AK10" s="4">
        <v>3</v>
      </c>
      <c r="AL10" s="4">
        <v>3</v>
      </c>
      <c r="AM10" s="4">
        <v>3</v>
      </c>
      <c r="AN10" s="4">
        <v>4</v>
      </c>
      <c r="AO10" s="4">
        <v>3</v>
      </c>
      <c r="AP10" s="4">
        <v>3</v>
      </c>
    </row>
    <row r="11" spans="1:42" x14ac:dyDescent="0.35">
      <c r="A11" s="1">
        <v>44835</v>
      </c>
      <c r="B11" s="1" t="s">
        <v>2</v>
      </c>
      <c r="C11" t="s">
        <v>22</v>
      </c>
      <c r="D11" t="s">
        <v>74</v>
      </c>
      <c r="E11" t="s">
        <v>20</v>
      </c>
      <c r="G11">
        <v>69</v>
      </c>
      <c r="J11">
        <f t="shared" si="0"/>
        <v>3</v>
      </c>
      <c r="K11">
        <f t="shared" si="1"/>
        <v>4</v>
      </c>
      <c r="M11">
        <v>4</v>
      </c>
      <c r="N11">
        <v>3</v>
      </c>
      <c r="O11">
        <v>4</v>
      </c>
      <c r="P11">
        <v>3</v>
      </c>
      <c r="Q11">
        <v>5</v>
      </c>
      <c r="R11">
        <v>4</v>
      </c>
      <c r="S11">
        <v>5</v>
      </c>
      <c r="T11">
        <v>4</v>
      </c>
      <c r="W11" s="19">
        <v>44833</v>
      </c>
      <c r="X11" s="19" t="s">
        <v>4</v>
      </c>
      <c r="Y11" s="15" t="s">
        <v>31</v>
      </c>
      <c r="Z11" s="15" t="s">
        <v>60</v>
      </c>
      <c r="AA11" s="15" t="s">
        <v>16</v>
      </c>
      <c r="AB11" s="15"/>
      <c r="AC11" s="15">
        <v>190</v>
      </c>
      <c r="AD11" s="15"/>
      <c r="AE11" s="15"/>
      <c r="AF11" s="15">
        <f t="shared" si="2"/>
        <v>2</v>
      </c>
      <c r="AG11" s="15">
        <f t="shared" si="3"/>
        <v>4.375</v>
      </c>
      <c r="AH11" s="15"/>
      <c r="AI11" s="15">
        <v>4</v>
      </c>
      <c r="AJ11" s="21">
        <v>5</v>
      </c>
      <c r="AK11" s="15">
        <v>4</v>
      </c>
      <c r="AL11" s="15">
        <v>5</v>
      </c>
      <c r="AM11" s="15">
        <v>5</v>
      </c>
      <c r="AN11" s="15">
        <v>3</v>
      </c>
      <c r="AO11" s="20">
        <v>7</v>
      </c>
      <c r="AP11" s="15">
        <v>2</v>
      </c>
    </row>
    <row r="12" spans="1:42" x14ac:dyDescent="0.35">
      <c r="A12" s="1">
        <v>44836</v>
      </c>
      <c r="B12" s="1" t="s">
        <v>20</v>
      </c>
      <c r="C12" t="s">
        <v>21</v>
      </c>
      <c r="D12" t="s">
        <v>73</v>
      </c>
      <c r="E12" t="s">
        <v>4</v>
      </c>
      <c r="G12">
        <v>29</v>
      </c>
      <c r="J12">
        <f t="shared" si="0"/>
        <v>3</v>
      </c>
      <c r="K12">
        <f t="shared" si="1"/>
        <v>4.25</v>
      </c>
      <c r="M12">
        <v>3</v>
      </c>
      <c r="N12">
        <v>3</v>
      </c>
      <c r="O12">
        <v>5</v>
      </c>
      <c r="P12">
        <v>4</v>
      </c>
      <c r="Q12">
        <v>5</v>
      </c>
      <c r="R12">
        <v>5</v>
      </c>
      <c r="S12">
        <v>4</v>
      </c>
      <c r="T12">
        <v>5</v>
      </c>
      <c r="W12" s="7">
        <v>44834</v>
      </c>
      <c r="X12" s="7" t="s">
        <v>16</v>
      </c>
      <c r="Y12" s="4" t="s">
        <v>32</v>
      </c>
      <c r="Z12" s="4" t="s">
        <v>55</v>
      </c>
      <c r="AA12" s="4" t="s">
        <v>2</v>
      </c>
      <c r="AB12" s="4"/>
      <c r="AC12" s="4">
        <v>1929</v>
      </c>
      <c r="AD12" s="4"/>
      <c r="AE12" s="4"/>
      <c r="AF12" s="4">
        <f t="shared" si="2"/>
        <v>3</v>
      </c>
      <c r="AG12" s="4">
        <f t="shared" si="3"/>
        <v>3.625</v>
      </c>
      <c r="AH12" s="4"/>
      <c r="AI12" s="4">
        <v>3</v>
      </c>
      <c r="AJ12" s="4">
        <v>4</v>
      </c>
      <c r="AK12" s="21">
        <v>4</v>
      </c>
      <c r="AL12" s="4">
        <v>3</v>
      </c>
      <c r="AM12" s="4">
        <v>4</v>
      </c>
      <c r="AN12" s="4">
        <v>4</v>
      </c>
      <c r="AO12" s="4">
        <v>3</v>
      </c>
      <c r="AP12" s="4">
        <v>4</v>
      </c>
    </row>
    <row r="13" spans="1:42" x14ac:dyDescent="0.35">
      <c r="A13" s="1">
        <v>44837</v>
      </c>
      <c r="B13" s="1" t="s">
        <v>4</v>
      </c>
      <c r="C13" t="s">
        <v>19</v>
      </c>
      <c r="D13" t="s">
        <v>54</v>
      </c>
      <c r="E13" t="s">
        <v>16</v>
      </c>
      <c r="G13">
        <v>2397</v>
      </c>
      <c r="J13">
        <f t="shared" si="0"/>
        <v>3</v>
      </c>
      <c r="K13">
        <f t="shared" si="1"/>
        <v>4</v>
      </c>
      <c r="M13">
        <v>5</v>
      </c>
      <c r="N13">
        <v>5</v>
      </c>
      <c r="O13">
        <v>4</v>
      </c>
      <c r="P13">
        <v>4</v>
      </c>
      <c r="Q13">
        <v>5</v>
      </c>
      <c r="R13">
        <v>3</v>
      </c>
      <c r="S13">
        <v>3</v>
      </c>
      <c r="T13">
        <v>3</v>
      </c>
      <c r="W13" s="19">
        <v>44835</v>
      </c>
      <c r="X13" s="19" t="s">
        <v>2</v>
      </c>
      <c r="Y13" s="15" t="s">
        <v>22</v>
      </c>
      <c r="Z13" s="15" t="s">
        <v>74</v>
      </c>
      <c r="AA13" s="15" t="s">
        <v>20</v>
      </c>
      <c r="AB13" s="15"/>
      <c r="AC13" s="15">
        <v>69</v>
      </c>
      <c r="AD13" s="15"/>
      <c r="AE13" s="15"/>
      <c r="AF13" s="15">
        <f t="shared" si="2"/>
        <v>3</v>
      </c>
      <c r="AG13" s="15">
        <f t="shared" si="3"/>
        <v>4</v>
      </c>
      <c r="AH13" s="15"/>
      <c r="AI13" s="15">
        <v>4</v>
      </c>
      <c r="AJ13" s="15">
        <v>3</v>
      </c>
      <c r="AK13" s="15">
        <v>4</v>
      </c>
      <c r="AL13" s="15">
        <v>3</v>
      </c>
      <c r="AM13" s="15">
        <v>5</v>
      </c>
      <c r="AN13" s="15">
        <v>4</v>
      </c>
      <c r="AO13" s="15">
        <v>5</v>
      </c>
      <c r="AP13" s="15">
        <v>4</v>
      </c>
    </row>
    <row r="14" spans="1:42" x14ac:dyDescent="0.35">
      <c r="A14" s="1">
        <v>44838</v>
      </c>
      <c r="B14" s="1" t="s">
        <v>16</v>
      </c>
      <c r="C14" t="s">
        <v>18</v>
      </c>
      <c r="D14" t="s">
        <v>72</v>
      </c>
      <c r="E14" t="s">
        <v>16</v>
      </c>
      <c r="G14">
        <v>60</v>
      </c>
      <c r="J14">
        <f t="shared" si="0"/>
        <v>4</v>
      </c>
      <c r="K14">
        <f t="shared" si="1"/>
        <v>4.875</v>
      </c>
      <c r="M14">
        <v>6</v>
      </c>
      <c r="N14">
        <v>5</v>
      </c>
      <c r="O14" s="2">
        <v>6</v>
      </c>
      <c r="P14">
        <v>4</v>
      </c>
      <c r="Q14">
        <v>4</v>
      </c>
      <c r="R14">
        <v>5</v>
      </c>
      <c r="S14">
        <v>5</v>
      </c>
      <c r="T14">
        <v>4</v>
      </c>
      <c r="W14" s="7">
        <v>44836</v>
      </c>
      <c r="X14" s="7" t="s">
        <v>20</v>
      </c>
      <c r="Y14" s="4" t="s">
        <v>21</v>
      </c>
      <c r="Z14" s="4" t="s">
        <v>73</v>
      </c>
      <c r="AA14" s="4" t="s">
        <v>4</v>
      </c>
      <c r="AB14" s="4"/>
      <c r="AC14" s="4">
        <v>29</v>
      </c>
      <c r="AD14" s="4"/>
      <c r="AE14" s="4"/>
      <c r="AF14" s="4">
        <f t="shared" si="2"/>
        <v>3</v>
      </c>
      <c r="AG14" s="4">
        <f t="shared" si="3"/>
        <v>4.25</v>
      </c>
      <c r="AH14" s="4"/>
      <c r="AI14" s="4">
        <v>3</v>
      </c>
      <c r="AJ14" s="4">
        <v>3</v>
      </c>
      <c r="AK14" s="4">
        <v>5</v>
      </c>
      <c r="AL14" s="4">
        <v>4</v>
      </c>
      <c r="AM14" s="4">
        <v>5</v>
      </c>
      <c r="AN14" s="4">
        <v>5</v>
      </c>
      <c r="AO14" s="4">
        <v>4</v>
      </c>
      <c r="AP14" s="4">
        <v>5</v>
      </c>
    </row>
    <row r="15" spans="1:42" x14ac:dyDescent="0.35">
      <c r="A15" s="1">
        <v>44839</v>
      </c>
      <c r="B15" s="1" t="s">
        <v>16</v>
      </c>
      <c r="C15" t="s">
        <v>17</v>
      </c>
      <c r="D15" t="s">
        <v>71</v>
      </c>
      <c r="E15" t="s">
        <v>6</v>
      </c>
      <c r="G15">
        <v>631</v>
      </c>
      <c r="J15">
        <f t="shared" si="0"/>
        <v>4</v>
      </c>
      <c r="K15">
        <f t="shared" si="1"/>
        <v>4.625</v>
      </c>
      <c r="M15">
        <v>5</v>
      </c>
      <c r="N15" s="2">
        <v>5</v>
      </c>
      <c r="O15">
        <v>4</v>
      </c>
      <c r="P15">
        <v>4</v>
      </c>
      <c r="Q15">
        <v>4</v>
      </c>
      <c r="R15">
        <v>5</v>
      </c>
      <c r="S15">
        <v>5</v>
      </c>
      <c r="T15">
        <v>5</v>
      </c>
      <c r="W15" s="19">
        <v>44837</v>
      </c>
      <c r="X15" s="19" t="s">
        <v>4</v>
      </c>
      <c r="Y15" s="15" t="s">
        <v>19</v>
      </c>
      <c r="Z15" s="15" t="s">
        <v>54</v>
      </c>
      <c r="AA15" s="15" t="s">
        <v>16</v>
      </c>
      <c r="AB15" s="15"/>
      <c r="AC15" s="15">
        <v>2397</v>
      </c>
      <c r="AD15" s="15"/>
      <c r="AE15" s="15"/>
      <c r="AF15" s="15">
        <f t="shared" si="2"/>
        <v>3</v>
      </c>
      <c r="AG15" s="15">
        <f t="shared" si="3"/>
        <v>4</v>
      </c>
      <c r="AH15" s="15"/>
      <c r="AI15" s="15">
        <v>5</v>
      </c>
      <c r="AJ15" s="15">
        <v>5</v>
      </c>
      <c r="AK15" s="15">
        <v>4</v>
      </c>
      <c r="AL15" s="15">
        <v>4</v>
      </c>
      <c r="AM15" s="15">
        <v>5</v>
      </c>
      <c r="AN15" s="15">
        <v>3</v>
      </c>
      <c r="AO15" s="15">
        <v>3</v>
      </c>
      <c r="AP15" s="15">
        <v>3</v>
      </c>
    </row>
    <row r="16" spans="1:42" x14ac:dyDescent="0.35">
      <c r="A16" s="1">
        <v>44840</v>
      </c>
      <c r="B16" s="1" t="s">
        <v>6</v>
      </c>
      <c r="C16" t="s">
        <v>15</v>
      </c>
      <c r="D16" t="s">
        <v>53</v>
      </c>
      <c r="E16" t="s">
        <v>13</v>
      </c>
      <c r="G16">
        <v>1013</v>
      </c>
      <c r="J16">
        <f t="shared" si="0"/>
        <v>3</v>
      </c>
      <c r="K16">
        <f t="shared" si="1"/>
        <v>4.25</v>
      </c>
      <c r="M16">
        <v>4</v>
      </c>
      <c r="N16">
        <v>5</v>
      </c>
      <c r="O16">
        <v>4</v>
      </c>
      <c r="P16">
        <v>4</v>
      </c>
      <c r="Q16">
        <v>4</v>
      </c>
      <c r="R16">
        <v>3</v>
      </c>
      <c r="S16">
        <v>5</v>
      </c>
      <c r="T16">
        <v>5</v>
      </c>
      <c r="W16" s="7">
        <v>44838</v>
      </c>
      <c r="X16" s="7" t="s">
        <v>16</v>
      </c>
      <c r="Y16" s="4" t="s">
        <v>18</v>
      </c>
      <c r="Z16" s="4" t="s">
        <v>72</v>
      </c>
      <c r="AA16" s="4" t="s">
        <v>16</v>
      </c>
      <c r="AB16" s="4"/>
      <c r="AC16" s="4">
        <v>60</v>
      </c>
      <c r="AD16" s="4"/>
      <c r="AE16" s="4"/>
      <c r="AF16" s="4">
        <f t="shared" si="2"/>
        <v>4</v>
      </c>
      <c r="AG16" s="4">
        <f t="shared" si="3"/>
        <v>4.875</v>
      </c>
      <c r="AH16" s="4"/>
      <c r="AI16" s="4">
        <v>6</v>
      </c>
      <c r="AJ16" s="4">
        <v>5</v>
      </c>
      <c r="AK16" s="21">
        <v>6</v>
      </c>
      <c r="AL16" s="4">
        <v>4</v>
      </c>
      <c r="AM16" s="4">
        <v>4</v>
      </c>
      <c r="AN16" s="4">
        <v>5</v>
      </c>
      <c r="AO16" s="4">
        <v>5</v>
      </c>
      <c r="AP16" s="4">
        <v>4</v>
      </c>
    </row>
    <row r="17" spans="1:42" x14ac:dyDescent="0.35">
      <c r="A17" s="1">
        <v>44841</v>
      </c>
      <c r="B17" s="1" t="s">
        <v>13</v>
      </c>
      <c r="C17" t="s">
        <v>14</v>
      </c>
      <c r="D17" t="s">
        <v>70</v>
      </c>
      <c r="E17" t="s">
        <v>11</v>
      </c>
      <c r="G17">
        <v>2280</v>
      </c>
      <c r="J17">
        <f t="shared" si="0"/>
        <v>3</v>
      </c>
      <c r="K17">
        <f t="shared" si="1"/>
        <v>4.5</v>
      </c>
      <c r="M17">
        <v>6</v>
      </c>
      <c r="N17">
        <v>6</v>
      </c>
      <c r="O17">
        <v>3</v>
      </c>
      <c r="P17">
        <v>3</v>
      </c>
      <c r="Q17">
        <v>3</v>
      </c>
      <c r="R17">
        <v>5</v>
      </c>
      <c r="S17">
        <v>5</v>
      </c>
      <c r="T17">
        <v>5</v>
      </c>
      <c r="W17" s="19">
        <v>44839</v>
      </c>
      <c r="X17" s="19" t="s">
        <v>16</v>
      </c>
      <c r="Y17" s="15" t="s">
        <v>17</v>
      </c>
      <c r="Z17" s="15" t="s">
        <v>71</v>
      </c>
      <c r="AA17" s="15" t="s">
        <v>6</v>
      </c>
      <c r="AB17" s="15"/>
      <c r="AC17" s="15">
        <v>631</v>
      </c>
      <c r="AD17" s="15"/>
      <c r="AE17" s="15"/>
      <c r="AF17" s="15">
        <f t="shared" si="2"/>
        <v>4</v>
      </c>
      <c r="AG17" s="15">
        <f t="shared" si="3"/>
        <v>4.625</v>
      </c>
      <c r="AH17" s="15"/>
      <c r="AI17" s="15">
        <v>5</v>
      </c>
      <c r="AJ17" s="21">
        <v>5</v>
      </c>
      <c r="AK17" s="15">
        <v>4</v>
      </c>
      <c r="AL17" s="15">
        <v>4</v>
      </c>
      <c r="AM17" s="15">
        <v>4</v>
      </c>
      <c r="AN17" s="15">
        <v>5</v>
      </c>
      <c r="AO17" s="15">
        <v>5</v>
      </c>
      <c r="AP17" s="15">
        <v>5</v>
      </c>
    </row>
    <row r="18" spans="1:42" x14ac:dyDescent="0.35">
      <c r="A18" s="1">
        <v>44842</v>
      </c>
      <c r="B18" s="1" t="s">
        <v>11</v>
      </c>
      <c r="C18" t="s">
        <v>12</v>
      </c>
      <c r="D18" t="s">
        <v>69</v>
      </c>
      <c r="E18" t="s">
        <v>4</v>
      </c>
      <c r="G18">
        <v>926</v>
      </c>
      <c r="J18">
        <f t="shared" si="0"/>
        <v>3</v>
      </c>
      <c r="K18">
        <f t="shared" si="1"/>
        <v>4.25</v>
      </c>
      <c r="M18">
        <v>3</v>
      </c>
      <c r="N18">
        <v>4</v>
      </c>
      <c r="O18">
        <v>5</v>
      </c>
      <c r="P18">
        <v>4</v>
      </c>
      <c r="Q18">
        <v>4</v>
      </c>
      <c r="R18">
        <v>5</v>
      </c>
      <c r="S18" s="2">
        <v>5</v>
      </c>
      <c r="T18">
        <v>4</v>
      </c>
      <c r="W18" s="7">
        <v>44840</v>
      </c>
      <c r="X18" s="7" t="s">
        <v>6</v>
      </c>
      <c r="Y18" s="4" t="s">
        <v>15</v>
      </c>
      <c r="Z18" s="4" t="s">
        <v>53</v>
      </c>
      <c r="AA18" s="4" t="s">
        <v>13</v>
      </c>
      <c r="AB18" s="4"/>
      <c r="AC18" s="4">
        <v>1013</v>
      </c>
      <c r="AD18" s="4"/>
      <c r="AE18" s="4"/>
      <c r="AF18" s="4">
        <f t="shared" si="2"/>
        <v>3</v>
      </c>
      <c r="AG18" s="4">
        <f t="shared" si="3"/>
        <v>4.25</v>
      </c>
      <c r="AH18" s="4"/>
      <c r="AI18" s="4">
        <v>4</v>
      </c>
      <c r="AJ18" s="4">
        <v>5</v>
      </c>
      <c r="AK18" s="4">
        <v>4</v>
      </c>
      <c r="AL18" s="4">
        <v>4</v>
      </c>
      <c r="AM18" s="4">
        <v>4</v>
      </c>
      <c r="AN18" s="4">
        <v>3</v>
      </c>
      <c r="AO18" s="4">
        <v>5</v>
      </c>
      <c r="AP18" s="4">
        <v>5</v>
      </c>
    </row>
    <row r="19" spans="1:42" x14ac:dyDescent="0.35">
      <c r="A19" s="1">
        <v>44843</v>
      </c>
      <c r="B19" s="1" t="s">
        <v>4</v>
      </c>
      <c r="C19" t="s">
        <v>10</v>
      </c>
      <c r="D19" t="s">
        <v>52</v>
      </c>
      <c r="E19" t="s">
        <v>2</v>
      </c>
      <c r="G19">
        <v>206</v>
      </c>
      <c r="J19">
        <f t="shared" si="0"/>
        <v>3</v>
      </c>
      <c r="K19">
        <f t="shared" si="1"/>
        <v>4.5</v>
      </c>
      <c r="M19">
        <v>5</v>
      </c>
      <c r="N19">
        <v>4</v>
      </c>
      <c r="O19">
        <v>4</v>
      </c>
      <c r="P19">
        <v>3</v>
      </c>
      <c r="Q19">
        <v>5</v>
      </c>
      <c r="R19">
        <v>6</v>
      </c>
      <c r="S19">
        <v>4</v>
      </c>
      <c r="T19">
        <v>5</v>
      </c>
      <c r="W19" s="19">
        <v>44841</v>
      </c>
      <c r="X19" s="19" t="s">
        <v>13</v>
      </c>
      <c r="Y19" s="15" t="s">
        <v>14</v>
      </c>
      <c r="Z19" s="15" t="s">
        <v>70</v>
      </c>
      <c r="AA19" s="15" t="s">
        <v>11</v>
      </c>
      <c r="AB19" s="15"/>
      <c r="AC19" s="15">
        <v>2280</v>
      </c>
      <c r="AD19" s="15"/>
      <c r="AE19" s="15"/>
      <c r="AF19" s="15">
        <f t="shared" si="2"/>
        <v>3</v>
      </c>
      <c r="AG19" s="15">
        <f t="shared" si="3"/>
        <v>4.5</v>
      </c>
      <c r="AH19" s="15"/>
      <c r="AI19" s="15">
        <v>6</v>
      </c>
      <c r="AJ19" s="15">
        <v>6</v>
      </c>
      <c r="AK19" s="15">
        <v>3</v>
      </c>
      <c r="AL19" s="15">
        <v>3</v>
      </c>
      <c r="AM19" s="15">
        <v>3</v>
      </c>
      <c r="AN19" s="15">
        <v>5</v>
      </c>
      <c r="AO19" s="15">
        <v>5</v>
      </c>
      <c r="AP19" s="15">
        <v>5</v>
      </c>
    </row>
    <row r="20" spans="1:42" x14ac:dyDescent="0.35">
      <c r="A20" s="1">
        <v>44844</v>
      </c>
      <c r="B20" s="1" t="s">
        <v>2</v>
      </c>
      <c r="C20" t="s">
        <v>9</v>
      </c>
      <c r="D20" t="s">
        <v>68</v>
      </c>
      <c r="E20" t="s">
        <v>2</v>
      </c>
      <c r="G20">
        <v>149</v>
      </c>
      <c r="J20">
        <f t="shared" si="0"/>
        <v>3</v>
      </c>
      <c r="K20">
        <f t="shared" si="1"/>
        <v>4.125</v>
      </c>
      <c r="M20">
        <v>4</v>
      </c>
      <c r="N20">
        <v>4</v>
      </c>
      <c r="O20">
        <v>5</v>
      </c>
      <c r="P20">
        <v>3</v>
      </c>
      <c r="Q20">
        <v>3</v>
      </c>
      <c r="R20">
        <v>5</v>
      </c>
      <c r="S20">
        <v>5</v>
      </c>
      <c r="T20">
        <v>4</v>
      </c>
      <c r="W20" s="7">
        <v>44842</v>
      </c>
      <c r="X20" s="7" t="s">
        <v>11</v>
      </c>
      <c r="Y20" s="4" t="s">
        <v>12</v>
      </c>
      <c r="Z20" s="4" t="s">
        <v>69</v>
      </c>
      <c r="AA20" s="4" t="s">
        <v>4</v>
      </c>
      <c r="AB20" s="4"/>
      <c r="AC20" s="4">
        <v>926</v>
      </c>
      <c r="AD20" s="4"/>
      <c r="AE20" s="4"/>
      <c r="AF20" s="4">
        <f t="shared" si="2"/>
        <v>3</v>
      </c>
      <c r="AG20" s="4">
        <f t="shared" si="3"/>
        <v>4.25</v>
      </c>
      <c r="AH20" s="4"/>
      <c r="AI20" s="4">
        <v>3</v>
      </c>
      <c r="AJ20" s="4">
        <v>4</v>
      </c>
      <c r="AK20" s="4">
        <v>5</v>
      </c>
      <c r="AL20" s="4">
        <v>4</v>
      </c>
      <c r="AM20" s="4">
        <v>4</v>
      </c>
      <c r="AN20" s="4">
        <v>5</v>
      </c>
      <c r="AO20" s="21">
        <v>5</v>
      </c>
      <c r="AP20" s="4">
        <v>4</v>
      </c>
    </row>
    <row r="21" spans="1:42" x14ac:dyDescent="0.35">
      <c r="A21" s="1">
        <v>44845</v>
      </c>
      <c r="B21" s="1" t="s">
        <v>2</v>
      </c>
      <c r="C21" t="s">
        <v>8</v>
      </c>
      <c r="D21" t="s">
        <v>67</v>
      </c>
      <c r="E21" t="s">
        <v>6</v>
      </c>
      <c r="G21">
        <v>617</v>
      </c>
      <c r="J21">
        <f t="shared" si="0"/>
        <v>3</v>
      </c>
      <c r="K21">
        <f t="shared" si="1"/>
        <v>3.875</v>
      </c>
      <c r="M21">
        <v>4</v>
      </c>
      <c r="N21">
        <v>4</v>
      </c>
      <c r="O21">
        <v>3</v>
      </c>
      <c r="P21">
        <v>4</v>
      </c>
      <c r="Q21">
        <v>4</v>
      </c>
      <c r="R21">
        <v>4</v>
      </c>
      <c r="S21">
        <v>3</v>
      </c>
      <c r="T21">
        <v>5</v>
      </c>
      <c r="W21" s="19">
        <v>44843</v>
      </c>
      <c r="X21" s="19" t="s">
        <v>4</v>
      </c>
      <c r="Y21" s="15" t="s">
        <v>10</v>
      </c>
      <c r="Z21" s="15" t="s">
        <v>52</v>
      </c>
      <c r="AA21" s="15" t="s">
        <v>2</v>
      </c>
      <c r="AB21" s="15"/>
      <c r="AC21" s="15">
        <v>206</v>
      </c>
      <c r="AD21" s="15"/>
      <c r="AE21" s="15"/>
      <c r="AF21" s="15">
        <f t="shared" si="2"/>
        <v>3</v>
      </c>
      <c r="AG21" s="15">
        <f t="shared" si="3"/>
        <v>4.5</v>
      </c>
      <c r="AH21" s="15"/>
      <c r="AI21" s="15">
        <v>5</v>
      </c>
      <c r="AJ21" s="15">
        <v>4</v>
      </c>
      <c r="AK21" s="15">
        <v>4</v>
      </c>
      <c r="AL21" s="15">
        <v>3</v>
      </c>
      <c r="AM21" s="15">
        <v>5</v>
      </c>
      <c r="AN21" s="15">
        <v>6</v>
      </c>
      <c r="AO21" s="15">
        <v>4</v>
      </c>
      <c r="AP21" s="15">
        <v>5</v>
      </c>
    </row>
    <row r="22" spans="1:42" x14ac:dyDescent="0.35">
      <c r="A22" s="1">
        <v>44846</v>
      </c>
      <c r="B22" s="1" t="s">
        <v>6</v>
      </c>
      <c r="C22" t="s">
        <v>7</v>
      </c>
      <c r="D22" t="s">
        <v>51</v>
      </c>
      <c r="E22" t="s">
        <v>4</v>
      </c>
      <c r="G22">
        <v>60</v>
      </c>
      <c r="J22">
        <f t="shared" si="0"/>
        <v>3</v>
      </c>
      <c r="K22">
        <f t="shared" si="1"/>
        <v>4.875</v>
      </c>
      <c r="M22">
        <v>3</v>
      </c>
      <c r="N22">
        <v>5</v>
      </c>
      <c r="O22">
        <v>6</v>
      </c>
      <c r="P22">
        <v>5</v>
      </c>
      <c r="Q22">
        <v>5</v>
      </c>
      <c r="R22">
        <v>4</v>
      </c>
      <c r="S22">
        <v>6</v>
      </c>
      <c r="T22">
        <v>5</v>
      </c>
      <c r="W22" s="7">
        <v>44844</v>
      </c>
      <c r="X22" s="7" t="s">
        <v>2</v>
      </c>
      <c r="Y22" s="4" t="s">
        <v>9</v>
      </c>
      <c r="Z22" s="4" t="s">
        <v>68</v>
      </c>
      <c r="AA22" s="4" t="s">
        <v>2</v>
      </c>
      <c r="AB22" s="4"/>
      <c r="AC22" s="4">
        <v>149</v>
      </c>
      <c r="AD22" s="4"/>
      <c r="AE22" s="4"/>
      <c r="AF22" s="4">
        <f t="shared" si="2"/>
        <v>3</v>
      </c>
      <c r="AG22" s="4">
        <f t="shared" si="3"/>
        <v>4.125</v>
      </c>
      <c r="AH22" s="4"/>
      <c r="AI22" s="4">
        <v>4</v>
      </c>
      <c r="AJ22" s="4">
        <v>4</v>
      </c>
      <c r="AK22" s="4">
        <v>5</v>
      </c>
      <c r="AL22" s="4">
        <v>3</v>
      </c>
      <c r="AM22" s="4">
        <v>3</v>
      </c>
      <c r="AN22" s="4">
        <v>5</v>
      </c>
      <c r="AO22" s="4">
        <v>5</v>
      </c>
      <c r="AP22" s="4">
        <v>4</v>
      </c>
    </row>
    <row r="23" spans="1:42" x14ac:dyDescent="0.35">
      <c r="A23" s="1">
        <v>44847</v>
      </c>
      <c r="B23" s="1" t="s">
        <v>4</v>
      </c>
      <c r="C23" t="s">
        <v>5</v>
      </c>
      <c r="D23" t="s">
        <v>66</v>
      </c>
      <c r="E23" t="s">
        <v>2</v>
      </c>
      <c r="G23">
        <v>1409</v>
      </c>
      <c r="J23">
        <f t="shared" si="0"/>
        <v>3</v>
      </c>
      <c r="K23">
        <f t="shared" si="1"/>
        <v>4.625</v>
      </c>
      <c r="M23">
        <v>4</v>
      </c>
      <c r="N23">
        <v>6</v>
      </c>
      <c r="O23">
        <v>5</v>
      </c>
      <c r="P23">
        <v>3</v>
      </c>
      <c r="Q23">
        <v>5</v>
      </c>
      <c r="R23">
        <v>5</v>
      </c>
      <c r="S23">
        <v>4</v>
      </c>
      <c r="T23">
        <v>5</v>
      </c>
      <c r="W23" s="19">
        <v>44845</v>
      </c>
      <c r="X23" s="19" t="s">
        <v>2</v>
      </c>
      <c r="Y23" s="15" t="s">
        <v>8</v>
      </c>
      <c r="Z23" s="15" t="s">
        <v>67</v>
      </c>
      <c r="AA23" s="15" t="s">
        <v>6</v>
      </c>
      <c r="AB23" s="15"/>
      <c r="AC23" s="15">
        <v>617</v>
      </c>
      <c r="AD23" s="15"/>
      <c r="AE23" s="15"/>
      <c r="AF23" s="15">
        <f t="shared" si="2"/>
        <v>3</v>
      </c>
      <c r="AG23" s="15">
        <f t="shared" si="3"/>
        <v>3.875</v>
      </c>
      <c r="AH23" s="15"/>
      <c r="AI23" s="15">
        <v>4</v>
      </c>
      <c r="AJ23" s="15">
        <v>4</v>
      </c>
      <c r="AK23" s="15">
        <v>3</v>
      </c>
      <c r="AL23" s="15">
        <v>4</v>
      </c>
      <c r="AM23" s="15">
        <v>4</v>
      </c>
      <c r="AN23" s="15">
        <v>4</v>
      </c>
      <c r="AO23" s="15">
        <v>3</v>
      </c>
      <c r="AP23" s="15">
        <v>5</v>
      </c>
    </row>
    <row r="24" spans="1:42" x14ac:dyDescent="0.35">
      <c r="A24" s="1">
        <v>44848</v>
      </c>
      <c r="B24" s="1" t="s">
        <v>2</v>
      </c>
      <c r="C24" t="s">
        <v>3</v>
      </c>
      <c r="D24" t="s">
        <v>65</v>
      </c>
      <c r="E24" t="s">
        <v>1</v>
      </c>
      <c r="G24">
        <v>3024</v>
      </c>
      <c r="J24">
        <f t="shared" si="0"/>
        <v>3</v>
      </c>
      <c r="K24">
        <f t="shared" si="1"/>
        <v>4.125</v>
      </c>
      <c r="M24">
        <v>4</v>
      </c>
      <c r="N24">
        <v>4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W24" s="7">
        <v>44846</v>
      </c>
      <c r="X24" s="7" t="s">
        <v>6</v>
      </c>
      <c r="Y24" s="4" t="s">
        <v>7</v>
      </c>
      <c r="Z24" s="4" t="s">
        <v>51</v>
      </c>
      <c r="AA24" s="4" t="s">
        <v>4</v>
      </c>
      <c r="AB24" s="4"/>
      <c r="AC24" s="4">
        <v>60</v>
      </c>
      <c r="AD24" s="4"/>
      <c r="AE24" s="4"/>
      <c r="AF24" s="4">
        <f t="shared" si="2"/>
        <v>3</v>
      </c>
      <c r="AG24" s="4">
        <f t="shared" si="3"/>
        <v>4.875</v>
      </c>
      <c r="AH24" s="4"/>
      <c r="AI24" s="4">
        <v>3</v>
      </c>
      <c r="AJ24" s="4">
        <v>5</v>
      </c>
      <c r="AK24" s="4">
        <v>6</v>
      </c>
      <c r="AL24" s="4">
        <v>5</v>
      </c>
      <c r="AM24" s="4">
        <v>5</v>
      </c>
      <c r="AN24" s="4">
        <v>4</v>
      </c>
      <c r="AO24" s="4">
        <v>6</v>
      </c>
      <c r="AP24" s="4">
        <v>5</v>
      </c>
    </row>
    <row r="25" spans="1:42" x14ac:dyDescent="0.35">
      <c r="A25" s="1">
        <v>44849</v>
      </c>
      <c r="B25" s="1" t="s">
        <v>1</v>
      </c>
      <c r="C25" t="s">
        <v>33</v>
      </c>
      <c r="D25" t="s">
        <v>50</v>
      </c>
      <c r="E25" t="s">
        <v>1</v>
      </c>
      <c r="G25">
        <v>538</v>
      </c>
      <c r="J25">
        <f t="shared" si="0"/>
        <v>3</v>
      </c>
      <c r="K25">
        <f t="shared" si="1"/>
        <v>4.75</v>
      </c>
      <c r="M25">
        <v>3</v>
      </c>
      <c r="N25">
        <v>4</v>
      </c>
      <c r="O25">
        <v>6</v>
      </c>
      <c r="P25" s="3">
        <v>7</v>
      </c>
      <c r="Q25">
        <v>5</v>
      </c>
      <c r="R25">
        <v>4</v>
      </c>
      <c r="S25">
        <v>3</v>
      </c>
      <c r="T25">
        <v>6</v>
      </c>
      <c r="W25" s="19">
        <v>44847</v>
      </c>
      <c r="X25" s="19" t="s">
        <v>4</v>
      </c>
      <c r="Y25" s="15" t="s">
        <v>5</v>
      </c>
      <c r="Z25" s="15" t="s">
        <v>66</v>
      </c>
      <c r="AA25" s="15" t="s">
        <v>2</v>
      </c>
      <c r="AB25" s="15"/>
      <c r="AC25" s="15">
        <v>1409</v>
      </c>
      <c r="AD25" s="15"/>
      <c r="AE25" s="15"/>
      <c r="AF25" s="15">
        <f t="shared" si="2"/>
        <v>3</v>
      </c>
      <c r="AG25" s="15">
        <f t="shared" si="3"/>
        <v>4.625</v>
      </c>
      <c r="AH25" s="15"/>
      <c r="AI25" s="15">
        <v>4</v>
      </c>
      <c r="AJ25" s="15">
        <v>6</v>
      </c>
      <c r="AK25" s="15">
        <v>5</v>
      </c>
      <c r="AL25" s="15">
        <v>3</v>
      </c>
      <c r="AM25" s="15">
        <v>5</v>
      </c>
      <c r="AN25" s="15">
        <v>5</v>
      </c>
      <c r="AO25" s="15">
        <v>4</v>
      </c>
      <c r="AP25" s="15">
        <v>5</v>
      </c>
    </row>
    <row r="26" spans="1:42" x14ac:dyDescent="0.35">
      <c r="A26" s="1">
        <v>44850</v>
      </c>
      <c r="B26" s="1" t="s">
        <v>1</v>
      </c>
      <c r="C26" t="s">
        <v>35</v>
      </c>
      <c r="D26" t="s">
        <v>64</v>
      </c>
      <c r="E26" t="s">
        <v>6</v>
      </c>
      <c r="G26">
        <v>102</v>
      </c>
      <c r="J26">
        <f t="shared" si="0"/>
        <v>3</v>
      </c>
      <c r="K26">
        <f t="shared" si="1"/>
        <v>3.875</v>
      </c>
      <c r="M26">
        <v>5</v>
      </c>
      <c r="N26">
        <v>5</v>
      </c>
      <c r="O26">
        <v>3</v>
      </c>
      <c r="P26">
        <v>4</v>
      </c>
      <c r="Q26">
        <v>3</v>
      </c>
      <c r="R26">
        <v>3</v>
      </c>
      <c r="S26">
        <v>4</v>
      </c>
      <c r="T26">
        <v>4</v>
      </c>
      <c r="W26" s="7">
        <v>44848</v>
      </c>
      <c r="X26" s="7" t="s">
        <v>2</v>
      </c>
      <c r="Y26" s="4" t="s">
        <v>3</v>
      </c>
      <c r="Z26" s="4" t="s">
        <v>65</v>
      </c>
      <c r="AA26" s="4" t="s">
        <v>1</v>
      </c>
      <c r="AB26" s="4"/>
      <c r="AC26" s="4">
        <v>3024</v>
      </c>
      <c r="AD26" s="4"/>
      <c r="AE26" s="4"/>
      <c r="AF26" s="4">
        <f t="shared" si="2"/>
        <v>3</v>
      </c>
      <c r="AG26" s="4">
        <f t="shared" si="3"/>
        <v>4.125</v>
      </c>
      <c r="AH26" s="4"/>
      <c r="AI26" s="4">
        <v>4</v>
      </c>
      <c r="AJ26" s="4">
        <v>4</v>
      </c>
      <c r="AK26" s="4">
        <v>5</v>
      </c>
      <c r="AL26" s="4">
        <v>5</v>
      </c>
      <c r="AM26" s="4">
        <v>4</v>
      </c>
      <c r="AN26" s="4">
        <v>4</v>
      </c>
      <c r="AO26" s="4">
        <v>3</v>
      </c>
      <c r="AP26" s="4">
        <v>4</v>
      </c>
    </row>
    <row r="27" spans="1:42" x14ac:dyDescent="0.35">
      <c r="A27" s="1">
        <v>44851</v>
      </c>
      <c r="B27" s="1" t="s">
        <v>6</v>
      </c>
      <c r="C27" t="s">
        <v>36</v>
      </c>
      <c r="D27" t="s">
        <v>46</v>
      </c>
      <c r="E27" t="s">
        <v>16</v>
      </c>
      <c r="G27">
        <v>3933</v>
      </c>
      <c r="J27">
        <f t="shared" si="0"/>
        <v>3</v>
      </c>
      <c r="K27">
        <f t="shared" si="1"/>
        <v>4.125</v>
      </c>
      <c r="M27">
        <v>4</v>
      </c>
      <c r="N27">
        <v>5</v>
      </c>
      <c r="O27">
        <v>4</v>
      </c>
      <c r="P27">
        <v>4</v>
      </c>
      <c r="Q27">
        <v>4</v>
      </c>
      <c r="R27">
        <v>5</v>
      </c>
      <c r="S27">
        <v>4</v>
      </c>
      <c r="T27">
        <v>3</v>
      </c>
      <c r="W27" s="19">
        <v>44849</v>
      </c>
      <c r="X27" s="19" t="s">
        <v>1</v>
      </c>
      <c r="Y27" s="15" t="s">
        <v>33</v>
      </c>
      <c r="Z27" s="15" t="s">
        <v>50</v>
      </c>
      <c r="AA27" s="15" t="s">
        <v>1</v>
      </c>
      <c r="AB27" s="15"/>
      <c r="AC27" s="15">
        <v>538</v>
      </c>
      <c r="AD27" s="15"/>
      <c r="AE27" s="15"/>
      <c r="AF27" s="15">
        <f t="shared" si="2"/>
        <v>3</v>
      </c>
      <c r="AG27" s="15">
        <f t="shared" si="3"/>
        <v>4.75</v>
      </c>
      <c r="AH27" s="15"/>
      <c r="AI27" s="15">
        <v>3</v>
      </c>
      <c r="AJ27" s="15">
        <v>4</v>
      </c>
      <c r="AK27" s="15">
        <v>6</v>
      </c>
      <c r="AL27" s="20">
        <v>7</v>
      </c>
      <c r="AM27" s="15">
        <v>5</v>
      </c>
      <c r="AN27" s="15">
        <v>4</v>
      </c>
      <c r="AO27" s="15">
        <v>3</v>
      </c>
      <c r="AP27" s="15">
        <v>6</v>
      </c>
    </row>
    <row r="28" spans="1:42" x14ac:dyDescent="0.35">
      <c r="A28" s="1">
        <v>44852</v>
      </c>
      <c r="B28" s="1" t="s">
        <v>16</v>
      </c>
      <c r="C28" t="s">
        <v>37</v>
      </c>
      <c r="D28" t="s">
        <v>48</v>
      </c>
      <c r="E28" t="s">
        <v>2</v>
      </c>
      <c r="G28">
        <v>15</v>
      </c>
      <c r="J28">
        <f t="shared" si="0"/>
        <v>3</v>
      </c>
      <c r="K28">
        <f t="shared" si="1"/>
        <v>3.25</v>
      </c>
      <c r="M28">
        <v>3</v>
      </c>
      <c r="N28">
        <v>5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W28" s="7">
        <v>44850</v>
      </c>
      <c r="X28" s="7" t="s">
        <v>1</v>
      </c>
      <c r="Y28" s="4" t="s">
        <v>35</v>
      </c>
      <c r="Z28" s="4" t="s">
        <v>64</v>
      </c>
      <c r="AA28" s="4" t="s">
        <v>6</v>
      </c>
      <c r="AB28" s="4"/>
      <c r="AC28" s="4">
        <v>102</v>
      </c>
      <c r="AD28" s="4"/>
      <c r="AE28" s="4"/>
      <c r="AF28" s="4">
        <f t="shared" si="2"/>
        <v>3</v>
      </c>
      <c r="AG28" s="4">
        <f t="shared" si="3"/>
        <v>3.875</v>
      </c>
      <c r="AH28" s="4"/>
      <c r="AI28" s="4">
        <v>5</v>
      </c>
      <c r="AJ28" s="4">
        <v>5</v>
      </c>
      <c r="AK28" s="4">
        <v>3</v>
      </c>
      <c r="AL28" s="4">
        <v>4</v>
      </c>
      <c r="AM28" s="4">
        <v>3</v>
      </c>
      <c r="AN28" s="4">
        <v>3</v>
      </c>
      <c r="AO28" s="4">
        <v>4</v>
      </c>
      <c r="AP28" s="4">
        <v>4</v>
      </c>
    </row>
    <row r="29" spans="1:42" x14ac:dyDescent="0.35">
      <c r="A29" s="1">
        <v>44853</v>
      </c>
      <c r="B29" s="1" t="s">
        <v>2</v>
      </c>
      <c r="C29" t="s">
        <v>38</v>
      </c>
      <c r="D29" t="s">
        <v>47</v>
      </c>
      <c r="E29" t="s">
        <v>6</v>
      </c>
      <c r="G29">
        <v>3090</v>
      </c>
      <c r="J29">
        <f t="shared" si="0"/>
        <v>3</v>
      </c>
      <c r="K29">
        <f t="shared" si="1"/>
        <v>4.125</v>
      </c>
      <c r="M29">
        <v>5</v>
      </c>
      <c r="N29">
        <v>5</v>
      </c>
      <c r="O29">
        <v>3</v>
      </c>
      <c r="P29">
        <v>4</v>
      </c>
      <c r="Q29">
        <v>4</v>
      </c>
      <c r="R29">
        <v>4</v>
      </c>
      <c r="S29">
        <v>4</v>
      </c>
      <c r="T29">
        <v>4</v>
      </c>
      <c r="W29" s="19">
        <v>44851</v>
      </c>
      <c r="X29" s="19" t="s">
        <v>6</v>
      </c>
      <c r="Y29" s="15" t="s">
        <v>36</v>
      </c>
      <c r="Z29" s="15" t="s">
        <v>46</v>
      </c>
      <c r="AA29" s="15" t="s">
        <v>16</v>
      </c>
      <c r="AB29" s="15"/>
      <c r="AC29" s="15">
        <v>3933</v>
      </c>
      <c r="AD29" s="15"/>
      <c r="AE29" s="15"/>
      <c r="AF29" s="15">
        <f t="shared" si="2"/>
        <v>3</v>
      </c>
      <c r="AG29" s="15">
        <f t="shared" si="3"/>
        <v>4.125</v>
      </c>
      <c r="AH29" s="15"/>
      <c r="AI29" s="15">
        <v>4</v>
      </c>
      <c r="AJ29" s="15">
        <v>5</v>
      </c>
      <c r="AK29" s="15">
        <v>4</v>
      </c>
      <c r="AL29" s="15">
        <v>4</v>
      </c>
      <c r="AM29" s="15">
        <v>4</v>
      </c>
      <c r="AN29" s="15">
        <v>5</v>
      </c>
      <c r="AO29" s="15">
        <v>4</v>
      </c>
      <c r="AP29" s="15">
        <v>3</v>
      </c>
    </row>
    <row r="30" spans="1:42" x14ac:dyDescent="0.35">
      <c r="A30" s="1">
        <v>44854</v>
      </c>
      <c r="B30" s="1" t="s">
        <v>6</v>
      </c>
      <c r="C30" t="s">
        <v>42</v>
      </c>
      <c r="D30" t="s">
        <v>49</v>
      </c>
      <c r="E30" t="s">
        <v>1</v>
      </c>
      <c r="G30">
        <v>16</v>
      </c>
      <c r="J30">
        <f t="shared" si="0"/>
        <v>2</v>
      </c>
      <c r="K30">
        <f t="shared" si="1"/>
        <v>2.75</v>
      </c>
      <c r="M30">
        <v>3</v>
      </c>
      <c r="N30">
        <v>2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W30" s="7">
        <v>44852</v>
      </c>
      <c r="X30" s="7" t="s">
        <v>16</v>
      </c>
      <c r="Y30" s="4" t="s">
        <v>37</v>
      </c>
      <c r="Z30" s="4" t="s">
        <v>48</v>
      </c>
      <c r="AA30" s="4" t="s">
        <v>2</v>
      </c>
      <c r="AB30" s="4"/>
      <c r="AC30" s="4">
        <v>15</v>
      </c>
      <c r="AD30" s="4"/>
      <c r="AE30" s="4"/>
      <c r="AF30" s="4">
        <f t="shared" si="2"/>
        <v>3</v>
      </c>
      <c r="AG30" s="4">
        <f t="shared" si="3"/>
        <v>3.25</v>
      </c>
      <c r="AH30" s="4"/>
      <c r="AI30" s="4">
        <v>3</v>
      </c>
      <c r="AJ30" s="4">
        <v>5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4">
        <v>3</v>
      </c>
    </row>
    <row r="31" spans="1:42" x14ac:dyDescent="0.35">
      <c r="A31" s="1">
        <v>44855</v>
      </c>
      <c r="B31" s="1" t="s">
        <v>1</v>
      </c>
      <c r="C31" t="s">
        <v>43</v>
      </c>
      <c r="D31" t="s">
        <v>61</v>
      </c>
      <c r="E31" t="s">
        <v>11</v>
      </c>
      <c r="G31">
        <v>2665</v>
      </c>
      <c r="J31">
        <f t="shared" si="0"/>
        <v>4</v>
      </c>
      <c r="K31">
        <f t="shared" si="1"/>
        <v>5.25</v>
      </c>
      <c r="M31">
        <v>5</v>
      </c>
      <c r="N31" s="3">
        <v>7</v>
      </c>
      <c r="O31">
        <v>4</v>
      </c>
      <c r="P31">
        <v>6</v>
      </c>
      <c r="Q31">
        <v>4</v>
      </c>
      <c r="R31">
        <v>6</v>
      </c>
      <c r="S31">
        <v>5</v>
      </c>
      <c r="T31">
        <v>5</v>
      </c>
      <c r="W31" s="19">
        <v>44853</v>
      </c>
      <c r="X31" s="19" t="s">
        <v>2</v>
      </c>
      <c r="Y31" s="15" t="s">
        <v>38</v>
      </c>
      <c r="Z31" s="15" t="s">
        <v>47</v>
      </c>
      <c r="AA31" s="15" t="s">
        <v>6</v>
      </c>
      <c r="AB31" s="15"/>
      <c r="AC31" s="15">
        <v>3090</v>
      </c>
      <c r="AD31" s="15"/>
      <c r="AE31" s="15"/>
      <c r="AF31" s="15">
        <f t="shared" si="2"/>
        <v>3</v>
      </c>
      <c r="AG31" s="15">
        <f t="shared" si="3"/>
        <v>4.125</v>
      </c>
      <c r="AH31" s="15"/>
      <c r="AI31" s="15">
        <v>5</v>
      </c>
      <c r="AJ31" s="15">
        <v>5</v>
      </c>
      <c r="AK31" s="15">
        <v>3</v>
      </c>
      <c r="AL31" s="15">
        <v>4</v>
      </c>
      <c r="AM31" s="15">
        <v>4</v>
      </c>
      <c r="AN31" s="15">
        <v>4</v>
      </c>
      <c r="AO31" s="15">
        <v>4</v>
      </c>
      <c r="AP31" s="15">
        <v>4</v>
      </c>
    </row>
    <row r="32" spans="1:42" x14ac:dyDescent="0.35">
      <c r="A32" s="1">
        <v>44856</v>
      </c>
      <c r="B32" s="1" t="s">
        <v>11</v>
      </c>
      <c r="C32" t="s">
        <v>78</v>
      </c>
      <c r="D32" t="s">
        <v>80</v>
      </c>
      <c r="E32" t="s">
        <v>2</v>
      </c>
      <c r="G32">
        <v>1396</v>
      </c>
      <c r="J32">
        <f t="shared" si="0"/>
        <v>3</v>
      </c>
      <c r="K32">
        <f t="shared" si="1"/>
        <v>4.125</v>
      </c>
      <c r="M32">
        <v>4</v>
      </c>
      <c r="N32">
        <v>5</v>
      </c>
      <c r="O32">
        <v>3</v>
      </c>
      <c r="P32">
        <v>3</v>
      </c>
      <c r="Q32">
        <v>6</v>
      </c>
      <c r="R32">
        <v>5</v>
      </c>
      <c r="S32">
        <v>3</v>
      </c>
      <c r="T32">
        <v>4</v>
      </c>
      <c r="W32" s="7">
        <v>44854</v>
      </c>
      <c r="X32" s="7" t="s">
        <v>6</v>
      </c>
      <c r="Y32" s="4" t="s">
        <v>42</v>
      </c>
      <c r="Z32" s="4" t="s">
        <v>49</v>
      </c>
      <c r="AA32" s="4" t="s">
        <v>1</v>
      </c>
      <c r="AB32" s="4"/>
      <c r="AC32" s="4">
        <v>16</v>
      </c>
      <c r="AD32" s="4"/>
      <c r="AE32" s="4"/>
      <c r="AF32" s="4">
        <f t="shared" si="2"/>
        <v>2</v>
      </c>
      <c r="AG32" s="4">
        <f t="shared" si="3"/>
        <v>2.75</v>
      </c>
      <c r="AH32" s="4"/>
      <c r="AI32" s="4">
        <v>3</v>
      </c>
      <c r="AJ32" s="4">
        <v>2</v>
      </c>
      <c r="AK32" s="4">
        <v>3</v>
      </c>
      <c r="AL32" s="4">
        <v>3</v>
      </c>
      <c r="AM32" s="4">
        <v>3</v>
      </c>
      <c r="AN32" s="4">
        <v>3</v>
      </c>
      <c r="AO32" s="4">
        <v>2</v>
      </c>
      <c r="AP32" s="4">
        <v>3</v>
      </c>
    </row>
    <row r="33" spans="1:42" x14ac:dyDescent="0.35">
      <c r="A33" s="1">
        <v>44857</v>
      </c>
      <c r="B33" s="1" t="s">
        <v>2</v>
      </c>
      <c r="C33" t="s">
        <v>81</v>
      </c>
      <c r="D33" t="s">
        <v>83</v>
      </c>
      <c r="E33" t="s">
        <v>11</v>
      </c>
      <c r="G33">
        <v>614</v>
      </c>
      <c r="J33">
        <f t="shared" si="0"/>
        <v>4</v>
      </c>
      <c r="K33">
        <f t="shared" si="1"/>
        <v>5.875</v>
      </c>
      <c r="M33">
        <v>6</v>
      </c>
      <c r="N33" s="3">
        <v>7</v>
      </c>
      <c r="O33">
        <v>5</v>
      </c>
      <c r="P33" s="3">
        <v>7</v>
      </c>
      <c r="Q33">
        <v>4</v>
      </c>
      <c r="R33" s="3">
        <v>7</v>
      </c>
      <c r="S33">
        <v>6</v>
      </c>
      <c r="T33">
        <v>5</v>
      </c>
      <c r="W33" s="19">
        <v>44855</v>
      </c>
      <c r="X33" s="19" t="s">
        <v>1</v>
      </c>
      <c r="Y33" s="15" t="s">
        <v>43</v>
      </c>
      <c r="Z33" s="15" t="s">
        <v>61</v>
      </c>
      <c r="AA33" s="15" t="s">
        <v>11</v>
      </c>
      <c r="AB33" s="15"/>
      <c r="AC33" s="15">
        <v>2665</v>
      </c>
      <c r="AD33" s="15"/>
      <c r="AE33" s="15"/>
      <c r="AF33" s="15">
        <f t="shared" si="2"/>
        <v>4</v>
      </c>
      <c r="AG33" s="15">
        <f t="shared" si="3"/>
        <v>5.25</v>
      </c>
      <c r="AH33" s="15"/>
      <c r="AI33" s="15">
        <v>5</v>
      </c>
      <c r="AJ33" s="20">
        <v>7</v>
      </c>
      <c r="AK33" s="15">
        <v>4</v>
      </c>
      <c r="AL33" s="15">
        <v>6</v>
      </c>
      <c r="AM33" s="15">
        <v>4</v>
      </c>
      <c r="AN33" s="15">
        <v>6</v>
      </c>
      <c r="AO33" s="15">
        <v>5</v>
      </c>
      <c r="AP33" s="15">
        <v>5</v>
      </c>
    </row>
    <row r="34" spans="1:42" x14ac:dyDescent="0.35">
      <c r="A34" s="1">
        <v>44858</v>
      </c>
      <c r="B34" s="1" t="s">
        <v>11</v>
      </c>
      <c r="C34" t="s">
        <v>82</v>
      </c>
      <c r="D34" t="s">
        <v>84</v>
      </c>
      <c r="E34" t="s">
        <v>4</v>
      </c>
      <c r="G34">
        <v>1508</v>
      </c>
      <c r="J34">
        <f t="shared" ref="J34:J65" si="4">MIN(M34:T34)</f>
        <v>4</v>
      </c>
      <c r="K34">
        <f t="shared" ref="K34:K65" si="5">AVERAGE(M34:T34)</f>
        <v>4.75</v>
      </c>
      <c r="M34">
        <v>4</v>
      </c>
      <c r="N34">
        <v>6</v>
      </c>
      <c r="O34">
        <v>5</v>
      </c>
      <c r="P34">
        <v>4</v>
      </c>
      <c r="Q34">
        <v>4</v>
      </c>
      <c r="R34">
        <v>5</v>
      </c>
      <c r="S34">
        <v>4</v>
      </c>
      <c r="T34">
        <v>6</v>
      </c>
      <c r="W34" s="22">
        <v>44856</v>
      </c>
      <c r="X34" s="22" t="s">
        <v>11</v>
      </c>
      <c r="Y34" s="23" t="s">
        <v>78</v>
      </c>
      <c r="Z34" s="23" t="s">
        <v>80</v>
      </c>
      <c r="AA34" s="23" t="s">
        <v>2</v>
      </c>
      <c r="AB34" s="23"/>
      <c r="AC34" s="23">
        <v>1396</v>
      </c>
      <c r="AD34" s="23"/>
      <c r="AE34" s="23"/>
      <c r="AF34" s="23">
        <f t="shared" si="2"/>
        <v>3</v>
      </c>
      <c r="AG34" s="23">
        <f t="shared" si="3"/>
        <v>4.125</v>
      </c>
      <c r="AH34" s="23"/>
      <c r="AI34" s="23">
        <v>4</v>
      </c>
      <c r="AJ34" s="23">
        <v>5</v>
      </c>
      <c r="AK34" s="23">
        <v>3</v>
      </c>
      <c r="AL34" s="23">
        <v>3</v>
      </c>
      <c r="AM34" s="23">
        <v>6</v>
      </c>
      <c r="AN34" s="23">
        <v>5</v>
      </c>
      <c r="AO34" s="23">
        <v>3</v>
      </c>
      <c r="AP34" s="23">
        <v>4</v>
      </c>
    </row>
    <row r="35" spans="1:42" x14ac:dyDescent="0.35">
      <c r="A35" s="1">
        <v>44859</v>
      </c>
      <c r="B35" s="1" t="s">
        <v>4</v>
      </c>
      <c r="C35" t="s">
        <v>85</v>
      </c>
      <c r="D35" t="s">
        <v>86</v>
      </c>
      <c r="E35" t="s">
        <v>16</v>
      </c>
      <c r="G35">
        <v>910</v>
      </c>
      <c r="J35">
        <f t="shared" si="4"/>
        <v>4</v>
      </c>
      <c r="K35">
        <f t="shared" si="5"/>
        <v>5.5</v>
      </c>
      <c r="M35">
        <v>6</v>
      </c>
      <c r="N35">
        <v>6</v>
      </c>
      <c r="O35">
        <v>4</v>
      </c>
      <c r="P35" s="3">
        <v>7</v>
      </c>
      <c r="Q35">
        <v>5</v>
      </c>
      <c r="R35">
        <v>6</v>
      </c>
      <c r="S35">
        <v>6</v>
      </c>
      <c r="T35">
        <v>4</v>
      </c>
    </row>
    <row r="36" spans="1:42" x14ac:dyDescent="0.35">
      <c r="A36" s="1">
        <v>44860</v>
      </c>
      <c r="B36" s="1" t="s">
        <v>16</v>
      </c>
      <c r="C36" t="s">
        <v>91</v>
      </c>
      <c r="D36" t="s">
        <v>92</v>
      </c>
      <c r="E36" t="s">
        <v>1</v>
      </c>
      <c r="G36">
        <v>861</v>
      </c>
      <c r="J36">
        <f t="shared" si="4"/>
        <v>4</v>
      </c>
      <c r="K36">
        <f t="shared" si="5"/>
        <v>4.375</v>
      </c>
      <c r="M36">
        <v>5</v>
      </c>
      <c r="N36">
        <v>5</v>
      </c>
      <c r="O36">
        <v>5</v>
      </c>
      <c r="P36">
        <v>4</v>
      </c>
      <c r="Q36">
        <v>4</v>
      </c>
      <c r="R36">
        <v>4</v>
      </c>
      <c r="S36">
        <v>4</v>
      </c>
      <c r="T36">
        <v>4</v>
      </c>
      <c r="W36" t="s">
        <v>409</v>
      </c>
    </row>
    <row r="37" spans="1:42" x14ac:dyDescent="0.35">
      <c r="A37" s="1">
        <v>44861</v>
      </c>
      <c r="B37" s="1" t="s">
        <v>1</v>
      </c>
      <c r="C37" t="s">
        <v>93</v>
      </c>
      <c r="D37" t="s">
        <v>94</v>
      </c>
      <c r="E37" t="s">
        <v>16</v>
      </c>
      <c r="G37">
        <v>247</v>
      </c>
      <c r="J37">
        <f t="shared" si="4"/>
        <v>3</v>
      </c>
      <c r="K37">
        <f t="shared" si="5"/>
        <v>4.25</v>
      </c>
      <c r="M37">
        <v>4</v>
      </c>
      <c r="N37">
        <v>3</v>
      </c>
      <c r="O37">
        <v>4</v>
      </c>
      <c r="P37">
        <v>5</v>
      </c>
      <c r="Q37">
        <v>6</v>
      </c>
      <c r="R37">
        <v>4</v>
      </c>
      <c r="S37">
        <v>5</v>
      </c>
      <c r="T37">
        <v>3</v>
      </c>
      <c r="W37" s="10" t="s">
        <v>0</v>
      </c>
      <c r="X37" s="10" t="s">
        <v>62</v>
      </c>
      <c r="Y37" s="10" t="s">
        <v>44</v>
      </c>
      <c r="Z37" s="10" t="s">
        <v>63</v>
      </c>
      <c r="AA37" s="10" t="s">
        <v>34</v>
      </c>
      <c r="AB37" s="10" t="s">
        <v>87</v>
      </c>
      <c r="AC37" s="10" t="s">
        <v>79</v>
      </c>
      <c r="AD37" s="10" t="s">
        <v>88</v>
      </c>
      <c r="AE37" s="10" t="s">
        <v>89</v>
      </c>
      <c r="AF37" s="10" t="s">
        <v>45</v>
      </c>
      <c r="AG37" s="10" t="s">
        <v>41</v>
      </c>
      <c r="AH37" s="10" t="s">
        <v>90</v>
      </c>
      <c r="AI37" s="10" t="s">
        <v>4</v>
      </c>
      <c r="AJ37" s="10" t="s">
        <v>20</v>
      </c>
      <c r="AK37" s="10" t="s">
        <v>6</v>
      </c>
      <c r="AL37" s="10" t="s">
        <v>2</v>
      </c>
      <c r="AM37" s="10" t="s">
        <v>11</v>
      </c>
      <c r="AN37" s="10" t="s">
        <v>13</v>
      </c>
      <c r="AO37" s="10" t="s">
        <v>1</v>
      </c>
      <c r="AP37" s="10" t="s">
        <v>16</v>
      </c>
    </row>
    <row r="38" spans="1:42" x14ac:dyDescent="0.35">
      <c r="A38" s="1">
        <v>44862</v>
      </c>
      <c r="B38" s="1" t="s">
        <v>16</v>
      </c>
      <c r="C38" t="s">
        <v>95</v>
      </c>
      <c r="D38" t="s">
        <v>96</v>
      </c>
      <c r="E38" t="s">
        <v>6</v>
      </c>
      <c r="G38">
        <v>574</v>
      </c>
      <c r="J38">
        <f t="shared" si="4"/>
        <v>4</v>
      </c>
      <c r="K38">
        <f t="shared" si="5"/>
        <v>4.25</v>
      </c>
      <c r="M38">
        <v>5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W38" s="19">
        <v>44857</v>
      </c>
      <c r="X38" s="19" t="s">
        <v>2</v>
      </c>
      <c r="Y38" s="19" t="s">
        <v>81</v>
      </c>
      <c r="Z38" s="19" t="s">
        <v>83</v>
      </c>
      <c r="AA38" s="19" t="s">
        <v>11</v>
      </c>
      <c r="AB38" s="19"/>
      <c r="AC38">
        <v>614</v>
      </c>
      <c r="AF38">
        <f t="shared" ref="AF38:AF68" si="6">MIN(AI38:AP38)</f>
        <v>4</v>
      </c>
      <c r="AG38">
        <f t="shared" ref="AG38:AG68" si="7">AVERAGE(AI38:AP38)</f>
        <v>5.875</v>
      </c>
      <c r="AH38" s="15"/>
      <c r="AI38" s="15">
        <v>6</v>
      </c>
      <c r="AJ38" s="15">
        <v>7</v>
      </c>
      <c r="AK38" s="15">
        <v>5</v>
      </c>
      <c r="AL38" s="15">
        <v>7</v>
      </c>
      <c r="AM38" s="15">
        <v>4</v>
      </c>
      <c r="AN38" s="15">
        <v>7</v>
      </c>
      <c r="AO38" s="15">
        <v>6</v>
      </c>
      <c r="AP38" s="15">
        <v>5</v>
      </c>
    </row>
    <row r="39" spans="1:42" x14ac:dyDescent="0.35">
      <c r="A39" s="1">
        <v>44863</v>
      </c>
      <c r="B39" s="1" t="s">
        <v>6</v>
      </c>
      <c r="C39" t="s">
        <v>97</v>
      </c>
      <c r="D39" t="s">
        <v>98</v>
      </c>
      <c r="E39" t="s">
        <v>16</v>
      </c>
      <c r="G39">
        <v>4647</v>
      </c>
      <c r="J39">
        <f t="shared" si="4"/>
        <v>4</v>
      </c>
      <c r="K39">
        <f t="shared" si="5"/>
        <v>4.625</v>
      </c>
      <c r="M39">
        <v>4</v>
      </c>
      <c r="N39" s="3">
        <v>7</v>
      </c>
      <c r="O39">
        <v>4</v>
      </c>
      <c r="P39">
        <v>4</v>
      </c>
      <c r="Q39">
        <v>4</v>
      </c>
      <c r="R39">
        <v>6</v>
      </c>
      <c r="S39">
        <v>4</v>
      </c>
      <c r="T39">
        <v>4</v>
      </c>
      <c r="W39" s="19">
        <v>44858</v>
      </c>
      <c r="X39" s="19" t="s">
        <v>11</v>
      </c>
      <c r="Y39" s="19" t="s">
        <v>82</v>
      </c>
      <c r="Z39" s="19" t="s">
        <v>84</v>
      </c>
      <c r="AA39" s="19" t="s">
        <v>4</v>
      </c>
      <c r="AB39" s="19"/>
      <c r="AC39">
        <v>1508</v>
      </c>
      <c r="AF39">
        <f t="shared" si="6"/>
        <v>4</v>
      </c>
      <c r="AG39">
        <f t="shared" si="7"/>
        <v>4.75</v>
      </c>
      <c r="AH39" s="15"/>
      <c r="AI39" s="15">
        <v>4</v>
      </c>
      <c r="AJ39" s="15">
        <v>6</v>
      </c>
      <c r="AK39" s="15">
        <v>5</v>
      </c>
      <c r="AL39" s="15">
        <v>4</v>
      </c>
      <c r="AM39" s="15">
        <v>4</v>
      </c>
      <c r="AN39" s="15">
        <v>5</v>
      </c>
      <c r="AO39" s="15">
        <v>4</v>
      </c>
      <c r="AP39" s="15">
        <v>6</v>
      </c>
    </row>
    <row r="40" spans="1:42" x14ac:dyDescent="0.35">
      <c r="A40" s="1">
        <v>44864</v>
      </c>
      <c r="B40" s="1" t="s">
        <v>16</v>
      </c>
      <c r="C40" t="s">
        <v>99</v>
      </c>
      <c r="D40" t="s">
        <v>100</v>
      </c>
      <c r="E40" t="s">
        <v>13</v>
      </c>
      <c r="G40">
        <v>1076</v>
      </c>
      <c r="J40">
        <f t="shared" si="4"/>
        <v>3</v>
      </c>
      <c r="K40">
        <f t="shared" si="5"/>
        <v>4.125</v>
      </c>
      <c r="M40">
        <v>4</v>
      </c>
      <c r="N40">
        <v>3</v>
      </c>
      <c r="O40">
        <v>6</v>
      </c>
      <c r="P40">
        <v>4</v>
      </c>
      <c r="Q40">
        <v>4</v>
      </c>
      <c r="R40">
        <v>3</v>
      </c>
      <c r="S40">
        <v>4</v>
      </c>
      <c r="T40">
        <v>5</v>
      </c>
      <c r="W40" s="19">
        <v>44859</v>
      </c>
      <c r="X40" s="19" t="s">
        <v>4</v>
      </c>
      <c r="Y40" s="19" t="s">
        <v>85</v>
      </c>
      <c r="Z40" s="19" t="s">
        <v>86</v>
      </c>
      <c r="AA40" s="19" t="s">
        <v>16</v>
      </c>
      <c r="AB40" s="19"/>
      <c r="AC40">
        <v>910</v>
      </c>
      <c r="AF40">
        <f t="shared" si="6"/>
        <v>4</v>
      </c>
      <c r="AG40">
        <f t="shared" si="7"/>
        <v>5.5</v>
      </c>
      <c r="AH40" s="15"/>
      <c r="AI40" s="15">
        <v>6</v>
      </c>
      <c r="AJ40" s="15">
        <v>6</v>
      </c>
      <c r="AK40" s="15">
        <v>4</v>
      </c>
      <c r="AL40" s="15">
        <v>7</v>
      </c>
      <c r="AM40" s="15">
        <v>5</v>
      </c>
      <c r="AN40" s="15">
        <v>6</v>
      </c>
      <c r="AO40" s="15">
        <v>6</v>
      </c>
      <c r="AP40" s="15">
        <v>4</v>
      </c>
    </row>
    <row r="41" spans="1:42" x14ac:dyDescent="0.35">
      <c r="A41" s="1">
        <v>44865</v>
      </c>
      <c r="B41" s="1" t="s">
        <v>13</v>
      </c>
      <c r="C41" t="s">
        <v>101</v>
      </c>
      <c r="D41" t="s">
        <v>102</v>
      </c>
      <c r="E41" t="s">
        <v>16</v>
      </c>
      <c r="G41">
        <v>3113</v>
      </c>
      <c r="J41">
        <f t="shared" si="4"/>
        <v>4</v>
      </c>
      <c r="K41">
        <f t="shared" si="5"/>
        <v>4.125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W41" s="19">
        <v>44860</v>
      </c>
      <c r="X41" s="19" t="s">
        <v>16</v>
      </c>
      <c r="Y41" s="19" t="s">
        <v>91</v>
      </c>
      <c r="Z41" s="19" t="s">
        <v>92</v>
      </c>
      <c r="AA41" s="19" t="s">
        <v>1</v>
      </c>
      <c r="AB41" s="19"/>
      <c r="AC41">
        <v>861</v>
      </c>
      <c r="AF41">
        <f t="shared" si="6"/>
        <v>4</v>
      </c>
      <c r="AG41">
        <f t="shared" si="7"/>
        <v>4.375</v>
      </c>
      <c r="AH41" s="15"/>
      <c r="AI41" s="15">
        <v>5</v>
      </c>
      <c r="AJ41" s="15">
        <v>5</v>
      </c>
      <c r="AK41" s="15">
        <v>5</v>
      </c>
      <c r="AL41" s="15">
        <v>4</v>
      </c>
      <c r="AM41" s="15">
        <v>4</v>
      </c>
      <c r="AN41" s="15">
        <v>4</v>
      </c>
      <c r="AO41" s="15">
        <v>4</v>
      </c>
      <c r="AP41" s="15">
        <v>4</v>
      </c>
    </row>
    <row r="42" spans="1:42" x14ac:dyDescent="0.35">
      <c r="A42" s="1">
        <v>44866</v>
      </c>
      <c r="B42" s="1" t="s">
        <v>16</v>
      </c>
      <c r="C42" t="s">
        <v>103</v>
      </c>
      <c r="D42" t="s">
        <v>104</v>
      </c>
      <c r="E42" t="s">
        <v>4</v>
      </c>
      <c r="G42">
        <v>873</v>
      </c>
      <c r="J42">
        <f t="shared" si="4"/>
        <v>4</v>
      </c>
      <c r="K42">
        <f t="shared" si="5"/>
        <v>4.5</v>
      </c>
      <c r="M42">
        <v>4</v>
      </c>
      <c r="N42">
        <v>6</v>
      </c>
      <c r="O42">
        <v>4</v>
      </c>
      <c r="P42">
        <v>4</v>
      </c>
      <c r="Q42">
        <v>5</v>
      </c>
      <c r="R42">
        <v>4</v>
      </c>
      <c r="S42">
        <v>4</v>
      </c>
      <c r="T42">
        <v>5</v>
      </c>
      <c r="W42" s="19">
        <v>44861</v>
      </c>
      <c r="X42" s="19" t="s">
        <v>1</v>
      </c>
      <c r="Y42" s="19" t="s">
        <v>93</v>
      </c>
      <c r="Z42" s="19" t="s">
        <v>94</v>
      </c>
      <c r="AA42" s="19" t="s">
        <v>16</v>
      </c>
      <c r="AB42" s="19"/>
      <c r="AC42">
        <v>247</v>
      </c>
      <c r="AF42">
        <f t="shared" si="6"/>
        <v>3</v>
      </c>
      <c r="AG42">
        <f t="shared" si="7"/>
        <v>4.25</v>
      </c>
      <c r="AH42" s="15"/>
      <c r="AI42" s="15">
        <v>4</v>
      </c>
      <c r="AJ42" s="15">
        <v>3</v>
      </c>
      <c r="AK42" s="15">
        <v>4</v>
      </c>
      <c r="AL42" s="15">
        <v>5</v>
      </c>
      <c r="AM42" s="15">
        <v>6</v>
      </c>
      <c r="AN42" s="15">
        <v>4</v>
      </c>
      <c r="AO42" s="15">
        <v>5</v>
      </c>
      <c r="AP42" s="15">
        <v>3</v>
      </c>
    </row>
    <row r="43" spans="1:42" x14ac:dyDescent="0.35">
      <c r="A43" s="1">
        <v>44867</v>
      </c>
      <c r="B43" s="1" t="s">
        <v>4</v>
      </c>
      <c r="C43" t="s">
        <v>105</v>
      </c>
      <c r="D43" t="s">
        <v>106</v>
      </c>
      <c r="E43" t="s">
        <v>16</v>
      </c>
      <c r="G43">
        <v>415</v>
      </c>
      <c r="J43">
        <f t="shared" si="4"/>
        <v>2</v>
      </c>
      <c r="K43">
        <f t="shared" si="5"/>
        <v>3.625</v>
      </c>
      <c r="M43">
        <v>5</v>
      </c>
      <c r="N43">
        <v>4</v>
      </c>
      <c r="O43">
        <v>4</v>
      </c>
      <c r="P43">
        <v>4</v>
      </c>
      <c r="Q43">
        <v>3</v>
      </c>
      <c r="R43">
        <v>3</v>
      </c>
      <c r="S43">
        <v>4</v>
      </c>
      <c r="T43">
        <v>2</v>
      </c>
      <c r="W43" s="19">
        <v>44862</v>
      </c>
      <c r="X43" s="19" t="s">
        <v>16</v>
      </c>
      <c r="Y43" s="19" t="s">
        <v>95</v>
      </c>
      <c r="Z43" s="19" t="s">
        <v>96</v>
      </c>
      <c r="AA43" s="19" t="s">
        <v>6</v>
      </c>
      <c r="AB43" s="19"/>
      <c r="AC43">
        <v>574</v>
      </c>
      <c r="AF43">
        <f t="shared" si="6"/>
        <v>4</v>
      </c>
      <c r="AG43">
        <f t="shared" si="7"/>
        <v>4.25</v>
      </c>
      <c r="AH43" s="15"/>
      <c r="AI43" s="15">
        <v>5</v>
      </c>
      <c r="AJ43" s="15">
        <v>4</v>
      </c>
      <c r="AK43" s="15">
        <v>4</v>
      </c>
      <c r="AL43" s="15">
        <v>4</v>
      </c>
      <c r="AM43" s="15">
        <v>4</v>
      </c>
      <c r="AN43" s="15">
        <v>4</v>
      </c>
      <c r="AO43" s="15">
        <v>4</v>
      </c>
      <c r="AP43" s="15">
        <v>5</v>
      </c>
    </row>
    <row r="44" spans="1:42" x14ac:dyDescent="0.35">
      <c r="A44" s="1">
        <v>44868</v>
      </c>
      <c r="B44" s="1" t="s">
        <v>16</v>
      </c>
      <c r="C44" t="s">
        <v>107</v>
      </c>
      <c r="D44" t="s">
        <v>108</v>
      </c>
      <c r="E44" t="s">
        <v>6</v>
      </c>
      <c r="G44">
        <v>109</v>
      </c>
      <c r="J44">
        <f t="shared" si="4"/>
        <v>2</v>
      </c>
      <c r="K44">
        <f t="shared" si="5"/>
        <v>3.625</v>
      </c>
      <c r="M44">
        <v>5</v>
      </c>
      <c r="N44">
        <v>4</v>
      </c>
      <c r="O44">
        <v>2</v>
      </c>
      <c r="P44">
        <v>4</v>
      </c>
      <c r="Q44">
        <v>3</v>
      </c>
      <c r="R44">
        <v>4</v>
      </c>
      <c r="S44">
        <v>3</v>
      </c>
      <c r="T44">
        <v>4</v>
      </c>
      <c r="W44" s="19">
        <v>44863</v>
      </c>
      <c r="X44" s="19" t="s">
        <v>6</v>
      </c>
      <c r="Y44" s="19" t="s">
        <v>97</v>
      </c>
      <c r="Z44" s="19" t="s">
        <v>98</v>
      </c>
      <c r="AA44" s="19" t="s">
        <v>16</v>
      </c>
      <c r="AB44" s="19"/>
      <c r="AC44">
        <v>4647</v>
      </c>
      <c r="AF44">
        <f t="shared" si="6"/>
        <v>4</v>
      </c>
      <c r="AG44">
        <f t="shared" si="7"/>
        <v>4.625</v>
      </c>
      <c r="AH44" s="15"/>
      <c r="AI44" s="15">
        <v>4</v>
      </c>
      <c r="AJ44" s="15">
        <v>7</v>
      </c>
      <c r="AK44" s="15">
        <v>4</v>
      </c>
      <c r="AL44" s="15">
        <v>4</v>
      </c>
      <c r="AM44" s="15">
        <v>4</v>
      </c>
      <c r="AN44" s="15">
        <v>6</v>
      </c>
      <c r="AO44" s="15">
        <v>4</v>
      </c>
      <c r="AP44" s="15">
        <v>4</v>
      </c>
    </row>
    <row r="45" spans="1:42" x14ac:dyDescent="0.35">
      <c r="A45" s="1">
        <v>44869</v>
      </c>
      <c r="B45" s="1" t="s">
        <v>6</v>
      </c>
      <c r="C45" t="s">
        <v>109</v>
      </c>
      <c r="D45" t="s">
        <v>110</v>
      </c>
      <c r="E45" t="s">
        <v>4</v>
      </c>
      <c r="G45">
        <v>193</v>
      </c>
      <c r="J45">
        <f t="shared" si="4"/>
        <v>3</v>
      </c>
      <c r="K45">
        <f t="shared" si="5"/>
        <v>3.875</v>
      </c>
      <c r="M45">
        <v>3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W45" s="19">
        <v>44864</v>
      </c>
      <c r="X45" s="19" t="s">
        <v>16</v>
      </c>
      <c r="Y45" s="19" t="s">
        <v>99</v>
      </c>
      <c r="Z45" s="19" t="s">
        <v>100</v>
      </c>
      <c r="AA45" s="19" t="s">
        <v>13</v>
      </c>
      <c r="AB45" s="19"/>
      <c r="AC45">
        <v>1076</v>
      </c>
      <c r="AF45">
        <f t="shared" si="6"/>
        <v>3</v>
      </c>
      <c r="AG45">
        <f t="shared" si="7"/>
        <v>4.125</v>
      </c>
      <c r="AH45" s="15"/>
      <c r="AI45" s="15">
        <v>4</v>
      </c>
      <c r="AJ45" s="15">
        <v>3</v>
      </c>
      <c r="AK45" s="15">
        <v>6</v>
      </c>
      <c r="AL45" s="15">
        <v>4</v>
      </c>
      <c r="AM45" s="15">
        <v>4</v>
      </c>
      <c r="AN45" s="15">
        <v>3</v>
      </c>
      <c r="AO45" s="15">
        <v>4</v>
      </c>
      <c r="AP45" s="15">
        <v>5</v>
      </c>
    </row>
    <row r="46" spans="1:42" x14ac:dyDescent="0.35">
      <c r="A46" s="1">
        <v>44870</v>
      </c>
      <c r="B46" s="1" t="s">
        <v>4</v>
      </c>
      <c r="C46" t="s">
        <v>111</v>
      </c>
      <c r="D46" t="s">
        <v>112</v>
      </c>
      <c r="E46" t="s">
        <v>2</v>
      </c>
      <c r="G46">
        <v>3001</v>
      </c>
      <c r="J46">
        <f t="shared" si="4"/>
        <v>2</v>
      </c>
      <c r="K46">
        <f t="shared" si="5"/>
        <v>4</v>
      </c>
      <c r="M46">
        <v>4</v>
      </c>
      <c r="N46">
        <v>4</v>
      </c>
      <c r="O46">
        <v>4</v>
      </c>
      <c r="P46">
        <v>2</v>
      </c>
      <c r="Q46">
        <v>4</v>
      </c>
      <c r="R46">
        <v>6</v>
      </c>
      <c r="S46">
        <v>4</v>
      </c>
      <c r="T46">
        <v>4</v>
      </c>
      <c r="W46" s="19">
        <v>44865</v>
      </c>
      <c r="X46" s="19" t="s">
        <v>13</v>
      </c>
      <c r="Y46" s="19" t="s">
        <v>101</v>
      </c>
      <c r="Z46" s="19" t="s">
        <v>102</v>
      </c>
      <c r="AA46" s="19" t="s">
        <v>16</v>
      </c>
      <c r="AB46" s="19"/>
      <c r="AC46">
        <v>3113</v>
      </c>
      <c r="AF46">
        <f t="shared" si="6"/>
        <v>4</v>
      </c>
      <c r="AG46">
        <f t="shared" si="7"/>
        <v>4.125</v>
      </c>
      <c r="AH46" s="15"/>
      <c r="AI46" s="15">
        <v>4</v>
      </c>
      <c r="AJ46" s="15">
        <v>5</v>
      </c>
      <c r="AK46" s="15">
        <v>4</v>
      </c>
      <c r="AL46" s="15">
        <v>4</v>
      </c>
      <c r="AM46" s="15">
        <v>4</v>
      </c>
      <c r="AN46" s="15">
        <v>4</v>
      </c>
      <c r="AO46" s="15">
        <v>4</v>
      </c>
      <c r="AP46" s="15">
        <v>4</v>
      </c>
    </row>
    <row r="47" spans="1:42" x14ac:dyDescent="0.35">
      <c r="A47" s="1">
        <v>44871</v>
      </c>
      <c r="B47" s="1" t="s">
        <v>2</v>
      </c>
      <c r="C47" t="s">
        <v>113</v>
      </c>
      <c r="D47" t="s">
        <v>114</v>
      </c>
      <c r="E47" t="s">
        <v>1</v>
      </c>
      <c r="G47">
        <v>2513</v>
      </c>
      <c r="J47">
        <f t="shared" si="4"/>
        <v>2</v>
      </c>
      <c r="K47">
        <f t="shared" si="5"/>
        <v>4</v>
      </c>
      <c r="M47">
        <v>3</v>
      </c>
      <c r="N47">
        <v>4</v>
      </c>
      <c r="O47">
        <v>3</v>
      </c>
      <c r="P47">
        <v>6</v>
      </c>
      <c r="Q47">
        <v>5</v>
      </c>
      <c r="R47">
        <v>4</v>
      </c>
      <c r="S47">
        <v>2</v>
      </c>
      <c r="T47">
        <v>5</v>
      </c>
      <c r="W47" s="19">
        <v>44866</v>
      </c>
      <c r="X47" s="19" t="s">
        <v>16</v>
      </c>
      <c r="Y47" s="19" t="s">
        <v>103</v>
      </c>
      <c r="Z47" s="19" t="s">
        <v>104</v>
      </c>
      <c r="AA47" s="19" t="s">
        <v>4</v>
      </c>
      <c r="AB47" s="19"/>
      <c r="AC47">
        <v>873</v>
      </c>
      <c r="AF47">
        <f t="shared" si="6"/>
        <v>4</v>
      </c>
      <c r="AG47">
        <f t="shared" si="7"/>
        <v>4.5</v>
      </c>
      <c r="AH47" s="15"/>
      <c r="AI47" s="15">
        <v>4</v>
      </c>
      <c r="AJ47" s="15">
        <v>6</v>
      </c>
      <c r="AK47" s="15">
        <v>4</v>
      </c>
      <c r="AL47" s="15">
        <v>4</v>
      </c>
      <c r="AM47" s="15">
        <v>5</v>
      </c>
      <c r="AN47" s="15">
        <v>4</v>
      </c>
      <c r="AO47" s="15">
        <v>4</v>
      </c>
      <c r="AP47" s="15">
        <v>5</v>
      </c>
    </row>
    <row r="48" spans="1:42" x14ac:dyDescent="0.35">
      <c r="A48" s="1">
        <v>44872</v>
      </c>
      <c r="B48" s="1" t="s">
        <v>1</v>
      </c>
      <c r="C48" t="s">
        <v>115</v>
      </c>
      <c r="D48" t="s">
        <v>116</v>
      </c>
      <c r="E48" t="s">
        <v>2</v>
      </c>
      <c r="G48">
        <v>1937</v>
      </c>
      <c r="J48">
        <f t="shared" si="4"/>
        <v>3</v>
      </c>
      <c r="K48">
        <f t="shared" si="5"/>
        <v>4.25</v>
      </c>
      <c r="M48">
        <v>5</v>
      </c>
      <c r="N48">
        <v>6</v>
      </c>
      <c r="O48">
        <v>4</v>
      </c>
      <c r="P48">
        <v>3</v>
      </c>
      <c r="Q48">
        <v>4</v>
      </c>
      <c r="R48">
        <v>4</v>
      </c>
      <c r="S48">
        <v>4</v>
      </c>
      <c r="T48">
        <v>4</v>
      </c>
      <c r="W48" s="19">
        <v>44867</v>
      </c>
      <c r="X48" s="19" t="s">
        <v>4</v>
      </c>
      <c r="Y48" s="19" t="s">
        <v>105</v>
      </c>
      <c r="Z48" s="19" t="s">
        <v>106</v>
      </c>
      <c r="AA48" s="19" t="s">
        <v>16</v>
      </c>
      <c r="AB48" s="19"/>
      <c r="AC48">
        <v>415</v>
      </c>
      <c r="AF48">
        <f t="shared" si="6"/>
        <v>2</v>
      </c>
      <c r="AG48">
        <f t="shared" si="7"/>
        <v>3.625</v>
      </c>
      <c r="AH48" s="15"/>
      <c r="AI48" s="15">
        <v>5</v>
      </c>
      <c r="AJ48" s="15">
        <v>4</v>
      </c>
      <c r="AK48" s="15">
        <v>4</v>
      </c>
      <c r="AL48" s="15">
        <v>4</v>
      </c>
      <c r="AM48" s="15">
        <v>3</v>
      </c>
      <c r="AN48" s="15">
        <v>3</v>
      </c>
      <c r="AO48" s="15">
        <v>4</v>
      </c>
      <c r="AP48" s="15">
        <v>2</v>
      </c>
    </row>
    <row r="49" spans="1:42" x14ac:dyDescent="0.35">
      <c r="A49" s="1">
        <v>44873</v>
      </c>
      <c r="B49" s="1" t="s">
        <v>2</v>
      </c>
      <c r="C49" t="s">
        <v>117</v>
      </c>
      <c r="D49" t="s">
        <v>118</v>
      </c>
      <c r="E49" t="s">
        <v>13</v>
      </c>
      <c r="G49">
        <v>2889</v>
      </c>
      <c r="J49">
        <f t="shared" si="4"/>
        <v>3</v>
      </c>
      <c r="K49">
        <f t="shared" si="5"/>
        <v>3.75</v>
      </c>
      <c r="M49">
        <v>3</v>
      </c>
      <c r="N49">
        <v>4</v>
      </c>
      <c r="O49">
        <v>5</v>
      </c>
      <c r="P49">
        <v>4</v>
      </c>
      <c r="Q49">
        <v>3</v>
      </c>
      <c r="R49">
        <v>3</v>
      </c>
      <c r="S49">
        <v>4</v>
      </c>
      <c r="T49">
        <v>4</v>
      </c>
      <c r="W49" s="19">
        <v>44868</v>
      </c>
      <c r="X49" s="19" t="s">
        <v>16</v>
      </c>
      <c r="Y49" s="19" t="s">
        <v>107</v>
      </c>
      <c r="Z49" s="19" t="s">
        <v>108</v>
      </c>
      <c r="AA49" s="19" t="s">
        <v>6</v>
      </c>
      <c r="AB49" s="19"/>
      <c r="AC49">
        <v>109</v>
      </c>
      <c r="AF49">
        <f t="shared" si="6"/>
        <v>2</v>
      </c>
      <c r="AG49">
        <f t="shared" si="7"/>
        <v>3.625</v>
      </c>
      <c r="AH49" s="15"/>
      <c r="AI49" s="15">
        <v>5</v>
      </c>
      <c r="AJ49" s="15">
        <v>4</v>
      </c>
      <c r="AK49" s="15">
        <v>2</v>
      </c>
      <c r="AL49" s="15">
        <v>4</v>
      </c>
      <c r="AM49" s="15">
        <v>3</v>
      </c>
      <c r="AN49" s="15">
        <v>4</v>
      </c>
      <c r="AO49" s="15">
        <v>3</v>
      </c>
      <c r="AP49" s="15">
        <v>4</v>
      </c>
    </row>
    <row r="50" spans="1:42" x14ac:dyDescent="0.35">
      <c r="A50" s="1">
        <v>44874</v>
      </c>
      <c r="B50" s="1" t="s">
        <v>13</v>
      </c>
      <c r="C50" t="s">
        <v>119</v>
      </c>
      <c r="D50" t="s">
        <v>120</v>
      </c>
      <c r="E50" t="s">
        <v>2</v>
      </c>
      <c r="G50">
        <v>41</v>
      </c>
      <c r="J50">
        <f t="shared" si="4"/>
        <v>2</v>
      </c>
      <c r="K50">
        <f t="shared" si="5"/>
        <v>3.125</v>
      </c>
      <c r="M50">
        <v>3</v>
      </c>
      <c r="N50">
        <v>4</v>
      </c>
      <c r="O50">
        <v>4</v>
      </c>
      <c r="P50">
        <v>2</v>
      </c>
      <c r="Q50">
        <v>3</v>
      </c>
      <c r="R50">
        <v>4</v>
      </c>
      <c r="S50">
        <v>3</v>
      </c>
      <c r="T50">
        <v>2</v>
      </c>
      <c r="W50" s="19">
        <v>44869</v>
      </c>
      <c r="X50" s="19" t="s">
        <v>6</v>
      </c>
      <c r="Y50" s="19" t="s">
        <v>109</v>
      </c>
      <c r="Z50" s="19" t="s">
        <v>110</v>
      </c>
      <c r="AA50" s="19" t="s">
        <v>4</v>
      </c>
      <c r="AB50" s="19"/>
      <c r="AC50">
        <v>193</v>
      </c>
      <c r="AF50">
        <f t="shared" si="6"/>
        <v>3</v>
      </c>
      <c r="AG50">
        <f t="shared" si="7"/>
        <v>3.875</v>
      </c>
      <c r="AH50" s="15"/>
      <c r="AI50" s="15">
        <v>3</v>
      </c>
      <c r="AJ50" s="15">
        <v>4</v>
      </c>
      <c r="AK50" s="15">
        <v>4</v>
      </c>
      <c r="AL50" s="15">
        <v>4</v>
      </c>
      <c r="AM50" s="15">
        <v>4</v>
      </c>
      <c r="AN50" s="15">
        <v>4</v>
      </c>
      <c r="AO50" s="15">
        <v>4</v>
      </c>
      <c r="AP50" s="15">
        <v>4</v>
      </c>
    </row>
    <row r="51" spans="1:42" x14ac:dyDescent="0.35">
      <c r="A51" s="1">
        <v>44875</v>
      </c>
      <c r="B51" s="1" t="s">
        <v>2</v>
      </c>
      <c r="C51" t="s">
        <v>121</v>
      </c>
      <c r="D51" t="s">
        <v>122</v>
      </c>
      <c r="E51" t="s">
        <v>6</v>
      </c>
      <c r="G51">
        <v>68</v>
      </c>
      <c r="J51">
        <f t="shared" si="4"/>
        <v>3</v>
      </c>
      <c r="K51">
        <f t="shared" si="5"/>
        <v>4.25</v>
      </c>
      <c r="M51">
        <v>4</v>
      </c>
      <c r="N51">
        <v>4</v>
      </c>
      <c r="O51">
        <v>3</v>
      </c>
      <c r="P51">
        <v>6</v>
      </c>
      <c r="Q51">
        <v>4</v>
      </c>
      <c r="R51">
        <v>4</v>
      </c>
      <c r="S51">
        <v>5</v>
      </c>
      <c r="T51">
        <v>4</v>
      </c>
      <c r="W51" s="19">
        <v>44870</v>
      </c>
      <c r="X51" s="19" t="s">
        <v>4</v>
      </c>
      <c r="Y51" s="19" t="s">
        <v>111</v>
      </c>
      <c r="Z51" s="19" t="s">
        <v>112</v>
      </c>
      <c r="AA51" s="19" t="s">
        <v>2</v>
      </c>
      <c r="AB51" s="19"/>
      <c r="AC51">
        <v>3001</v>
      </c>
      <c r="AF51">
        <f t="shared" si="6"/>
        <v>2</v>
      </c>
      <c r="AG51">
        <f t="shared" si="7"/>
        <v>4</v>
      </c>
      <c r="AH51" s="15"/>
      <c r="AI51" s="15">
        <v>4</v>
      </c>
      <c r="AJ51" s="15">
        <v>4</v>
      </c>
      <c r="AK51" s="15">
        <v>4</v>
      </c>
      <c r="AL51" s="15">
        <v>2</v>
      </c>
      <c r="AM51" s="15">
        <v>4</v>
      </c>
      <c r="AN51" s="15">
        <v>6</v>
      </c>
      <c r="AO51" s="15">
        <v>4</v>
      </c>
      <c r="AP51" s="15">
        <v>4</v>
      </c>
    </row>
    <row r="52" spans="1:42" x14ac:dyDescent="0.35">
      <c r="A52" s="1">
        <v>44876</v>
      </c>
      <c r="B52" s="1" t="s">
        <v>6</v>
      </c>
      <c r="C52" t="s">
        <v>123</v>
      </c>
      <c r="D52" t="s">
        <v>126</v>
      </c>
      <c r="E52" t="s">
        <v>4</v>
      </c>
      <c r="G52">
        <v>529</v>
      </c>
      <c r="J52">
        <f t="shared" si="4"/>
        <v>3</v>
      </c>
      <c r="K52">
        <f t="shared" si="5"/>
        <v>4.375</v>
      </c>
      <c r="M52">
        <v>3</v>
      </c>
      <c r="N52">
        <v>5</v>
      </c>
      <c r="O52">
        <v>5</v>
      </c>
      <c r="P52">
        <v>5</v>
      </c>
      <c r="Q52">
        <v>5</v>
      </c>
      <c r="R52">
        <v>3</v>
      </c>
      <c r="S52">
        <v>5</v>
      </c>
      <c r="T52">
        <v>4</v>
      </c>
      <c r="W52" s="19">
        <v>44871</v>
      </c>
      <c r="X52" s="19" t="s">
        <v>2</v>
      </c>
      <c r="Y52" s="19" t="s">
        <v>113</v>
      </c>
      <c r="Z52" s="19" t="s">
        <v>114</v>
      </c>
      <c r="AA52" s="19" t="s">
        <v>1</v>
      </c>
      <c r="AB52" s="19"/>
      <c r="AC52">
        <v>2513</v>
      </c>
      <c r="AF52">
        <f t="shared" si="6"/>
        <v>2</v>
      </c>
      <c r="AG52">
        <f t="shared" si="7"/>
        <v>4</v>
      </c>
      <c r="AH52" s="15"/>
      <c r="AI52" s="15">
        <v>3</v>
      </c>
      <c r="AJ52" s="15">
        <v>4</v>
      </c>
      <c r="AK52" s="15">
        <v>3</v>
      </c>
      <c r="AL52" s="15">
        <v>6</v>
      </c>
      <c r="AM52" s="15">
        <v>5</v>
      </c>
      <c r="AN52" s="15">
        <v>4</v>
      </c>
      <c r="AO52" s="15">
        <v>2</v>
      </c>
      <c r="AP52" s="15">
        <v>5</v>
      </c>
    </row>
    <row r="53" spans="1:42" x14ac:dyDescent="0.35">
      <c r="A53" s="1">
        <v>44877</v>
      </c>
      <c r="B53" s="1" t="s">
        <v>4</v>
      </c>
      <c r="C53" t="s">
        <v>124</v>
      </c>
      <c r="D53" t="s">
        <v>125</v>
      </c>
      <c r="E53" t="s">
        <v>2</v>
      </c>
      <c r="G53">
        <v>38</v>
      </c>
      <c r="J53">
        <f t="shared" si="4"/>
        <v>2</v>
      </c>
      <c r="K53">
        <f t="shared" si="5"/>
        <v>3</v>
      </c>
      <c r="M53">
        <v>5</v>
      </c>
      <c r="N53">
        <v>2</v>
      </c>
      <c r="O53">
        <v>3</v>
      </c>
      <c r="P53">
        <v>2</v>
      </c>
      <c r="Q53">
        <v>3</v>
      </c>
      <c r="R53">
        <v>3</v>
      </c>
      <c r="S53">
        <v>3</v>
      </c>
      <c r="T53">
        <v>3</v>
      </c>
      <c r="W53" s="19">
        <v>44872</v>
      </c>
      <c r="X53" s="19" t="s">
        <v>1</v>
      </c>
      <c r="Y53" s="19" t="s">
        <v>115</v>
      </c>
      <c r="Z53" s="19" t="s">
        <v>116</v>
      </c>
      <c r="AA53" s="19" t="s">
        <v>2</v>
      </c>
      <c r="AB53" s="19"/>
      <c r="AC53">
        <v>1937</v>
      </c>
      <c r="AF53">
        <f t="shared" si="6"/>
        <v>3</v>
      </c>
      <c r="AG53">
        <f t="shared" si="7"/>
        <v>4.25</v>
      </c>
      <c r="AH53" s="15"/>
      <c r="AI53" s="15">
        <v>5</v>
      </c>
      <c r="AJ53" s="15">
        <v>6</v>
      </c>
      <c r="AK53" s="15">
        <v>4</v>
      </c>
      <c r="AL53" s="15">
        <v>3</v>
      </c>
      <c r="AM53" s="15">
        <v>4</v>
      </c>
      <c r="AN53" s="15">
        <v>4</v>
      </c>
      <c r="AO53" s="15">
        <v>4</v>
      </c>
      <c r="AP53" s="15">
        <v>4</v>
      </c>
    </row>
    <row r="54" spans="1:42" x14ac:dyDescent="0.35">
      <c r="A54" s="1">
        <v>44878</v>
      </c>
      <c r="B54" s="1" t="s">
        <v>2</v>
      </c>
      <c r="C54" t="s">
        <v>127</v>
      </c>
      <c r="D54" t="s">
        <v>128</v>
      </c>
      <c r="E54" t="s">
        <v>13</v>
      </c>
      <c r="G54">
        <v>348</v>
      </c>
      <c r="J54">
        <f t="shared" si="4"/>
        <v>3</v>
      </c>
      <c r="K54">
        <f t="shared" si="5"/>
        <v>3.875</v>
      </c>
      <c r="M54">
        <v>4</v>
      </c>
      <c r="N54">
        <v>4</v>
      </c>
      <c r="O54">
        <v>3</v>
      </c>
      <c r="P54">
        <v>3</v>
      </c>
      <c r="Q54">
        <v>5</v>
      </c>
      <c r="R54">
        <v>3</v>
      </c>
      <c r="S54">
        <v>4</v>
      </c>
      <c r="T54">
        <v>5</v>
      </c>
      <c r="W54" s="19">
        <v>44873</v>
      </c>
      <c r="X54" s="19" t="s">
        <v>2</v>
      </c>
      <c r="Y54" s="19" t="s">
        <v>117</v>
      </c>
      <c r="Z54" s="19" t="s">
        <v>118</v>
      </c>
      <c r="AA54" s="19" t="s">
        <v>13</v>
      </c>
      <c r="AB54" s="19"/>
      <c r="AC54">
        <v>2889</v>
      </c>
      <c r="AF54">
        <f t="shared" si="6"/>
        <v>3</v>
      </c>
      <c r="AG54">
        <f t="shared" si="7"/>
        <v>3.75</v>
      </c>
      <c r="AH54" s="15"/>
      <c r="AI54" s="15">
        <v>3</v>
      </c>
      <c r="AJ54" s="15">
        <v>4</v>
      </c>
      <c r="AK54" s="15">
        <v>5</v>
      </c>
      <c r="AL54" s="15">
        <v>4</v>
      </c>
      <c r="AM54" s="15">
        <v>3</v>
      </c>
      <c r="AN54" s="15">
        <v>3</v>
      </c>
      <c r="AO54" s="15">
        <v>4</v>
      </c>
      <c r="AP54" s="15">
        <v>4</v>
      </c>
    </row>
    <row r="55" spans="1:42" x14ac:dyDescent="0.35">
      <c r="A55" s="1">
        <v>44879</v>
      </c>
      <c r="B55" s="1" t="s">
        <v>13</v>
      </c>
      <c r="C55" t="s">
        <v>129</v>
      </c>
      <c r="D55" t="s">
        <v>130</v>
      </c>
      <c r="E55" t="s">
        <v>20</v>
      </c>
      <c r="G55">
        <v>599</v>
      </c>
      <c r="J55">
        <f t="shared" si="4"/>
        <v>3</v>
      </c>
      <c r="K55">
        <f t="shared" si="5"/>
        <v>4.125</v>
      </c>
      <c r="M55">
        <v>5</v>
      </c>
      <c r="N55">
        <v>3</v>
      </c>
      <c r="O55">
        <v>3</v>
      </c>
      <c r="P55">
        <v>4</v>
      </c>
      <c r="Q55">
        <v>6</v>
      </c>
      <c r="R55">
        <v>5</v>
      </c>
      <c r="S55">
        <v>3</v>
      </c>
      <c r="T55">
        <v>4</v>
      </c>
      <c r="W55" s="19">
        <v>44874</v>
      </c>
      <c r="X55" s="19" t="s">
        <v>13</v>
      </c>
      <c r="Y55" s="19" t="s">
        <v>119</v>
      </c>
      <c r="Z55" s="19" t="s">
        <v>120</v>
      </c>
      <c r="AA55" s="19" t="s">
        <v>2</v>
      </c>
      <c r="AB55" s="19"/>
      <c r="AC55">
        <v>41</v>
      </c>
      <c r="AF55">
        <f t="shared" si="6"/>
        <v>2</v>
      </c>
      <c r="AG55">
        <f t="shared" si="7"/>
        <v>3.125</v>
      </c>
      <c r="AH55" s="15"/>
      <c r="AI55" s="15">
        <v>3</v>
      </c>
      <c r="AJ55" s="15">
        <v>4</v>
      </c>
      <c r="AK55" s="15">
        <v>4</v>
      </c>
      <c r="AL55" s="15">
        <v>2</v>
      </c>
      <c r="AM55" s="15">
        <v>3</v>
      </c>
      <c r="AN55" s="15">
        <v>4</v>
      </c>
      <c r="AO55" s="15">
        <v>3</v>
      </c>
      <c r="AP55" s="15">
        <v>2</v>
      </c>
    </row>
    <row r="56" spans="1:42" x14ac:dyDescent="0.35">
      <c r="A56" s="1">
        <v>44880</v>
      </c>
      <c r="B56" s="1" t="s">
        <v>20</v>
      </c>
      <c r="C56" t="s">
        <v>131</v>
      </c>
      <c r="D56" t="s">
        <v>132</v>
      </c>
      <c r="E56" t="s">
        <v>6</v>
      </c>
      <c r="G56">
        <v>30</v>
      </c>
      <c r="J56">
        <f t="shared" si="4"/>
        <v>4</v>
      </c>
      <c r="K56">
        <f t="shared" si="5"/>
        <v>5</v>
      </c>
      <c r="M56">
        <v>5</v>
      </c>
      <c r="N56">
        <v>5</v>
      </c>
      <c r="O56">
        <v>4</v>
      </c>
      <c r="P56">
        <v>5</v>
      </c>
      <c r="Q56">
        <v>5</v>
      </c>
      <c r="R56">
        <v>5</v>
      </c>
      <c r="S56">
        <v>5</v>
      </c>
      <c r="T56">
        <v>6</v>
      </c>
      <c r="W56" s="19">
        <v>44875</v>
      </c>
      <c r="X56" s="19" t="s">
        <v>2</v>
      </c>
      <c r="Y56" s="19" t="s">
        <v>121</v>
      </c>
      <c r="Z56" s="19" t="s">
        <v>122</v>
      </c>
      <c r="AA56" s="19" t="s">
        <v>6</v>
      </c>
      <c r="AB56" s="19"/>
      <c r="AC56">
        <v>68</v>
      </c>
      <c r="AF56">
        <f t="shared" si="6"/>
        <v>3</v>
      </c>
      <c r="AG56">
        <f t="shared" si="7"/>
        <v>4.25</v>
      </c>
      <c r="AH56" s="15"/>
      <c r="AI56" s="15">
        <v>4</v>
      </c>
      <c r="AJ56" s="15">
        <v>4</v>
      </c>
      <c r="AK56" s="15">
        <v>3</v>
      </c>
      <c r="AL56" s="15">
        <v>6</v>
      </c>
      <c r="AM56" s="15">
        <v>4</v>
      </c>
      <c r="AN56" s="15">
        <v>4</v>
      </c>
      <c r="AO56" s="15">
        <v>5</v>
      </c>
      <c r="AP56" s="15">
        <v>4</v>
      </c>
    </row>
    <row r="57" spans="1:42" x14ac:dyDescent="0.35">
      <c r="A57" s="1">
        <v>44881</v>
      </c>
      <c r="B57" s="1" t="s">
        <v>6</v>
      </c>
      <c r="C57" t="s">
        <v>133</v>
      </c>
      <c r="D57" t="s">
        <v>134</v>
      </c>
      <c r="E57" t="s">
        <v>13</v>
      </c>
      <c r="G57">
        <v>2252</v>
      </c>
      <c r="J57">
        <f t="shared" si="4"/>
        <v>3</v>
      </c>
      <c r="K57">
        <f t="shared" si="5"/>
        <v>4.125</v>
      </c>
      <c r="M57">
        <v>4</v>
      </c>
      <c r="N57">
        <v>4</v>
      </c>
      <c r="O57">
        <v>4</v>
      </c>
      <c r="P57">
        <v>4</v>
      </c>
      <c r="Q57">
        <v>4</v>
      </c>
      <c r="R57">
        <v>3</v>
      </c>
      <c r="S57">
        <v>6</v>
      </c>
      <c r="T57">
        <v>4</v>
      </c>
      <c r="W57" s="19">
        <v>44876</v>
      </c>
      <c r="X57" s="19" t="s">
        <v>6</v>
      </c>
      <c r="Y57" s="19" t="s">
        <v>123</v>
      </c>
      <c r="Z57" s="19" t="s">
        <v>126</v>
      </c>
      <c r="AA57" s="19" t="s">
        <v>4</v>
      </c>
      <c r="AB57" s="19"/>
      <c r="AC57">
        <v>529</v>
      </c>
      <c r="AF57">
        <f t="shared" si="6"/>
        <v>3</v>
      </c>
      <c r="AG57">
        <f t="shared" si="7"/>
        <v>4.375</v>
      </c>
      <c r="AH57" s="15"/>
      <c r="AI57" s="15">
        <v>3</v>
      </c>
      <c r="AJ57" s="15">
        <v>5</v>
      </c>
      <c r="AK57" s="15">
        <v>5</v>
      </c>
      <c r="AL57" s="15">
        <v>5</v>
      </c>
      <c r="AM57" s="15">
        <v>5</v>
      </c>
      <c r="AN57" s="15">
        <v>3</v>
      </c>
      <c r="AO57" s="15">
        <v>5</v>
      </c>
      <c r="AP57" s="15">
        <v>4</v>
      </c>
    </row>
    <row r="58" spans="1:42" x14ac:dyDescent="0.35">
      <c r="A58" s="1">
        <v>44882</v>
      </c>
      <c r="B58" s="1" t="s">
        <v>13</v>
      </c>
      <c r="C58" t="s">
        <v>135</v>
      </c>
      <c r="D58" t="s">
        <v>136</v>
      </c>
      <c r="E58" t="s">
        <v>20</v>
      </c>
      <c r="G58">
        <v>104</v>
      </c>
      <c r="J58">
        <f t="shared" si="4"/>
        <v>3</v>
      </c>
      <c r="K58">
        <f t="shared" si="5"/>
        <v>3.375</v>
      </c>
      <c r="M58">
        <v>3</v>
      </c>
      <c r="N58">
        <v>3</v>
      </c>
      <c r="O58">
        <v>4</v>
      </c>
      <c r="P58">
        <v>4</v>
      </c>
      <c r="Q58">
        <v>3</v>
      </c>
      <c r="R58">
        <v>3</v>
      </c>
      <c r="S58">
        <v>4</v>
      </c>
      <c r="T58">
        <v>3</v>
      </c>
      <c r="W58" s="19">
        <v>44877</v>
      </c>
      <c r="X58" s="19" t="s">
        <v>4</v>
      </c>
      <c r="Y58" s="19" t="s">
        <v>124</v>
      </c>
      <c r="Z58" s="19" t="s">
        <v>125</v>
      </c>
      <c r="AA58" s="19" t="s">
        <v>2</v>
      </c>
      <c r="AB58" s="19"/>
      <c r="AC58">
        <v>38</v>
      </c>
      <c r="AF58">
        <f t="shared" si="6"/>
        <v>2</v>
      </c>
      <c r="AG58">
        <f t="shared" si="7"/>
        <v>3</v>
      </c>
      <c r="AH58" s="15"/>
      <c r="AI58" s="15">
        <v>5</v>
      </c>
      <c r="AJ58" s="15">
        <v>2</v>
      </c>
      <c r="AK58" s="15">
        <v>3</v>
      </c>
      <c r="AL58" s="15">
        <v>2</v>
      </c>
      <c r="AM58" s="15">
        <v>3</v>
      </c>
      <c r="AN58" s="15">
        <v>3</v>
      </c>
      <c r="AO58" s="15">
        <v>3</v>
      </c>
      <c r="AP58" s="15">
        <v>3</v>
      </c>
    </row>
    <row r="59" spans="1:42" x14ac:dyDescent="0.35">
      <c r="A59" s="1">
        <v>44883</v>
      </c>
      <c r="B59" s="1" t="s">
        <v>20</v>
      </c>
      <c r="C59" t="s">
        <v>137</v>
      </c>
      <c r="D59" t="s">
        <v>138</v>
      </c>
      <c r="E59" t="s">
        <v>2</v>
      </c>
      <c r="G59">
        <v>3667</v>
      </c>
      <c r="J59">
        <f t="shared" si="4"/>
        <v>3</v>
      </c>
      <c r="K59">
        <f t="shared" si="5"/>
        <v>4</v>
      </c>
      <c r="M59">
        <v>4</v>
      </c>
      <c r="N59">
        <v>4</v>
      </c>
      <c r="O59">
        <v>4</v>
      </c>
      <c r="P59">
        <v>3</v>
      </c>
      <c r="Q59">
        <v>4</v>
      </c>
      <c r="R59">
        <v>5</v>
      </c>
      <c r="S59">
        <v>4</v>
      </c>
      <c r="T59">
        <v>4</v>
      </c>
      <c r="W59" s="19">
        <v>44878</v>
      </c>
      <c r="X59" s="19" t="s">
        <v>2</v>
      </c>
      <c r="Y59" s="19" t="s">
        <v>127</v>
      </c>
      <c r="Z59" s="19" t="s">
        <v>128</v>
      </c>
      <c r="AA59" s="19" t="s">
        <v>13</v>
      </c>
      <c r="AB59" s="19"/>
      <c r="AC59">
        <v>348</v>
      </c>
      <c r="AF59">
        <f t="shared" si="6"/>
        <v>3</v>
      </c>
      <c r="AG59">
        <f t="shared" si="7"/>
        <v>3.875</v>
      </c>
      <c r="AH59" s="15"/>
      <c r="AI59" s="15">
        <v>4</v>
      </c>
      <c r="AJ59" s="15">
        <v>4</v>
      </c>
      <c r="AK59" s="15">
        <v>3</v>
      </c>
      <c r="AL59" s="15">
        <v>3</v>
      </c>
      <c r="AM59" s="15">
        <v>5</v>
      </c>
      <c r="AN59" s="15">
        <v>3</v>
      </c>
      <c r="AO59" s="15">
        <v>4</v>
      </c>
      <c r="AP59" s="15">
        <v>5</v>
      </c>
    </row>
    <row r="60" spans="1:42" x14ac:dyDescent="0.35">
      <c r="A60" s="1">
        <v>44884</v>
      </c>
      <c r="B60" s="1" t="s">
        <v>2</v>
      </c>
      <c r="C60" t="s">
        <v>139</v>
      </c>
      <c r="D60" t="s">
        <v>140</v>
      </c>
      <c r="E60" t="s">
        <v>4</v>
      </c>
      <c r="G60">
        <v>410</v>
      </c>
      <c r="J60">
        <f t="shared" si="4"/>
        <v>3</v>
      </c>
      <c r="K60">
        <f t="shared" si="5"/>
        <v>3.875</v>
      </c>
      <c r="M60">
        <v>3</v>
      </c>
      <c r="N60">
        <v>4</v>
      </c>
      <c r="O60">
        <v>5</v>
      </c>
      <c r="P60">
        <v>3</v>
      </c>
      <c r="Q60">
        <v>3</v>
      </c>
      <c r="R60">
        <v>4</v>
      </c>
      <c r="S60">
        <v>4</v>
      </c>
      <c r="T60">
        <v>5</v>
      </c>
      <c r="W60" s="19">
        <v>44879</v>
      </c>
      <c r="X60" s="19" t="s">
        <v>13</v>
      </c>
      <c r="Y60" s="19" t="s">
        <v>129</v>
      </c>
      <c r="Z60" s="19" t="s">
        <v>130</v>
      </c>
      <c r="AA60" s="19" t="s">
        <v>20</v>
      </c>
      <c r="AB60" s="19"/>
      <c r="AC60">
        <v>599</v>
      </c>
      <c r="AF60">
        <f t="shared" si="6"/>
        <v>3</v>
      </c>
      <c r="AG60">
        <f t="shared" si="7"/>
        <v>4.125</v>
      </c>
      <c r="AH60" s="15"/>
      <c r="AI60" s="15">
        <v>5</v>
      </c>
      <c r="AJ60" s="15">
        <v>3</v>
      </c>
      <c r="AK60" s="15">
        <v>3</v>
      </c>
      <c r="AL60" s="15">
        <v>4</v>
      </c>
      <c r="AM60" s="15">
        <v>6</v>
      </c>
      <c r="AN60" s="15">
        <v>5</v>
      </c>
      <c r="AO60" s="15">
        <v>3</v>
      </c>
      <c r="AP60" s="15">
        <v>4</v>
      </c>
    </row>
    <row r="61" spans="1:42" x14ac:dyDescent="0.35">
      <c r="A61" s="1">
        <v>44885</v>
      </c>
      <c r="B61" s="1" t="s">
        <v>4</v>
      </c>
      <c r="C61" t="s">
        <v>141</v>
      </c>
      <c r="D61" t="s">
        <v>142</v>
      </c>
      <c r="E61" t="s">
        <v>4</v>
      </c>
      <c r="G61">
        <v>4015</v>
      </c>
      <c r="J61">
        <f t="shared" si="4"/>
        <v>4</v>
      </c>
      <c r="K61">
        <f t="shared" si="5"/>
        <v>4.625</v>
      </c>
      <c r="M61">
        <v>4</v>
      </c>
      <c r="N61">
        <v>4</v>
      </c>
      <c r="O61">
        <v>4</v>
      </c>
      <c r="P61">
        <v>5</v>
      </c>
      <c r="Q61">
        <v>5</v>
      </c>
      <c r="R61">
        <v>5</v>
      </c>
      <c r="S61">
        <v>5</v>
      </c>
      <c r="T61">
        <v>5</v>
      </c>
      <c r="W61" s="19">
        <v>44880</v>
      </c>
      <c r="X61" s="19" t="s">
        <v>20</v>
      </c>
      <c r="Y61" s="19" t="s">
        <v>131</v>
      </c>
      <c r="Z61" s="19" t="s">
        <v>132</v>
      </c>
      <c r="AA61" s="19" t="s">
        <v>6</v>
      </c>
      <c r="AB61" s="19"/>
      <c r="AC61">
        <v>30</v>
      </c>
      <c r="AF61">
        <f t="shared" si="6"/>
        <v>4</v>
      </c>
      <c r="AG61">
        <f t="shared" si="7"/>
        <v>5</v>
      </c>
      <c r="AH61" s="15"/>
      <c r="AI61" s="15">
        <v>5</v>
      </c>
      <c r="AJ61" s="15">
        <v>5</v>
      </c>
      <c r="AK61" s="15">
        <v>4</v>
      </c>
      <c r="AL61" s="15">
        <v>5</v>
      </c>
      <c r="AM61" s="15">
        <v>5</v>
      </c>
      <c r="AN61" s="15">
        <v>5</v>
      </c>
      <c r="AO61" s="15">
        <v>5</v>
      </c>
      <c r="AP61" s="15">
        <v>6</v>
      </c>
    </row>
    <row r="62" spans="1:42" x14ac:dyDescent="0.35">
      <c r="A62" s="1">
        <v>44886</v>
      </c>
      <c r="B62" s="1" t="s">
        <v>4</v>
      </c>
      <c r="C62" t="s">
        <v>143</v>
      </c>
      <c r="D62" t="s">
        <v>144</v>
      </c>
      <c r="E62" t="s">
        <v>11</v>
      </c>
      <c r="G62">
        <v>2</v>
      </c>
      <c r="J62">
        <f t="shared" si="4"/>
        <v>2</v>
      </c>
      <c r="K62">
        <f t="shared" si="5"/>
        <v>3</v>
      </c>
      <c r="M62">
        <v>3</v>
      </c>
      <c r="N62" s="2">
        <v>4</v>
      </c>
      <c r="O62">
        <v>2</v>
      </c>
      <c r="P62">
        <v>3</v>
      </c>
      <c r="Q62">
        <v>2</v>
      </c>
      <c r="R62">
        <v>3</v>
      </c>
      <c r="S62">
        <v>4</v>
      </c>
      <c r="T62">
        <v>3</v>
      </c>
      <c r="W62" s="19">
        <v>44881</v>
      </c>
      <c r="X62" s="19" t="s">
        <v>6</v>
      </c>
      <c r="Y62" s="19" t="s">
        <v>133</v>
      </c>
      <c r="Z62" s="19" t="s">
        <v>134</v>
      </c>
      <c r="AA62" s="19" t="s">
        <v>13</v>
      </c>
      <c r="AB62" s="19"/>
      <c r="AC62">
        <v>2252</v>
      </c>
      <c r="AF62">
        <f t="shared" si="6"/>
        <v>3</v>
      </c>
      <c r="AG62">
        <f t="shared" si="7"/>
        <v>4.125</v>
      </c>
      <c r="AH62" s="15"/>
      <c r="AI62" s="15">
        <v>4</v>
      </c>
      <c r="AJ62" s="15">
        <v>4</v>
      </c>
      <c r="AK62" s="15">
        <v>4</v>
      </c>
      <c r="AL62" s="15">
        <v>4</v>
      </c>
      <c r="AM62" s="15">
        <v>4</v>
      </c>
      <c r="AN62" s="15">
        <v>3</v>
      </c>
      <c r="AO62" s="15">
        <v>6</v>
      </c>
      <c r="AP62" s="15">
        <v>4</v>
      </c>
    </row>
    <row r="63" spans="1:42" x14ac:dyDescent="0.35">
      <c r="A63" s="1">
        <v>44887</v>
      </c>
      <c r="B63" s="1" t="s">
        <v>11</v>
      </c>
      <c r="C63" t="s">
        <v>145</v>
      </c>
      <c r="D63" t="s">
        <v>146</v>
      </c>
      <c r="E63" t="s">
        <v>2</v>
      </c>
      <c r="G63">
        <v>534</v>
      </c>
      <c r="J63">
        <f t="shared" si="4"/>
        <v>3</v>
      </c>
      <c r="K63">
        <f t="shared" si="5"/>
        <v>4.125</v>
      </c>
      <c r="M63">
        <v>5</v>
      </c>
      <c r="N63">
        <v>5</v>
      </c>
      <c r="O63">
        <v>4</v>
      </c>
      <c r="P63">
        <v>3</v>
      </c>
      <c r="Q63">
        <v>5</v>
      </c>
      <c r="R63">
        <v>4</v>
      </c>
      <c r="S63">
        <v>4</v>
      </c>
      <c r="T63">
        <v>3</v>
      </c>
      <c r="W63" s="19">
        <v>44882</v>
      </c>
      <c r="X63" s="19" t="s">
        <v>13</v>
      </c>
      <c r="Y63" s="19" t="s">
        <v>135</v>
      </c>
      <c r="Z63" s="19" t="s">
        <v>136</v>
      </c>
      <c r="AA63" s="19" t="s">
        <v>20</v>
      </c>
      <c r="AB63" s="19"/>
      <c r="AC63">
        <v>104</v>
      </c>
      <c r="AF63">
        <f t="shared" si="6"/>
        <v>3</v>
      </c>
      <c r="AG63">
        <f t="shared" si="7"/>
        <v>3.375</v>
      </c>
      <c r="AH63" s="15"/>
      <c r="AI63" s="15">
        <v>3</v>
      </c>
      <c r="AJ63" s="15">
        <v>3</v>
      </c>
      <c r="AK63" s="15">
        <v>4</v>
      </c>
      <c r="AL63" s="15">
        <v>4</v>
      </c>
      <c r="AM63" s="15">
        <v>3</v>
      </c>
      <c r="AN63" s="15">
        <v>3</v>
      </c>
      <c r="AO63" s="15">
        <v>4</v>
      </c>
      <c r="AP63" s="15">
        <v>3</v>
      </c>
    </row>
    <row r="64" spans="1:42" x14ac:dyDescent="0.35">
      <c r="A64" s="1">
        <v>44888</v>
      </c>
      <c r="B64" s="1" t="s">
        <v>2</v>
      </c>
      <c r="C64" t="s">
        <v>147</v>
      </c>
      <c r="D64" t="s">
        <v>148</v>
      </c>
      <c r="E64" t="s">
        <v>2</v>
      </c>
      <c r="G64">
        <v>1648</v>
      </c>
      <c r="J64">
        <f t="shared" si="4"/>
        <v>3</v>
      </c>
      <c r="K64">
        <f t="shared" si="5"/>
        <v>4.25</v>
      </c>
      <c r="M64">
        <v>5</v>
      </c>
      <c r="N64">
        <v>4</v>
      </c>
      <c r="O64">
        <v>4</v>
      </c>
      <c r="P64">
        <v>3</v>
      </c>
      <c r="Q64">
        <v>4</v>
      </c>
      <c r="R64">
        <v>5</v>
      </c>
      <c r="S64">
        <v>4</v>
      </c>
      <c r="T64">
        <v>5</v>
      </c>
      <c r="W64" s="19">
        <v>44883</v>
      </c>
      <c r="X64" s="19" t="s">
        <v>20</v>
      </c>
      <c r="Y64" s="19" t="s">
        <v>137</v>
      </c>
      <c r="Z64" s="19" t="s">
        <v>138</v>
      </c>
      <c r="AA64" s="19" t="s">
        <v>2</v>
      </c>
      <c r="AB64" s="19"/>
      <c r="AC64">
        <v>3667</v>
      </c>
      <c r="AF64">
        <f t="shared" si="6"/>
        <v>3</v>
      </c>
      <c r="AG64">
        <f t="shared" si="7"/>
        <v>4</v>
      </c>
      <c r="AH64" s="15"/>
      <c r="AI64" s="15">
        <v>4</v>
      </c>
      <c r="AJ64" s="15">
        <v>4</v>
      </c>
      <c r="AK64" s="15">
        <v>4</v>
      </c>
      <c r="AL64" s="15">
        <v>3</v>
      </c>
      <c r="AM64" s="15">
        <v>4</v>
      </c>
      <c r="AN64" s="15">
        <v>5</v>
      </c>
      <c r="AO64" s="15">
        <v>4</v>
      </c>
      <c r="AP64" s="15">
        <v>4</v>
      </c>
    </row>
    <row r="65" spans="1:42" x14ac:dyDescent="0.35">
      <c r="A65" s="1">
        <v>44889</v>
      </c>
      <c r="B65" s="1" t="s">
        <v>2</v>
      </c>
      <c r="C65" t="s">
        <v>149</v>
      </c>
      <c r="D65" t="s">
        <v>150</v>
      </c>
      <c r="E65" t="s">
        <v>6</v>
      </c>
      <c r="G65">
        <v>2843</v>
      </c>
      <c r="J65">
        <f t="shared" si="4"/>
        <v>3</v>
      </c>
      <c r="K65">
        <f t="shared" si="5"/>
        <v>4.5</v>
      </c>
      <c r="M65">
        <v>4</v>
      </c>
      <c r="N65">
        <v>5</v>
      </c>
      <c r="O65">
        <v>3</v>
      </c>
      <c r="P65">
        <v>4</v>
      </c>
      <c r="Q65">
        <v>6</v>
      </c>
      <c r="R65">
        <v>6</v>
      </c>
      <c r="S65">
        <v>4</v>
      </c>
      <c r="T65">
        <v>4</v>
      </c>
      <c r="W65" s="19">
        <v>44884</v>
      </c>
      <c r="X65" s="19" t="s">
        <v>2</v>
      </c>
      <c r="Y65" s="19" t="s">
        <v>139</v>
      </c>
      <c r="Z65" s="19" t="s">
        <v>140</v>
      </c>
      <c r="AA65" s="19" t="s">
        <v>4</v>
      </c>
      <c r="AB65" s="19"/>
      <c r="AC65">
        <v>410</v>
      </c>
      <c r="AF65">
        <f t="shared" si="6"/>
        <v>3</v>
      </c>
      <c r="AG65">
        <f t="shared" si="7"/>
        <v>3.875</v>
      </c>
      <c r="AH65" s="15"/>
      <c r="AI65" s="15">
        <v>3</v>
      </c>
      <c r="AJ65" s="15">
        <v>4</v>
      </c>
      <c r="AK65" s="15">
        <v>5</v>
      </c>
      <c r="AL65" s="15">
        <v>3</v>
      </c>
      <c r="AM65" s="15">
        <v>3</v>
      </c>
      <c r="AN65" s="15">
        <v>4</v>
      </c>
      <c r="AO65" s="15">
        <v>4</v>
      </c>
      <c r="AP65" s="15">
        <v>5</v>
      </c>
    </row>
    <row r="66" spans="1:42" x14ac:dyDescent="0.35">
      <c r="A66" s="1">
        <v>44890</v>
      </c>
      <c r="B66" s="1" t="s">
        <v>6</v>
      </c>
      <c r="C66" t="s">
        <v>151</v>
      </c>
      <c r="D66" t="s">
        <v>152</v>
      </c>
      <c r="E66" t="s">
        <v>2</v>
      </c>
      <c r="G66">
        <v>668</v>
      </c>
      <c r="J66">
        <f t="shared" ref="J66:J93" si="8">MIN(M66:T66)</f>
        <v>3</v>
      </c>
      <c r="K66">
        <f t="shared" ref="K66:K93" si="9">AVERAGE(M66:T66)</f>
        <v>4</v>
      </c>
      <c r="M66">
        <v>4</v>
      </c>
      <c r="N66">
        <v>5</v>
      </c>
      <c r="O66">
        <v>4</v>
      </c>
      <c r="P66">
        <v>3</v>
      </c>
      <c r="Q66">
        <v>4</v>
      </c>
      <c r="R66">
        <v>4</v>
      </c>
      <c r="S66">
        <v>4</v>
      </c>
      <c r="T66">
        <v>4</v>
      </c>
      <c r="W66" s="19">
        <v>44885</v>
      </c>
      <c r="X66" s="19" t="s">
        <v>4</v>
      </c>
      <c r="Y66" s="19" t="s">
        <v>141</v>
      </c>
      <c r="Z66" s="19" t="s">
        <v>142</v>
      </c>
      <c r="AA66" s="19" t="s">
        <v>4</v>
      </c>
      <c r="AB66" s="19"/>
      <c r="AC66">
        <v>4015</v>
      </c>
      <c r="AF66">
        <f t="shared" si="6"/>
        <v>4</v>
      </c>
      <c r="AG66">
        <f t="shared" si="7"/>
        <v>4.625</v>
      </c>
      <c r="AH66" s="15"/>
      <c r="AI66" s="15">
        <v>4</v>
      </c>
      <c r="AJ66" s="15">
        <v>4</v>
      </c>
      <c r="AK66" s="15">
        <v>4</v>
      </c>
      <c r="AL66" s="15">
        <v>5</v>
      </c>
      <c r="AM66" s="15">
        <v>5</v>
      </c>
      <c r="AN66" s="15">
        <v>5</v>
      </c>
      <c r="AO66" s="15">
        <v>5</v>
      </c>
      <c r="AP66" s="15">
        <v>5</v>
      </c>
    </row>
    <row r="67" spans="1:42" x14ac:dyDescent="0.35">
      <c r="A67" s="1">
        <v>44891</v>
      </c>
      <c r="B67" s="1" t="s">
        <v>2</v>
      </c>
      <c r="C67" t="s">
        <v>153</v>
      </c>
      <c r="D67" t="s">
        <v>154</v>
      </c>
      <c r="E67" t="s">
        <v>13</v>
      </c>
      <c r="G67">
        <v>248</v>
      </c>
      <c r="J67">
        <f t="shared" si="8"/>
        <v>3</v>
      </c>
      <c r="K67">
        <f t="shared" si="9"/>
        <v>3.875</v>
      </c>
      <c r="M67">
        <v>4</v>
      </c>
      <c r="N67">
        <v>5</v>
      </c>
      <c r="O67">
        <v>4</v>
      </c>
      <c r="P67">
        <v>5</v>
      </c>
      <c r="Q67">
        <v>3</v>
      </c>
      <c r="R67">
        <v>3</v>
      </c>
      <c r="S67">
        <v>4</v>
      </c>
      <c r="T67">
        <v>3</v>
      </c>
      <c r="W67" s="19">
        <v>44886</v>
      </c>
      <c r="X67" s="19" t="s">
        <v>4</v>
      </c>
      <c r="Y67" s="19" t="s">
        <v>143</v>
      </c>
      <c r="Z67" s="19" t="s">
        <v>144</v>
      </c>
      <c r="AA67" s="19" t="s">
        <v>11</v>
      </c>
      <c r="AB67" s="19"/>
      <c r="AC67">
        <v>2</v>
      </c>
      <c r="AF67">
        <f t="shared" si="6"/>
        <v>2</v>
      </c>
      <c r="AG67">
        <f t="shared" si="7"/>
        <v>3</v>
      </c>
      <c r="AH67" s="15"/>
      <c r="AI67" s="15">
        <v>3</v>
      </c>
      <c r="AJ67" s="21">
        <v>4</v>
      </c>
      <c r="AK67" s="15">
        <v>2</v>
      </c>
      <c r="AL67" s="15">
        <v>3</v>
      </c>
      <c r="AM67" s="15">
        <v>2</v>
      </c>
      <c r="AN67" s="15">
        <v>3</v>
      </c>
      <c r="AO67" s="15">
        <v>4</v>
      </c>
      <c r="AP67" s="15">
        <v>3</v>
      </c>
    </row>
    <row r="68" spans="1:42" x14ac:dyDescent="0.35">
      <c r="A68" s="1">
        <v>44892</v>
      </c>
      <c r="B68" s="1" t="s">
        <v>13</v>
      </c>
      <c r="C68" t="s">
        <v>155</v>
      </c>
      <c r="D68" t="s">
        <v>156</v>
      </c>
      <c r="E68" t="s">
        <v>11</v>
      </c>
      <c r="G68">
        <v>195</v>
      </c>
      <c r="J68">
        <f t="shared" si="8"/>
        <v>3</v>
      </c>
      <c r="K68">
        <f t="shared" si="9"/>
        <v>3.625</v>
      </c>
      <c r="M68">
        <v>4</v>
      </c>
      <c r="N68">
        <v>4</v>
      </c>
      <c r="O68">
        <v>3</v>
      </c>
      <c r="P68">
        <v>5</v>
      </c>
      <c r="Q68">
        <v>3</v>
      </c>
      <c r="R68">
        <v>4</v>
      </c>
      <c r="S68">
        <v>3</v>
      </c>
      <c r="T68">
        <v>3</v>
      </c>
      <c r="W68" s="19">
        <v>44887</v>
      </c>
      <c r="X68" s="19" t="s">
        <v>11</v>
      </c>
      <c r="Y68" s="19" t="s">
        <v>145</v>
      </c>
      <c r="Z68" s="19" t="s">
        <v>146</v>
      </c>
      <c r="AA68" s="19" t="s">
        <v>2</v>
      </c>
      <c r="AB68" s="19"/>
      <c r="AC68">
        <v>534</v>
      </c>
      <c r="AF68">
        <f t="shared" si="6"/>
        <v>3</v>
      </c>
      <c r="AG68">
        <f t="shared" si="7"/>
        <v>4.125</v>
      </c>
      <c r="AH68" s="15"/>
      <c r="AI68" s="15">
        <v>5</v>
      </c>
      <c r="AJ68" s="15">
        <v>5</v>
      </c>
      <c r="AK68" s="15">
        <v>4</v>
      </c>
      <c r="AL68" s="15">
        <v>3</v>
      </c>
      <c r="AM68" s="15">
        <v>5</v>
      </c>
      <c r="AN68" s="15">
        <v>4</v>
      </c>
      <c r="AO68" s="15">
        <v>4</v>
      </c>
      <c r="AP68" s="15">
        <v>3</v>
      </c>
    </row>
    <row r="69" spans="1:42" x14ac:dyDescent="0.35">
      <c r="A69" s="1">
        <v>44893</v>
      </c>
      <c r="B69" s="1" t="s">
        <v>11</v>
      </c>
      <c r="C69" t="s">
        <v>157</v>
      </c>
      <c r="D69" t="s">
        <v>158</v>
      </c>
      <c r="E69" t="s">
        <v>1</v>
      </c>
      <c r="G69">
        <v>183</v>
      </c>
      <c r="J69">
        <f t="shared" si="8"/>
        <v>2</v>
      </c>
      <c r="K69">
        <f t="shared" si="9"/>
        <v>3.75</v>
      </c>
      <c r="M69">
        <v>4</v>
      </c>
      <c r="N69" s="3">
        <v>7</v>
      </c>
      <c r="O69">
        <v>3</v>
      </c>
      <c r="P69">
        <v>3</v>
      </c>
      <c r="Q69">
        <v>3</v>
      </c>
      <c r="R69">
        <v>5</v>
      </c>
      <c r="S69">
        <v>2</v>
      </c>
      <c r="T69">
        <v>3</v>
      </c>
    </row>
    <row r="70" spans="1:42" x14ac:dyDescent="0.35">
      <c r="A70" s="1">
        <v>44894</v>
      </c>
      <c r="B70" s="1" t="s">
        <v>1</v>
      </c>
      <c r="C70" t="s">
        <v>159</v>
      </c>
      <c r="D70" t="s">
        <v>160</v>
      </c>
      <c r="E70" t="s">
        <v>2</v>
      </c>
      <c r="G70">
        <v>814</v>
      </c>
      <c r="J70">
        <f t="shared" si="8"/>
        <v>4</v>
      </c>
      <c r="K70">
        <f t="shared" si="9"/>
        <v>5.25</v>
      </c>
      <c r="M70">
        <v>5</v>
      </c>
      <c r="N70" s="3">
        <v>7</v>
      </c>
      <c r="O70">
        <v>4</v>
      </c>
      <c r="P70">
        <v>4</v>
      </c>
      <c r="Q70">
        <v>5</v>
      </c>
      <c r="R70">
        <v>6</v>
      </c>
      <c r="S70">
        <v>5</v>
      </c>
      <c r="T70">
        <v>6</v>
      </c>
      <c r="W70" t="s">
        <v>410</v>
      </c>
    </row>
    <row r="71" spans="1:42" x14ac:dyDescent="0.35">
      <c r="A71" s="1">
        <v>44895</v>
      </c>
      <c r="B71" s="1" t="s">
        <v>2</v>
      </c>
      <c r="C71" t="s">
        <v>161</v>
      </c>
      <c r="D71" t="s">
        <v>162</v>
      </c>
      <c r="E71" t="s">
        <v>11</v>
      </c>
      <c r="G71">
        <v>2365</v>
      </c>
      <c r="J71">
        <f t="shared" si="8"/>
        <v>3</v>
      </c>
      <c r="K71">
        <f t="shared" si="9"/>
        <v>4</v>
      </c>
      <c r="M71">
        <v>5</v>
      </c>
      <c r="N71">
        <v>5</v>
      </c>
      <c r="O71">
        <v>3</v>
      </c>
      <c r="P71">
        <v>4</v>
      </c>
      <c r="Q71">
        <v>3</v>
      </c>
      <c r="R71">
        <v>4</v>
      </c>
      <c r="S71">
        <v>4</v>
      </c>
      <c r="T71">
        <v>4</v>
      </c>
      <c r="W71" s="10" t="s">
        <v>0</v>
      </c>
      <c r="X71" s="10" t="s">
        <v>62</v>
      </c>
      <c r="Y71" s="10" t="s">
        <v>44</v>
      </c>
      <c r="Z71" s="10" t="s">
        <v>63</v>
      </c>
      <c r="AA71" s="10" t="s">
        <v>34</v>
      </c>
      <c r="AB71" s="10" t="s">
        <v>87</v>
      </c>
      <c r="AC71" s="10" t="s">
        <v>79</v>
      </c>
      <c r="AD71" s="10" t="s">
        <v>88</v>
      </c>
      <c r="AE71" s="10" t="s">
        <v>89</v>
      </c>
      <c r="AF71" s="10" t="s">
        <v>45</v>
      </c>
      <c r="AG71" s="10" t="s">
        <v>41</v>
      </c>
      <c r="AH71" s="10" t="s">
        <v>90</v>
      </c>
      <c r="AI71" s="10" t="s">
        <v>4</v>
      </c>
      <c r="AJ71" s="10" t="s">
        <v>20</v>
      </c>
      <c r="AK71" s="10" t="s">
        <v>6</v>
      </c>
      <c r="AL71" s="10" t="s">
        <v>2</v>
      </c>
      <c r="AM71" s="10" t="s">
        <v>11</v>
      </c>
      <c r="AN71" s="10" t="s">
        <v>13</v>
      </c>
      <c r="AO71" s="10" t="s">
        <v>1</v>
      </c>
      <c r="AP71" s="10" t="s">
        <v>16</v>
      </c>
    </row>
    <row r="72" spans="1:42" x14ac:dyDescent="0.35">
      <c r="A72" s="1">
        <v>44896</v>
      </c>
      <c r="B72" s="1" t="s">
        <v>11</v>
      </c>
      <c r="C72" t="s">
        <v>163</v>
      </c>
      <c r="D72" t="s">
        <v>164</v>
      </c>
      <c r="E72" t="s">
        <v>11</v>
      </c>
      <c r="G72">
        <v>1517</v>
      </c>
      <c r="J72">
        <f t="shared" si="8"/>
        <v>3</v>
      </c>
      <c r="K72">
        <f t="shared" si="9"/>
        <v>4.375</v>
      </c>
      <c r="M72">
        <v>4</v>
      </c>
      <c r="N72">
        <v>5</v>
      </c>
      <c r="O72">
        <v>5</v>
      </c>
      <c r="P72">
        <v>4</v>
      </c>
      <c r="Q72">
        <v>3</v>
      </c>
      <c r="R72">
        <v>4</v>
      </c>
      <c r="S72">
        <v>6</v>
      </c>
      <c r="T72">
        <v>4</v>
      </c>
      <c r="W72" s="7">
        <v>44888</v>
      </c>
      <c r="X72" s="7" t="s">
        <v>2</v>
      </c>
      <c r="Y72" s="4" t="s">
        <v>147</v>
      </c>
      <c r="Z72" s="4" t="s">
        <v>148</v>
      </c>
      <c r="AA72" s="4" t="s">
        <v>2</v>
      </c>
      <c r="AB72" s="4"/>
      <c r="AC72" s="4">
        <v>1648</v>
      </c>
      <c r="AD72" s="4"/>
      <c r="AE72" s="4"/>
      <c r="AF72" s="4">
        <f t="shared" ref="AF72:AF101" si="10">MIN(AI72:AP72)</f>
        <v>3</v>
      </c>
      <c r="AG72" s="4">
        <f t="shared" ref="AG72:AG101" si="11">AVERAGE(AI72:AP72)</f>
        <v>4.25</v>
      </c>
      <c r="AH72" s="4"/>
      <c r="AI72" s="4">
        <v>5</v>
      </c>
      <c r="AJ72" s="4">
        <v>4</v>
      </c>
      <c r="AK72" s="4">
        <v>4</v>
      </c>
      <c r="AL72" s="4">
        <v>3</v>
      </c>
      <c r="AM72" s="4">
        <v>4</v>
      </c>
      <c r="AN72" s="4">
        <v>5</v>
      </c>
      <c r="AO72" s="4">
        <v>4</v>
      </c>
      <c r="AP72" s="4">
        <v>5</v>
      </c>
    </row>
    <row r="73" spans="1:42" x14ac:dyDescent="0.35">
      <c r="A73" s="1">
        <v>44897</v>
      </c>
      <c r="B73" s="1" t="s">
        <v>11</v>
      </c>
      <c r="C73" t="s">
        <v>165</v>
      </c>
      <c r="D73" t="s">
        <v>159</v>
      </c>
      <c r="E73" t="s">
        <v>1</v>
      </c>
      <c r="G73">
        <v>44</v>
      </c>
      <c r="J73">
        <f t="shared" si="8"/>
        <v>2</v>
      </c>
      <c r="K73">
        <f t="shared" si="9"/>
        <v>3.75</v>
      </c>
      <c r="M73">
        <v>3</v>
      </c>
      <c r="N73" s="3">
        <v>7</v>
      </c>
      <c r="O73">
        <v>4</v>
      </c>
      <c r="P73">
        <v>4</v>
      </c>
      <c r="Q73">
        <v>3</v>
      </c>
      <c r="R73">
        <v>3</v>
      </c>
      <c r="S73">
        <v>2</v>
      </c>
      <c r="T73">
        <v>4</v>
      </c>
      <c r="W73" s="19">
        <v>44889</v>
      </c>
      <c r="X73" s="19" t="s">
        <v>2</v>
      </c>
      <c r="Y73" s="15" t="s">
        <v>149</v>
      </c>
      <c r="Z73" s="15" t="s">
        <v>150</v>
      </c>
      <c r="AA73" s="15" t="s">
        <v>6</v>
      </c>
      <c r="AB73" s="15"/>
      <c r="AC73" s="15">
        <v>2843</v>
      </c>
      <c r="AD73" s="15"/>
      <c r="AE73" s="15"/>
      <c r="AF73" s="15">
        <f t="shared" si="10"/>
        <v>3</v>
      </c>
      <c r="AG73" s="15">
        <f t="shared" si="11"/>
        <v>4.5</v>
      </c>
      <c r="AH73" s="15"/>
      <c r="AI73" s="15">
        <v>4</v>
      </c>
      <c r="AJ73" s="15">
        <v>5</v>
      </c>
      <c r="AK73" s="15">
        <v>3</v>
      </c>
      <c r="AL73" s="15">
        <v>4</v>
      </c>
      <c r="AM73" s="15">
        <v>6</v>
      </c>
      <c r="AN73" s="15">
        <v>6</v>
      </c>
      <c r="AO73" s="15">
        <v>4</v>
      </c>
      <c r="AP73" s="15">
        <v>4</v>
      </c>
    </row>
    <row r="74" spans="1:42" x14ac:dyDescent="0.35">
      <c r="A74" s="1">
        <v>44898</v>
      </c>
      <c r="B74" s="1" t="s">
        <v>1</v>
      </c>
      <c r="C74" t="s">
        <v>166</v>
      </c>
      <c r="D74" t="s">
        <v>167</v>
      </c>
      <c r="E74" t="s">
        <v>2</v>
      </c>
      <c r="G74">
        <v>4754</v>
      </c>
      <c r="J74">
        <f t="shared" si="8"/>
        <v>4</v>
      </c>
      <c r="K74">
        <f t="shared" si="9"/>
        <v>4.5</v>
      </c>
      <c r="M74">
        <v>5</v>
      </c>
      <c r="N74">
        <v>5</v>
      </c>
      <c r="O74">
        <v>5</v>
      </c>
      <c r="P74">
        <v>4</v>
      </c>
      <c r="Q74">
        <v>4</v>
      </c>
      <c r="R74">
        <v>4</v>
      </c>
      <c r="S74">
        <v>5</v>
      </c>
      <c r="T74">
        <v>4</v>
      </c>
      <c r="W74" s="7">
        <v>44890</v>
      </c>
      <c r="X74" s="7" t="s">
        <v>6</v>
      </c>
      <c r="Y74" s="4" t="s">
        <v>151</v>
      </c>
      <c r="Z74" s="4" t="s">
        <v>152</v>
      </c>
      <c r="AA74" s="4" t="s">
        <v>2</v>
      </c>
      <c r="AB74" s="4"/>
      <c r="AC74" s="4">
        <v>668</v>
      </c>
      <c r="AD74" s="4"/>
      <c r="AE74" s="4"/>
      <c r="AF74" s="4">
        <f t="shared" si="10"/>
        <v>3</v>
      </c>
      <c r="AG74" s="4">
        <f t="shared" si="11"/>
        <v>4</v>
      </c>
      <c r="AH74" s="4"/>
      <c r="AI74" s="4">
        <v>4</v>
      </c>
      <c r="AJ74" s="4">
        <v>5</v>
      </c>
      <c r="AK74" s="4">
        <v>4</v>
      </c>
      <c r="AL74" s="4">
        <v>3</v>
      </c>
      <c r="AM74" s="4">
        <v>4</v>
      </c>
      <c r="AN74" s="4">
        <v>4</v>
      </c>
      <c r="AO74" s="4">
        <v>4</v>
      </c>
      <c r="AP74" s="4">
        <v>4</v>
      </c>
    </row>
    <row r="75" spans="1:42" x14ac:dyDescent="0.35">
      <c r="A75" s="1">
        <v>44899</v>
      </c>
      <c r="B75" s="1" t="s">
        <v>2</v>
      </c>
      <c r="C75" t="s">
        <v>32</v>
      </c>
      <c r="D75" t="s">
        <v>168</v>
      </c>
      <c r="E75" t="s">
        <v>4</v>
      </c>
      <c r="G75">
        <v>183</v>
      </c>
      <c r="J75">
        <f t="shared" si="8"/>
        <v>3</v>
      </c>
      <c r="K75">
        <f t="shared" si="9"/>
        <v>4</v>
      </c>
      <c r="M75">
        <v>3</v>
      </c>
      <c r="N75">
        <v>3</v>
      </c>
      <c r="O75">
        <v>3</v>
      </c>
      <c r="P75">
        <v>6</v>
      </c>
      <c r="Q75">
        <v>3</v>
      </c>
      <c r="R75">
        <v>4</v>
      </c>
      <c r="S75">
        <v>6</v>
      </c>
      <c r="T75">
        <v>4</v>
      </c>
      <c r="W75" s="19">
        <v>44891</v>
      </c>
      <c r="X75" s="19" t="s">
        <v>2</v>
      </c>
      <c r="Y75" s="15" t="s">
        <v>153</v>
      </c>
      <c r="Z75" s="15" t="s">
        <v>154</v>
      </c>
      <c r="AA75" s="15" t="s">
        <v>13</v>
      </c>
      <c r="AB75" s="15"/>
      <c r="AC75" s="15">
        <v>248</v>
      </c>
      <c r="AD75" s="15"/>
      <c r="AE75" s="15"/>
      <c r="AF75" s="15">
        <f t="shared" si="10"/>
        <v>3</v>
      </c>
      <c r="AG75" s="15">
        <f t="shared" si="11"/>
        <v>3.875</v>
      </c>
      <c r="AH75" s="15"/>
      <c r="AI75" s="15">
        <v>4</v>
      </c>
      <c r="AJ75" s="15">
        <v>5</v>
      </c>
      <c r="AK75" s="15">
        <v>4</v>
      </c>
      <c r="AL75" s="15">
        <v>5</v>
      </c>
      <c r="AM75" s="15">
        <v>3</v>
      </c>
      <c r="AN75" s="15">
        <v>3</v>
      </c>
      <c r="AO75" s="15">
        <v>4</v>
      </c>
      <c r="AP75" s="15">
        <v>3</v>
      </c>
    </row>
    <row r="76" spans="1:42" x14ac:dyDescent="0.35">
      <c r="A76" s="1">
        <v>44900</v>
      </c>
      <c r="B76" s="1" t="s">
        <v>4</v>
      </c>
      <c r="C76" t="s">
        <v>169</v>
      </c>
      <c r="D76" t="s">
        <v>170</v>
      </c>
      <c r="E76" t="s">
        <v>1</v>
      </c>
      <c r="G76">
        <v>551</v>
      </c>
      <c r="J76">
        <f t="shared" si="8"/>
        <v>3</v>
      </c>
      <c r="K76">
        <f t="shared" si="9"/>
        <v>4.75</v>
      </c>
      <c r="M76">
        <v>4</v>
      </c>
      <c r="N76">
        <v>5</v>
      </c>
      <c r="O76">
        <v>5</v>
      </c>
      <c r="P76">
        <v>6</v>
      </c>
      <c r="Q76">
        <v>5</v>
      </c>
      <c r="R76">
        <v>5</v>
      </c>
      <c r="S76">
        <v>3</v>
      </c>
      <c r="T76">
        <v>5</v>
      </c>
      <c r="W76" s="7">
        <v>44892</v>
      </c>
      <c r="X76" s="7" t="s">
        <v>13</v>
      </c>
      <c r="Y76" s="4" t="s">
        <v>155</v>
      </c>
      <c r="Z76" s="4" t="s">
        <v>156</v>
      </c>
      <c r="AA76" s="4" t="s">
        <v>11</v>
      </c>
      <c r="AB76" s="4"/>
      <c r="AC76" s="4">
        <v>195</v>
      </c>
      <c r="AD76" s="4"/>
      <c r="AE76" s="4"/>
      <c r="AF76" s="4">
        <f t="shared" si="10"/>
        <v>3</v>
      </c>
      <c r="AG76" s="4">
        <f t="shared" si="11"/>
        <v>3.625</v>
      </c>
      <c r="AH76" s="4"/>
      <c r="AI76" s="4">
        <v>4</v>
      </c>
      <c r="AJ76" s="4">
        <v>4</v>
      </c>
      <c r="AK76" s="4">
        <v>3</v>
      </c>
      <c r="AL76" s="4">
        <v>5</v>
      </c>
      <c r="AM76" s="4">
        <v>3</v>
      </c>
      <c r="AN76" s="4">
        <v>4</v>
      </c>
      <c r="AO76" s="4">
        <v>3</v>
      </c>
      <c r="AP76" s="4">
        <v>3</v>
      </c>
    </row>
    <row r="77" spans="1:42" x14ac:dyDescent="0.35">
      <c r="A77" s="1">
        <v>44901</v>
      </c>
      <c r="B77" s="1" t="s">
        <v>1</v>
      </c>
      <c r="C77" t="s">
        <v>98</v>
      </c>
      <c r="D77" t="s">
        <v>172</v>
      </c>
      <c r="E77" t="s">
        <v>4</v>
      </c>
      <c r="G77">
        <v>55</v>
      </c>
      <c r="J77">
        <f t="shared" si="8"/>
        <v>3</v>
      </c>
      <c r="K77">
        <f t="shared" si="9"/>
        <v>3.75</v>
      </c>
      <c r="M77">
        <v>3</v>
      </c>
      <c r="N77">
        <v>6</v>
      </c>
      <c r="O77">
        <v>5</v>
      </c>
      <c r="P77">
        <v>3</v>
      </c>
      <c r="Q77">
        <v>3</v>
      </c>
      <c r="R77">
        <v>4</v>
      </c>
      <c r="S77">
        <v>3</v>
      </c>
      <c r="T77">
        <v>3</v>
      </c>
      <c r="W77" s="19">
        <v>44893</v>
      </c>
      <c r="X77" s="19" t="s">
        <v>11</v>
      </c>
      <c r="Y77" s="15" t="s">
        <v>157</v>
      </c>
      <c r="Z77" s="15" t="s">
        <v>158</v>
      </c>
      <c r="AA77" s="15" t="s">
        <v>1</v>
      </c>
      <c r="AB77" s="15"/>
      <c r="AC77" s="15">
        <v>183</v>
      </c>
      <c r="AD77" s="15"/>
      <c r="AE77" s="15"/>
      <c r="AF77" s="15">
        <f t="shared" si="10"/>
        <v>2</v>
      </c>
      <c r="AG77" s="15">
        <f t="shared" si="11"/>
        <v>3.75</v>
      </c>
      <c r="AH77" s="15"/>
      <c r="AI77" s="15">
        <v>4</v>
      </c>
      <c r="AJ77" s="20">
        <v>7</v>
      </c>
      <c r="AK77" s="15">
        <v>3</v>
      </c>
      <c r="AL77" s="15">
        <v>3</v>
      </c>
      <c r="AM77" s="15">
        <v>3</v>
      </c>
      <c r="AN77" s="15">
        <v>5</v>
      </c>
      <c r="AO77" s="15">
        <v>2</v>
      </c>
      <c r="AP77" s="15">
        <v>3</v>
      </c>
    </row>
    <row r="78" spans="1:42" x14ac:dyDescent="0.35">
      <c r="A78" s="1">
        <v>44902</v>
      </c>
      <c r="B78" s="1" t="s">
        <v>4</v>
      </c>
      <c r="C78" t="s">
        <v>173</v>
      </c>
      <c r="D78" t="s">
        <v>174</v>
      </c>
      <c r="E78" t="s">
        <v>4</v>
      </c>
      <c r="G78">
        <v>3280</v>
      </c>
      <c r="J78">
        <f t="shared" si="8"/>
        <v>3</v>
      </c>
      <c r="K78">
        <f t="shared" si="9"/>
        <v>3.75</v>
      </c>
      <c r="M78">
        <v>3</v>
      </c>
      <c r="N78">
        <v>6</v>
      </c>
      <c r="O78">
        <v>4</v>
      </c>
      <c r="P78">
        <v>3</v>
      </c>
      <c r="Q78">
        <v>3</v>
      </c>
      <c r="R78">
        <v>4</v>
      </c>
      <c r="S78">
        <v>4</v>
      </c>
      <c r="T78">
        <v>3</v>
      </c>
      <c r="W78" s="7">
        <v>44894</v>
      </c>
      <c r="X78" s="7" t="s">
        <v>1</v>
      </c>
      <c r="Y78" s="4" t="s">
        <v>159</v>
      </c>
      <c r="Z78" s="4" t="s">
        <v>160</v>
      </c>
      <c r="AA78" s="4" t="s">
        <v>2</v>
      </c>
      <c r="AB78" s="4"/>
      <c r="AC78" s="4">
        <v>814</v>
      </c>
      <c r="AD78" s="4"/>
      <c r="AE78" s="4"/>
      <c r="AF78" s="4">
        <f t="shared" si="10"/>
        <v>4</v>
      </c>
      <c r="AG78" s="4">
        <f t="shared" si="11"/>
        <v>5.25</v>
      </c>
      <c r="AH78" s="4"/>
      <c r="AI78" s="4">
        <v>5</v>
      </c>
      <c r="AJ78" s="20">
        <v>7</v>
      </c>
      <c r="AK78" s="4">
        <v>4</v>
      </c>
      <c r="AL78" s="4">
        <v>4</v>
      </c>
      <c r="AM78" s="4">
        <v>5</v>
      </c>
      <c r="AN78" s="4">
        <v>6</v>
      </c>
      <c r="AO78" s="4">
        <v>5</v>
      </c>
      <c r="AP78" s="4">
        <v>6</v>
      </c>
    </row>
    <row r="79" spans="1:42" x14ac:dyDescent="0.35">
      <c r="A79" s="1">
        <v>44903</v>
      </c>
      <c r="B79" s="1" t="s">
        <v>4</v>
      </c>
      <c r="C79" t="s">
        <v>175</v>
      </c>
      <c r="D79" t="s">
        <v>176</v>
      </c>
      <c r="E79" t="s">
        <v>4</v>
      </c>
      <c r="G79">
        <v>1007</v>
      </c>
      <c r="J79">
        <f t="shared" si="8"/>
        <v>4</v>
      </c>
      <c r="K79">
        <f t="shared" si="9"/>
        <v>5.25</v>
      </c>
      <c r="M79">
        <v>4</v>
      </c>
      <c r="N79">
        <v>6</v>
      </c>
      <c r="O79" s="2">
        <v>6</v>
      </c>
      <c r="P79">
        <v>5</v>
      </c>
      <c r="Q79" s="3">
        <v>7</v>
      </c>
      <c r="R79">
        <v>4</v>
      </c>
      <c r="S79" s="2">
        <v>6</v>
      </c>
      <c r="T79">
        <v>4</v>
      </c>
      <c r="W79" s="19">
        <v>44895</v>
      </c>
      <c r="X79" s="19" t="s">
        <v>2</v>
      </c>
      <c r="Y79" s="15" t="s">
        <v>161</v>
      </c>
      <c r="Z79" s="15" t="s">
        <v>162</v>
      </c>
      <c r="AA79" s="15" t="s">
        <v>11</v>
      </c>
      <c r="AB79" s="15"/>
      <c r="AC79" s="15">
        <v>2365</v>
      </c>
      <c r="AD79" s="15"/>
      <c r="AE79" s="15"/>
      <c r="AF79" s="15">
        <f t="shared" si="10"/>
        <v>3</v>
      </c>
      <c r="AG79" s="15">
        <f t="shared" si="11"/>
        <v>4</v>
      </c>
      <c r="AH79" s="15"/>
      <c r="AI79" s="15">
        <v>5</v>
      </c>
      <c r="AJ79" s="15">
        <v>5</v>
      </c>
      <c r="AK79" s="15">
        <v>3</v>
      </c>
      <c r="AL79" s="15">
        <v>4</v>
      </c>
      <c r="AM79" s="15">
        <v>3</v>
      </c>
      <c r="AN79" s="15">
        <v>4</v>
      </c>
      <c r="AO79" s="15">
        <v>4</v>
      </c>
      <c r="AP79" s="15">
        <v>4</v>
      </c>
    </row>
    <row r="80" spans="1:42" x14ac:dyDescent="0.35">
      <c r="A80" s="1">
        <v>44904</v>
      </c>
      <c r="B80" s="1" t="s">
        <v>4</v>
      </c>
      <c r="C80" t="s">
        <v>177</v>
      </c>
      <c r="D80" t="s">
        <v>178</v>
      </c>
      <c r="E80" t="s">
        <v>4</v>
      </c>
      <c r="G80">
        <v>481</v>
      </c>
      <c r="J80">
        <f t="shared" si="8"/>
        <v>4</v>
      </c>
      <c r="K80">
        <f t="shared" si="9"/>
        <v>4.5</v>
      </c>
      <c r="M80">
        <v>4</v>
      </c>
      <c r="N80">
        <v>6</v>
      </c>
      <c r="O80">
        <v>4</v>
      </c>
      <c r="P80">
        <v>4</v>
      </c>
      <c r="Q80">
        <v>4</v>
      </c>
      <c r="R80">
        <v>5</v>
      </c>
      <c r="S80">
        <v>5</v>
      </c>
      <c r="T80">
        <v>4</v>
      </c>
      <c r="W80" s="7">
        <v>44896</v>
      </c>
      <c r="X80" s="7" t="s">
        <v>11</v>
      </c>
      <c r="Y80" s="4" t="s">
        <v>163</v>
      </c>
      <c r="Z80" s="4" t="s">
        <v>164</v>
      </c>
      <c r="AA80" s="4" t="s">
        <v>11</v>
      </c>
      <c r="AB80" s="4"/>
      <c r="AC80" s="4">
        <v>1517</v>
      </c>
      <c r="AD80" s="4"/>
      <c r="AE80" s="4"/>
      <c r="AF80" s="4">
        <f t="shared" si="10"/>
        <v>3</v>
      </c>
      <c r="AG80" s="4">
        <f t="shared" si="11"/>
        <v>4.375</v>
      </c>
      <c r="AH80" s="4"/>
      <c r="AI80" s="4">
        <v>4</v>
      </c>
      <c r="AJ80" s="4">
        <v>5</v>
      </c>
      <c r="AK80" s="4">
        <v>5</v>
      </c>
      <c r="AL80" s="4">
        <v>4</v>
      </c>
      <c r="AM80" s="4">
        <v>3</v>
      </c>
      <c r="AN80" s="4">
        <v>4</v>
      </c>
      <c r="AO80" s="4">
        <v>6</v>
      </c>
      <c r="AP80" s="4">
        <v>4</v>
      </c>
    </row>
    <row r="81" spans="1:42" x14ac:dyDescent="0.35">
      <c r="A81" s="1">
        <v>44905</v>
      </c>
      <c r="B81" s="1" t="s">
        <v>4</v>
      </c>
      <c r="C81" t="s">
        <v>179</v>
      </c>
      <c r="D81" t="s">
        <v>180</v>
      </c>
      <c r="E81" t="s">
        <v>16</v>
      </c>
      <c r="G81">
        <v>905</v>
      </c>
      <c r="J81">
        <f t="shared" si="8"/>
        <v>3</v>
      </c>
      <c r="K81">
        <f t="shared" si="9"/>
        <v>4.25</v>
      </c>
      <c r="M81">
        <v>4</v>
      </c>
      <c r="N81">
        <v>6</v>
      </c>
      <c r="O81">
        <v>4</v>
      </c>
      <c r="P81">
        <v>4</v>
      </c>
      <c r="Q81">
        <v>4</v>
      </c>
      <c r="R81">
        <v>5</v>
      </c>
      <c r="S81">
        <v>4</v>
      </c>
      <c r="T81">
        <v>3</v>
      </c>
      <c r="W81" s="19">
        <v>44897</v>
      </c>
      <c r="X81" s="19" t="s">
        <v>11</v>
      </c>
      <c r="Y81" s="15" t="s">
        <v>165</v>
      </c>
      <c r="Z81" s="15" t="s">
        <v>159</v>
      </c>
      <c r="AA81" s="15" t="s">
        <v>1</v>
      </c>
      <c r="AB81" s="15"/>
      <c r="AC81" s="15">
        <v>44</v>
      </c>
      <c r="AD81" s="15"/>
      <c r="AE81" s="15"/>
      <c r="AF81" s="15">
        <f t="shared" si="10"/>
        <v>2</v>
      </c>
      <c r="AG81" s="15">
        <f t="shared" si="11"/>
        <v>3.75</v>
      </c>
      <c r="AH81" s="15"/>
      <c r="AI81" s="15">
        <v>3</v>
      </c>
      <c r="AJ81" s="20">
        <v>7</v>
      </c>
      <c r="AK81" s="15">
        <v>4</v>
      </c>
      <c r="AL81" s="15">
        <v>4</v>
      </c>
      <c r="AM81" s="15">
        <v>3</v>
      </c>
      <c r="AN81" s="15">
        <v>3</v>
      </c>
      <c r="AO81" s="15">
        <v>2</v>
      </c>
      <c r="AP81" s="15">
        <v>4</v>
      </c>
    </row>
    <row r="82" spans="1:42" x14ac:dyDescent="0.35">
      <c r="A82" s="1">
        <v>44906</v>
      </c>
      <c r="B82" s="1" t="s">
        <v>16</v>
      </c>
      <c r="C82" t="s">
        <v>181</v>
      </c>
      <c r="D82" t="s">
        <v>21</v>
      </c>
      <c r="E82" t="s">
        <v>20</v>
      </c>
      <c r="G82">
        <v>135</v>
      </c>
      <c r="J82">
        <f t="shared" si="8"/>
        <v>2</v>
      </c>
      <c r="K82">
        <f t="shared" si="9"/>
        <v>3</v>
      </c>
      <c r="M82">
        <v>3</v>
      </c>
      <c r="N82">
        <v>2</v>
      </c>
      <c r="O82">
        <v>3</v>
      </c>
      <c r="P82">
        <v>4</v>
      </c>
      <c r="Q82">
        <v>4</v>
      </c>
      <c r="R82">
        <v>3</v>
      </c>
      <c r="S82">
        <v>3</v>
      </c>
      <c r="T82">
        <v>2</v>
      </c>
      <c r="W82" s="7">
        <v>44898</v>
      </c>
      <c r="X82" s="7" t="s">
        <v>1</v>
      </c>
      <c r="Y82" s="4" t="s">
        <v>166</v>
      </c>
      <c r="Z82" s="4" t="s">
        <v>167</v>
      </c>
      <c r="AA82" s="4" t="s">
        <v>2</v>
      </c>
      <c r="AB82" s="4"/>
      <c r="AC82" s="4">
        <v>4754</v>
      </c>
      <c r="AD82" s="4"/>
      <c r="AE82" s="4"/>
      <c r="AF82" s="4">
        <f t="shared" si="10"/>
        <v>4</v>
      </c>
      <c r="AG82" s="4">
        <f t="shared" si="11"/>
        <v>4.5</v>
      </c>
      <c r="AH82" s="4"/>
      <c r="AI82" s="4">
        <v>5</v>
      </c>
      <c r="AJ82" s="4">
        <v>5</v>
      </c>
      <c r="AK82" s="4">
        <v>5</v>
      </c>
      <c r="AL82" s="4">
        <v>4</v>
      </c>
      <c r="AM82" s="4">
        <v>4</v>
      </c>
      <c r="AN82" s="4">
        <v>4</v>
      </c>
      <c r="AO82" s="4">
        <v>5</v>
      </c>
      <c r="AP82" s="4">
        <v>4</v>
      </c>
    </row>
    <row r="83" spans="1:42" x14ac:dyDescent="0.35">
      <c r="A83" s="1">
        <v>44907</v>
      </c>
      <c r="B83" s="1" t="s">
        <v>20</v>
      </c>
      <c r="C83" t="s">
        <v>182</v>
      </c>
      <c r="D83" t="s">
        <v>183</v>
      </c>
      <c r="E83" t="s">
        <v>13</v>
      </c>
      <c r="G83">
        <v>1756</v>
      </c>
      <c r="J83">
        <f t="shared" si="8"/>
        <v>3</v>
      </c>
      <c r="K83">
        <f t="shared" si="9"/>
        <v>4</v>
      </c>
      <c r="M83">
        <v>5</v>
      </c>
      <c r="N83">
        <v>5</v>
      </c>
      <c r="O83">
        <v>4</v>
      </c>
      <c r="P83">
        <v>5</v>
      </c>
      <c r="Q83">
        <v>3</v>
      </c>
      <c r="R83">
        <v>3</v>
      </c>
      <c r="S83">
        <v>3</v>
      </c>
      <c r="T83">
        <v>4</v>
      </c>
      <c r="W83" s="19">
        <v>44899</v>
      </c>
      <c r="X83" s="19" t="s">
        <v>2</v>
      </c>
      <c r="Y83" s="15" t="s">
        <v>32</v>
      </c>
      <c r="Z83" s="15" t="s">
        <v>168</v>
      </c>
      <c r="AA83" s="15" t="s">
        <v>4</v>
      </c>
      <c r="AB83" s="15"/>
      <c r="AC83" s="15">
        <v>183</v>
      </c>
      <c r="AD83" s="15"/>
      <c r="AE83" s="15"/>
      <c r="AF83" s="15">
        <f t="shared" si="10"/>
        <v>3</v>
      </c>
      <c r="AG83" s="15">
        <f t="shared" si="11"/>
        <v>4</v>
      </c>
      <c r="AH83" s="15"/>
      <c r="AI83" s="15">
        <v>3</v>
      </c>
      <c r="AJ83" s="15">
        <v>3</v>
      </c>
      <c r="AK83" s="15">
        <v>3</v>
      </c>
      <c r="AL83" s="15">
        <v>6</v>
      </c>
      <c r="AM83" s="15">
        <v>3</v>
      </c>
      <c r="AN83" s="15">
        <v>4</v>
      </c>
      <c r="AO83" s="15">
        <v>6</v>
      </c>
      <c r="AP83" s="15">
        <v>4</v>
      </c>
    </row>
    <row r="84" spans="1:42" x14ac:dyDescent="0.35">
      <c r="A84" s="1">
        <v>44908</v>
      </c>
      <c r="B84" s="1" t="s">
        <v>13</v>
      </c>
      <c r="C84" t="s">
        <v>184</v>
      </c>
      <c r="D84" t="s">
        <v>185</v>
      </c>
      <c r="E84" t="s">
        <v>4</v>
      </c>
      <c r="G84">
        <v>403</v>
      </c>
      <c r="J84">
        <f t="shared" si="8"/>
        <v>3</v>
      </c>
      <c r="K84">
        <f t="shared" si="9"/>
        <v>3.75</v>
      </c>
      <c r="M84">
        <v>3</v>
      </c>
      <c r="N84">
        <v>4</v>
      </c>
      <c r="O84">
        <v>3</v>
      </c>
      <c r="P84">
        <v>4</v>
      </c>
      <c r="Q84">
        <v>4</v>
      </c>
      <c r="R84">
        <v>3</v>
      </c>
      <c r="S84">
        <v>5</v>
      </c>
      <c r="T84">
        <v>4</v>
      </c>
      <c r="W84" s="7">
        <v>44900</v>
      </c>
      <c r="X84" s="7" t="s">
        <v>4</v>
      </c>
      <c r="Y84" s="4" t="s">
        <v>169</v>
      </c>
      <c r="Z84" s="4" t="s">
        <v>170</v>
      </c>
      <c r="AA84" s="4" t="s">
        <v>1</v>
      </c>
      <c r="AB84" s="4"/>
      <c r="AC84" s="4">
        <v>551</v>
      </c>
      <c r="AD84" s="4"/>
      <c r="AE84" s="4"/>
      <c r="AF84" s="4">
        <f t="shared" si="10"/>
        <v>3</v>
      </c>
      <c r="AG84" s="4">
        <f t="shared" si="11"/>
        <v>4.75</v>
      </c>
      <c r="AH84" s="4"/>
      <c r="AI84" s="4">
        <v>4</v>
      </c>
      <c r="AJ84" s="4">
        <v>5</v>
      </c>
      <c r="AK84" s="4">
        <v>5</v>
      </c>
      <c r="AL84" s="4">
        <v>6</v>
      </c>
      <c r="AM84" s="4">
        <v>5</v>
      </c>
      <c r="AN84" s="4">
        <v>5</v>
      </c>
      <c r="AO84" s="4">
        <v>3</v>
      </c>
      <c r="AP84" s="4">
        <v>5</v>
      </c>
    </row>
    <row r="85" spans="1:42" x14ac:dyDescent="0.35">
      <c r="A85" s="1">
        <v>44909</v>
      </c>
      <c r="B85" s="1" t="s">
        <v>4</v>
      </c>
      <c r="C85" t="s">
        <v>186</v>
      </c>
      <c r="D85" t="s">
        <v>187</v>
      </c>
      <c r="E85" t="s">
        <v>16</v>
      </c>
      <c r="G85">
        <v>536</v>
      </c>
      <c r="J85">
        <f t="shared" si="8"/>
        <v>4</v>
      </c>
      <c r="K85">
        <f t="shared" si="9"/>
        <v>4.5</v>
      </c>
      <c r="M85">
        <v>4</v>
      </c>
      <c r="N85">
        <v>5</v>
      </c>
      <c r="O85">
        <v>5</v>
      </c>
      <c r="P85">
        <v>4</v>
      </c>
      <c r="Q85">
        <v>4</v>
      </c>
      <c r="R85">
        <v>5</v>
      </c>
      <c r="S85">
        <v>5</v>
      </c>
      <c r="T85">
        <v>4</v>
      </c>
      <c r="W85" s="19">
        <v>44901</v>
      </c>
      <c r="X85" s="19" t="s">
        <v>1</v>
      </c>
      <c r="Y85" s="15" t="s">
        <v>98</v>
      </c>
      <c r="Z85" s="15" t="s">
        <v>172</v>
      </c>
      <c r="AA85" s="15" t="s">
        <v>4</v>
      </c>
      <c r="AB85" s="15"/>
      <c r="AC85" s="15">
        <v>55</v>
      </c>
      <c r="AD85" s="15"/>
      <c r="AE85" s="15"/>
      <c r="AF85" s="15">
        <f t="shared" si="10"/>
        <v>3</v>
      </c>
      <c r="AG85" s="15">
        <f t="shared" si="11"/>
        <v>3.75</v>
      </c>
      <c r="AH85" s="15"/>
      <c r="AI85" s="15">
        <v>3</v>
      </c>
      <c r="AJ85" s="15">
        <v>6</v>
      </c>
      <c r="AK85" s="15">
        <v>5</v>
      </c>
      <c r="AL85" s="15">
        <v>3</v>
      </c>
      <c r="AM85" s="15">
        <v>3</v>
      </c>
      <c r="AN85" s="15">
        <v>4</v>
      </c>
      <c r="AO85" s="15">
        <v>3</v>
      </c>
      <c r="AP85" s="15">
        <v>3</v>
      </c>
    </row>
    <row r="86" spans="1:42" x14ac:dyDescent="0.35">
      <c r="A86" s="1">
        <v>44910</v>
      </c>
      <c r="B86" s="1" t="s">
        <v>16</v>
      </c>
      <c r="C86" t="s">
        <v>188</v>
      </c>
      <c r="D86" t="s">
        <v>189</v>
      </c>
      <c r="E86" t="s">
        <v>16</v>
      </c>
      <c r="G86">
        <v>138</v>
      </c>
      <c r="J86">
        <f t="shared" si="8"/>
        <v>3</v>
      </c>
      <c r="K86">
        <f t="shared" si="9"/>
        <v>3.375</v>
      </c>
      <c r="M86">
        <v>3</v>
      </c>
      <c r="N86">
        <v>3</v>
      </c>
      <c r="O86">
        <v>3</v>
      </c>
      <c r="P86">
        <v>4</v>
      </c>
      <c r="Q86">
        <v>4</v>
      </c>
      <c r="R86">
        <v>4</v>
      </c>
      <c r="S86">
        <v>3</v>
      </c>
      <c r="T86">
        <v>3</v>
      </c>
      <c r="W86" s="7">
        <v>44902</v>
      </c>
      <c r="X86" s="7" t="s">
        <v>4</v>
      </c>
      <c r="Y86" s="4" t="s">
        <v>173</v>
      </c>
      <c r="Z86" s="4" t="s">
        <v>174</v>
      </c>
      <c r="AA86" s="4" t="s">
        <v>4</v>
      </c>
      <c r="AB86" s="4"/>
      <c r="AC86" s="4">
        <v>3280</v>
      </c>
      <c r="AD86" s="4"/>
      <c r="AE86" s="4"/>
      <c r="AF86" s="4">
        <f t="shared" si="10"/>
        <v>3</v>
      </c>
      <c r="AG86" s="4">
        <f t="shared" si="11"/>
        <v>3.75</v>
      </c>
      <c r="AH86" s="4"/>
      <c r="AI86" s="4">
        <v>3</v>
      </c>
      <c r="AJ86" s="4">
        <v>6</v>
      </c>
      <c r="AK86" s="4">
        <v>4</v>
      </c>
      <c r="AL86" s="4">
        <v>3</v>
      </c>
      <c r="AM86" s="4">
        <v>3</v>
      </c>
      <c r="AN86" s="4">
        <v>4</v>
      </c>
      <c r="AO86" s="4">
        <v>4</v>
      </c>
      <c r="AP86" s="4">
        <v>3</v>
      </c>
    </row>
    <row r="87" spans="1:42" x14ac:dyDescent="0.35">
      <c r="A87" s="1">
        <v>44911</v>
      </c>
      <c r="B87" s="1" t="s">
        <v>16</v>
      </c>
      <c r="C87" t="s">
        <v>190</v>
      </c>
      <c r="D87" t="s">
        <v>191</v>
      </c>
      <c r="E87" t="s">
        <v>20</v>
      </c>
      <c r="G87">
        <v>1259</v>
      </c>
      <c r="J87">
        <f t="shared" si="8"/>
        <v>4</v>
      </c>
      <c r="K87">
        <f t="shared" si="9"/>
        <v>4.5</v>
      </c>
      <c r="M87">
        <v>5</v>
      </c>
      <c r="N87">
        <v>4</v>
      </c>
      <c r="O87">
        <v>4</v>
      </c>
      <c r="P87">
        <v>4</v>
      </c>
      <c r="Q87">
        <v>5</v>
      </c>
      <c r="R87">
        <v>4</v>
      </c>
      <c r="S87">
        <v>5</v>
      </c>
      <c r="T87">
        <v>5</v>
      </c>
      <c r="W87" s="19">
        <v>44903</v>
      </c>
      <c r="X87" s="19" t="s">
        <v>4</v>
      </c>
      <c r="Y87" s="15" t="s">
        <v>175</v>
      </c>
      <c r="Z87" s="15" t="s">
        <v>176</v>
      </c>
      <c r="AA87" s="15" t="s">
        <v>4</v>
      </c>
      <c r="AB87" s="15"/>
      <c r="AC87" s="15">
        <v>1007</v>
      </c>
      <c r="AD87" s="15"/>
      <c r="AE87" s="15"/>
      <c r="AF87" s="15">
        <f t="shared" si="10"/>
        <v>4</v>
      </c>
      <c r="AG87" s="15">
        <f t="shared" si="11"/>
        <v>5.25</v>
      </c>
      <c r="AH87" s="15"/>
      <c r="AI87" s="15">
        <v>4</v>
      </c>
      <c r="AJ87" s="15">
        <v>6</v>
      </c>
      <c r="AK87" s="21">
        <v>6</v>
      </c>
      <c r="AL87" s="15">
        <v>5</v>
      </c>
      <c r="AM87" s="20">
        <v>7</v>
      </c>
      <c r="AN87" s="15">
        <v>4</v>
      </c>
      <c r="AO87" s="21">
        <v>6</v>
      </c>
      <c r="AP87" s="15">
        <v>4</v>
      </c>
    </row>
    <row r="88" spans="1:42" x14ac:dyDescent="0.35">
      <c r="A88" s="1">
        <v>44912</v>
      </c>
      <c r="B88" s="1" t="s">
        <v>20</v>
      </c>
      <c r="C88" t="s">
        <v>192</v>
      </c>
      <c r="D88" t="s">
        <v>193</v>
      </c>
      <c r="E88" t="s">
        <v>2</v>
      </c>
      <c r="G88">
        <v>112</v>
      </c>
      <c r="J88">
        <f t="shared" si="8"/>
        <v>3</v>
      </c>
      <c r="K88">
        <f t="shared" si="9"/>
        <v>3.625</v>
      </c>
      <c r="M88">
        <v>3</v>
      </c>
      <c r="N88">
        <v>4</v>
      </c>
      <c r="O88">
        <v>4</v>
      </c>
      <c r="P88">
        <v>3</v>
      </c>
      <c r="Q88">
        <v>3</v>
      </c>
      <c r="R88">
        <v>4</v>
      </c>
      <c r="S88">
        <v>4</v>
      </c>
      <c r="T88">
        <v>4</v>
      </c>
      <c r="W88" s="7">
        <v>44904</v>
      </c>
      <c r="X88" s="7" t="s">
        <v>4</v>
      </c>
      <c r="Y88" s="4" t="s">
        <v>177</v>
      </c>
      <c r="Z88" s="4" t="s">
        <v>178</v>
      </c>
      <c r="AA88" s="4" t="s">
        <v>4</v>
      </c>
      <c r="AB88" s="4"/>
      <c r="AC88" s="4">
        <v>481</v>
      </c>
      <c r="AD88" s="4"/>
      <c r="AE88" s="4"/>
      <c r="AF88" s="4">
        <f t="shared" si="10"/>
        <v>4</v>
      </c>
      <c r="AG88" s="4">
        <f t="shared" si="11"/>
        <v>4.5</v>
      </c>
      <c r="AH88" s="4"/>
      <c r="AI88" s="4">
        <v>4</v>
      </c>
      <c r="AJ88" s="4">
        <v>6</v>
      </c>
      <c r="AK88" s="4">
        <v>4</v>
      </c>
      <c r="AL88" s="4">
        <v>4</v>
      </c>
      <c r="AM88" s="4">
        <v>4</v>
      </c>
      <c r="AN88" s="4">
        <v>5</v>
      </c>
      <c r="AO88" s="4">
        <v>5</v>
      </c>
      <c r="AP88" s="4">
        <v>4</v>
      </c>
    </row>
    <row r="89" spans="1:42" x14ac:dyDescent="0.35">
      <c r="A89" s="1">
        <v>44913</v>
      </c>
      <c r="B89" s="1" t="s">
        <v>2</v>
      </c>
      <c r="C89" t="s">
        <v>194</v>
      </c>
      <c r="D89" t="s">
        <v>195</v>
      </c>
      <c r="E89" t="s">
        <v>4</v>
      </c>
      <c r="G89">
        <v>338</v>
      </c>
      <c r="J89">
        <f t="shared" si="8"/>
        <v>3</v>
      </c>
      <c r="K89">
        <f t="shared" si="9"/>
        <v>5</v>
      </c>
      <c r="M89">
        <v>3</v>
      </c>
      <c r="N89">
        <v>6</v>
      </c>
      <c r="O89">
        <v>5</v>
      </c>
      <c r="P89" s="3">
        <v>7</v>
      </c>
      <c r="Q89">
        <v>5</v>
      </c>
      <c r="R89">
        <v>4</v>
      </c>
      <c r="S89">
        <v>4</v>
      </c>
      <c r="T89">
        <v>6</v>
      </c>
      <c r="W89" s="19">
        <v>44905</v>
      </c>
      <c r="X89" s="19" t="s">
        <v>4</v>
      </c>
      <c r="Y89" s="15" t="s">
        <v>179</v>
      </c>
      <c r="Z89" s="15" t="s">
        <v>180</v>
      </c>
      <c r="AA89" s="15" t="s">
        <v>16</v>
      </c>
      <c r="AB89" s="15"/>
      <c r="AC89" s="15">
        <v>905</v>
      </c>
      <c r="AD89" s="15"/>
      <c r="AE89" s="15"/>
      <c r="AF89" s="15">
        <f t="shared" si="10"/>
        <v>3</v>
      </c>
      <c r="AG89" s="15">
        <f t="shared" si="11"/>
        <v>4.25</v>
      </c>
      <c r="AH89" s="15"/>
      <c r="AI89" s="15">
        <v>4</v>
      </c>
      <c r="AJ89" s="15">
        <v>6</v>
      </c>
      <c r="AK89" s="15">
        <v>4</v>
      </c>
      <c r="AL89" s="15">
        <v>4</v>
      </c>
      <c r="AM89" s="15">
        <v>4</v>
      </c>
      <c r="AN89" s="15">
        <v>5</v>
      </c>
      <c r="AO89" s="15">
        <v>4</v>
      </c>
      <c r="AP89" s="15">
        <v>3</v>
      </c>
    </row>
    <row r="90" spans="1:42" x14ac:dyDescent="0.35">
      <c r="A90" s="1">
        <v>44914</v>
      </c>
      <c r="B90" s="1" t="s">
        <v>4</v>
      </c>
      <c r="C90" t="s">
        <v>196</v>
      </c>
      <c r="D90" t="s">
        <v>197</v>
      </c>
      <c r="E90" t="s">
        <v>11</v>
      </c>
      <c r="G90">
        <v>113</v>
      </c>
      <c r="J90">
        <f t="shared" si="8"/>
        <v>2</v>
      </c>
      <c r="K90">
        <f t="shared" si="9"/>
        <v>2.875</v>
      </c>
      <c r="M90">
        <v>3</v>
      </c>
      <c r="N90">
        <v>3</v>
      </c>
      <c r="O90">
        <v>3</v>
      </c>
      <c r="P90">
        <v>2</v>
      </c>
      <c r="Q90">
        <v>2</v>
      </c>
      <c r="R90">
        <v>4</v>
      </c>
      <c r="S90">
        <v>3</v>
      </c>
      <c r="T90">
        <v>3</v>
      </c>
      <c r="W90" s="7">
        <v>44906</v>
      </c>
      <c r="X90" s="7" t="s">
        <v>16</v>
      </c>
      <c r="Y90" s="4" t="s">
        <v>181</v>
      </c>
      <c r="Z90" s="4" t="s">
        <v>21</v>
      </c>
      <c r="AA90" s="4" t="s">
        <v>20</v>
      </c>
      <c r="AB90" s="4"/>
      <c r="AC90" s="4">
        <v>135</v>
      </c>
      <c r="AD90" s="4"/>
      <c r="AE90" s="4"/>
      <c r="AF90" s="4">
        <f t="shared" si="10"/>
        <v>2</v>
      </c>
      <c r="AG90" s="4">
        <f t="shared" si="11"/>
        <v>3</v>
      </c>
      <c r="AH90" s="4"/>
      <c r="AI90" s="4">
        <v>3</v>
      </c>
      <c r="AJ90" s="4">
        <v>2</v>
      </c>
      <c r="AK90" s="4">
        <v>3</v>
      </c>
      <c r="AL90" s="4">
        <v>4</v>
      </c>
      <c r="AM90" s="4">
        <v>4</v>
      </c>
      <c r="AN90" s="4">
        <v>3</v>
      </c>
      <c r="AO90" s="4">
        <v>3</v>
      </c>
      <c r="AP90" s="4">
        <v>2</v>
      </c>
    </row>
    <row r="91" spans="1:42" x14ac:dyDescent="0.35">
      <c r="A91" s="1">
        <v>44915</v>
      </c>
      <c r="B91" s="1" t="s">
        <v>11</v>
      </c>
      <c r="C91" t="s">
        <v>198</v>
      </c>
      <c r="D91" t="s">
        <v>199</v>
      </c>
      <c r="E91" t="s">
        <v>171</v>
      </c>
      <c r="G91">
        <v>644</v>
      </c>
      <c r="J91">
        <f t="shared" si="8"/>
        <v>3</v>
      </c>
      <c r="K91">
        <f t="shared" si="9"/>
        <v>3.875</v>
      </c>
      <c r="M91">
        <v>4</v>
      </c>
      <c r="N91">
        <v>4</v>
      </c>
      <c r="O91">
        <v>3</v>
      </c>
      <c r="P91">
        <v>5</v>
      </c>
      <c r="Q91">
        <v>4</v>
      </c>
      <c r="R91">
        <v>4</v>
      </c>
      <c r="S91">
        <v>3</v>
      </c>
      <c r="T91">
        <v>4</v>
      </c>
      <c r="W91" s="19">
        <v>44907</v>
      </c>
      <c r="X91" s="19" t="s">
        <v>20</v>
      </c>
      <c r="Y91" s="15" t="s">
        <v>182</v>
      </c>
      <c r="Z91" s="15" t="s">
        <v>183</v>
      </c>
      <c r="AA91" s="15" t="s">
        <v>13</v>
      </c>
      <c r="AB91" s="15"/>
      <c r="AC91" s="15">
        <v>1756</v>
      </c>
      <c r="AD91" s="15"/>
      <c r="AE91" s="15"/>
      <c r="AF91" s="15">
        <f t="shared" si="10"/>
        <v>3</v>
      </c>
      <c r="AG91" s="15">
        <f t="shared" si="11"/>
        <v>4</v>
      </c>
      <c r="AH91" s="15"/>
      <c r="AI91" s="15">
        <v>5</v>
      </c>
      <c r="AJ91" s="15">
        <v>5</v>
      </c>
      <c r="AK91" s="15">
        <v>4</v>
      </c>
      <c r="AL91" s="15">
        <v>5</v>
      </c>
      <c r="AM91" s="15">
        <v>3</v>
      </c>
      <c r="AN91" s="15">
        <v>3</v>
      </c>
      <c r="AO91" s="15">
        <v>3</v>
      </c>
      <c r="AP91" s="15">
        <v>4</v>
      </c>
    </row>
    <row r="92" spans="1:42" x14ac:dyDescent="0.35">
      <c r="A92" s="1">
        <v>44916</v>
      </c>
      <c r="B92" s="1" t="s">
        <v>27</v>
      </c>
      <c r="C92" t="s">
        <v>200</v>
      </c>
      <c r="D92" t="s">
        <v>201</v>
      </c>
      <c r="E92" t="s">
        <v>2</v>
      </c>
      <c r="G92">
        <v>830</v>
      </c>
      <c r="J92">
        <f t="shared" si="8"/>
        <v>3</v>
      </c>
      <c r="K92">
        <f t="shared" si="9"/>
        <v>4.25</v>
      </c>
      <c r="M92">
        <v>4</v>
      </c>
      <c r="N92">
        <v>6</v>
      </c>
      <c r="O92">
        <v>4</v>
      </c>
      <c r="P92">
        <v>3</v>
      </c>
      <c r="Q92">
        <v>5</v>
      </c>
      <c r="R92">
        <v>4</v>
      </c>
      <c r="S92">
        <v>4</v>
      </c>
      <c r="T92">
        <v>4</v>
      </c>
      <c r="W92" s="7">
        <v>44908</v>
      </c>
      <c r="X92" s="7" t="s">
        <v>13</v>
      </c>
      <c r="Y92" s="4" t="s">
        <v>184</v>
      </c>
      <c r="Z92" s="4" t="s">
        <v>185</v>
      </c>
      <c r="AA92" s="4" t="s">
        <v>4</v>
      </c>
      <c r="AB92" s="4"/>
      <c r="AC92" s="4">
        <v>403</v>
      </c>
      <c r="AD92" s="4"/>
      <c r="AE92" s="4"/>
      <c r="AF92" s="4">
        <f t="shared" si="10"/>
        <v>3</v>
      </c>
      <c r="AG92" s="4">
        <f t="shared" si="11"/>
        <v>3.75</v>
      </c>
      <c r="AH92" s="4"/>
      <c r="AI92" s="4">
        <v>3</v>
      </c>
      <c r="AJ92" s="4">
        <v>4</v>
      </c>
      <c r="AK92" s="4">
        <v>3</v>
      </c>
      <c r="AL92" s="4">
        <v>4</v>
      </c>
      <c r="AM92" s="4">
        <v>4</v>
      </c>
      <c r="AN92" s="4">
        <v>3</v>
      </c>
      <c r="AO92" s="4">
        <v>5</v>
      </c>
      <c r="AP92" s="4">
        <v>4</v>
      </c>
    </row>
    <row r="93" spans="1:42" x14ac:dyDescent="0.35">
      <c r="A93" s="1">
        <v>44917</v>
      </c>
      <c r="B93" s="1" t="s">
        <v>2</v>
      </c>
      <c r="C93" t="s">
        <v>202</v>
      </c>
      <c r="D93" t="s">
        <v>203</v>
      </c>
      <c r="E93" t="s">
        <v>11</v>
      </c>
      <c r="G93">
        <v>2125</v>
      </c>
      <c r="J93">
        <f t="shared" si="8"/>
        <v>3</v>
      </c>
      <c r="K93">
        <f t="shared" si="9"/>
        <v>4.25</v>
      </c>
      <c r="M93">
        <v>4</v>
      </c>
      <c r="N93">
        <v>5</v>
      </c>
      <c r="O93">
        <v>5</v>
      </c>
      <c r="P93">
        <v>4</v>
      </c>
      <c r="Q93">
        <v>3</v>
      </c>
      <c r="R93">
        <v>4</v>
      </c>
      <c r="S93">
        <v>4</v>
      </c>
      <c r="T93">
        <v>5</v>
      </c>
      <c r="W93" s="19">
        <v>44909</v>
      </c>
      <c r="X93" s="19" t="s">
        <v>4</v>
      </c>
      <c r="Y93" s="15" t="s">
        <v>186</v>
      </c>
      <c r="Z93" s="15" t="s">
        <v>187</v>
      </c>
      <c r="AA93" s="15" t="s">
        <v>16</v>
      </c>
      <c r="AB93" s="15"/>
      <c r="AC93" s="15">
        <v>536</v>
      </c>
      <c r="AD93" s="15"/>
      <c r="AE93" s="15"/>
      <c r="AF93" s="15">
        <f t="shared" si="10"/>
        <v>4</v>
      </c>
      <c r="AG93" s="15">
        <f t="shared" si="11"/>
        <v>4.5</v>
      </c>
      <c r="AH93" s="15"/>
      <c r="AI93" s="15">
        <v>4</v>
      </c>
      <c r="AJ93" s="15">
        <v>5</v>
      </c>
      <c r="AK93" s="15">
        <v>5</v>
      </c>
      <c r="AL93" s="15">
        <v>4</v>
      </c>
      <c r="AM93" s="15">
        <v>4</v>
      </c>
      <c r="AN93" s="15">
        <v>5</v>
      </c>
      <c r="AO93" s="15">
        <v>5</v>
      </c>
      <c r="AP93" s="15">
        <v>4</v>
      </c>
    </row>
    <row r="94" spans="1:42" x14ac:dyDescent="0.35">
      <c r="W94" s="7">
        <v>44910</v>
      </c>
      <c r="X94" s="7" t="s">
        <v>16</v>
      </c>
      <c r="Y94" s="4" t="s">
        <v>188</v>
      </c>
      <c r="Z94" s="4" t="s">
        <v>189</v>
      </c>
      <c r="AA94" s="4" t="s">
        <v>16</v>
      </c>
      <c r="AB94" s="4"/>
      <c r="AC94" s="4">
        <v>138</v>
      </c>
      <c r="AD94" s="4"/>
      <c r="AE94" s="4"/>
      <c r="AF94" s="4">
        <f t="shared" si="10"/>
        <v>3</v>
      </c>
      <c r="AG94" s="4">
        <f t="shared" si="11"/>
        <v>3.375</v>
      </c>
      <c r="AH94" s="4"/>
      <c r="AI94" s="4">
        <v>3</v>
      </c>
      <c r="AJ94" s="4">
        <v>3</v>
      </c>
      <c r="AK94" s="4">
        <v>3</v>
      </c>
      <c r="AL94" s="4">
        <v>4</v>
      </c>
      <c r="AM94" s="4">
        <v>4</v>
      </c>
      <c r="AN94" s="4">
        <v>4</v>
      </c>
      <c r="AO94" s="4">
        <v>3</v>
      </c>
      <c r="AP94" s="4">
        <v>3</v>
      </c>
    </row>
    <row r="95" spans="1:42" x14ac:dyDescent="0.35">
      <c r="W95" s="19">
        <v>44911</v>
      </c>
      <c r="X95" s="19" t="s">
        <v>16</v>
      </c>
      <c r="Y95" s="15" t="s">
        <v>190</v>
      </c>
      <c r="Z95" s="15" t="s">
        <v>191</v>
      </c>
      <c r="AA95" s="15" t="s">
        <v>20</v>
      </c>
      <c r="AB95" s="15"/>
      <c r="AC95" s="15">
        <v>1259</v>
      </c>
      <c r="AD95" s="15"/>
      <c r="AE95" s="15"/>
      <c r="AF95" s="15">
        <f t="shared" si="10"/>
        <v>4</v>
      </c>
      <c r="AG95" s="15">
        <f t="shared" si="11"/>
        <v>4.5</v>
      </c>
      <c r="AH95" s="15"/>
      <c r="AI95" s="15">
        <v>5</v>
      </c>
      <c r="AJ95" s="15">
        <v>4</v>
      </c>
      <c r="AK95" s="15">
        <v>4</v>
      </c>
      <c r="AL95" s="15">
        <v>4</v>
      </c>
      <c r="AM95" s="15">
        <v>5</v>
      </c>
      <c r="AN95" s="15">
        <v>4</v>
      </c>
      <c r="AO95" s="15">
        <v>5</v>
      </c>
      <c r="AP95" s="15">
        <v>5</v>
      </c>
    </row>
    <row r="96" spans="1:42" x14ac:dyDescent="0.35">
      <c r="W96" s="7">
        <v>44912</v>
      </c>
      <c r="X96" s="7" t="s">
        <v>20</v>
      </c>
      <c r="Y96" s="4" t="s">
        <v>192</v>
      </c>
      <c r="Z96" s="4" t="s">
        <v>193</v>
      </c>
      <c r="AA96" s="4" t="s">
        <v>2</v>
      </c>
      <c r="AB96" s="4"/>
      <c r="AC96" s="4">
        <v>112</v>
      </c>
      <c r="AD96" s="4"/>
      <c r="AE96" s="4"/>
      <c r="AF96" s="4">
        <f t="shared" si="10"/>
        <v>3</v>
      </c>
      <c r="AG96" s="4">
        <f t="shared" si="11"/>
        <v>3.625</v>
      </c>
      <c r="AH96" s="4"/>
      <c r="AI96" s="4">
        <v>3</v>
      </c>
      <c r="AJ96" s="4">
        <v>4</v>
      </c>
      <c r="AK96" s="4">
        <v>4</v>
      </c>
      <c r="AL96" s="4">
        <v>3</v>
      </c>
      <c r="AM96" s="4">
        <v>3</v>
      </c>
      <c r="AN96" s="4">
        <v>4</v>
      </c>
      <c r="AO96" s="4">
        <v>4</v>
      </c>
      <c r="AP96" s="4">
        <v>4</v>
      </c>
    </row>
    <row r="97" spans="23:42" x14ac:dyDescent="0.35">
      <c r="W97" s="19">
        <v>44913</v>
      </c>
      <c r="X97" s="19" t="s">
        <v>2</v>
      </c>
      <c r="Y97" s="15" t="s">
        <v>194</v>
      </c>
      <c r="Z97" s="15" t="s">
        <v>195</v>
      </c>
      <c r="AA97" s="15" t="s">
        <v>4</v>
      </c>
      <c r="AB97" s="15"/>
      <c r="AC97" s="15">
        <v>338</v>
      </c>
      <c r="AD97" s="15"/>
      <c r="AE97" s="15"/>
      <c r="AF97" s="15">
        <f t="shared" si="10"/>
        <v>3</v>
      </c>
      <c r="AG97" s="15">
        <f t="shared" si="11"/>
        <v>5</v>
      </c>
      <c r="AH97" s="15"/>
      <c r="AI97" s="15">
        <v>3</v>
      </c>
      <c r="AJ97" s="15">
        <v>6</v>
      </c>
      <c r="AK97" s="15">
        <v>5</v>
      </c>
      <c r="AL97" s="20">
        <v>7</v>
      </c>
      <c r="AM97" s="15">
        <v>5</v>
      </c>
      <c r="AN97" s="15">
        <v>4</v>
      </c>
      <c r="AO97" s="15">
        <v>4</v>
      </c>
      <c r="AP97" s="15">
        <v>6</v>
      </c>
    </row>
    <row r="98" spans="23:42" x14ac:dyDescent="0.35">
      <c r="W98" s="7">
        <v>44914</v>
      </c>
      <c r="X98" s="7" t="s">
        <v>4</v>
      </c>
      <c r="Y98" s="4" t="s">
        <v>196</v>
      </c>
      <c r="Z98" s="4" t="s">
        <v>197</v>
      </c>
      <c r="AA98" s="4" t="s">
        <v>11</v>
      </c>
      <c r="AB98" s="4"/>
      <c r="AC98" s="4">
        <v>113</v>
      </c>
      <c r="AD98" s="4"/>
      <c r="AE98" s="4"/>
      <c r="AF98" s="4">
        <f t="shared" si="10"/>
        <v>2</v>
      </c>
      <c r="AG98" s="4">
        <f t="shared" si="11"/>
        <v>2.875</v>
      </c>
      <c r="AH98" s="4"/>
      <c r="AI98" s="4">
        <v>3</v>
      </c>
      <c r="AJ98" s="4">
        <v>3</v>
      </c>
      <c r="AK98" s="4">
        <v>3</v>
      </c>
      <c r="AL98" s="4">
        <v>2</v>
      </c>
      <c r="AM98" s="4">
        <v>2</v>
      </c>
      <c r="AN98" s="4">
        <v>4</v>
      </c>
      <c r="AO98" s="4">
        <v>3</v>
      </c>
      <c r="AP98" s="4">
        <v>3</v>
      </c>
    </row>
    <row r="99" spans="23:42" x14ac:dyDescent="0.35">
      <c r="W99" s="19">
        <v>44915</v>
      </c>
      <c r="X99" s="19" t="s">
        <v>11</v>
      </c>
      <c r="Y99" s="15" t="s">
        <v>198</v>
      </c>
      <c r="Z99" s="15" t="s">
        <v>199</v>
      </c>
      <c r="AA99" s="15" t="s">
        <v>171</v>
      </c>
      <c r="AB99" s="15"/>
      <c r="AC99" s="15">
        <v>644</v>
      </c>
      <c r="AD99" s="15"/>
      <c r="AE99" s="15"/>
      <c r="AF99" s="15">
        <f t="shared" si="10"/>
        <v>3</v>
      </c>
      <c r="AG99" s="15">
        <f t="shared" si="11"/>
        <v>3.875</v>
      </c>
      <c r="AH99" s="15"/>
      <c r="AI99" s="15">
        <v>4</v>
      </c>
      <c r="AJ99" s="15">
        <v>4</v>
      </c>
      <c r="AK99" s="15">
        <v>3</v>
      </c>
      <c r="AL99" s="15">
        <v>5</v>
      </c>
      <c r="AM99" s="15">
        <v>4</v>
      </c>
      <c r="AN99" s="15">
        <v>4</v>
      </c>
      <c r="AO99" s="15">
        <v>3</v>
      </c>
      <c r="AP99" s="15">
        <v>4</v>
      </c>
    </row>
    <row r="100" spans="23:42" x14ac:dyDescent="0.35">
      <c r="W100" s="7">
        <v>44916</v>
      </c>
      <c r="X100" s="7" t="s">
        <v>27</v>
      </c>
      <c r="Y100" s="4" t="s">
        <v>200</v>
      </c>
      <c r="Z100" s="4" t="s">
        <v>201</v>
      </c>
      <c r="AA100" s="4" t="s">
        <v>2</v>
      </c>
      <c r="AB100" s="4"/>
      <c r="AC100" s="4">
        <v>830</v>
      </c>
      <c r="AD100" s="4"/>
      <c r="AE100" s="4"/>
      <c r="AF100" s="4">
        <f t="shared" si="10"/>
        <v>3</v>
      </c>
      <c r="AG100" s="4">
        <f t="shared" si="11"/>
        <v>4.25</v>
      </c>
      <c r="AH100" s="4"/>
      <c r="AI100" s="4">
        <v>4</v>
      </c>
      <c r="AJ100" s="4">
        <v>6</v>
      </c>
      <c r="AK100" s="4">
        <v>4</v>
      </c>
      <c r="AL100" s="4">
        <v>3</v>
      </c>
      <c r="AM100" s="4">
        <v>5</v>
      </c>
      <c r="AN100" s="4">
        <v>4</v>
      </c>
      <c r="AO100" s="4">
        <v>4</v>
      </c>
      <c r="AP100" s="4">
        <v>4</v>
      </c>
    </row>
    <row r="101" spans="23:42" x14ac:dyDescent="0.35">
      <c r="W101" s="24">
        <v>44917</v>
      </c>
      <c r="X101" s="24" t="s">
        <v>2</v>
      </c>
      <c r="Y101" s="18" t="s">
        <v>202</v>
      </c>
      <c r="Z101" s="18" t="s">
        <v>203</v>
      </c>
      <c r="AA101" s="18" t="s">
        <v>11</v>
      </c>
      <c r="AB101" s="18"/>
      <c r="AC101" s="18">
        <v>2125</v>
      </c>
      <c r="AD101" s="18"/>
      <c r="AE101" s="18"/>
      <c r="AF101" s="18">
        <f t="shared" si="10"/>
        <v>3</v>
      </c>
      <c r="AG101" s="18">
        <f t="shared" si="11"/>
        <v>4.25</v>
      </c>
      <c r="AH101" s="18"/>
      <c r="AI101" s="18">
        <v>4</v>
      </c>
      <c r="AJ101" s="18">
        <v>5</v>
      </c>
      <c r="AK101" s="18">
        <v>5</v>
      </c>
      <c r="AL101" s="18">
        <v>4</v>
      </c>
      <c r="AM101" s="18">
        <v>3</v>
      </c>
      <c r="AN101" s="18">
        <v>4</v>
      </c>
      <c r="AO101" s="18">
        <v>4</v>
      </c>
      <c r="AP101" s="18">
        <v>5</v>
      </c>
    </row>
  </sheetData>
  <conditionalFormatting sqref="AI38:AP68">
    <cfRule type="cellIs" dxfId="0" priority="1" operator="greaterThan">
      <formula>6</formula>
    </cfRule>
  </conditionalFormatting>
  <pageMargins left="0.7" right="0.7" top="0.75" bottom="0.75" header="0.3" footer="0.3"/>
  <pageSetup orientation="portrait" horizontalDpi="4294967293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Season 4 (6-23 to 9-21)</vt:lpstr>
      <vt:lpstr>Season 3 (3-23 to 6-22)</vt:lpstr>
      <vt:lpstr>Season 2 (12-23 to 3-22)</vt:lpstr>
      <vt:lpstr>Season 1 (9-22 to 12-22)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Williams</dc:creator>
  <cp:lastModifiedBy>Brian Spencer</cp:lastModifiedBy>
  <dcterms:created xsi:type="dcterms:W3CDTF">2022-10-13T12:16:11Z</dcterms:created>
  <dcterms:modified xsi:type="dcterms:W3CDTF">2023-08-22T02:34:11Z</dcterms:modified>
</cp:coreProperties>
</file>