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ropbox\Senior Design\"/>
    </mc:Choice>
  </mc:AlternateContent>
  <xr:revisionPtr revIDLastSave="0" documentId="13_ncr:1_{3706732B-9ED1-4303-BBAB-D0B1A825AB82}" xr6:coauthVersionLast="41" xr6:coauthVersionMax="41" xr10:uidLastSave="{00000000-0000-0000-0000-000000000000}"/>
  <bookViews>
    <workbookView xWindow="-110" yWindow="-110" windowWidth="19420" windowHeight="10420" tabRatio="739" xr2:uid="{00000000-000D-0000-FFFF-FFFF00000000}"/>
  </bookViews>
  <sheets>
    <sheet name="airplane" sheetId="1" r:id="rId1"/>
    <sheet name="take off" sheetId="2" r:id="rId2"/>
    <sheet name="maximum speed" sheetId="3" r:id="rId3"/>
    <sheet name="Landing" sheetId="4" r:id="rId4"/>
    <sheet name="Ceiling" sheetId="5" r:id="rId5"/>
    <sheet name="Rate of climb" sheetId="6" r:id="rId6"/>
    <sheet name="Turns" sheetId="7" r:id="rId7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50" i="1" l="1"/>
  <c r="B44" i="1"/>
  <c r="B29" i="1"/>
  <c r="G11" i="1" l="1"/>
  <c r="B53" i="1" l="1"/>
  <c r="B55" i="1"/>
  <c r="B37" i="1"/>
  <c r="B31" i="1"/>
  <c r="J3" i="4" s="1"/>
  <c r="D22" i="1"/>
  <c r="F22" i="1"/>
  <c r="H22" i="1"/>
  <c r="B24" i="1"/>
  <c r="B23" i="1" s="1"/>
  <c r="D17" i="1"/>
  <c r="B18" i="1"/>
  <c r="G3" i="2" l="1"/>
  <c r="H3" i="2" s="1"/>
  <c r="K3" i="4"/>
  <c r="L3" i="4" s="1"/>
  <c r="J4" i="4"/>
  <c r="O3" i="3"/>
  <c r="N3" i="3"/>
  <c r="N3" i="4"/>
  <c r="M3" i="5"/>
  <c r="M3" i="6"/>
  <c r="N3" i="7"/>
  <c r="M3" i="7"/>
  <c r="K3" i="2"/>
  <c r="J5" i="4" l="1"/>
  <c r="K4" i="4"/>
  <c r="L4" i="4" s="1"/>
  <c r="I4" i="5"/>
  <c r="I4" i="7"/>
  <c r="I4" i="6"/>
  <c r="M4" i="6" s="1"/>
  <c r="J6" i="4" l="1"/>
  <c r="K5" i="4"/>
  <c r="L5" i="4" s="1"/>
  <c r="I5" i="6"/>
  <c r="I5" i="5"/>
  <c r="M4" i="5"/>
  <c r="I5" i="7"/>
  <c r="M4" i="7"/>
  <c r="O3" i="4"/>
  <c r="K6" i="4" l="1"/>
  <c r="L6" i="4" s="1"/>
  <c r="J7" i="4"/>
  <c r="N4" i="4"/>
  <c r="I6" i="5"/>
  <c r="M5" i="5"/>
  <c r="I6" i="6"/>
  <c r="M5" i="6"/>
  <c r="I6" i="7"/>
  <c r="M5" i="7"/>
  <c r="O4" i="4"/>
  <c r="K7" i="4" l="1"/>
  <c r="L7" i="4" s="1"/>
  <c r="J8" i="4"/>
  <c r="J12" i="3"/>
  <c r="I7" i="5"/>
  <c r="M6" i="5"/>
  <c r="I7" i="6"/>
  <c r="M6" i="6"/>
  <c r="N5" i="4"/>
  <c r="O5" i="4"/>
  <c r="I7" i="7"/>
  <c r="M6" i="7"/>
  <c r="L3" i="2"/>
  <c r="F4" i="2"/>
  <c r="G4" i="2" s="1"/>
  <c r="H4" i="2" s="1"/>
  <c r="B11" i="1"/>
  <c r="E2" i="1"/>
  <c r="D2" i="1"/>
  <c r="K11" i="3" l="1"/>
  <c r="L11" i="3" s="1"/>
  <c r="K8" i="4"/>
  <c r="L8" i="4" s="1"/>
  <c r="J9" i="4"/>
  <c r="O4" i="3"/>
  <c r="B47" i="1"/>
  <c r="B39" i="1"/>
  <c r="J13" i="3"/>
  <c r="K12" i="3"/>
  <c r="L12" i="3" s="1"/>
  <c r="L4" i="2"/>
  <c r="K4" i="2"/>
  <c r="I8" i="6"/>
  <c r="M7" i="6"/>
  <c r="N4" i="3"/>
  <c r="N6" i="4"/>
  <c r="O6" i="4"/>
  <c r="I8" i="5"/>
  <c r="M7" i="5"/>
  <c r="I8" i="7"/>
  <c r="J8" i="7" s="1"/>
  <c r="K8" i="7" s="1"/>
  <c r="N8" i="7" s="1"/>
  <c r="M7" i="7"/>
  <c r="B12" i="1"/>
  <c r="J4" i="7"/>
  <c r="K4" i="7" s="1"/>
  <c r="N4" i="7" s="1"/>
  <c r="J6" i="7"/>
  <c r="K6" i="7" s="1"/>
  <c r="N6" i="7" s="1"/>
  <c r="J7" i="7"/>
  <c r="K7" i="7" s="1"/>
  <c r="N7" i="7" s="1"/>
  <c r="J5" i="7"/>
  <c r="K5" i="7" s="1"/>
  <c r="N5" i="7" s="1"/>
  <c r="F5" i="2"/>
  <c r="O5" i="3"/>
  <c r="K5" i="2" l="1"/>
  <c r="G5" i="2"/>
  <c r="H5" i="2" s="1"/>
  <c r="L5" i="2" s="1"/>
  <c r="J10" i="4"/>
  <c r="K9" i="4"/>
  <c r="L9" i="4" s="1"/>
  <c r="K13" i="3"/>
  <c r="L13" i="3" s="1"/>
  <c r="J14" i="3"/>
  <c r="N7" i="4"/>
  <c r="O7" i="4"/>
  <c r="I9" i="6"/>
  <c r="M8" i="6"/>
  <c r="I9" i="5"/>
  <c r="J9" i="5" s="1"/>
  <c r="K9" i="5" s="1"/>
  <c r="N9" i="5" s="1"/>
  <c r="M8" i="5"/>
  <c r="N5" i="3"/>
  <c r="I9" i="7"/>
  <c r="M8" i="7"/>
  <c r="J8" i="5"/>
  <c r="K8" i="5" s="1"/>
  <c r="N8" i="5" s="1"/>
  <c r="J5" i="5"/>
  <c r="K5" i="5" s="1"/>
  <c r="N5" i="5" s="1"/>
  <c r="J3" i="5"/>
  <c r="K3" i="5" s="1"/>
  <c r="N3" i="5" s="1"/>
  <c r="J7" i="5"/>
  <c r="K7" i="5" s="1"/>
  <c r="N7" i="5" s="1"/>
  <c r="J6" i="5"/>
  <c r="K6" i="5" s="1"/>
  <c r="N6" i="5" s="1"/>
  <c r="J4" i="5"/>
  <c r="K4" i="5" s="1"/>
  <c r="N4" i="5" s="1"/>
  <c r="J3" i="6"/>
  <c r="K3" i="6" s="1"/>
  <c r="N3" i="6" s="1"/>
  <c r="J4" i="6"/>
  <c r="K4" i="6" s="1"/>
  <c r="N4" i="6" s="1"/>
  <c r="J7" i="6"/>
  <c r="K7" i="6" s="1"/>
  <c r="N7" i="6" s="1"/>
  <c r="J6" i="6"/>
  <c r="K6" i="6" s="1"/>
  <c r="N6" i="6" s="1"/>
  <c r="J9" i="6"/>
  <c r="K9" i="6" s="1"/>
  <c r="N9" i="6" s="1"/>
  <c r="J8" i="6"/>
  <c r="K8" i="6" s="1"/>
  <c r="N8" i="6" s="1"/>
  <c r="J5" i="6"/>
  <c r="K5" i="6" s="1"/>
  <c r="N5" i="6" s="1"/>
  <c r="F6" i="2"/>
  <c r="K6" i="2" l="1"/>
  <c r="G6" i="2"/>
  <c r="H6" i="2" s="1"/>
  <c r="L6" i="2" s="1"/>
  <c r="K10" i="4"/>
  <c r="L10" i="4" s="1"/>
  <c r="J11" i="4"/>
  <c r="J15" i="3"/>
  <c r="K14" i="3"/>
  <c r="L14" i="3" s="1"/>
  <c r="I10" i="6"/>
  <c r="M9" i="6"/>
  <c r="I10" i="5"/>
  <c r="M9" i="5"/>
  <c r="N6" i="3"/>
  <c r="O6" i="3"/>
  <c r="N8" i="4"/>
  <c r="O8" i="4"/>
  <c r="I10" i="7"/>
  <c r="M9" i="7"/>
  <c r="J9" i="7"/>
  <c r="K9" i="7" s="1"/>
  <c r="N9" i="7" s="1"/>
  <c r="F7" i="2"/>
  <c r="K7" i="2" l="1"/>
  <c r="G7" i="2"/>
  <c r="H7" i="2" s="1"/>
  <c r="L7" i="2" s="1"/>
  <c r="J12" i="4"/>
  <c r="K11" i="4"/>
  <c r="L11" i="4" s="1"/>
  <c r="K15" i="3"/>
  <c r="L15" i="3" s="1"/>
  <c r="J16" i="3"/>
  <c r="N9" i="4"/>
  <c r="O9" i="4"/>
  <c r="I11" i="5"/>
  <c r="M10" i="5"/>
  <c r="J10" i="5"/>
  <c r="K10" i="5" s="1"/>
  <c r="N10" i="5" s="1"/>
  <c r="N7" i="3"/>
  <c r="O7" i="3"/>
  <c r="I11" i="6"/>
  <c r="M10" i="6"/>
  <c r="J10" i="6"/>
  <c r="K10" i="6" s="1"/>
  <c r="N10" i="6" s="1"/>
  <c r="I11" i="7"/>
  <c r="M10" i="7"/>
  <c r="J10" i="7"/>
  <c r="K10" i="7" s="1"/>
  <c r="N10" i="7" s="1"/>
  <c r="F8" i="2"/>
  <c r="K8" i="2" l="1"/>
  <c r="G8" i="2"/>
  <c r="H8" i="2" s="1"/>
  <c r="L8" i="2" s="1"/>
  <c r="K12" i="4"/>
  <c r="L12" i="4" s="1"/>
  <c r="J13" i="4"/>
  <c r="J17" i="3"/>
  <c r="K16" i="3"/>
  <c r="L16" i="3" s="1"/>
  <c r="I12" i="5"/>
  <c r="M11" i="5"/>
  <c r="J11" i="5"/>
  <c r="K11" i="5" s="1"/>
  <c r="N11" i="5" s="1"/>
  <c r="N8" i="3"/>
  <c r="O8" i="3"/>
  <c r="I12" i="6"/>
  <c r="M11" i="6"/>
  <c r="J11" i="6"/>
  <c r="K11" i="6" s="1"/>
  <c r="N11" i="6" s="1"/>
  <c r="N10" i="4"/>
  <c r="O10" i="4"/>
  <c r="I12" i="7"/>
  <c r="M11" i="7"/>
  <c r="J11" i="7"/>
  <c r="K11" i="7" s="1"/>
  <c r="N11" i="7" s="1"/>
  <c r="F9" i="2"/>
  <c r="K9" i="2" l="1"/>
  <c r="G9" i="2"/>
  <c r="H9" i="2" s="1"/>
  <c r="L9" i="2" s="1"/>
  <c r="K13" i="4"/>
  <c r="L13" i="4" s="1"/>
  <c r="J14" i="4"/>
  <c r="K17" i="3"/>
  <c r="L17" i="3" s="1"/>
  <c r="J18" i="3"/>
  <c r="N9" i="3"/>
  <c r="O9" i="3"/>
  <c r="I13" i="6"/>
  <c r="M12" i="6"/>
  <c r="J12" i="6"/>
  <c r="K12" i="6" s="1"/>
  <c r="N12" i="6" s="1"/>
  <c r="N11" i="4"/>
  <c r="O11" i="4"/>
  <c r="I13" i="5"/>
  <c r="M12" i="5"/>
  <c r="J12" i="5"/>
  <c r="K12" i="5" s="1"/>
  <c r="N12" i="5" s="1"/>
  <c r="I13" i="7"/>
  <c r="M12" i="7"/>
  <c r="J12" i="7"/>
  <c r="K12" i="7" s="1"/>
  <c r="N12" i="7" s="1"/>
  <c r="F10" i="2"/>
  <c r="K10" i="2" l="1"/>
  <c r="G10" i="2"/>
  <c r="H10" i="2" s="1"/>
  <c r="L10" i="2" s="1"/>
  <c r="J15" i="4"/>
  <c r="K14" i="4"/>
  <c r="L14" i="4" s="1"/>
  <c r="J19" i="3"/>
  <c r="K18" i="3"/>
  <c r="L18" i="3" s="1"/>
  <c r="I14" i="6"/>
  <c r="M13" i="6"/>
  <c r="J13" i="6"/>
  <c r="K13" i="6" s="1"/>
  <c r="N13" i="6" s="1"/>
  <c r="N12" i="4"/>
  <c r="O12" i="4"/>
  <c r="I14" i="5"/>
  <c r="M13" i="5"/>
  <c r="J13" i="5"/>
  <c r="K13" i="5" s="1"/>
  <c r="N13" i="5" s="1"/>
  <c r="N10" i="3"/>
  <c r="O10" i="3"/>
  <c r="I14" i="7"/>
  <c r="M13" i="7"/>
  <c r="J13" i="7"/>
  <c r="K13" i="7" s="1"/>
  <c r="N13" i="7" s="1"/>
  <c r="F11" i="2"/>
  <c r="K11" i="2" l="1"/>
  <c r="G11" i="2"/>
  <c r="H11" i="2" s="1"/>
  <c r="L11" i="2" s="1"/>
  <c r="K15" i="4"/>
  <c r="L15" i="4" s="1"/>
  <c r="J16" i="4"/>
  <c r="K19" i="3"/>
  <c r="L19" i="3" s="1"/>
  <c r="J20" i="3"/>
  <c r="N13" i="4"/>
  <c r="O13" i="4"/>
  <c r="I15" i="5"/>
  <c r="M14" i="5"/>
  <c r="J14" i="5"/>
  <c r="K14" i="5" s="1"/>
  <c r="N14" i="5" s="1"/>
  <c r="N11" i="3"/>
  <c r="O11" i="3"/>
  <c r="I15" i="6"/>
  <c r="M14" i="6"/>
  <c r="J14" i="6"/>
  <c r="K14" i="6" s="1"/>
  <c r="N14" i="6" s="1"/>
  <c r="I15" i="7"/>
  <c r="M14" i="7"/>
  <c r="J14" i="7"/>
  <c r="K14" i="7" s="1"/>
  <c r="N14" i="7" s="1"/>
  <c r="F12" i="2"/>
  <c r="K12" i="2" l="1"/>
  <c r="G12" i="2"/>
  <c r="H12" i="2" s="1"/>
  <c r="L12" i="2" s="1"/>
  <c r="K16" i="4"/>
  <c r="L16" i="4" s="1"/>
  <c r="J17" i="4"/>
  <c r="K20" i="3"/>
  <c r="L20" i="3" s="1"/>
  <c r="J21" i="3"/>
  <c r="K21" i="3" s="1"/>
  <c r="L21" i="3" s="1"/>
  <c r="I16" i="5"/>
  <c r="M15" i="5"/>
  <c r="J15" i="5"/>
  <c r="K15" i="5" s="1"/>
  <c r="N15" i="5" s="1"/>
  <c r="N12" i="3"/>
  <c r="O12" i="3"/>
  <c r="I16" i="6"/>
  <c r="M15" i="6"/>
  <c r="J15" i="6"/>
  <c r="K15" i="6" s="1"/>
  <c r="N15" i="6" s="1"/>
  <c r="N14" i="4"/>
  <c r="O14" i="4"/>
  <c r="I16" i="7"/>
  <c r="M15" i="7"/>
  <c r="J15" i="7"/>
  <c r="K15" i="7" s="1"/>
  <c r="N15" i="7" s="1"/>
  <c r="F13" i="2"/>
  <c r="K13" i="2" l="1"/>
  <c r="G13" i="2"/>
  <c r="H13" i="2" s="1"/>
  <c r="L13" i="2" s="1"/>
  <c r="J18" i="4"/>
  <c r="K17" i="4"/>
  <c r="L17" i="4" s="1"/>
  <c r="N13" i="3"/>
  <c r="O13" i="3"/>
  <c r="I17" i="6"/>
  <c r="M16" i="6"/>
  <c r="J16" i="6"/>
  <c r="K16" i="6" s="1"/>
  <c r="N16" i="6" s="1"/>
  <c r="N15" i="4"/>
  <c r="O15" i="4"/>
  <c r="I17" i="5"/>
  <c r="M16" i="5"/>
  <c r="J16" i="5"/>
  <c r="K16" i="5" s="1"/>
  <c r="N16" i="5" s="1"/>
  <c r="I17" i="7"/>
  <c r="M16" i="7"/>
  <c r="J16" i="7"/>
  <c r="K16" i="7" s="1"/>
  <c r="N16" i="7" s="1"/>
  <c r="F14" i="2"/>
  <c r="K14" i="2" l="1"/>
  <c r="G14" i="2"/>
  <c r="H14" i="2" s="1"/>
  <c r="L14" i="2" s="1"/>
  <c r="K18" i="4"/>
  <c r="L18" i="4" s="1"/>
  <c r="J19" i="4"/>
  <c r="I18" i="6"/>
  <c r="M17" i="6"/>
  <c r="J17" i="6"/>
  <c r="K17" i="6" s="1"/>
  <c r="N17" i="6" s="1"/>
  <c r="N16" i="4"/>
  <c r="O16" i="4"/>
  <c r="I18" i="5"/>
  <c r="M17" i="5"/>
  <c r="J17" i="5"/>
  <c r="K17" i="5" s="1"/>
  <c r="N17" i="5" s="1"/>
  <c r="N14" i="3"/>
  <c r="O14" i="3"/>
  <c r="I18" i="7"/>
  <c r="M17" i="7"/>
  <c r="J17" i="7"/>
  <c r="K17" i="7" s="1"/>
  <c r="N17" i="7" s="1"/>
  <c r="F15" i="2"/>
  <c r="K15" i="2" l="1"/>
  <c r="G15" i="2"/>
  <c r="H15" i="2" s="1"/>
  <c r="L15" i="2" s="1"/>
  <c r="K19" i="4"/>
  <c r="L19" i="4" s="1"/>
  <c r="J20" i="4"/>
  <c r="N17" i="4"/>
  <c r="O17" i="4"/>
  <c r="I19" i="5"/>
  <c r="M18" i="5"/>
  <c r="J18" i="5"/>
  <c r="K18" i="5" s="1"/>
  <c r="N18" i="5" s="1"/>
  <c r="N15" i="3"/>
  <c r="O15" i="3"/>
  <c r="I19" i="6"/>
  <c r="M18" i="6"/>
  <c r="J18" i="6"/>
  <c r="K18" i="6" s="1"/>
  <c r="N18" i="6" s="1"/>
  <c r="I19" i="7"/>
  <c r="M18" i="7"/>
  <c r="J18" i="7"/>
  <c r="K18" i="7" s="1"/>
  <c r="N18" i="7" s="1"/>
  <c r="F16" i="2"/>
  <c r="K16" i="2" l="1"/>
  <c r="G16" i="2"/>
  <c r="H16" i="2" s="1"/>
  <c r="L16" i="2" s="1"/>
  <c r="K20" i="4"/>
  <c r="L20" i="4" s="1"/>
  <c r="J21" i="4"/>
  <c r="I20" i="5"/>
  <c r="M19" i="5"/>
  <c r="J19" i="5"/>
  <c r="K19" i="5" s="1"/>
  <c r="N19" i="5" s="1"/>
  <c r="N16" i="3"/>
  <c r="O16" i="3"/>
  <c r="I20" i="6"/>
  <c r="M19" i="6"/>
  <c r="J19" i="6"/>
  <c r="K19" i="6" s="1"/>
  <c r="N19" i="6" s="1"/>
  <c r="N18" i="4"/>
  <c r="O18" i="4"/>
  <c r="I20" i="7"/>
  <c r="M19" i="7"/>
  <c r="J19" i="7"/>
  <c r="K19" i="7" s="1"/>
  <c r="N19" i="7" s="1"/>
  <c r="F17" i="2"/>
  <c r="K17" i="2" l="1"/>
  <c r="G17" i="2"/>
  <c r="H17" i="2" s="1"/>
  <c r="L17" i="2" s="1"/>
  <c r="K21" i="4"/>
  <c r="L21" i="4" s="1"/>
  <c r="J22" i="4"/>
  <c r="N17" i="3"/>
  <c r="O17" i="3"/>
  <c r="I21" i="6"/>
  <c r="M20" i="6"/>
  <c r="J20" i="6"/>
  <c r="K20" i="6" s="1"/>
  <c r="N20" i="6" s="1"/>
  <c r="N19" i="4"/>
  <c r="O19" i="4"/>
  <c r="I21" i="5"/>
  <c r="M20" i="5"/>
  <c r="J20" i="5"/>
  <c r="K20" i="5" s="1"/>
  <c r="N20" i="5" s="1"/>
  <c r="I21" i="7"/>
  <c r="M20" i="7"/>
  <c r="J20" i="7"/>
  <c r="K20" i="7" s="1"/>
  <c r="N20" i="7" s="1"/>
  <c r="F18" i="2"/>
  <c r="K18" i="2" l="1"/>
  <c r="G18" i="2"/>
  <c r="H18" i="2" s="1"/>
  <c r="L18" i="2" s="1"/>
  <c r="J23" i="4"/>
  <c r="K22" i="4"/>
  <c r="L22" i="4" s="1"/>
  <c r="I22" i="6"/>
  <c r="M21" i="6"/>
  <c r="J21" i="6"/>
  <c r="K21" i="6" s="1"/>
  <c r="N21" i="6" s="1"/>
  <c r="N20" i="4"/>
  <c r="O20" i="4"/>
  <c r="I22" i="5"/>
  <c r="M21" i="5"/>
  <c r="J21" i="5"/>
  <c r="K21" i="5" s="1"/>
  <c r="N21" i="5" s="1"/>
  <c r="N18" i="3"/>
  <c r="O18" i="3"/>
  <c r="I22" i="7"/>
  <c r="M21" i="7"/>
  <c r="J21" i="7"/>
  <c r="K21" i="7" s="1"/>
  <c r="N21" i="7" s="1"/>
  <c r="F19" i="2"/>
  <c r="K19" i="2" l="1"/>
  <c r="G19" i="2"/>
  <c r="H19" i="2" s="1"/>
  <c r="L19" i="2" s="1"/>
  <c r="K23" i="4"/>
  <c r="L23" i="4" s="1"/>
  <c r="J24" i="4"/>
  <c r="N21" i="4"/>
  <c r="O21" i="4"/>
  <c r="I23" i="5"/>
  <c r="M22" i="5"/>
  <c r="J22" i="5"/>
  <c r="K22" i="5" s="1"/>
  <c r="N22" i="5" s="1"/>
  <c r="N19" i="3"/>
  <c r="O19" i="3"/>
  <c r="I23" i="6"/>
  <c r="M22" i="6"/>
  <c r="J22" i="6"/>
  <c r="K22" i="6" s="1"/>
  <c r="N22" i="6" s="1"/>
  <c r="I23" i="7"/>
  <c r="M22" i="7"/>
  <c r="J22" i="7"/>
  <c r="K22" i="7" s="1"/>
  <c r="N22" i="7" s="1"/>
  <c r="F20" i="2"/>
  <c r="K20" i="2" l="1"/>
  <c r="G20" i="2"/>
  <c r="H20" i="2" s="1"/>
  <c r="L20" i="2" s="1"/>
  <c r="K24" i="4"/>
  <c r="L24" i="4" s="1"/>
  <c r="J25" i="4"/>
  <c r="I24" i="5"/>
  <c r="M23" i="5"/>
  <c r="J23" i="5"/>
  <c r="K23" i="5" s="1"/>
  <c r="N23" i="5" s="1"/>
  <c r="N20" i="3"/>
  <c r="O20" i="3"/>
  <c r="I24" i="6"/>
  <c r="M23" i="6"/>
  <c r="J23" i="6"/>
  <c r="K23" i="6" s="1"/>
  <c r="N23" i="6" s="1"/>
  <c r="N22" i="4"/>
  <c r="O22" i="4"/>
  <c r="I24" i="7"/>
  <c r="M23" i="7"/>
  <c r="J23" i="7"/>
  <c r="K23" i="7" s="1"/>
  <c r="N23" i="7" s="1"/>
  <c r="F21" i="2"/>
  <c r="K21" i="2" l="1"/>
  <c r="G21" i="2"/>
  <c r="H21" i="2" s="1"/>
  <c r="L21" i="2" s="1"/>
  <c r="J26" i="4"/>
  <c r="K25" i="4"/>
  <c r="L25" i="4" s="1"/>
  <c r="J22" i="3"/>
  <c r="N21" i="3"/>
  <c r="O21" i="3"/>
  <c r="I25" i="6"/>
  <c r="M24" i="6"/>
  <c r="J24" i="6"/>
  <c r="K24" i="6" s="1"/>
  <c r="N24" i="6" s="1"/>
  <c r="N23" i="4"/>
  <c r="O23" i="4"/>
  <c r="I25" i="5"/>
  <c r="M24" i="5"/>
  <c r="J24" i="5"/>
  <c r="K24" i="5" s="1"/>
  <c r="N24" i="5" s="1"/>
  <c r="I25" i="7"/>
  <c r="M24" i="7"/>
  <c r="J24" i="7"/>
  <c r="K24" i="7" s="1"/>
  <c r="N24" i="7" s="1"/>
  <c r="F22" i="2"/>
  <c r="K22" i="2" l="1"/>
  <c r="G22" i="2"/>
  <c r="H22" i="2" s="1"/>
  <c r="L22" i="2" s="1"/>
  <c r="K26" i="4"/>
  <c r="L26" i="4" s="1"/>
  <c r="J27" i="4"/>
  <c r="I26" i="6"/>
  <c r="M25" i="6"/>
  <c r="J25" i="6"/>
  <c r="K25" i="6" s="1"/>
  <c r="N25" i="6" s="1"/>
  <c r="N24" i="4"/>
  <c r="O24" i="4"/>
  <c r="I26" i="5"/>
  <c r="M25" i="5"/>
  <c r="J25" i="5"/>
  <c r="K25" i="5" s="1"/>
  <c r="N25" i="5" s="1"/>
  <c r="J23" i="3"/>
  <c r="N22" i="3"/>
  <c r="K22" i="3"/>
  <c r="L22" i="3" s="1"/>
  <c r="O22" i="3" s="1"/>
  <c r="I26" i="7"/>
  <c r="M25" i="7"/>
  <c r="J25" i="7"/>
  <c r="K25" i="7" s="1"/>
  <c r="N25" i="7" s="1"/>
  <c r="F23" i="2"/>
  <c r="K23" i="2" l="1"/>
  <c r="G23" i="2"/>
  <c r="H23" i="2" s="1"/>
  <c r="L23" i="2" s="1"/>
  <c r="K27" i="4"/>
  <c r="L27" i="4" s="1"/>
  <c r="J28" i="4"/>
  <c r="N25" i="4"/>
  <c r="O25" i="4"/>
  <c r="I27" i="5"/>
  <c r="M26" i="5"/>
  <c r="J26" i="5"/>
  <c r="K26" i="5" s="1"/>
  <c r="N26" i="5" s="1"/>
  <c r="J24" i="3"/>
  <c r="N23" i="3"/>
  <c r="K23" i="3"/>
  <c r="L23" i="3" s="1"/>
  <c r="O23" i="3" s="1"/>
  <c r="I27" i="6"/>
  <c r="M26" i="6"/>
  <c r="J26" i="6"/>
  <c r="K26" i="6" s="1"/>
  <c r="N26" i="6" s="1"/>
  <c r="I27" i="7"/>
  <c r="M26" i="7"/>
  <c r="J26" i="7"/>
  <c r="K26" i="7" s="1"/>
  <c r="N26" i="7" s="1"/>
  <c r="F24" i="2"/>
  <c r="K24" i="2" l="1"/>
  <c r="G24" i="2"/>
  <c r="H24" i="2" s="1"/>
  <c r="L24" i="2" s="1"/>
  <c r="J29" i="4"/>
  <c r="K28" i="4"/>
  <c r="L28" i="4" s="1"/>
  <c r="I28" i="5"/>
  <c r="M27" i="5"/>
  <c r="J27" i="5"/>
  <c r="K27" i="5" s="1"/>
  <c r="N27" i="5" s="1"/>
  <c r="J25" i="3"/>
  <c r="N24" i="3"/>
  <c r="K24" i="3"/>
  <c r="L24" i="3" s="1"/>
  <c r="O24" i="3" s="1"/>
  <c r="I28" i="6"/>
  <c r="M27" i="6"/>
  <c r="J27" i="6"/>
  <c r="K27" i="6" s="1"/>
  <c r="N27" i="6" s="1"/>
  <c r="N26" i="4"/>
  <c r="O26" i="4"/>
  <c r="I28" i="7"/>
  <c r="M27" i="7"/>
  <c r="J27" i="7"/>
  <c r="K27" i="7" s="1"/>
  <c r="N27" i="7" s="1"/>
  <c r="F25" i="2"/>
  <c r="K25" i="2" l="1"/>
  <c r="G25" i="2"/>
  <c r="H25" i="2" s="1"/>
  <c r="K29" i="4"/>
  <c r="L29" i="4" s="1"/>
  <c r="J30" i="4"/>
  <c r="J26" i="3"/>
  <c r="N25" i="3"/>
  <c r="K25" i="3"/>
  <c r="L25" i="3" s="1"/>
  <c r="O25" i="3" s="1"/>
  <c r="I29" i="6"/>
  <c r="M28" i="6"/>
  <c r="J28" i="6"/>
  <c r="K28" i="6" s="1"/>
  <c r="N28" i="6" s="1"/>
  <c r="N27" i="4"/>
  <c r="O27" i="4"/>
  <c r="I29" i="5"/>
  <c r="M28" i="5"/>
  <c r="J28" i="5"/>
  <c r="K28" i="5" s="1"/>
  <c r="N28" i="5" s="1"/>
  <c r="I29" i="7"/>
  <c r="M28" i="7"/>
  <c r="J28" i="7"/>
  <c r="K28" i="7" s="1"/>
  <c r="N28" i="7" s="1"/>
  <c r="F26" i="2"/>
  <c r="L25" i="2"/>
  <c r="K26" i="2" l="1"/>
  <c r="G26" i="2"/>
  <c r="H26" i="2" s="1"/>
  <c r="L26" i="2" s="1"/>
  <c r="J31" i="4"/>
  <c r="K30" i="4"/>
  <c r="L30" i="4" s="1"/>
  <c r="I30" i="6"/>
  <c r="M29" i="6"/>
  <c r="J29" i="6"/>
  <c r="K29" i="6" s="1"/>
  <c r="N29" i="6" s="1"/>
  <c r="N28" i="4"/>
  <c r="O28" i="4"/>
  <c r="I30" i="5"/>
  <c r="M29" i="5"/>
  <c r="J29" i="5"/>
  <c r="K29" i="5" s="1"/>
  <c r="N29" i="5" s="1"/>
  <c r="J27" i="3"/>
  <c r="N26" i="3"/>
  <c r="K26" i="3"/>
  <c r="L26" i="3" s="1"/>
  <c r="O26" i="3" s="1"/>
  <c r="I30" i="7"/>
  <c r="M29" i="7"/>
  <c r="J29" i="7"/>
  <c r="K29" i="7" s="1"/>
  <c r="N29" i="7" s="1"/>
  <c r="F27" i="2"/>
  <c r="K27" i="2" l="1"/>
  <c r="G27" i="2"/>
  <c r="H27" i="2" s="1"/>
  <c r="L27" i="2" s="1"/>
  <c r="K31" i="4"/>
  <c r="L31" i="4" s="1"/>
  <c r="J32" i="4"/>
  <c r="N29" i="4"/>
  <c r="O29" i="4"/>
  <c r="I31" i="5"/>
  <c r="M30" i="5"/>
  <c r="J30" i="5"/>
  <c r="K30" i="5" s="1"/>
  <c r="N30" i="5" s="1"/>
  <c r="J28" i="3"/>
  <c r="N27" i="3"/>
  <c r="K27" i="3"/>
  <c r="L27" i="3" s="1"/>
  <c r="O27" i="3" s="1"/>
  <c r="I31" i="6"/>
  <c r="M30" i="6"/>
  <c r="J30" i="6"/>
  <c r="K30" i="6" s="1"/>
  <c r="N30" i="6" s="1"/>
  <c r="I31" i="7"/>
  <c r="M30" i="7"/>
  <c r="J30" i="7"/>
  <c r="K30" i="7" s="1"/>
  <c r="N30" i="7" s="1"/>
  <c r="F28" i="2"/>
  <c r="K28" i="2" l="1"/>
  <c r="G28" i="2"/>
  <c r="H28" i="2" s="1"/>
  <c r="L28" i="2" s="1"/>
  <c r="K32" i="4"/>
  <c r="L32" i="4" s="1"/>
  <c r="J33" i="4"/>
  <c r="I32" i="5"/>
  <c r="M31" i="5"/>
  <c r="J31" i="5"/>
  <c r="K31" i="5" s="1"/>
  <c r="N31" i="5" s="1"/>
  <c r="J29" i="3"/>
  <c r="N28" i="3"/>
  <c r="K28" i="3"/>
  <c r="L28" i="3" s="1"/>
  <c r="O28" i="3" s="1"/>
  <c r="I32" i="6"/>
  <c r="M31" i="6"/>
  <c r="J31" i="6"/>
  <c r="K31" i="6" s="1"/>
  <c r="N31" i="6" s="1"/>
  <c r="N30" i="4"/>
  <c r="O30" i="4"/>
  <c r="I32" i="7"/>
  <c r="M31" i="7"/>
  <c r="J31" i="7"/>
  <c r="K31" i="7" s="1"/>
  <c r="N31" i="7" s="1"/>
  <c r="F29" i="2"/>
  <c r="K29" i="2" l="1"/>
  <c r="G29" i="2"/>
  <c r="H29" i="2" s="1"/>
  <c r="L29" i="2" s="1"/>
  <c r="K33" i="4"/>
  <c r="L33" i="4" s="1"/>
  <c r="J34" i="4"/>
  <c r="J30" i="3"/>
  <c r="N29" i="3"/>
  <c r="K29" i="3"/>
  <c r="L29" i="3" s="1"/>
  <c r="O29" i="3" s="1"/>
  <c r="I33" i="6"/>
  <c r="M32" i="6"/>
  <c r="J32" i="6"/>
  <c r="K32" i="6" s="1"/>
  <c r="N32" i="6" s="1"/>
  <c r="N31" i="4"/>
  <c r="O31" i="4"/>
  <c r="I33" i="5"/>
  <c r="M32" i="5"/>
  <c r="J32" i="5"/>
  <c r="K32" i="5" s="1"/>
  <c r="N32" i="5" s="1"/>
  <c r="I33" i="7"/>
  <c r="M32" i="7"/>
  <c r="J32" i="7"/>
  <c r="K32" i="7" s="1"/>
  <c r="N32" i="7" s="1"/>
  <c r="F30" i="2"/>
  <c r="K30" i="2" l="1"/>
  <c r="G30" i="2"/>
  <c r="H30" i="2" s="1"/>
  <c r="L30" i="2" s="1"/>
  <c r="K34" i="4"/>
  <c r="L34" i="4" s="1"/>
  <c r="J35" i="4"/>
  <c r="M33" i="6"/>
  <c r="I34" i="6"/>
  <c r="J33" i="6"/>
  <c r="K33" i="6" s="1"/>
  <c r="N33" i="6" s="1"/>
  <c r="N32" i="4"/>
  <c r="O32" i="4"/>
  <c r="M33" i="5"/>
  <c r="I34" i="5"/>
  <c r="J33" i="5"/>
  <c r="K33" i="5" s="1"/>
  <c r="N33" i="5" s="1"/>
  <c r="J31" i="3"/>
  <c r="N30" i="3"/>
  <c r="K30" i="3"/>
  <c r="L30" i="3" s="1"/>
  <c r="O30" i="3" s="1"/>
  <c r="M33" i="7"/>
  <c r="I34" i="7"/>
  <c r="J33" i="7"/>
  <c r="K33" i="7" s="1"/>
  <c r="N33" i="7" s="1"/>
  <c r="F31" i="2"/>
  <c r="K31" i="2" l="1"/>
  <c r="G31" i="2"/>
  <c r="H31" i="2" s="1"/>
  <c r="L31" i="2" s="1"/>
  <c r="K35" i="4"/>
  <c r="L35" i="4" s="1"/>
  <c r="J36" i="4"/>
  <c r="M34" i="5"/>
  <c r="I35" i="5"/>
  <c r="J34" i="5"/>
  <c r="K34" i="5" s="1"/>
  <c r="N34" i="5" s="1"/>
  <c r="O33" i="4"/>
  <c r="N33" i="4"/>
  <c r="J32" i="3"/>
  <c r="N31" i="3"/>
  <c r="K31" i="3"/>
  <c r="L31" i="3" s="1"/>
  <c r="O31" i="3" s="1"/>
  <c r="M34" i="6"/>
  <c r="I35" i="6"/>
  <c r="J34" i="6"/>
  <c r="K34" i="6" s="1"/>
  <c r="N34" i="6" s="1"/>
  <c r="M34" i="7"/>
  <c r="I35" i="7"/>
  <c r="J34" i="7"/>
  <c r="K34" i="7" s="1"/>
  <c r="N34" i="7" s="1"/>
  <c r="F32" i="2"/>
  <c r="K32" i="2" l="1"/>
  <c r="G32" i="2"/>
  <c r="H32" i="2" s="1"/>
  <c r="K36" i="4"/>
  <c r="L36" i="4" s="1"/>
  <c r="J37" i="4"/>
  <c r="M35" i="6"/>
  <c r="I36" i="6"/>
  <c r="J35" i="6"/>
  <c r="K35" i="6" s="1"/>
  <c r="N35" i="6" s="1"/>
  <c r="J33" i="3"/>
  <c r="N32" i="3"/>
  <c r="K32" i="3"/>
  <c r="L32" i="3" s="1"/>
  <c r="O32" i="3" s="1"/>
  <c r="O34" i="4"/>
  <c r="N34" i="4"/>
  <c r="M35" i="5"/>
  <c r="I36" i="5"/>
  <c r="J35" i="5"/>
  <c r="K35" i="5" s="1"/>
  <c r="N35" i="5" s="1"/>
  <c r="M35" i="7"/>
  <c r="I36" i="7"/>
  <c r="J35" i="7"/>
  <c r="K35" i="7" s="1"/>
  <c r="N35" i="7" s="1"/>
  <c r="F33" i="2"/>
  <c r="G33" i="2" s="1"/>
  <c r="H33" i="2" s="1"/>
  <c r="L32" i="2"/>
  <c r="J38" i="4" l="1"/>
  <c r="K37" i="4"/>
  <c r="L37" i="4" s="1"/>
  <c r="L33" i="2"/>
  <c r="K33" i="2"/>
  <c r="F34" i="2"/>
  <c r="G34" i="2" s="1"/>
  <c r="H34" i="2" s="1"/>
  <c r="J34" i="3"/>
  <c r="N33" i="3"/>
  <c r="K33" i="3"/>
  <c r="L33" i="3" s="1"/>
  <c r="O33" i="3" s="1"/>
  <c r="M36" i="5"/>
  <c r="I37" i="5"/>
  <c r="J36" i="5"/>
  <c r="K36" i="5" s="1"/>
  <c r="N36" i="5" s="1"/>
  <c r="M36" i="6"/>
  <c r="I37" i="6"/>
  <c r="J36" i="6"/>
  <c r="K36" i="6" s="1"/>
  <c r="N36" i="6" s="1"/>
  <c r="N35" i="4"/>
  <c r="O35" i="4"/>
  <c r="M36" i="7"/>
  <c r="I37" i="7"/>
  <c r="J36" i="7"/>
  <c r="K36" i="7" s="1"/>
  <c r="N36" i="7" s="1"/>
  <c r="J39" i="4" l="1"/>
  <c r="K38" i="4"/>
  <c r="L38" i="4" s="1"/>
  <c r="M37" i="5"/>
  <c r="I38" i="5"/>
  <c r="J37" i="5"/>
  <c r="K37" i="5" s="1"/>
  <c r="N37" i="5" s="1"/>
  <c r="N34" i="3"/>
  <c r="J35" i="3"/>
  <c r="K34" i="3"/>
  <c r="L34" i="3" s="1"/>
  <c r="O34" i="3" s="1"/>
  <c r="N36" i="4"/>
  <c r="O36" i="4"/>
  <c r="M37" i="6"/>
  <c r="I38" i="6"/>
  <c r="J37" i="6"/>
  <c r="K37" i="6" s="1"/>
  <c r="N37" i="6" s="1"/>
  <c r="F35" i="2"/>
  <c r="G35" i="2" s="1"/>
  <c r="H35" i="2" s="1"/>
  <c r="K34" i="2"/>
  <c r="L34" i="2"/>
  <c r="M37" i="7"/>
  <c r="I38" i="7"/>
  <c r="J37" i="7"/>
  <c r="K37" i="7" s="1"/>
  <c r="N37" i="7" s="1"/>
  <c r="K39" i="4" l="1"/>
  <c r="L39" i="4" s="1"/>
  <c r="J40" i="4"/>
  <c r="M38" i="6"/>
  <c r="I39" i="6"/>
  <c r="J38" i="6"/>
  <c r="K38" i="6" s="1"/>
  <c r="N38" i="6" s="1"/>
  <c r="M38" i="5"/>
  <c r="I39" i="5"/>
  <c r="J38" i="5"/>
  <c r="K38" i="5" s="1"/>
  <c r="N38" i="5" s="1"/>
  <c r="K35" i="2"/>
  <c r="F36" i="2"/>
  <c r="G36" i="2" s="1"/>
  <c r="H36" i="2" s="1"/>
  <c r="L35" i="2"/>
  <c r="N37" i="4"/>
  <c r="O37" i="4"/>
  <c r="N35" i="3"/>
  <c r="J36" i="3"/>
  <c r="K35" i="3"/>
  <c r="L35" i="3" s="1"/>
  <c r="O35" i="3" s="1"/>
  <c r="M38" i="7"/>
  <c r="I39" i="7"/>
  <c r="J38" i="7"/>
  <c r="K38" i="7" s="1"/>
  <c r="N38" i="7" s="1"/>
  <c r="K40" i="4" l="1"/>
  <c r="L40" i="4" s="1"/>
  <c r="J41" i="4"/>
  <c r="K36" i="2"/>
  <c r="F37" i="2"/>
  <c r="G37" i="2" s="1"/>
  <c r="H37" i="2" s="1"/>
  <c r="L36" i="2"/>
  <c r="N38" i="4"/>
  <c r="O38" i="4"/>
  <c r="N36" i="3"/>
  <c r="J37" i="3"/>
  <c r="K36" i="3"/>
  <c r="L36" i="3" s="1"/>
  <c r="O36" i="3" s="1"/>
  <c r="M39" i="6"/>
  <c r="I40" i="6"/>
  <c r="J39" i="6"/>
  <c r="K39" i="6" s="1"/>
  <c r="N39" i="6" s="1"/>
  <c r="M39" i="5"/>
  <c r="I40" i="5"/>
  <c r="J39" i="5"/>
  <c r="K39" i="5" s="1"/>
  <c r="N39" i="5" s="1"/>
  <c r="M39" i="7"/>
  <c r="I40" i="7"/>
  <c r="J39" i="7"/>
  <c r="K39" i="7" s="1"/>
  <c r="N39" i="7" s="1"/>
  <c r="J42" i="4" l="1"/>
  <c r="K41" i="4"/>
  <c r="L41" i="4" s="1"/>
  <c r="N37" i="3"/>
  <c r="J38" i="3"/>
  <c r="K37" i="3"/>
  <c r="L37" i="3" s="1"/>
  <c r="O37" i="3" s="1"/>
  <c r="M40" i="6"/>
  <c r="I41" i="6"/>
  <c r="J40" i="6"/>
  <c r="K40" i="6" s="1"/>
  <c r="N40" i="6" s="1"/>
  <c r="M40" i="5"/>
  <c r="I41" i="5"/>
  <c r="J40" i="5"/>
  <c r="K40" i="5" s="1"/>
  <c r="N40" i="5" s="1"/>
  <c r="N39" i="4"/>
  <c r="O39" i="4"/>
  <c r="K37" i="2"/>
  <c r="L37" i="2"/>
  <c r="F38" i="2"/>
  <c r="G38" i="2" s="1"/>
  <c r="H38" i="2" s="1"/>
  <c r="M40" i="7"/>
  <c r="I41" i="7"/>
  <c r="J40" i="7"/>
  <c r="K40" i="7" s="1"/>
  <c r="N40" i="7" s="1"/>
  <c r="K42" i="4" l="1"/>
  <c r="L42" i="4" s="1"/>
  <c r="J43" i="4"/>
  <c r="N40" i="4"/>
  <c r="O40" i="4"/>
  <c r="M41" i="5"/>
  <c r="J41" i="5"/>
  <c r="K41" i="5" s="1"/>
  <c r="N41" i="5" s="1"/>
  <c r="I42" i="5"/>
  <c r="K38" i="2"/>
  <c r="L38" i="2"/>
  <c r="F39" i="2"/>
  <c r="G39" i="2" s="1"/>
  <c r="H39" i="2" s="1"/>
  <c r="N38" i="3"/>
  <c r="J39" i="3"/>
  <c r="K38" i="3"/>
  <c r="L38" i="3" s="1"/>
  <c r="O38" i="3" s="1"/>
  <c r="M41" i="6"/>
  <c r="I42" i="6"/>
  <c r="J41" i="6"/>
  <c r="K41" i="6" s="1"/>
  <c r="N41" i="6" s="1"/>
  <c r="M41" i="7"/>
  <c r="I42" i="7"/>
  <c r="J41" i="7"/>
  <c r="K41" i="7" s="1"/>
  <c r="N41" i="7" s="1"/>
  <c r="K43" i="4" l="1"/>
  <c r="L43" i="4" s="1"/>
  <c r="J44" i="4"/>
  <c r="N39" i="3"/>
  <c r="J40" i="3"/>
  <c r="K39" i="3"/>
  <c r="L39" i="3" s="1"/>
  <c r="O39" i="3" s="1"/>
  <c r="N41" i="4"/>
  <c r="O41" i="4"/>
  <c r="M42" i="6"/>
  <c r="I43" i="6"/>
  <c r="J42" i="6"/>
  <c r="K42" i="6" s="1"/>
  <c r="N42" i="6" s="1"/>
  <c r="M42" i="5"/>
  <c r="I43" i="5"/>
  <c r="J42" i="5"/>
  <c r="K42" i="5" s="1"/>
  <c r="N42" i="5" s="1"/>
  <c r="K39" i="2"/>
  <c r="L39" i="2"/>
  <c r="F40" i="2"/>
  <c r="G40" i="2" s="1"/>
  <c r="H40" i="2" s="1"/>
  <c r="M42" i="7"/>
  <c r="J42" i="7"/>
  <c r="K42" i="7" s="1"/>
  <c r="N42" i="7" s="1"/>
  <c r="I43" i="7"/>
  <c r="K44" i="4" l="1"/>
  <c r="L44" i="4" s="1"/>
  <c r="J45" i="4"/>
  <c r="M43" i="6"/>
  <c r="J43" i="6"/>
  <c r="K43" i="6" s="1"/>
  <c r="N43" i="6" s="1"/>
  <c r="I44" i="6"/>
  <c r="K40" i="2"/>
  <c r="F41" i="2"/>
  <c r="G41" i="2" s="1"/>
  <c r="H41" i="2" s="1"/>
  <c r="L40" i="2"/>
  <c r="M43" i="5"/>
  <c r="I44" i="5"/>
  <c r="J43" i="5"/>
  <c r="K43" i="5" s="1"/>
  <c r="N43" i="5" s="1"/>
  <c r="N42" i="4"/>
  <c r="O42" i="4"/>
  <c r="N40" i="3"/>
  <c r="J41" i="3"/>
  <c r="K40" i="3"/>
  <c r="L40" i="3" s="1"/>
  <c r="O40" i="3" s="1"/>
  <c r="M43" i="7"/>
  <c r="J43" i="7"/>
  <c r="K43" i="7" s="1"/>
  <c r="N43" i="7" s="1"/>
  <c r="I44" i="7"/>
  <c r="K45" i="4" l="1"/>
  <c r="L45" i="4" s="1"/>
  <c r="J46" i="4"/>
  <c r="N43" i="4"/>
  <c r="O43" i="4"/>
  <c r="M44" i="5"/>
  <c r="I45" i="5"/>
  <c r="J44" i="5"/>
  <c r="K44" i="5" s="1"/>
  <c r="N44" i="5" s="1"/>
  <c r="M44" i="6"/>
  <c r="I45" i="6"/>
  <c r="J44" i="6"/>
  <c r="K44" i="6" s="1"/>
  <c r="N44" i="6" s="1"/>
  <c r="N41" i="3"/>
  <c r="K41" i="3"/>
  <c r="L41" i="3" s="1"/>
  <c r="O41" i="3" s="1"/>
  <c r="J42" i="3"/>
  <c r="K41" i="2"/>
  <c r="L41" i="2"/>
  <c r="F42" i="2"/>
  <c r="G42" i="2" s="1"/>
  <c r="H42" i="2" s="1"/>
  <c r="M44" i="7"/>
  <c r="I45" i="7"/>
  <c r="J44" i="7"/>
  <c r="K44" i="7" s="1"/>
  <c r="N44" i="7" s="1"/>
  <c r="K46" i="4" l="1"/>
  <c r="L46" i="4" s="1"/>
  <c r="J47" i="4"/>
  <c r="N42" i="3"/>
  <c r="J43" i="3"/>
  <c r="K42" i="3"/>
  <c r="L42" i="3" s="1"/>
  <c r="O42" i="3" s="1"/>
  <c r="M45" i="6"/>
  <c r="I46" i="6"/>
  <c r="J45" i="6"/>
  <c r="K45" i="6" s="1"/>
  <c r="N45" i="6" s="1"/>
  <c r="K42" i="2"/>
  <c r="L42" i="2"/>
  <c r="F43" i="2"/>
  <c r="G43" i="2" s="1"/>
  <c r="H43" i="2" s="1"/>
  <c r="N44" i="4"/>
  <c r="O44" i="4"/>
  <c r="M45" i="5"/>
  <c r="J45" i="5"/>
  <c r="K45" i="5" s="1"/>
  <c r="N45" i="5" s="1"/>
  <c r="I46" i="5"/>
  <c r="M45" i="7"/>
  <c r="J45" i="7"/>
  <c r="K45" i="7" s="1"/>
  <c r="N45" i="7" s="1"/>
  <c r="I46" i="7"/>
  <c r="K47" i="4" l="1"/>
  <c r="L47" i="4" s="1"/>
  <c r="J48" i="4"/>
  <c r="N45" i="4"/>
  <c r="O45" i="4"/>
  <c r="J46" i="5"/>
  <c r="K46" i="5" s="1"/>
  <c r="N46" i="5" s="1"/>
  <c r="M46" i="5"/>
  <c r="I47" i="5"/>
  <c r="N43" i="3"/>
  <c r="J44" i="3"/>
  <c r="K43" i="3"/>
  <c r="L43" i="3" s="1"/>
  <c r="O43" i="3" s="1"/>
  <c r="K43" i="2"/>
  <c r="L43" i="2"/>
  <c r="F44" i="2"/>
  <c r="G44" i="2" s="1"/>
  <c r="H44" i="2" s="1"/>
  <c r="M46" i="6"/>
  <c r="J46" i="6"/>
  <c r="K46" i="6" s="1"/>
  <c r="N46" i="6" s="1"/>
  <c r="I47" i="6"/>
  <c r="M46" i="7"/>
  <c r="J46" i="7"/>
  <c r="K46" i="7" s="1"/>
  <c r="N46" i="7" s="1"/>
  <c r="I47" i="7"/>
  <c r="J49" i="4" l="1"/>
  <c r="K48" i="4"/>
  <c r="L48" i="4" s="1"/>
  <c r="L44" i="2"/>
  <c r="F45" i="2"/>
  <c r="G45" i="2" s="1"/>
  <c r="H45" i="2" s="1"/>
  <c r="K44" i="2"/>
  <c r="N44" i="3"/>
  <c r="J45" i="3"/>
  <c r="K44" i="3"/>
  <c r="L44" i="3" s="1"/>
  <c r="O44" i="3" s="1"/>
  <c r="M47" i="6"/>
  <c r="J47" i="6"/>
  <c r="K47" i="6" s="1"/>
  <c r="N47" i="6" s="1"/>
  <c r="I48" i="6"/>
  <c r="O46" i="4"/>
  <c r="N46" i="4"/>
  <c r="I48" i="5"/>
  <c r="M47" i="5"/>
  <c r="J47" i="5"/>
  <c r="K47" i="5" s="1"/>
  <c r="N47" i="5" s="1"/>
  <c r="M47" i="7"/>
  <c r="J47" i="7"/>
  <c r="K47" i="7" s="1"/>
  <c r="N47" i="7" s="1"/>
  <c r="I48" i="7"/>
  <c r="J50" i="4" l="1"/>
  <c r="K49" i="4"/>
  <c r="L49" i="4" s="1"/>
  <c r="O47" i="4"/>
  <c r="N47" i="4"/>
  <c r="K45" i="2"/>
  <c r="F46" i="2"/>
  <c r="G46" i="2" s="1"/>
  <c r="H46" i="2" s="1"/>
  <c r="L45" i="2"/>
  <c r="M48" i="5"/>
  <c r="I49" i="5"/>
  <c r="J48" i="5"/>
  <c r="K48" i="5" s="1"/>
  <c r="N48" i="5" s="1"/>
  <c r="M48" i="6"/>
  <c r="I49" i="6"/>
  <c r="J48" i="6"/>
  <c r="K48" i="6" s="1"/>
  <c r="N48" i="6" s="1"/>
  <c r="N45" i="3"/>
  <c r="K45" i="3"/>
  <c r="L45" i="3" s="1"/>
  <c r="O45" i="3" s="1"/>
  <c r="J46" i="3"/>
  <c r="M48" i="7"/>
  <c r="J48" i="7"/>
  <c r="K48" i="7" s="1"/>
  <c r="N48" i="7" s="1"/>
  <c r="I49" i="7"/>
  <c r="K50" i="4" l="1"/>
  <c r="L50" i="4" s="1"/>
  <c r="J51" i="4"/>
  <c r="M49" i="5"/>
  <c r="I50" i="5"/>
  <c r="J49" i="5"/>
  <c r="K49" i="5" s="1"/>
  <c r="N49" i="5" s="1"/>
  <c r="N46" i="3"/>
  <c r="K46" i="3"/>
  <c r="L46" i="3" s="1"/>
  <c r="O46" i="3" s="1"/>
  <c r="J47" i="3"/>
  <c r="M49" i="6"/>
  <c r="I50" i="6"/>
  <c r="J49" i="6"/>
  <c r="K49" i="6" s="1"/>
  <c r="N49" i="6" s="1"/>
  <c r="N48" i="4"/>
  <c r="O48" i="4"/>
  <c r="K46" i="2"/>
  <c r="L46" i="2"/>
  <c r="F47" i="2"/>
  <c r="G47" i="2" s="1"/>
  <c r="H47" i="2" s="1"/>
  <c r="M49" i="7"/>
  <c r="J49" i="7"/>
  <c r="K49" i="7" s="1"/>
  <c r="N49" i="7" s="1"/>
  <c r="I50" i="7"/>
  <c r="K51" i="4" l="1"/>
  <c r="L51" i="4" s="1"/>
  <c r="J52" i="4"/>
  <c r="N49" i="4"/>
  <c r="O49" i="4"/>
  <c r="M50" i="6"/>
  <c r="J50" i="6"/>
  <c r="K50" i="6" s="1"/>
  <c r="N50" i="6" s="1"/>
  <c r="I51" i="6"/>
  <c r="K47" i="2"/>
  <c r="F48" i="2"/>
  <c r="G48" i="2" s="1"/>
  <c r="H48" i="2" s="1"/>
  <c r="L47" i="2"/>
  <c r="N47" i="3"/>
  <c r="J48" i="3"/>
  <c r="K47" i="3"/>
  <c r="L47" i="3" s="1"/>
  <c r="O47" i="3" s="1"/>
  <c r="M50" i="5"/>
  <c r="I51" i="5"/>
  <c r="J50" i="5"/>
  <c r="K50" i="5" s="1"/>
  <c r="N50" i="5" s="1"/>
  <c r="M50" i="7"/>
  <c r="I51" i="7"/>
  <c r="J50" i="7"/>
  <c r="K50" i="7" s="1"/>
  <c r="N50" i="7" s="1"/>
  <c r="K52" i="4" l="1"/>
  <c r="L52" i="4" s="1"/>
  <c r="J53" i="4"/>
  <c r="K53" i="4" s="1"/>
  <c r="L53" i="4" s="1"/>
  <c r="K48" i="2"/>
  <c r="F49" i="2"/>
  <c r="G49" i="2" s="1"/>
  <c r="H49" i="2" s="1"/>
  <c r="L48" i="2"/>
  <c r="N48" i="3"/>
  <c r="J49" i="3"/>
  <c r="K48" i="3"/>
  <c r="L48" i="3" s="1"/>
  <c r="O48" i="3" s="1"/>
  <c r="M51" i="5"/>
  <c r="I52" i="5"/>
  <c r="J51" i="5"/>
  <c r="K51" i="5" s="1"/>
  <c r="N51" i="5" s="1"/>
  <c r="M51" i="6"/>
  <c r="J51" i="6"/>
  <c r="K51" i="6" s="1"/>
  <c r="N51" i="6" s="1"/>
  <c r="I52" i="6"/>
  <c r="N50" i="4"/>
  <c r="O50" i="4"/>
  <c r="M51" i="7"/>
  <c r="I52" i="7"/>
  <c r="J51" i="7"/>
  <c r="K51" i="7" s="1"/>
  <c r="N51" i="7" s="1"/>
  <c r="M52" i="6" l="1"/>
  <c r="I53" i="6"/>
  <c r="J52" i="6"/>
  <c r="K52" i="6" s="1"/>
  <c r="N52" i="6" s="1"/>
  <c r="M52" i="5"/>
  <c r="I53" i="5"/>
  <c r="J52" i="5"/>
  <c r="K52" i="5" s="1"/>
  <c r="N52" i="5" s="1"/>
  <c r="N51" i="4"/>
  <c r="O51" i="4"/>
  <c r="K49" i="2"/>
  <c r="F50" i="2"/>
  <c r="G50" i="2" s="1"/>
  <c r="H50" i="2" s="1"/>
  <c r="L49" i="2"/>
  <c r="N49" i="3"/>
  <c r="K49" i="3"/>
  <c r="L49" i="3" s="1"/>
  <c r="O49" i="3" s="1"/>
  <c r="J50" i="3"/>
  <c r="M52" i="7"/>
  <c r="I53" i="7"/>
  <c r="J52" i="7"/>
  <c r="K52" i="7" s="1"/>
  <c r="N52" i="7" s="1"/>
  <c r="N50" i="3" l="1"/>
  <c r="K50" i="3"/>
  <c r="L50" i="3" s="1"/>
  <c r="O50" i="3" s="1"/>
  <c r="J51" i="3"/>
  <c r="M53" i="6"/>
  <c r="J53" i="6"/>
  <c r="K53" i="6" s="1"/>
  <c r="N53" i="6" s="1"/>
  <c r="K50" i="2"/>
  <c r="L50" i="2"/>
  <c r="F51" i="2"/>
  <c r="G51" i="2" s="1"/>
  <c r="H51" i="2" s="1"/>
  <c r="N52" i="4"/>
  <c r="O52" i="4"/>
  <c r="M53" i="5"/>
  <c r="J53" i="5"/>
  <c r="K53" i="5" s="1"/>
  <c r="N53" i="5" s="1"/>
  <c r="J53" i="7"/>
  <c r="K53" i="7" s="1"/>
  <c r="N53" i="7" s="1"/>
  <c r="M53" i="7"/>
  <c r="L51" i="2" l="1"/>
  <c r="K51" i="2"/>
  <c r="F52" i="2"/>
  <c r="G52" i="2" s="1"/>
  <c r="H52" i="2" s="1"/>
  <c r="N51" i="3"/>
  <c r="J52" i="3"/>
  <c r="K51" i="3"/>
  <c r="L51" i="3" s="1"/>
  <c r="O51" i="3" s="1"/>
  <c r="O53" i="4"/>
  <c r="N53" i="4"/>
  <c r="F53" i="2" l="1"/>
  <c r="G53" i="2" s="1"/>
  <c r="H53" i="2" s="1"/>
  <c r="K52" i="2"/>
  <c r="L52" i="2"/>
  <c r="K52" i="3"/>
  <c r="L52" i="3" s="1"/>
  <c r="O52" i="3" s="1"/>
  <c r="N52" i="3"/>
  <c r="J53" i="3"/>
  <c r="N53" i="3" l="1"/>
  <c r="K53" i="3"/>
  <c r="L53" i="3" s="1"/>
  <c r="O53" i="3" s="1"/>
  <c r="K53" i="2"/>
  <c r="L53" i="2"/>
</calcChain>
</file>

<file path=xl/sharedStrings.xml><?xml version="1.0" encoding="utf-8"?>
<sst xmlns="http://schemas.openxmlformats.org/spreadsheetml/2006/main" count="148" uniqueCount="77">
  <si>
    <t>kg</t>
  </si>
  <si>
    <t>Newtons</t>
  </si>
  <si>
    <t>lb</t>
  </si>
  <si>
    <t>Convert</t>
  </si>
  <si>
    <t>g</t>
  </si>
  <si>
    <t>m/sec^2</t>
  </si>
  <si>
    <t>airplane</t>
  </si>
  <si>
    <t>aspect ratio</t>
  </si>
  <si>
    <t>Cdo</t>
  </si>
  <si>
    <t>span efficiency  (e)</t>
  </si>
  <si>
    <t>propeller efficiency</t>
  </si>
  <si>
    <t>motor efficiency</t>
  </si>
  <si>
    <t>k     Drag due to lift factor</t>
  </si>
  <si>
    <t xml:space="preserve">    k=1/(pi*ar*e)  </t>
  </si>
  <si>
    <t>(L/D)  max    (emax)</t>
  </si>
  <si>
    <t xml:space="preserve"> 1/(2*sqrt(k*cdo)) </t>
  </si>
  <si>
    <t>N/m^2</t>
  </si>
  <si>
    <t>m</t>
  </si>
  <si>
    <t>Take off</t>
  </si>
  <si>
    <t>Density of air</t>
  </si>
  <si>
    <t>kg/m^3</t>
  </si>
  <si>
    <t>Clmax</t>
  </si>
  <si>
    <t>m/sec</t>
  </si>
  <si>
    <t xml:space="preserve"> vlo=1.2*sqrt(2.*wos/(sigma*rhosl*clmax));    % Take-off Velocity [Brandt Eq.5.52, Pg.221]</t>
  </si>
  <si>
    <t>Wing Loading</t>
  </si>
  <si>
    <t>Vlo</t>
  </si>
  <si>
    <t>take off distance (m)</t>
  </si>
  <si>
    <t>P/W</t>
  </si>
  <si>
    <t>watts/N=m/sec</t>
  </si>
  <si>
    <t>tow=(1/alpha)*(q*cdo./(wos) +  k.*wos/q);</t>
  </si>
  <si>
    <t>Maximum speed</t>
  </si>
  <si>
    <t>velocity</t>
  </si>
  <si>
    <t>T/W</t>
  </si>
  <si>
    <t>q</t>
  </si>
  <si>
    <t>ft/sec</t>
  </si>
  <si>
    <t>velocity conversions  from m/sec</t>
  </si>
  <si>
    <t>knots</t>
  </si>
  <si>
    <t>miles/hour</t>
  </si>
  <si>
    <t>miles/hr</t>
  </si>
  <si>
    <t>ft</t>
  </si>
  <si>
    <t xml:space="preserve">    </t>
  </si>
  <si>
    <t xml:space="preserve">        </t>
  </si>
  <si>
    <t>Altitude</t>
  </si>
  <si>
    <t>Cl Max</t>
  </si>
  <si>
    <t>Landing Distance</t>
  </si>
  <si>
    <t>Thrust</t>
  </si>
  <si>
    <t>Takeoff Velocity</t>
  </si>
  <si>
    <t>Power/Weight</t>
  </si>
  <si>
    <t>Rho Sea Level</t>
  </si>
  <si>
    <t>Density at Altitude</t>
  </si>
  <si>
    <t>W/N</t>
  </si>
  <si>
    <t>Altitude (landing)</t>
  </si>
  <si>
    <t>Rate of Climb</t>
  </si>
  <si>
    <t>m/s</t>
  </si>
  <si>
    <t>Cl</t>
  </si>
  <si>
    <t>at min D/V</t>
  </si>
  <si>
    <t>Vpmin</t>
  </si>
  <si>
    <t>m/min</t>
  </si>
  <si>
    <t>Airspeed</t>
  </si>
  <si>
    <t>Load Factor</t>
  </si>
  <si>
    <t>Density</t>
  </si>
  <si>
    <t>Dynamic Pressure</t>
  </si>
  <si>
    <t>kg/m^2</t>
  </si>
  <si>
    <t>Tow</t>
  </si>
  <si>
    <t>Hpow</t>
  </si>
  <si>
    <t>watts/lbf</t>
  </si>
  <si>
    <t>ozf/ft^2</t>
  </si>
  <si>
    <t>Takeoff</t>
  </si>
  <si>
    <t>Airplane</t>
  </si>
  <si>
    <t>Maximum Speed</t>
  </si>
  <si>
    <t>Landing</t>
  </si>
  <si>
    <t>Ceiling</t>
  </si>
  <si>
    <t>Turns</t>
  </si>
  <si>
    <t xml:space="preserve">    pow=1/2*(vlo).^3/(eta_p*eta_m*g*d);        % Power-electric(watts)/Weight (N) </t>
  </si>
  <si>
    <t>Vapproach</t>
  </si>
  <si>
    <t>not used - for fer only</t>
  </si>
  <si>
    <t>for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</si>
</sst>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Take Off</c:v>
          </c:tx>
          <c:marker>
            <c:symbol val="none"/>
          </c:marker>
          <c:cat>
            <c:numRef>
              <c:f>'take off'!$F$3:$F$53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cat>
          <c:val>
            <c:numRef>
              <c:f>'take off'!$H$3:$H$53</c:f>
              <c:numCache>
                <c:formatCode>General</c:formatCode>
                <c:ptCount val="51"/>
                <c:pt idx="0">
                  <c:v>0</c:v>
                </c:pt>
                <c:pt idx="1">
                  <c:v>0.15065473195870541</c:v>
                </c:pt>
                <c:pt idx="2">
                  <c:v>0.42611593034336903</c:v>
                </c:pt>
                <c:pt idx="3">
                  <c:v>0.78282495045944511</c:v>
                </c:pt>
                <c:pt idx="4">
                  <c:v>1.2052378556696433</c:v>
                </c:pt>
                <c:pt idx="5">
                  <c:v>1.6843711089583764</c:v>
                </c:pt>
                <c:pt idx="6">
                  <c:v>2.2141633238075875</c:v>
                </c:pt>
                <c:pt idx="7">
                  <c:v>2.7901646821848045</c:v>
                </c:pt>
                <c:pt idx="8">
                  <c:v>3.4089274427469523</c:v>
                </c:pt>
                <c:pt idx="9">
                  <c:v>4.0676777628850456</c:v>
                </c:pt>
                <c:pt idx="10">
                  <c:v>4.7641209327166916</c:v>
                </c:pt>
                <c:pt idx="11">
                  <c:v>5.4963174067844944</c:v>
                </c:pt>
                <c:pt idx="12">
                  <c:v>6.2625996036755609</c:v>
                </c:pt>
                <c:pt idx="13">
                  <c:v>7.061513692589144</c:v>
                </c:pt>
                <c:pt idx="14">
                  <c:v>7.8917774696003349</c:v>
                </c:pt>
                <c:pt idx="15">
                  <c:v>8.7522490185511224</c:v>
                </c:pt>
                <c:pt idx="16">
                  <c:v>9.641902845357146</c:v>
                </c:pt>
                <c:pt idx="17">
                  <c:v>10.5598113387026</c:v>
                </c:pt>
                <c:pt idx="18">
                  <c:v>11.505130119270966</c:v>
                </c:pt>
                <c:pt idx="19">
                  <c:v>12.477086287509884</c:v>
                </c:pt>
                <c:pt idx="20">
                  <c:v>13.474968871667011</c:v>
                </c:pt>
                <c:pt idx="21">
                  <c:v>14.498120973085051</c:v>
                </c:pt>
                <c:pt idx="22">
                  <c:v>15.545933239563903</c:v>
                </c:pt>
                <c:pt idx="23">
                  <c:v>16.617838391267114</c:v>
                </c:pt>
                <c:pt idx="24">
                  <c:v>17.7133065904607</c:v>
                </c:pt>
                <c:pt idx="25">
                  <c:v>18.831841494838176</c:v>
                </c:pt>
                <c:pt idx="26">
                  <c:v>19.972976869885766</c:v>
                </c:pt>
                <c:pt idx="27">
                  <c:v>21.136273662405021</c:v>
                </c:pt>
                <c:pt idx="28">
                  <c:v>22.321317457478436</c:v>
                </c:pt>
                <c:pt idx="29">
                  <c:v>23.527716256596769</c:v>
                </c:pt>
                <c:pt idx="30">
                  <c:v>24.755098526603231</c:v>
                </c:pt>
                <c:pt idx="31">
                  <c:v>26.003111478433055</c:v>
                </c:pt>
                <c:pt idx="32">
                  <c:v>27.271419541975618</c:v>
                </c:pt>
                <c:pt idx="33">
                  <c:v>28.559703009227881</c:v>
                </c:pt>
                <c:pt idx="34">
                  <c:v>29.86765682258882</c:v>
                </c:pt>
                <c:pt idx="35">
                  <c:v>31.1949894889216</c:v>
                </c:pt>
                <c:pt idx="36">
                  <c:v>32.541422103080365</c:v>
                </c:pt>
                <c:pt idx="37">
                  <c:v>33.906687467109798</c:v>
                </c:pt>
                <c:pt idx="38">
                  <c:v>35.2905292933917</c:v>
                </c:pt>
                <c:pt idx="39">
                  <c:v>36.692701481723127</c:v>
                </c:pt>
                <c:pt idx="40">
                  <c:v>38.112967461733533</c:v>
                </c:pt>
                <c:pt idx="41">
                  <c:v>39.55109959323817</c:v>
                </c:pt>
                <c:pt idx="42">
                  <c:v>41.006878618125405</c:v>
                </c:pt>
                <c:pt idx="43">
                  <c:v>42.480093158219496</c:v>
                </c:pt>
                <c:pt idx="44">
                  <c:v>43.970539254275955</c:v>
                </c:pt>
                <c:pt idx="45">
                  <c:v>45.478019941876155</c:v>
                </c:pt>
                <c:pt idx="46">
                  <c:v>47.002344860508487</c:v>
                </c:pt>
                <c:pt idx="47">
                  <c:v>48.543329892569588</c:v>
                </c:pt>
                <c:pt idx="48">
                  <c:v>50.100796829404487</c:v>
                </c:pt>
                <c:pt idx="49">
                  <c:v>51.674573061835964</c:v>
                </c:pt>
                <c:pt idx="50">
                  <c:v>53.264491292921129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F-4460-BB73-AC819896CB76}"/>
            </c:ext>
          </c:extLst>
        </c:ser>
        <c:ser>
          <c:idx val="1"/>
          <c:order val="1"/>
          <c:tx>
            <c:v>Max Speed</c:v>
          </c:tx>
          <c:marker>
            <c:symbol val="none"/>
          </c:marker>
          <c:val>
            <c:numRef>
              <c:f>'maximum speed'!$L$3:$L$53</c:f>
              <c:numCache>
                <c:formatCode>General</c:formatCode>
                <c:ptCount val="51"/>
                <c:pt idx="8">
                  <c:v>13.462463103785236</c:v>
                </c:pt>
                <c:pt idx="9">
                  <c:v>12.06763660766412</c:v>
                </c:pt>
                <c:pt idx="10">
                  <c:v>10.96246981828129</c:v>
                </c:pt>
                <c:pt idx="11">
                  <c:v>10.067964633799029</c:v>
                </c:pt>
                <c:pt idx="12">
                  <c:v>9.331455652992199</c:v>
                </c:pt>
                <c:pt idx="13">
                  <c:v>8.7164822134741549</c:v>
                </c:pt>
                <c:pt idx="14">
                  <c:v>8.1970009849687333</c:v>
                </c:pt>
                <c:pt idx="15">
                  <c:v>7.7539135252734113</c:v>
                </c:pt>
                <c:pt idx="16">
                  <c:v>7.3728960027362902</c:v>
                </c:pt>
                <c:pt idx="17">
                  <c:v>7.0429948990353379</c:v>
                </c:pt>
                <c:pt idx="18">
                  <c:v>6.7556908110311928</c:v>
                </c:pt>
                <c:pt idx="19">
                  <c:v>6.5042578941401459</c:v>
                </c:pt>
                <c:pt idx="20">
                  <c:v>6.2833154726952349</c:v>
                </c:pt>
                <c:pt idx="21">
                  <c:v>6.0885077616327266</c:v>
                </c:pt>
                <c:pt idx="22">
                  <c:v>5.916270936809565</c:v>
                </c:pt>
                <c:pt idx="23">
                  <c:v>5.7636609695858336</c:v>
                </c:pt>
                <c:pt idx="24">
                  <c:v>5.6282245027616069</c:v>
                </c:pt>
                <c:pt idx="25">
                  <c:v>5.5079007162889422</c:v>
                </c:pt>
                <c:pt idx="26">
                  <c:v>5.4009458393580445</c:v>
                </c:pt>
                <c:pt idx="27">
                  <c:v>5.3058744375753841</c:v>
                </c:pt>
                <c:pt idx="28">
                  <c:v>5.2214132814607925</c:v>
                </c:pt>
                <c:pt idx="29">
                  <c:v>5.1464647593934361</c:v>
                </c:pt>
                <c:pt idx="30">
                  <c:v>5.0800776079685903</c:v>
                </c:pt>
                <c:pt idx="31">
                  <c:v>5.021423307446657</c:v>
                </c:pt>
                <c:pt idx="32">
                  <c:v>4.9697769030554895</c:v>
                </c:pt>
                <c:pt idx="33">
                  <c:v>4.9245013133286513</c:v>
                </c:pt>
                <c:pt idx="34">
                  <c:v>4.8850344075604708</c:v>
                </c:pt>
                <c:pt idx="35">
                  <c:v>4.8508782985544894</c:v>
                </c:pt>
                <c:pt idx="36">
                  <c:v>4.8215904199138571</c:v>
                </c:pt>
                <c:pt idx="37">
                  <c:v>4.7967760502576002</c:v>
                </c:pt>
                <c:pt idx="38">
                  <c:v>4.7760820178237928</c:v>
                </c:pt>
                <c:pt idx="39">
                  <c:v>4.7591913735953257</c:v>
                </c:pt>
                <c:pt idx="40">
                  <c:v>4.7458188634567975</c:v>
                </c:pt>
                <c:pt idx="41">
                  <c:v>4.7357070629626019</c:v>
                </c:pt>
                <c:pt idx="42">
                  <c:v>4.7286230642810017</c:v>
                </c:pt>
                <c:pt idx="43">
                  <c:v>4.7243556254250709</c:v>
                </c:pt>
                <c:pt idx="44">
                  <c:v>4.7227127082248792</c:v>
                </c:pt>
                <c:pt idx="45">
                  <c:v>4.7235193445700432</c:v>
                </c:pt>
                <c:pt idx="46">
                  <c:v>4.7266157809684737</c:v>
                </c:pt>
                <c:pt idx="47">
                  <c:v>4.7318558599699614</c:v>
                </c:pt>
                <c:pt idx="48">
                  <c:v>4.7391056039118178</c:v>
                </c:pt>
                <c:pt idx="49">
                  <c:v>4.7482419720834068</c:v>
                </c:pt>
                <c:pt idx="50">
                  <c:v>4.7591517670309447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F-4460-BB73-AC819896CB76}"/>
            </c:ext>
          </c:extLst>
        </c:ser>
        <c:ser>
          <c:idx val="2"/>
          <c:order val="2"/>
          <c:tx>
            <c:v>Landing</c:v>
          </c:tx>
          <c:marker>
            <c:symbol val="none"/>
          </c:marker>
          <c:val>
            <c:numRef>
              <c:f>Landing!$L$3:$L$53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F-4460-BB73-AC819896CB76}"/>
            </c:ext>
          </c:extLst>
        </c:ser>
        <c:ser>
          <c:idx val="3"/>
          <c:order val="3"/>
          <c:tx>
            <c:v>Ceiling</c:v>
          </c:tx>
          <c:marker>
            <c:symbol val="none"/>
          </c:marker>
          <c:val>
            <c:numRef>
              <c:f>Ceiling!$K$3:$K$53</c:f>
              <c:numCache>
                <c:formatCode>General</c:formatCode>
                <c:ptCount val="51"/>
                <c:pt idx="0">
                  <c:v>0</c:v>
                </c:pt>
                <c:pt idx="1">
                  <c:v>0.39827976829943995</c:v>
                </c:pt>
                <c:pt idx="2">
                  <c:v>0.56325264994788182</c:v>
                </c:pt>
                <c:pt idx="3">
                  <c:v>0.68984079432139034</c:v>
                </c:pt>
                <c:pt idx="4">
                  <c:v>0.7965595365988799</c:v>
                </c:pt>
                <c:pt idx="5">
                  <c:v>0.89058063598041348</c:v>
                </c:pt>
                <c:pt idx="6">
                  <c:v>0.97558220720753897</c:v>
                </c:pt>
                <c:pt idx="7">
                  <c:v>1.0537492191487445</c:v>
                </c:pt>
                <c:pt idx="8">
                  <c:v>1.1265052998957636</c:v>
                </c:pt>
                <c:pt idx="9">
                  <c:v>1.1948393048983197</c:v>
                </c:pt>
                <c:pt idx="10">
                  <c:v>1.2594712137903572</c:v>
                </c:pt>
                <c:pt idx="11">
                  <c:v>1.3209445530389272</c:v>
                </c:pt>
                <c:pt idx="12">
                  <c:v>1.3796815886427807</c:v>
                </c:pt>
                <c:pt idx="13">
                  <c:v>1.4360181265835479</c:v>
                </c:pt>
                <c:pt idx="14">
                  <c:v>1.4902264370602134</c:v>
                </c:pt>
                <c:pt idx="15">
                  <c:v>1.5425309097550797</c:v>
                </c:pt>
                <c:pt idx="16">
                  <c:v>1.5931190731977598</c:v>
                </c:pt>
                <c:pt idx="17">
                  <c:v>1.6421495532451194</c:v>
                </c:pt>
                <c:pt idx="18">
                  <c:v>1.6897579498436457</c:v>
                </c:pt>
                <c:pt idx="19">
                  <c:v>1.7360612612740529</c:v>
                </c:pt>
                <c:pt idx="20">
                  <c:v>1.781161271960827</c:v>
                </c:pt>
                <c:pt idx="21">
                  <c:v>1.825147186001657</c:v>
                </c:pt>
                <c:pt idx="22">
                  <c:v>1.868097702050517</c:v>
                </c:pt>
                <c:pt idx="23">
                  <c:v>1.9100826679081402</c:v>
                </c:pt>
                <c:pt idx="24">
                  <c:v>1.9511644144150779</c:v>
                </c:pt>
                <c:pt idx="25">
                  <c:v>1.9913988414971997</c:v>
                </c:pt>
                <c:pt idx="26">
                  <c:v>2.0308363104280573</c:v>
                </c:pt>
                <c:pt idx="27">
                  <c:v>2.0695223829641711</c:v>
                </c:pt>
                <c:pt idx="28">
                  <c:v>2.1074984382974891</c:v>
                </c:pt>
                <c:pt idx="29">
                  <c:v>2.1448021916398283</c:v>
                </c:pt>
                <c:pt idx="30">
                  <c:v>2.1814681329553425</c:v>
                </c:pt>
                <c:pt idx="31">
                  <c:v>2.21752790037382</c:v>
                </c:pt>
                <c:pt idx="32">
                  <c:v>2.2530105997915273</c:v>
                </c:pt>
                <c:pt idx="33">
                  <c:v>2.2879430798447835</c:v>
                </c:pt>
                <c:pt idx="34">
                  <c:v>2.3223501696441664</c:v>
                </c:pt>
                <c:pt idx="35">
                  <c:v>2.3562548852539162</c:v>
                </c:pt>
                <c:pt idx="36">
                  <c:v>2.3896786097966394</c:v>
                </c:pt>
                <c:pt idx="37">
                  <c:v>2.4226412511876902</c:v>
                </c:pt>
                <c:pt idx="38">
                  <c:v>2.4551613808043071</c:v>
                </c:pt>
                <c:pt idx="39">
                  <c:v>2.4872563558325802</c:v>
                </c:pt>
                <c:pt idx="40">
                  <c:v>2.5189424275807144</c:v>
                </c:pt>
                <c:pt idx="41">
                  <c:v>2.5502348376772832</c:v>
                </c:pt>
                <c:pt idx="42">
                  <c:v>2.5811479037706331</c:v>
                </c:pt>
                <c:pt idx="43">
                  <c:v>2.6116950960968222</c:v>
                </c:pt>
                <c:pt idx="44">
                  <c:v>2.6418891060778544</c:v>
                </c:pt>
                <c:pt idx="45">
                  <c:v>2.6717419079412403</c:v>
                </c:pt>
                <c:pt idx="46">
                  <c:v>2.7012648142094764</c:v>
                </c:pt>
                <c:pt idx="47">
                  <c:v>2.7304685257887176</c:v>
                </c:pt>
                <c:pt idx="48">
                  <c:v>2.7593631772855614</c:v>
                </c:pt>
                <c:pt idx="49">
                  <c:v>2.7879583780960795</c:v>
                </c:pt>
                <c:pt idx="50">
                  <c:v>2.8162632497394093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F-4460-BB73-AC819896CB76}"/>
            </c:ext>
          </c:extLst>
        </c:ser>
        <c:ser>
          <c:idx val="4"/>
          <c:order val="4"/>
          <c:tx>
            <c:v>Rate of climb</c:v>
          </c:tx>
          <c:marker>
            <c:symbol val="none"/>
          </c:marker>
          <c:val>
            <c:numRef>
              <c:f>'Rate of climb'!$K$3:$K$53</c:f>
              <c:numCache>
                <c:formatCode>General</c:formatCode>
                <c:ptCount val="51"/>
                <c:pt idx="0">
                  <c:v>3.6494597839135654</c:v>
                </c:pt>
                <c:pt idx="1">
                  <c:v>4.1076473524818331</c:v>
                </c:pt>
                <c:pt idx="2">
                  <c:v>4.2974348574935624</c:v>
                </c:pt>
                <c:pt idx="3">
                  <c:v>4.4430639320702543</c:v>
                </c:pt>
                <c:pt idx="4">
                  <c:v>4.5658349210501008</c:v>
                </c:pt>
                <c:pt idx="5">
                  <c:v>4.6739983336775586</c:v>
                </c:pt>
                <c:pt idx="6">
                  <c:v>4.7717855333923023</c:v>
                </c:pt>
                <c:pt idx="7">
                  <c:v>4.8617101441665573</c:v>
                </c:pt>
                <c:pt idx="8">
                  <c:v>4.9454099310735593</c:v>
                </c:pt>
                <c:pt idx="9">
                  <c:v>5.0240224896183694</c:v>
                </c:pt>
                <c:pt idx="10">
                  <c:v>5.0983760961638662</c:v>
                </c:pt>
                <c:pt idx="11">
                  <c:v>5.1690960324597475</c:v>
                </c:pt>
                <c:pt idx="12">
                  <c:v>5.2366680802269432</c:v>
                </c:pt>
                <c:pt idx="13">
                  <c:v>5.3014785561666278</c:v>
                </c:pt>
                <c:pt idx="14">
                  <c:v>5.3638406843750177</c:v>
                </c:pt>
                <c:pt idx="15">
                  <c:v>5.4240126064177359</c:v>
                </c:pt>
                <c:pt idx="16">
                  <c:v>5.4822100581866371</c:v>
                </c:pt>
                <c:pt idx="17">
                  <c:v>5.5386155254654676</c:v>
                </c:pt>
                <c:pt idx="18">
                  <c:v>5.5933850046535563</c:v>
                </c:pt>
                <c:pt idx="19">
                  <c:v>5.6466530924892586</c:v>
                </c:pt>
                <c:pt idx="20">
                  <c:v>5.6985368834415517</c:v>
                </c:pt>
                <c:pt idx="21">
                  <c:v>5.7491389993654227</c:v>
                </c:pt>
                <c:pt idx="22">
                  <c:v>5.7985499764813477</c:v>
                </c:pt>
                <c:pt idx="23">
                  <c:v>5.8468501688432726</c:v>
                </c:pt>
                <c:pt idx="24">
                  <c:v>5.8941112828710382</c:v>
                </c:pt>
                <c:pt idx="25">
                  <c:v>5.9403976267549057</c:v>
                </c:pt>
                <c:pt idx="26">
                  <c:v>5.9857671369287955</c:v>
                </c:pt>
                <c:pt idx="27">
                  <c:v>6.0302722283836321</c:v>
                </c:pt>
                <c:pt idx="28">
                  <c:v>6.0739605044195484</c:v>
                </c:pt>
                <c:pt idx="29">
                  <c:v>6.1168753532339295</c:v>
                </c:pt>
                <c:pt idx="30">
                  <c:v>6.1590564526464195</c:v>
                </c:pt>
                <c:pt idx="31">
                  <c:v>6.2005401996797049</c:v>
                </c:pt>
                <c:pt idx="32">
                  <c:v>6.2413600782335523</c:v>
                </c:pt>
                <c:pt idx="33">
                  <c:v>6.2815469754189195</c:v>
                </c:pt>
                <c:pt idx="34">
                  <c:v>6.3211294550512687</c:v>
                </c:pt>
                <c:pt idx="35">
                  <c:v>6.3601339951878648</c:v>
                </c:pt>
                <c:pt idx="36">
                  <c:v>6.3985851953231725</c:v>
                </c:pt>
                <c:pt idx="37">
                  <c:v>6.4365059578490724</c:v>
                </c:pt>
                <c:pt idx="38">
                  <c:v>6.4739176475821036</c:v>
                </c:pt>
                <c:pt idx="39">
                  <c:v>6.5108402325134271</c:v>
                </c:pt>
                <c:pt idx="40">
                  <c:v>6.5472924084141679</c:v>
                </c:pt>
                <c:pt idx="41">
                  <c:v>6.5832917095034675</c:v>
                </c:pt>
                <c:pt idx="42">
                  <c:v>6.6188546070384815</c:v>
                </c:pt>
                <c:pt idx="43">
                  <c:v>6.6539965973993906</c:v>
                </c:pt>
                <c:pt idx="44">
                  <c:v>6.6887322810059295</c:v>
                </c:pt>
                <c:pt idx="45">
                  <c:v>6.7230754332055449</c:v>
                </c:pt>
                <c:pt idx="46">
                  <c:v>6.7570390681093944</c:v>
                </c:pt>
                <c:pt idx="47">
                  <c:v>6.7906354962151809</c:v>
                </c:pt>
                <c:pt idx="48">
                  <c:v>6.823876376540321</c:v>
                </c:pt>
                <c:pt idx="49">
                  <c:v>6.8567727638914411</c:v>
                </c:pt>
                <c:pt idx="50">
                  <c:v>6.8893351518135511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F-4460-BB73-AC819896CB76}"/>
            </c:ext>
          </c:extLst>
        </c:ser>
        <c:ser>
          <c:idx val="5"/>
          <c:order val="5"/>
          <c:tx>
            <c:v>Turns</c:v>
          </c:tx>
          <c:marker>
            <c:symbol val="none"/>
          </c:marker>
          <c:val>
            <c:numRef>
              <c:f>Turns!$K$3:$K$53</c:f>
              <c:numCache>
                <c:formatCode>General</c:formatCode>
                <c:ptCount val="51"/>
                <c:pt idx="1">
                  <c:v>61.064886214738948</c:v>
                </c:pt>
                <c:pt idx="2">
                  <c:v>30.930323900066139</c:v>
                </c:pt>
                <c:pt idx="3">
                  <c:v>21.062305703040376</c:v>
                </c:pt>
                <c:pt idx="4">
                  <c:v>16.260923535426386</c:v>
                </c:pt>
                <c:pt idx="5">
                  <c:v>13.486195779577098</c:v>
                </c:pt>
                <c:pt idx="6">
                  <c:v>11.724795229610164</c:v>
                </c:pt>
                <c:pt idx="7">
                  <c:v>10.542438797290291</c:v>
                </c:pt>
                <c:pt idx="8">
                  <c:v>9.721984938499828</c:v>
                </c:pt>
                <c:pt idx="9">
                  <c:v>9.142799462062305</c:v>
                </c:pt>
                <c:pt idx="10">
                  <c:v>8.7325018532718435</c:v>
                </c:pt>
                <c:pt idx="11">
                  <c:v>8.4450317845883323</c:v>
                </c:pt>
                <c:pt idx="12">
                  <c:v>8.2496823709850347</c:v>
                </c:pt>
                <c:pt idx="13">
                  <c:v>8.1251949997511339</c:v>
                </c:pt>
                <c:pt idx="14">
                  <c:v>8.0563849475217566</c:v>
                </c:pt>
                <c:pt idx="15">
                  <c:v>8.0321167504959998</c:v>
                </c:pt>
                <c:pt idx="16">
                  <c:v>8.0440388108231833</c:v>
                </c:pt>
                <c:pt idx="17">
                  <c:v>8.0857646124998492</c:v>
                </c:pt>
                <c:pt idx="18">
                  <c:v>8.152326865301081</c:v>
                </c:pt>
                <c:pt idx="19">
                  <c:v>8.2398040243124751</c:v>
                </c:pt>
                <c:pt idx="20">
                  <c:v>8.3450588536025094</c:v>
                </c:pt>
                <c:pt idx="21">
                  <c:v>8.4655516859885171</c:v>
                </c:pt>
                <c:pt idx="22">
                  <c:v>8.599204611957413</c:v>
                </c:pt>
                <c:pt idx="23">
                  <c:v>8.7443010975636</c:v>
                </c:pt>
                <c:pt idx="24">
                  <c:v>8.8994106978524226</c:v>
                </c:pt>
                <c:pt idx="25">
                  <c:v>9.063331839061961</c:v>
                </c:pt>
                <c:pt idx="26">
                  <c:v>9.2350478049321296</c:v>
                </c:pt>
                <c:pt idx="27">
                  <c:v>9.4136925038339747</c:v>
                </c:pt>
                <c:pt idx="28">
                  <c:v>9.5985235715141002</c:v>
                </c:pt>
                <c:pt idx="29">
                  <c:v>9.7889010387885467</c:v>
                </c:pt>
                <c:pt idx="30">
                  <c:v>9.9842702656978801</c:v>
                </c:pt>
                <c:pt idx="31">
                  <c:v>10.18414817872905</c:v>
                </c:pt>
                <c:pt idx="32">
                  <c:v>10.388112088558131</c:v>
                </c:pt>
                <c:pt idx="33">
                  <c:v>10.59579054093077</c:v>
                </c:pt>
                <c:pt idx="34">
                  <c:v>10.806855782093123</c:v>
                </c:pt>
                <c:pt idx="35">
                  <c:v>11.021017515863214</c:v>
                </c:pt>
                <c:pt idx="36">
                  <c:v>11.238017701190396</c:v>
                </c:pt>
                <c:pt idx="37">
                  <c:v>11.457626193353832</c:v>
                </c:pt>
                <c:pt idx="38">
                  <c:v>11.679637073392755</c:v>
                </c:pt>
                <c:pt idx="39">
                  <c:v>11.903865542239828</c:v>
                </c:pt>
                <c:pt idx="40">
                  <c:v>12.13014528073443</c:v>
                </c:pt>
                <c:pt idx="41">
                  <c:v>12.358326195975531</c:v>
                </c:pt>
                <c:pt idx="42">
                  <c:v>12.588272489624092</c:v>
                </c:pt>
                <c:pt idx="43">
                  <c:v>12.81986099574471</c:v>
                </c:pt>
                <c:pt idx="44">
                  <c:v>13.052979745305199</c:v>
                </c:pt>
                <c:pt idx="45">
                  <c:v>13.287526722076233</c:v>
                </c:pt>
                <c:pt idx="46">
                  <c:v>13.523408780804953</c:v>
                </c:pt>
                <c:pt idx="47">
                  <c:v>13.760540703494057</c:v>
                </c:pt>
                <c:pt idx="48">
                  <c:v>13.998844373646021</c:v>
                </c:pt>
                <c:pt idx="49">
                  <c:v>14.238248051620268</c:v>
                </c:pt>
                <c:pt idx="50">
                  <c:v>14.478685736947448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F-4460-BB73-AC819896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58480"/>
        <c:axId val="221958872"/>
      </c:lineChart>
      <c:catAx>
        <c:axId val="221958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Wing Loading (N/m^2)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958872"/>
        <c:crosses val="autoZero"/>
        <c:auto val="1"/>
        <c:lblAlgn val="ctr"/>
        <c:lblOffset val="100"/>
        <c:noMultiLvlLbl val="0"/>
      </c:catAx>
      <c:valAx>
        <c:axId val="221958872"/>
        <c:scaling>
          <c:orientation val="minMax"/>
          <c:max val="1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Loading (W/N)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2195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2</xdr:row>
      <xdr:rowOff>0</xdr:rowOff>
    </xdr:from>
    <xdr:to>
      <xdr:col>21</xdr:col>
      <xdr:colOff>529590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552450</xdr:colOff>
          <xdr:row>6</xdr:row>
          <xdr:rowOff>69850</xdr:rowOff>
        </xdr:from>
        <xdr:to>
          <xdr:col>7</xdr:col>
          <xdr:colOff>584200</xdr:colOff>
          <xdr:row>8</xdr:row>
          <xdr:rowOff>69850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13</xdr:row>
          <xdr:rowOff>69850</xdr:rowOff>
        </xdr:from>
        <xdr:to>
          <xdr:col>2</xdr:col>
          <xdr:colOff>431800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21</xdr:row>
          <xdr:rowOff>171450</xdr:rowOff>
        </xdr:from>
        <xdr:to>
          <xdr:col>4</xdr:col>
          <xdr:colOff>285750</xdr:colOff>
          <xdr:row>24</xdr:row>
          <xdr:rowOff>57150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762000</xdr:colOff>
          <xdr:row>10</xdr:row>
          <xdr:rowOff>19050</xdr:rowOff>
        </xdr:from>
        <xdr:to>
          <xdr:col>4</xdr:col>
          <xdr:colOff>190500</xdr:colOff>
          <xdr:row>16</xdr:row>
          <xdr:rowOff>146050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393700</xdr:colOff>
          <xdr:row>20</xdr:row>
          <xdr:rowOff>19050</xdr:rowOff>
        </xdr:from>
        <xdr:to>
          <xdr:col>4</xdr:col>
          <xdr:colOff>95250</xdr:colOff>
          <xdr:row>25</xdr:row>
          <xdr:rowOff>133350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1327150</xdr:colOff>
          <xdr:row>12</xdr:row>
          <xdr:rowOff>171450</xdr:rowOff>
        </xdr:from>
        <xdr:to>
          <xdr:col>3</xdr:col>
          <xdr:colOff>495300</xdr:colOff>
          <xdr:row>15</xdr:row>
          <xdr:rowOff>95250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8</xdr:col>
      <xdr:colOff>394891</xdr:colOff>
      <xdr:row>21</xdr:row>
      <xdr:rowOff>142960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7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516380" y="3291840"/>
              <a:ext cx="4662091" cy="691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num>
                      <m:den>
                        <m:r>
                          <a:rPr lang="en-US" sz="2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sSup>
                      <m:sSupPr>
                        <m:ctrlPr>
                          <a:rPr lang="en-US" sz="2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=1/2</m:t>
                        </m:r>
                        <m:r>
                          <a:rPr lang="en-US" sz="24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  <m:sSubSup>
                          <m:sSubSupPr>
                            <m:ctrlPr>
                              <a:rPr lang="en-US" sz="2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𝑎𝑝𝑝𝑟𝑜𝑎𝑐h</m:t>
                            </m:r>
                          </m:sub>
                          <m:sup>
                            <m:r>
                              <a:rPr lang="en-US" sz="2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2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𝐿𝑚𝑎𝑥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US" sz="2400">
                            <a:solidFill>
                              <a:sysClr val="windowText" lastClr="000000"/>
                            </a:solidFill>
                          </a:rPr>
                          <m:t>/1.2 </m:t>
                        </m:r>
                      </m:e>
                      <m:sup/>
                    </m:sSup>
                  </m:oMath>
                </m:oMathPara>
              </a14:m>
              <a:endParaRPr lang="en-US" sz="2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7"/>
            <xdr:cNvSpPr txBox="1"/>
          </xdr:nvSpPr>
          <xdr:spPr>
            <a:xfrm>
              <a:off x="1516380" y="3291840"/>
              <a:ext cx="4662091" cy="69160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/>
              <a:r>
                <a:rPr lang="en-US" sz="2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𝑊/𝑆 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=1/2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2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𝑉_𝑎𝑝𝑝𝑟𝑜𝑎𝑐ℎ^2 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𝐶_𝐿𝑚𝑎𝑥 "</a:t>
              </a:r>
              <a:r>
                <a:rPr lang="en-US" sz="2400" i="0">
                  <a:solidFill>
                    <a:sysClr val="windowText" lastClr="000000"/>
                  </a:solidFill>
                </a:rPr>
                <a:t>/1.2 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" 〗^</a:t>
              </a:r>
              <a:endParaRPr lang="en-US" sz="2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" zoomScale="67" zoomScaleNormal="60" workbookViewId="0">
      <selection activeCell="B23" sqref="B23"/>
    </sheetView>
  </sheetViews>
  <sheetFormatPr defaultRowHeight="14.5" x14ac:dyDescent="0.35"/>
  <cols>
    <col min="1" max="1" width="23.1796875" customWidth="1"/>
  </cols>
  <sheetData>
    <row r="1" spans="1:7" x14ac:dyDescent="0.35">
      <c r="C1" s="1" t="s">
        <v>0</v>
      </c>
      <c r="D1" s="1" t="s">
        <v>1</v>
      </c>
      <c r="E1" s="1" t="s">
        <v>2</v>
      </c>
    </row>
    <row r="2" spans="1:7" x14ac:dyDescent="0.35">
      <c r="B2" t="s">
        <v>3</v>
      </c>
      <c r="C2">
        <v>5.44</v>
      </c>
      <c r="D2">
        <f>9.80665*C2</f>
        <v>53.348176000000002</v>
      </c>
      <c r="E2" s="2">
        <f>2.20462*C2</f>
        <v>11.9931328</v>
      </c>
    </row>
    <row r="3" spans="1:7" x14ac:dyDescent="0.35">
      <c r="A3" t="s">
        <v>68</v>
      </c>
    </row>
    <row r="4" spans="1:7" x14ac:dyDescent="0.35">
      <c r="A4" t="s">
        <v>4</v>
      </c>
      <c r="B4">
        <v>9.8000000000000007</v>
      </c>
      <c r="C4" t="s">
        <v>5</v>
      </c>
    </row>
    <row r="5" spans="1:7" x14ac:dyDescent="0.35">
      <c r="A5" t="s">
        <v>6</v>
      </c>
    </row>
    <row r="6" spans="1:7" x14ac:dyDescent="0.35">
      <c r="A6" t="s">
        <v>7</v>
      </c>
      <c r="B6" s="3">
        <v>5</v>
      </c>
    </row>
    <row r="7" spans="1:7" x14ac:dyDescent="0.35">
      <c r="A7" t="s">
        <v>8</v>
      </c>
      <c r="B7" s="3">
        <v>0.1</v>
      </c>
    </row>
    <row r="8" spans="1:7" x14ac:dyDescent="0.35">
      <c r="A8" t="s">
        <v>9</v>
      </c>
      <c r="B8" s="3">
        <v>0.8</v>
      </c>
    </row>
    <row r="9" spans="1:7" x14ac:dyDescent="0.35">
      <c r="A9" t="s">
        <v>10</v>
      </c>
      <c r="B9" s="3">
        <v>0.8</v>
      </c>
    </row>
    <row r="10" spans="1:7" x14ac:dyDescent="0.35">
      <c r="A10" t="s">
        <v>11</v>
      </c>
      <c r="B10" s="3">
        <v>0.85</v>
      </c>
    </row>
    <row r="11" spans="1:7" x14ac:dyDescent="0.35">
      <c r="A11" t="s">
        <v>12</v>
      </c>
      <c r="B11" s="4">
        <f>1/(PI()*B6*B8)</f>
        <v>7.9577471545947673E-2</v>
      </c>
      <c r="D11" t="s">
        <v>13</v>
      </c>
      <c r="F11" t="s">
        <v>54</v>
      </c>
      <c r="G11">
        <f>SQRT(B7*PI()*B6*B8)</f>
        <v>1.1209982432795857</v>
      </c>
    </row>
    <row r="12" spans="1:7" x14ac:dyDescent="0.35">
      <c r="A12" t="s">
        <v>14</v>
      </c>
      <c r="B12" s="4">
        <f>1/(2*SQRT(B11*B7))</f>
        <v>5.604991216397929</v>
      </c>
      <c r="D12" t="s">
        <v>15</v>
      </c>
    </row>
    <row r="13" spans="1:7" x14ac:dyDescent="0.35">
      <c r="D13" s="2"/>
    </row>
    <row r="14" spans="1:7" x14ac:dyDescent="0.35">
      <c r="A14" t="s">
        <v>67</v>
      </c>
      <c r="D14" s="2"/>
    </row>
    <row r="15" spans="1:7" x14ac:dyDescent="0.35">
      <c r="A15" t="s">
        <v>42</v>
      </c>
      <c r="B15" s="3">
        <v>0</v>
      </c>
      <c r="C15" t="s">
        <v>17</v>
      </c>
    </row>
    <row r="16" spans="1:7" x14ac:dyDescent="0.35">
      <c r="A16" t="s">
        <v>21</v>
      </c>
      <c r="B16" s="3">
        <v>1.2</v>
      </c>
    </row>
    <row r="17" spans="1:9" x14ac:dyDescent="0.35">
      <c r="A17" t="s">
        <v>26</v>
      </c>
      <c r="B17" s="3">
        <f>50/3.28084</f>
        <v>15.239999512320015</v>
      </c>
      <c r="C17" t="s">
        <v>17</v>
      </c>
      <c r="D17">
        <f>B17*3.280839895013</f>
        <v>49.999998399998169</v>
      </c>
      <c r="E17" t="s">
        <v>39</v>
      </c>
    </row>
    <row r="18" spans="1:9" x14ac:dyDescent="0.35">
      <c r="A18" t="s">
        <v>60</v>
      </c>
      <c r="B18">
        <f>(101.29*((15.04-0.00649*B15+273.1)/288.08)^5.256)/(0.2869*(15.05-0.00649*B15+273.1))</f>
        <v>1.2265712188256008</v>
      </c>
      <c r="C18" t="s">
        <v>20</v>
      </c>
    </row>
    <row r="20" spans="1:9" x14ac:dyDescent="0.35">
      <c r="A20" t="s">
        <v>69</v>
      </c>
    </row>
    <row r="21" spans="1:9" x14ac:dyDescent="0.35">
      <c r="A21" t="s">
        <v>42</v>
      </c>
      <c r="B21" s="3">
        <v>91.44</v>
      </c>
      <c r="C21" t="s">
        <v>17</v>
      </c>
    </row>
    <row r="22" spans="1:9" x14ac:dyDescent="0.35">
      <c r="A22" t="s">
        <v>31</v>
      </c>
      <c r="B22" s="3">
        <v>18</v>
      </c>
      <c r="C22" t="s">
        <v>22</v>
      </c>
      <c r="D22">
        <f>airplane!B22*'maximum speed'!P2</f>
        <v>59.055118110233998</v>
      </c>
      <c r="E22" t="s">
        <v>34</v>
      </c>
      <c r="F22">
        <f>airplane!B22*'maximum speed'!P3</f>
        <v>34.989200863938002</v>
      </c>
      <c r="G22" t="s">
        <v>36</v>
      </c>
      <c r="H22">
        <f>airplane!B22*'maximum speed'!P4</f>
        <v>40.264853256972003</v>
      </c>
      <c r="I22" t="s">
        <v>38</v>
      </c>
    </row>
    <row r="23" spans="1:9" x14ac:dyDescent="0.35">
      <c r="A23" t="s">
        <v>33</v>
      </c>
      <c r="B23">
        <f>1/2*B24*B22^2</f>
        <v>196.96860058203325</v>
      </c>
      <c r="C23" t="s">
        <v>16</v>
      </c>
    </row>
    <row r="24" spans="1:9" x14ac:dyDescent="0.35">
      <c r="A24" t="s">
        <v>19</v>
      </c>
      <c r="B24">
        <f>(101.29*((15.04-0.00649*B21+273.1)/288.08)^5.256)/(0.2869*(15.05-0.00649*B21+273.1))</f>
        <v>1.2158555591483533</v>
      </c>
      <c r="C24" t="s">
        <v>20</v>
      </c>
    </row>
    <row r="26" spans="1:9" x14ac:dyDescent="0.35">
      <c r="A26" t="s">
        <v>70</v>
      </c>
    </row>
    <row r="27" spans="1:9" x14ac:dyDescent="0.35">
      <c r="A27" t="s">
        <v>51</v>
      </c>
      <c r="B27" s="3">
        <v>0</v>
      </c>
    </row>
    <row r="28" spans="1:9" x14ac:dyDescent="0.35">
      <c r="A28" t="s">
        <v>43</v>
      </c>
      <c r="B28" s="3">
        <v>1.5</v>
      </c>
      <c r="C28" t="s">
        <v>76</v>
      </c>
    </row>
    <row r="29" spans="1:9" x14ac:dyDescent="0.35">
      <c r="A29" t="s">
        <v>44</v>
      </c>
      <c r="B29" s="3">
        <f>50/3.28084</f>
        <v>15.239999512320015</v>
      </c>
      <c r="C29" t="s">
        <v>17</v>
      </c>
      <c r="D29" t="s">
        <v>75</v>
      </c>
    </row>
    <row r="30" spans="1:9" x14ac:dyDescent="0.35">
      <c r="A30" t="s">
        <v>74</v>
      </c>
      <c r="B30" s="3">
        <v>13</v>
      </c>
      <c r="C30" t="s">
        <v>22</v>
      </c>
    </row>
    <row r="31" spans="1:9" x14ac:dyDescent="0.35">
      <c r="A31" t="s">
        <v>49</v>
      </c>
      <c r="B31">
        <f>(101.29*((15.04-0.00649*B27+273.1)/288.08)^5.256)/(0.2869*(15.05-0.00649*B27+273.1))</f>
        <v>1.2265712188256008</v>
      </c>
      <c r="C31" t="s">
        <v>20</v>
      </c>
    </row>
    <row r="32" spans="1:9" x14ac:dyDescent="0.35">
      <c r="B32" s="3"/>
    </row>
    <row r="33" spans="1:3" x14ac:dyDescent="0.35">
      <c r="A33" t="s">
        <v>48</v>
      </c>
      <c r="B33">
        <v>1.2250000000000001</v>
      </c>
    </row>
    <row r="35" spans="1:3" x14ac:dyDescent="0.35">
      <c r="A35" t="s">
        <v>71</v>
      </c>
    </row>
    <row r="36" spans="1:3" x14ac:dyDescent="0.35">
      <c r="A36" t="s">
        <v>42</v>
      </c>
      <c r="B36" s="3">
        <v>91.44</v>
      </c>
      <c r="C36" t="s">
        <v>17</v>
      </c>
    </row>
    <row r="37" spans="1:3" x14ac:dyDescent="0.35">
      <c r="A37" t="s">
        <v>60</v>
      </c>
      <c r="B37">
        <f>(101.29*((15.04-0.00649*B36+273.1)/288.08)^5.256)/(0.2869*(15.05-0.00649*B36+273.1))</f>
        <v>1.2158555591483533</v>
      </c>
      <c r="C37" t="s">
        <v>20</v>
      </c>
    </row>
    <row r="38" spans="1:3" x14ac:dyDescent="0.35">
      <c r="A38" t="s">
        <v>45</v>
      </c>
      <c r="B38" s="3">
        <v>1.2250000000000001</v>
      </c>
      <c r="C38" t="s">
        <v>20</v>
      </c>
    </row>
    <row r="39" spans="1:3" x14ac:dyDescent="0.35">
      <c r="A39" t="s">
        <v>54</v>
      </c>
      <c r="B39">
        <f>SQRT(3*airplane!$B$7/airplane!$B$11)</f>
        <v>1.9416259125556994</v>
      </c>
    </row>
    <row r="41" spans="1:3" x14ac:dyDescent="0.35">
      <c r="A41" t="s">
        <v>52</v>
      </c>
    </row>
    <row r="42" spans="1:3" x14ac:dyDescent="0.35">
      <c r="A42" t="s">
        <v>52</v>
      </c>
      <c r="B42" s="3">
        <v>200</v>
      </c>
      <c r="C42" t="s">
        <v>57</v>
      </c>
    </row>
    <row r="43" spans="1:3" x14ac:dyDescent="0.35">
      <c r="A43" t="s">
        <v>52</v>
      </c>
      <c r="B43" s="3">
        <v>3.04</v>
      </c>
      <c r="C43" t="s">
        <v>22</v>
      </c>
    </row>
    <row r="44" spans="1:3" x14ac:dyDescent="0.35">
      <c r="A44" t="s">
        <v>42</v>
      </c>
      <c r="B44" s="3">
        <f>300/3.28084</f>
        <v>91.439997073920097</v>
      </c>
      <c r="C44" t="s">
        <v>17</v>
      </c>
    </row>
    <row r="45" spans="1:3" x14ac:dyDescent="0.35">
      <c r="A45" t="s">
        <v>49</v>
      </c>
      <c r="B45">
        <v>1.2250000000000001</v>
      </c>
      <c r="C45" t="s">
        <v>20</v>
      </c>
    </row>
    <row r="46" spans="1:3" x14ac:dyDescent="0.35">
      <c r="A46" t="s">
        <v>45</v>
      </c>
      <c r="B46" s="3">
        <v>1.2250000000000001</v>
      </c>
      <c r="C46" t="s">
        <v>20</v>
      </c>
    </row>
    <row r="47" spans="1:3" x14ac:dyDescent="0.35">
      <c r="A47" t="s">
        <v>54</v>
      </c>
      <c r="B47">
        <f>SQRT(3*airplane!$B$7/airplane!$B$11)</f>
        <v>1.9416259125556994</v>
      </c>
      <c r="C47" t="s">
        <v>55</v>
      </c>
    </row>
    <row r="49" spans="1:3" x14ac:dyDescent="0.35">
      <c r="A49" t="s">
        <v>72</v>
      </c>
    </row>
    <row r="50" spans="1:3" x14ac:dyDescent="0.35">
      <c r="A50" t="s">
        <v>42</v>
      </c>
      <c r="B50" s="3">
        <f>300/3.28084</f>
        <v>91.439997073920097</v>
      </c>
      <c r="C50" t="s">
        <v>17</v>
      </c>
    </row>
    <row r="51" spans="1:3" x14ac:dyDescent="0.35">
      <c r="A51" t="s">
        <v>58</v>
      </c>
      <c r="B51" s="3">
        <v>15</v>
      </c>
      <c r="C51" t="s">
        <v>53</v>
      </c>
    </row>
    <row r="52" spans="1:3" x14ac:dyDescent="0.35">
      <c r="A52" t="s">
        <v>59</v>
      </c>
      <c r="B52" s="3">
        <v>2.5</v>
      </c>
    </row>
    <row r="53" spans="1:3" x14ac:dyDescent="0.35">
      <c r="A53" t="s">
        <v>60</v>
      </c>
      <c r="B53">
        <f>(101.29*((15.04-0.00649*B50+273.1)/288.08)^5.256)/(0.2869*(15.05-0.00649*B50+273.1))</f>
        <v>1.2158555594901042</v>
      </c>
      <c r="C53" t="s">
        <v>20</v>
      </c>
    </row>
    <row r="54" spans="1:3" x14ac:dyDescent="0.35">
      <c r="A54" t="s">
        <v>45</v>
      </c>
      <c r="B54" s="3">
        <v>1.2250000000000001</v>
      </c>
      <c r="C54" t="s">
        <v>20</v>
      </c>
    </row>
    <row r="55" spans="1:3" x14ac:dyDescent="0.35">
      <c r="A55" t="s">
        <v>61</v>
      </c>
      <c r="B55">
        <f>0.5*B54*airplane!B33*B51^2</f>
        <v>168.82031250000003</v>
      </c>
      <c r="C55" t="s">
        <v>62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4</xdr:col>
                <xdr:colOff>552450</xdr:colOff>
                <xdr:row>6</xdr:row>
                <xdr:rowOff>69850</xdr:rowOff>
              </from>
              <to>
                <xdr:col>7</xdr:col>
                <xdr:colOff>584200</xdr:colOff>
                <xdr:row>8</xdr:row>
                <xdr:rowOff>69850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topLeftCell="A7" workbookViewId="0">
      <selection activeCell="H4" sqref="H4"/>
    </sheetView>
  </sheetViews>
  <sheetFormatPr defaultRowHeight="14.5" x14ac:dyDescent="0.35"/>
  <cols>
    <col min="1" max="1" width="19" customWidth="1"/>
    <col min="5" max="5" width="21.26953125" customWidth="1"/>
    <col min="6" max="6" width="14.54296875" customWidth="1"/>
  </cols>
  <sheetData>
    <row r="1" spans="1:12" x14ac:dyDescent="0.35">
      <c r="A1" t="s">
        <v>18</v>
      </c>
      <c r="F1" t="s">
        <v>24</v>
      </c>
      <c r="G1" t="s">
        <v>25</v>
      </c>
      <c r="H1" t="s">
        <v>27</v>
      </c>
      <c r="K1" t="s">
        <v>24</v>
      </c>
      <c r="L1" t="s">
        <v>27</v>
      </c>
    </row>
    <row r="2" spans="1:12" x14ac:dyDescent="0.35">
      <c r="F2" t="s">
        <v>16</v>
      </c>
      <c r="G2" t="s">
        <v>22</v>
      </c>
      <c r="H2" t="s">
        <v>28</v>
      </c>
      <c r="K2" t="s">
        <v>66</v>
      </c>
      <c r="L2" t="s">
        <v>65</v>
      </c>
    </row>
    <row r="3" spans="1:12" x14ac:dyDescent="0.35">
      <c r="F3">
        <v>0</v>
      </c>
      <c r="G3">
        <f>1.2*SQRT(2*F3/(airplane!$B$18*airplane!$B$16))</f>
        <v>0</v>
      </c>
      <c r="H3">
        <f>1/2*(G3)^3/(airplane!$B$9*airplane!$B$10*airplane!$B$4*airplane!$B$17)</f>
        <v>0</v>
      </c>
      <c r="K3">
        <f>F3*0.3342</f>
        <v>0</v>
      </c>
      <c r="L3">
        <f>H3*4.448</f>
        <v>0</v>
      </c>
    </row>
    <row r="4" spans="1:12" x14ac:dyDescent="0.35">
      <c r="F4">
        <f>F3+5</f>
        <v>5</v>
      </c>
      <c r="G4">
        <f>1.2*SQRT(2*F4/(airplane!$B$18*airplane!$B$16))</f>
        <v>3.1278379029143166</v>
      </c>
      <c r="H4">
        <f>1/2*(G4)^3/(airplane!$B$9*airplane!$B$10*airplane!$B$4*airplane!$B$17)</f>
        <v>0.15065473195870541</v>
      </c>
      <c r="K4">
        <f t="shared" ref="K4:K53" si="0">F4*0.3342</f>
        <v>1.671</v>
      </c>
      <c r="L4">
        <f t="shared" ref="L4:L53" si="1">H4*4.448</f>
        <v>0.6701122477523217</v>
      </c>
    </row>
    <row r="5" spans="1:12" x14ac:dyDescent="0.35">
      <c r="F5">
        <f t="shared" ref="F5:F53" si="2">F4+5</f>
        <v>10</v>
      </c>
      <c r="G5">
        <f>1.2*SQRT(2*F5/(airplane!$B$18*airplane!$B$16))</f>
        <v>4.4234307832060464</v>
      </c>
      <c r="H5">
        <f>1/2*(G5)^3/(airplane!$B$9*airplane!$B$10*airplane!$B$4*airplane!$B$17)</f>
        <v>0.42611593034336903</v>
      </c>
      <c r="K5">
        <f t="shared" si="0"/>
        <v>3.3420000000000001</v>
      </c>
      <c r="L5">
        <f t="shared" si="1"/>
        <v>1.8953636581673057</v>
      </c>
    </row>
    <row r="6" spans="1:12" x14ac:dyDescent="0.35">
      <c r="F6">
        <f t="shared" si="2"/>
        <v>15</v>
      </c>
      <c r="G6">
        <f>1.2*SQRT(2*F6/(airplane!$B$18*airplane!$B$16))</f>
        <v>5.4175741656872853</v>
      </c>
      <c r="H6">
        <f>1/2*(G6)^3/(airplane!$B$9*airplane!$B$10*airplane!$B$4*airplane!$B$17)</f>
        <v>0.78282495045944511</v>
      </c>
      <c r="K6">
        <f t="shared" si="0"/>
        <v>5.0129999999999999</v>
      </c>
      <c r="L6">
        <f t="shared" si="1"/>
        <v>3.4820053796436121</v>
      </c>
    </row>
    <row r="7" spans="1:12" x14ac:dyDescent="0.35">
      <c r="F7">
        <f t="shared" si="2"/>
        <v>20</v>
      </c>
      <c r="G7">
        <f>1.2*SQRT(2*F7/(airplane!$B$18*airplane!$B$16))</f>
        <v>6.2556758058286333</v>
      </c>
      <c r="H7">
        <f>1/2*(G7)^3/(airplane!$B$9*airplane!$B$10*airplane!$B$4*airplane!$B$17)</f>
        <v>1.2052378556696433</v>
      </c>
      <c r="K7">
        <f t="shared" si="0"/>
        <v>6.6840000000000002</v>
      </c>
      <c r="L7">
        <f t="shared" si="1"/>
        <v>5.3608979820185736</v>
      </c>
    </row>
    <row r="8" spans="1:12" x14ac:dyDescent="0.35">
      <c r="F8">
        <f t="shared" si="2"/>
        <v>25</v>
      </c>
      <c r="G8">
        <f>1.2*SQRT(2*F8/(airplane!$B$18*airplane!$B$16))</f>
        <v>6.994058173516799</v>
      </c>
      <c r="H8">
        <f>1/2*(G8)^3/(airplane!$B$9*airplane!$B$10*airplane!$B$4*airplane!$B$17)</f>
        <v>1.6843711089583764</v>
      </c>
      <c r="K8">
        <f t="shared" si="0"/>
        <v>8.3550000000000004</v>
      </c>
      <c r="L8">
        <f t="shared" si="1"/>
        <v>7.4920826926468589</v>
      </c>
    </row>
    <row r="9" spans="1:12" x14ac:dyDescent="0.35">
      <c r="F9">
        <f t="shared" si="2"/>
        <v>30</v>
      </c>
      <c r="G9">
        <f>1.2*SQRT(2*F9/(airplane!$B$18*airplane!$B$16))</f>
        <v>7.6616068602770646</v>
      </c>
      <c r="H9">
        <f>1/2*(G9)^3/(airplane!$B$9*airplane!$B$10*airplane!$B$4*airplane!$B$17)</f>
        <v>2.2141633238075875</v>
      </c>
      <c r="K9">
        <f t="shared" si="0"/>
        <v>10.026</v>
      </c>
      <c r="L9">
        <f t="shared" si="1"/>
        <v>9.8485984642961508</v>
      </c>
    </row>
    <row r="10" spans="1:12" x14ac:dyDescent="0.35">
      <c r="F10">
        <f t="shared" si="2"/>
        <v>35</v>
      </c>
      <c r="G10">
        <f>1.2*SQRT(2*F10/(airplane!$B$18*airplane!$B$16))</f>
        <v>8.2754812324330729</v>
      </c>
      <c r="H10">
        <f>1/2*(G10)^3/(airplane!$B$9*airplane!$B$10*airplane!$B$4*airplane!$B$17)</f>
        <v>2.7901646821848045</v>
      </c>
      <c r="K10">
        <f t="shared" si="0"/>
        <v>11.696999999999999</v>
      </c>
      <c r="L10">
        <f t="shared" si="1"/>
        <v>12.410652506358012</v>
      </c>
    </row>
    <row r="11" spans="1:12" x14ac:dyDescent="0.35">
      <c r="F11">
        <f t="shared" si="2"/>
        <v>40</v>
      </c>
      <c r="G11">
        <f>1.2*SQRT(2*F11/(airplane!$B$18*airplane!$B$16))</f>
        <v>8.8468615664120929</v>
      </c>
      <c r="H11">
        <f>1/2*(G11)^3/(airplane!$B$9*airplane!$B$10*airplane!$B$4*airplane!$B$17)</f>
        <v>3.4089274427469523</v>
      </c>
      <c r="K11">
        <f t="shared" si="0"/>
        <v>13.368</v>
      </c>
      <c r="L11">
        <f t="shared" si="1"/>
        <v>15.162909265338445</v>
      </c>
    </row>
    <row r="12" spans="1:12" x14ac:dyDescent="0.35">
      <c r="F12">
        <f t="shared" si="2"/>
        <v>45</v>
      </c>
      <c r="G12">
        <f>1.2*SQRT(2*F12/(airplane!$B$18*airplane!$B$16))</f>
        <v>9.3835137087429494</v>
      </c>
      <c r="H12">
        <f>1/2*(G12)^3/(airplane!$B$9*airplane!$B$10*airplane!$B$4*airplane!$B$17)</f>
        <v>4.0676777628850456</v>
      </c>
      <c r="K12">
        <f t="shared" si="0"/>
        <v>15.039</v>
      </c>
      <c r="L12">
        <f t="shared" si="1"/>
        <v>18.093030689312684</v>
      </c>
    </row>
    <row r="13" spans="1:12" x14ac:dyDescent="0.35">
      <c r="F13">
        <f t="shared" si="2"/>
        <v>50</v>
      </c>
      <c r="G13">
        <f>1.2*SQRT(2*F13/(airplane!$B$18*airplane!$B$16))</f>
        <v>9.8910919250138551</v>
      </c>
      <c r="H13">
        <f>1/2*(G13)^3/(airplane!$B$9*airplane!$B$10*airplane!$B$4*airplane!$B$17)</f>
        <v>4.7641209327166916</v>
      </c>
      <c r="K13">
        <f t="shared" si="0"/>
        <v>16.71</v>
      </c>
      <c r="L13">
        <f t="shared" si="1"/>
        <v>21.190809908723846</v>
      </c>
    </row>
    <row r="14" spans="1:12" x14ac:dyDescent="0.35">
      <c r="F14">
        <f t="shared" si="2"/>
        <v>55</v>
      </c>
      <c r="G14">
        <f>1.2*SQRT(2*F14/(airplane!$B$18*airplane!$B$16))</f>
        <v>10.373864729018869</v>
      </c>
      <c r="H14">
        <f>1/2*(G14)^3/(airplane!$B$9*airplane!$B$10*airplane!$B$4*airplane!$B$17)</f>
        <v>5.4963174067844944</v>
      </c>
      <c r="K14">
        <f t="shared" si="0"/>
        <v>18.381</v>
      </c>
      <c r="L14">
        <f t="shared" si="1"/>
        <v>24.447619825377434</v>
      </c>
    </row>
    <row r="15" spans="1:12" x14ac:dyDescent="0.35">
      <c r="F15">
        <f t="shared" si="2"/>
        <v>60</v>
      </c>
      <c r="G15">
        <f>1.2*SQRT(2*F15/(airplane!$B$18*airplane!$B$16))</f>
        <v>10.835148331374571</v>
      </c>
      <c r="H15">
        <f>1/2*(G15)^3/(airplane!$B$9*airplane!$B$10*airplane!$B$4*airplane!$B$17)</f>
        <v>6.2625996036755609</v>
      </c>
      <c r="K15">
        <f t="shared" si="0"/>
        <v>20.052</v>
      </c>
      <c r="L15">
        <f t="shared" si="1"/>
        <v>27.856043037148897</v>
      </c>
    </row>
    <row r="16" spans="1:12" x14ac:dyDescent="0.35">
      <c r="F16">
        <f t="shared" si="2"/>
        <v>65</v>
      </c>
      <c r="G16">
        <f>1.2*SQRT(2*F16/(airplane!$B$18*airplane!$B$16))</f>
        <v>11.277579940297324</v>
      </c>
      <c r="H16">
        <f>1/2*(G16)^3/(airplane!$B$9*airplane!$B$10*airplane!$B$4*airplane!$B$17)</f>
        <v>7.061513692589144</v>
      </c>
      <c r="K16">
        <f t="shared" si="0"/>
        <v>21.722999999999999</v>
      </c>
      <c r="L16">
        <f t="shared" si="1"/>
        <v>31.409612904636514</v>
      </c>
    </row>
    <row r="17" spans="1:12" x14ac:dyDescent="0.35">
      <c r="F17">
        <f t="shared" si="2"/>
        <v>70</v>
      </c>
      <c r="G17">
        <f>1.2*SQRT(2*F17/(airplane!$B$18*airplane!$B$16))</f>
        <v>11.703297794070867</v>
      </c>
      <c r="H17">
        <f>1/2*(G17)^3/(airplane!$B$9*airplane!$B$10*airplane!$B$4*airplane!$B$17)</f>
        <v>7.8917774696003349</v>
      </c>
      <c r="K17">
        <f t="shared" si="0"/>
        <v>23.393999999999998</v>
      </c>
      <c r="L17">
        <f t="shared" si="1"/>
        <v>35.102626184782295</v>
      </c>
    </row>
    <row r="18" spans="1:12" x14ac:dyDescent="0.35">
      <c r="A18" t="s">
        <v>23</v>
      </c>
      <c r="F18">
        <f t="shared" si="2"/>
        <v>75</v>
      </c>
      <c r="G18">
        <f>1.2*SQRT(2*F18/(airplane!$B$18*airplane!$B$16))</f>
        <v>12.114064107623479</v>
      </c>
      <c r="H18">
        <f>1/2*(G18)^3/(airplane!$B$9*airplane!$B$10*airplane!$B$4*airplane!$B$17)</f>
        <v>8.7522490185511224</v>
      </c>
      <c r="K18">
        <f t="shared" si="0"/>
        <v>25.065000000000001</v>
      </c>
      <c r="L18">
        <f t="shared" si="1"/>
        <v>38.930003634515394</v>
      </c>
    </row>
    <row r="19" spans="1:12" x14ac:dyDescent="0.35">
      <c r="A19" t="s">
        <v>73</v>
      </c>
      <c r="F19">
        <f t="shared" si="2"/>
        <v>80</v>
      </c>
      <c r="G19">
        <f>1.2*SQRT(2*F19/(airplane!$B$18*airplane!$B$16))</f>
        <v>12.511351611657267</v>
      </c>
      <c r="H19">
        <f>1/2*(G19)^3/(airplane!$B$9*airplane!$B$10*airplane!$B$4*airplane!$B$17)</f>
        <v>9.641902845357146</v>
      </c>
      <c r="K19">
        <f t="shared" si="0"/>
        <v>26.736000000000001</v>
      </c>
      <c r="L19">
        <f t="shared" si="1"/>
        <v>42.887183856148589</v>
      </c>
    </row>
    <row r="20" spans="1:12" x14ac:dyDescent="0.35">
      <c r="F20">
        <f t="shared" si="2"/>
        <v>85</v>
      </c>
      <c r="G20">
        <f>1.2*SQRT(2*F20/(airplane!$B$18*airplane!$B$16))</f>
        <v>12.896406053526164</v>
      </c>
      <c r="H20">
        <f>1/2*(G20)^3/(airplane!$B$9*airplane!$B$10*airplane!$B$4*airplane!$B$17)</f>
        <v>10.5598113387026</v>
      </c>
      <c r="K20">
        <f t="shared" si="0"/>
        <v>28.407</v>
      </c>
      <c r="L20">
        <f t="shared" si="1"/>
        <v>46.970040834549167</v>
      </c>
    </row>
    <row r="21" spans="1:12" x14ac:dyDescent="0.35">
      <c r="F21">
        <f t="shared" si="2"/>
        <v>90</v>
      </c>
      <c r="G21">
        <f>1.2*SQRT(2*F21/(airplane!$B$18*airplane!$B$16))</f>
        <v>13.27029234961814</v>
      </c>
      <c r="H21">
        <f>1/2*(G21)^3/(airplane!$B$9*airplane!$B$10*airplane!$B$4*airplane!$B$17)</f>
        <v>11.505130119270966</v>
      </c>
      <c r="K21">
        <f t="shared" si="0"/>
        <v>30.077999999999999</v>
      </c>
      <c r="L21">
        <f t="shared" si="1"/>
        <v>51.174818770517263</v>
      </c>
    </row>
    <row r="22" spans="1:12" x14ac:dyDescent="0.35">
      <c r="F22">
        <f t="shared" si="2"/>
        <v>95</v>
      </c>
      <c r="G22">
        <f>1.2*SQRT(2*F22/(airplane!$B$18*airplane!$B$16))</f>
        <v>13.633929330579692</v>
      </c>
      <c r="H22">
        <f>1/2*(G22)^3/(airplane!$B$9*airplane!$B$10*airplane!$B$4*airplane!$B$17)</f>
        <v>12.477086287509884</v>
      </c>
      <c r="K22">
        <f t="shared" si="0"/>
        <v>31.748999999999999</v>
      </c>
      <c r="L22">
        <f t="shared" si="1"/>
        <v>55.498079806843968</v>
      </c>
    </row>
    <row r="23" spans="1:12" x14ac:dyDescent="0.35">
      <c r="F23">
        <f t="shared" si="2"/>
        <v>100</v>
      </c>
      <c r="G23">
        <f>1.2*SQRT(2*F23/(airplane!$B$18*airplane!$B$16))</f>
        <v>13.988116347033598</v>
      </c>
      <c r="H23">
        <f>1/2*(G23)^3/(airplane!$B$9*airplane!$B$10*airplane!$B$4*airplane!$B$17)</f>
        <v>13.474968871667011</v>
      </c>
      <c r="K23">
        <f t="shared" si="0"/>
        <v>33.42</v>
      </c>
      <c r="L23">
        <f t="shared" si="1"/>
        <v>59.936661541174871</v>
      </c>
    </row>
    <row r="24" spans="1:12" x14ac:dyDescent="0.35">
      <c r="F24">
        <f t="shared" si="2"/>
        <v>105</v>
      </c>
      <c r="G24">
        <f>1.2*SQRT(2*F24/(airplane!$B$18*airplane!$B$16))</f>
        <v>14.333553951656791</v>
      </c>
      <c r="H24">
        <f>1/2*(G24)^3/(airplane!$B$9*airplane!$B$10*airplane!$B$4*airplane!$B$17)</f>
        <v>14.498120973085051</v>
      </c>
      <c r="K24">
        <f t="shared" si="0"/>
        <v>35.091000000000001</v>
      </c>
      <c r="L24">
        <f t="shared" si="1"/>
        <v>64.487642088282314</v>
      </c>
    </row>
    <row r="25" spans="1:12" x14ac:dyDescent="0.35">
      <c r="F25">
        <f t="shared" si="2"/>
        <v>110</v>
      </c>
      <c r="G25">
        <f>1.2*SQRT(2*F25/(airplane!$B$18*airplane!$B$16))</f>
        <v>14.670860194002378</v>
      </c>
      <c r="H25">
        <f>1/2*(G25)^3/(airplane!$B$9*airplane!$B$10*airplane!$B$4*airplane!$B$17)</f>
        <v>15.545933239563903</v>
      </c>
      <c r="K25">
        <f t="shared" si="0"/>
        <v>36.762</v>
      </c>
      <c r="L25">
        <f t="shared" si="1"/>
        <v>69.148311049580244</v>
      </c>
    </row>
    <row r="26" spans="1:12" x14ac:dyDescent="0.35">
      <c r="F26">
        <f t="shared" si="2"/>
        <v>115</v>
      </c>
      <c r="G26">
        <f>1.2*SQRT(2*F26/(airplane!$B$18*airplane!$B$16))</f>
        <v>15.000583614608828</v>
      </c>
      <c r="H26">
        <f>1/2*(G26)^3/(airplane!$B$9*airplane!$B$10*airplane!$B$4*airplane!$B$17)</f>
        <v>16.617838391267114</v>
      </c>
      <c r="K26">
        <f t="shared" si="0"/>
        <v>38.433</v>
      </c>
      <c r="L26">
        <f t="shared" si="1"/>
        <v>73.916145164356124</v>
      </c>
    </row>
    <row r="27" spans="1:12" x14ac:dyDescent="0.35">
      <c r="F27">
        <f t="shared" si="2"/>
        <v>120</v>
      </c>
      <c r="G27">
        <f>1.2*SQRT(2*F27/(airplane!$B$18*airplane!$B$16))</f>
        <v>15.323213720554129</v>
      </c>
      <c r="H27">
        <f>1/2*(G27)^3/(airplane!$B$9*airplane!$B$10*airplane!$B$4*airplane!$B$17)</f>
        <v>17.7133065904607</v>
      </c>
      <c r="K27">
        <f t="shared" si="0"/>
        <v>40.103999999999999</v>
      </c>
      <c r="L27">
        <f t="shared" si="1"/>
        <v>78.788787714369207</v>
      </c>
    </row>
    <row r="28" spans="1:12" x14ac:dyDescent="0.35">
      <c r="F28">
        <f t="shared" si="2"/>
        <v>125</v>
      </c>
      <c r="G28">
        <f>1.2*SQRT(2*F28/(airplane!$B$18*airplane!$B$16))</f>
        <v>15.639189514571584</v>
      </c>
      <c r="H28">
        <f>1/2*(G28)^3/(airplane!$B$9*airplane!$B$10*airplane!$B$4*airplane!$B$17)</f>
        <v>18.831841494838176</v>
      </c>
      <c r="K28">
        <f t="shared" si="0"/>
        <v>41.774999999999999</v>
      </c>
      <c r="L28">
        <f t="shared" si="1"/>
        <v>83.76403096904022</v>
      </c>
    </row>
    <row r="29" spans="1:12" x14ac:dyDescent="0.35">
      <c r="F29">
        <f t="shared" si="2"/>
        <v>130</v>
      </c>
      <c r="G29">
        <f>1.2*SQRT(2*F29/(airplane!$B$18*airplane!$B$16))</f>
        <v>15.948906502315236</v>
      </c>
      <c r="H29">
        <f>1/2*(G29)^3/(airplane!$B$9*airplane!$B$10*airplane!$B$4*airplane!$B$17)</f>
        <v>19.972976869885766</v>
      </c>
      <c r="K29">
        <f t="shared" si="0"/>
        <v>43.445999999999998</v>
      </c>
      <c r="L29">
        <f t="shared" si="1"/>
        <v>88.839801117251895</v>
      </c>
    </row>
    <row r="30" spans="1:12" x14ac:dyDescent="0.35">
      <c r="F30">
        <f t="shared" si="2"/>
        <v>135</v>
      </c>
      <c r="G30">
        <f>1.2*SQRT(2*F30/(airplane!$B$18*airplane!$B$16))</f>
        <v>16.252722497061857</v>
      </c>
      <c r="H30">
        <f>1/2*(G30)^3/(airplane!$B$9*airplane!$B$10*airplane!$B$4*airplane!$B$17)</f>
        <v>21.136273662405021</v>
      </c>
      <c r="K30">
        <f t="shared" si="0"/>
        <v>45.116999999999997</v>
      </c>
      <c r="L30">
        <f t="shared" si="1"/>
        <v>94.014145250377538</v>
      </c>
    </row>
    <row r="31" spans="1:12" x14ac:dyDescent="0.35">
      <c r="F31">
        <f>F30+5</f>
        <v>140</v>
      </c>
      <c r="G31">
        <f>1.2*SQRT(2*F31/(airplane!$B$18*airplane!$B$16))</f>
        <v>16.550962464866146</v>
      </c>
      <c r="H31">
        <f>1/2*(G31)^3/(airplane!$B$9*airplane!$B$10*airplane!$B$4*airplane!$B$17)</f>
        <v>22.321317457478436</v>
      </c>
      <c r="K31">
        <f t="shared" si="0"/>
        <v>46.787999999999997</v>
      </c>
      <c r="L31">
        <f t="shared" si="1"/>
        <v>99.285220050864098</v>
      </c>
    </row>
    <row r="32" spans="1:12" x14ac:dyDescent="0.35">
      <c r="F32">
        <f t="shared" si="2"/>
        <v>145</v>
      </c>
      <c r="G32">
        <f>1.2*SQRT(2*F32/(airplane!$B$18*airplane!$B$16))</f>
        <v>16.843922597195569</v>
      </c>
      <c r="H32">
        <f>1/2*(G32)^3/(airplane!$B$9*airplane!$B$10*airplane!$B$4*airplane!$B$17)</f>
        <v>23.527716256596769</v>
      </c>
      <c r="K32">
        <f t="shared" si="0"/>
        <v>48.458999999999996</v>
      </c>
      <c r="L32">
        <f t="shared" si="1"/>
        <v>104.65128190934243</v>
      </c>
    </row>
    <row r="33" spans="6:12" x14ac:dyDescent="0.35">
      <c r="F33">
        <f t="shared" si="2"/>
        <v>150</v>
      </c>
      <c r="G33">
        <f>1.2*SQRT(2*F33/(airplane!$B$18*airplane!$B$16))</f>
        <v>17.131873756458251</v>
      </c>
      <c r="H33">
        <f>1/2*(G33)^3/(airplane!$B$9*airplane!$B$10*airplane!$B$4*airplane!$B$17)</f>
        <v>24.755098526603231</v>
      </c>
      <c r="K33">
        <f t="shared" si="0"/>
        <v>50.13</v>
      </c>
      <c r="L33">
        <f t="shared" si="1"/>
        <v>110.11067824633118</v>
      </c>
    </row>
    <row r="34" spans="6:12" x14ac:dyDescent="0.35">
      <c r="F34">
        <f t="shared" si="2"/>
        <v>155</v>
      </c>
      <c r="G34">
        <f>1.2*SQRT(2*F34/(airplane!$B$18*airplane!$B$16))</f>
        <v>17.41506440855532</v>
      </c>
      <c r="H34">
        <f>1/2*(G34)^3/(airplane!$B$9*airplane!$B$10*airplane!$B$4*airplane!$B$17)</f>
        <v>26.003111478433055</v>
      </c>
      <c r="K34">
        <f t="shared" si="0"/>
        <v>51.801000000000002</v>
      </c>
      <c r="L34">
        <f t="shared" si="1"/>
        <v>115.66183985607024</v>
      </c>
    </row>
    <row r="35" spans="6:12" x14ac:dyDescent="0.35">
      <c r="F35">
        <f t="shared" si="2"/>
        <v>160</v>
      </c>
      <c r="G35">
        <f>1.2*SQRT(2*F35/(airplane!$B$18*airplane!$B$16))</f>
        <v>17.693723132824186</v>
      </c>
      <c r="H35">
        <f>1/2*(G35)^3/(airplane!$B$9*airplane!$B$10*airplane!$B$4*airplane!$B$17)</f>
        <v>27.271419541975618</v>
      </c>
      <c r="K35">
        <f t="shared" si="0"/>
        <v>53.472000000000001</v>
      </c>
      <c r="L35">
        <f t="shared" si="1"/>
        <v>121.30327412270756</v>
      </c>
    </row>
    <row r="36" spans="6:12" x14ac:dyDescent="0.35">
      <c r="F36">
        <f t="shared" si="2"/>
        <v>165</v>
      </c>
      <c r="G36">
        <f>1.2*SQRT(2*F36/(airplane!$B$18*airplane!$B$16))</f>
        <v>17.968060781507425</v>
      </c>
      <c r="H36">
        <f>1/2*(G36)^3/(airplane!$B$9*airplane!$B$10*airplane!$B$4*airplane!$B$17)</f>
        <v>28.559703009227881</v>
      </c>
      <c r="K36">
        <f t="shared" si="0"/>
        <v>55.143000000000001</v>
      </c>
      <c r="L36">
        <f t="shared" si="1"/>
        <v>127.03355898504563</v>
      </c>
    </row>
    <row r="37" spans="6:12" x14ac:dyDescent="0.35">
      <c r="F37">
        <f t="shared" si="2"/>
        <v>170</v>
      </c>
      <c r="G37">
        <f>1.2*SQRT(2*F37/(airplane!$B$18*airplane!$B$16))</f>
        <v>18.238272346767186</v>
      </c>
      <c r="H37">
        <f>1/2*(G37)^3/(airplane!$B$9*airplane!$B$10*airplane!$B$4*airplane!$B$17)</f>
        <v>29.86765682258882</v>
      </c>
      <c r="K37">
        <f t="shared" si="0"/>
        <v>56.814</v>
      </c>
      <c r="L37">
        <f t="shared" si="1"/>
        <v>132.85133754687507</v>
      </c>
    </row>
    <row r="38" spans="6:12" x14ac:dyDescent="0.35">
      <c r="F38">
        <f t="shared" si="2"/>
        <v>175</v>
      </c>
      <c r="G38">
        <f>1.2*SQRT(2*F38/(airplane!$B$18*airplane!$B$16))</f>
        <v>18.504538582244088</v>
      </c>
      <c r="H38">
        <f>1/2*(G38)^3/(airplane!$B$9*airplane!$B$10*airplane!$B$4*airplane!$B$17)</f>
        <v>31.1949894889216</v>
      </c>
      <c r="K38">
        <f t="shared" si="0"/>
        <v>58.484999999999999</v>
      </c>
      <c r="L38">
        <f t="shared" si="1"/>
        <v>138.75531324672329</v>
      </c>
    </row>
    <row r="39" spans="6:12" x14ac:dyDescent="0.35">
      <c r="F39">
        <f t="shared" si="2"/>
        <v>180</v>
      </c>
      <c r="G39">
        <f>1.2*SQRT(2*F39/(airplane!$B$18*airplane!$B$16))</f>
        <v>18.767027417485899</v>
      </c>
      <c r="H39">
        <f>1/2*(G39)^3/(airplane!$B$9*airplane!$B$10*airplane!$B$4*airplane!$B$17)</f>
        <v>32.541422103080365</v>
      </c>
      <c r="K39">
        <f t="shared" si="0"/>
        <v>60.155999999999999</v>
      </c>
      <c r="L39">
        <f t="shared" si="1"/>
        <v>144.74424551450147</v>
      </c>
    </row>
    <row r="40" spans="6:12" x14ac:dyDescent="0.35">
      <c r="F40">
        <f t="shared" si="2"/>
        <v>185</v>
      </c>
      <c r="G40">
        <f>1.2*SQRT(2*F40/(airplane!$B$18*airplane!$B$16))</f>
        <v>19.025895196693767</v>
      </c>
      <c r="H40">
        <f>1/2*(G40)^3/(airplane!$B$9*airplane!$B$10*airplane!$B$4*airplane!$B$17)</f>
        <v>33.906687467109798</v>
      </c>
      <c r="K40">
        <f t="shared" si="0"/>
        <v>61.826999999999998</v>
      </c>
      <c r="L40">
        <f t="shared" si="1"/>
        <v>150.8169458537044</v>
      </c>
    </row>
    <row r="41" spans="6:12" x14ac:dyDescent="0.35">
      <c r="F41">
        <f t="shared" si="2"/>
        <v>190</v>
      </c>
      <c r="G41">
        <f>1.2*SQRT(2*F41/(airplane!$B$18*airplane!$B$16))</f>
        <v>19.281287767742132</v>
      </c>
      <c r="H41">
        <f>1/2*(G41)^3/(airplane!$B$9*airplane!$B$10*airplane!$B$4*airplane!$B$17)</f>
        <v>35.2905292933917</v>
      </c>
      <c r="K41">
        <f t="shared" si="0"/>
        <v>63.497999999999998</v>
      </c>
      <c r="L41">
        <f t="shared" si="1"/>
        <v>156.97227429700629</v>
      </c>
    </row>
    <row r="42" spans="6:12" x14ac:dyDescent="0.35">
      <c r="F42">
        <f t="shared" si="2"/>
        <v>195</v>
      </c>
      <c r="G42">
        <f>1.2*SQRT(2*F42/(airplane!$B$18*airplane!$B$16))</f>
        <v>19.53334144301455</v>
      </c>
      <c r="H42">
        <f>1/2*(G42)^3/(airplane!$B$9*airplane!$B$10*airplane!$B$4*airplane!$B$17)</f>
        <v>36.692701481723127</v>
      </c>
      <c r="K42">
        <f t="shared" si="0"/>
        <v>65.168999999999997</v>
      </c>
      <c r="L42">
        <f t="shared" si="1"/>
        <v>163.20913619070447</v>
      </c>
    </row>
    <row r="43" spans="6:12" x14ac:dyDescent="0.35">
      <c r="F43">
        <f t="shared" si="2"/>
        <v>200</v>
      </c>
      <c r="G43">
        <f>1.2*SQRT(2*F43/(airplane!$B$18*airplane!$B$16))</f>
        <v>19.78218385002771</v>
      </c>
      <c r="H43">
        <f>1/2*(G43)^3/(airplane!$B$9*airplane!$B$10*airplane!$B$4*airplane!$B$17)</f>
        <v>38.112967461733533</v>
      </c>
      <c r="K43">
        <f t="shared" si="0"/>
        <v>66.84</v>
      </c>
      <c r="L43">
        <f t="shared" si="1"/>
        <v>169.52647926979077</v>
      </c>
    </row>
    <row r="44" spans="6:12" x14ac:dyDescent="0.35">
      <c r="F44">
        <f t="shared" si="2"/>
        <v>205</v>
      </c>
      <c r="G44">
        <f>1.2*SQRT(2*F44/(airplane!$B$18*airplane!$B$16))</f>
        <v>20.027934686911795</v>
      </c>
      <c r="H44">
        <f>1/2*(G44)^3/(airplane!$B$9*airplane!$B$10*airplane!$B$4*airplane!$B$17)</f>
        <v>39.55109959323817</v>
      </c>
      <c r="K44">
        <f t="shared" si="0"/>
        <v>68.510999999999996</v>
      </c>
      <c r="L44">
        <f t="shared" si="1"/>
        <v>175.92329099072339</v>
      </c>
    </row>
    <row r="45" spans="6:12" x14ac:dyDescent="0.35">
      <c r="F45">
        <f t="shared" si="2"/>
        <v>210</v>
      </c>
      <c r="G45">
        <f>1.2*SQRT(2*F45/(airplane!$B$18*airplane!$B$16))</f>
        <v>20.270706395439507</v>
      </c>
      <c r="H45">
        <f>1/2*(G45)^3/(airplane!$B$9*airplane!$B$10*airplane!$B$4*airplane!$B$17)</f>
        <v>41.006878618125405</v>
      </c>
      <c r="K45">
        <f t="shared" si="0"/>
        <v>70.182000000000002</v>
      </c>
      <c r="L45">
        <f t="shared" si="1"/>
        <v>182.39859609342182</v>
      </c>
    </row>
    <row r="46" spans="6:12" x14ac:dyDescent="0.35">
      <c r="F46">
        <f t="shared" si="2"/>
        <v>215</v>
      </c>
      <c r="G46">
        <f>1.2*SQRT(2*F46/(airplane!$B$18*airplane!$B$16))</f>
        <v>20.510604762342322</v>
      </c>
      <c r="H46">
        <f>1/2*(G46)^3/(airplane!$B$9*airplane!$B$10*airplane!$B$4*airplane!$B$17)</f>
        <v>42.480093158219496</v>
      </c>
      <c r="K46">
        <f t="shared" si="0"/>
        <v>71.852999999999994</v>
      </c>
      <c r="L46">
        <f t="shared" si="1"/>
        <v>188.95145436776033</v>
      </c>
    </row>
    <row r="47" spans="6:12" x14ac:dyDescent="0.35">
      <c r="F47">
        <f t="shared" si="2"/>
        <v>220</v>
      </c>
      <c r="G47">
        <f>1.2*SQRT(2*F47/(airplane!$B$18*airplane!$B$16))</f>
        <v>20.747729458037739</v>
      </c>
      <c r="H47">
        <f>1/2*(G47)^3/(airplane!$B$9*airplane!$B$10*airplane!$B$4*airplane!$B$17)</f>
        <v>43.970539254275955</v>
      </c>
      <c r="K47">
        <f t="shared" si="0"/>
        <v>73.524000000000001</v>
      </c>
      <c r="L47">
        <f t="shared" si="1"/>
        <v>195.58095860301947</v>
      </c>
    </row>
    <row r="48" spans="6:12" x14ac:dyDescent="0.35">
      <c r="F48">
        <f t="shared" si="2"/>
        <v>225</v>
      </c>
      <c r="G48">
        <f>1.2*SQRT(2*F48/(airplane!$B$18*airplane!$B$16))</f>
        <v>20.982174520550398</v>
      </c>
      <c r="H48">
        <f>1/2*(G48)^3/(airplane!$B$9*airplane!$B$10*airplane!$B$4*airplane!$B$17)</f>
        <v>45.478019941876155</v>
      </c>
      <c r="K48">
        <f t="shared" si="0"/>
        <v>75.194999999999993</v>
      </c>
      <c r="L48">
        <f t="shared" si="1"/>
        <v>202.28623270146517</v>
      </c>
    </row>
    <row r="49" spans="6:12" x14ac:dyDescent="0.35">
      <c r="F49">
        <f t="shared" si="2"/>
        <v>230</v>
      </c>
      <c r="G49">
        <f>1.2*SQRT(2*F49/(airplane!$B$18*airplane!$B$16))</f>
        <v>21.21402879129143</v>
      </c>
      <c r="H49">
        <f>1/2*(G49)^3/(airplane!$B$9*airplane!$B$10*airplane!$B$4*airplane!$B$17)</f>
        <v>47.002344860508487</v>
      </c>
      <c r="K49">
        <f t="shared" si="0"/>
        <v>76.866</v>
      </c>
      <c r="L49">
        <f t="shared" si="1"/>
        <v>209.06642993954176</v>
      </c>
    </row>
    <row r="50" spans="6:12" x14ac:dyDescent="0.35">
      <c r="F50">
        <f t="shared" si="2"/>
        <v>235</v>
      </c>
      <c r="G50">
        <f>1.2*SQRT(2*F50/(airplane!$B$18*airplane!$B$16))</f>
        <v>21.443376308423289</v>
      </c>
      <c r="H50">
        <f>1/2*(G50)^3/(airplane!$B$9*airplane!$B$10*airplane!$B$4*airplane!$B$17)</f>
        <v>48.543329892569588</v>
      </c>
      <c r="K50">
        <f t="shared" si="0"/>
        <v>78.537000000000006</v>
      </c>
      <c r="L50">
        <f t="shared" si="1"/>
        <v>215.92073136214955</v>
      </c>
    </row>
    <row r="51" spans="6:12" x14ac:dyDescent="0.35">
      <c r="F51">
        <f t="shared" si="2"/>
        <v>240</v>
      </c>
      <c r="G51">
        <f>1.2*SQRT(2*F51/(airplane!$B$18*airplane!$B$16))</f>
        <v>21.670296662749141</v>
      </c>
      <c r="H51">
        <f>1/2*(G51)^3/(airplane!$B$9*airplane!$B$10*airplane!$B$4*airplane!$B$17)</f>
        <v>50.100796829404487</v>
      </c>
      <c r="K51">
        <f t="shared" si="0"/>
        <v>80.207999999999998</v>
      </c>
      <c r="L51">
        <f t="shared" si="1"/>
        <v>222.84834429719118</v>
      </c>
    </row>
    <row r="52" spans="6:12" x14ac:dyDescent="0.35">
      <c r="F52">
        <f t="shared" si="2"/>
        <v>245</v>
      </c>
      <c r="G52">
        <f>1.2*SQRT(2*F52/(airplane!$B$18*airplane!$B$16))</f>
        <v>21.894865320400218</v>
      </c>
      <c r="H52">
        <f>1/2*(G52)^3/(airplane!$B$9*airplane!$B$10*airplane!$B$4*airplane!$B$17)</f>
        <v>51.674573061835964</v>
      </c>
      <c r="K52">
        <f t="shared" si="0"/>
        <v>81.879000000000005</v>
      </c>
      <c r="L52">
        <f t="shared" si="1"/>
        <v>229.84850097904638</v>
      </c>
    </row>
    <row r="53" spans="6:12" x14ac:dyDescent="0.35">
      <c r="F53">
        <f t="shared" si="2"/>
        <v>250</v>
      </c>
      <c r="G53">
        <f>1.2*SQRT(2*F53/(airplane!$B$18*airplane!$B$16))</f>
        <v>22.117153916030233</v>
      </c>
      <c r="H53">
        <f>1/2*(G53)^3/(airplane!$B$9*airplane!$B$10*airplane!$B$4*airplane!$B$17)</f>
        <v>53.264491292921129</v>
      </c>
      <c r="K53">
        <f t="shared" si="0"/>
        <v>83.55</v>
      </c>
      <c r="L53">
        <f t="shared" si="1"/>
        <v>236.9204572709132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>
              <from>
                <xdr:col>0</xdr:col>
                <xdr:colOff>266700</xdr:colOff>
                <xdr:row>13</xdr:row>
                <xdr:rowOff>69850</xdr:rowOff>
              </from>
              <to>
                <xdr:col>2</xdr:col>
                <xdr:colOff>431800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>
              <from>
                <xdr:col>0</xdr:col>
                <xdr:colOff>647700</xdr:colOff>
                <xdr:row>21</xdr:row>
                <xdr:rowOff>171450</xdr:rowOff>
              </from>
              <to>
                <xdr:col>4</xdr:col>
                <xdr:colOff>285750</xdr:colOff>
                <xdr:row>24</xdr:row>
                <xdr:rowOff>57150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K11" sqref="K11"/>
    </sheetView>
  </sheetViews>
  <sheetFormatPr defaultRowHeight="14.5" x14ac:dyDescent="0.35"/>
  <cols>
    <col min="1" max="1" width="12.54296875" customWidth="1"/>
    <col min="10" max="10" width="14.54296875" customWidth="1"/>
  </cols>
  <sheetData>
    <row r="1" spans="1:17" x14ac:dyDescent="0.35">
      <c r="A1" t="s">
        <v>30</v>
      </c>
      <c r="J1" t="s">
        <v>24</v>
      </c>
      <c r="K1" t="s">
        <v>32</v>
      </c>
      <c r="L1" t="s">
        <v>27</v>
      </c>
      <c r="N1" t="s">
        <v>24</v>
      </c>
      <c r="O1" t="s">
        <v>27</v>
      </c>
      <c r="P1" t="s">
        <v>35</v>
      </c>
    </row>
    <row r="2" spans="1:17" x14ac:dyDescent="0.35">
      <c r="J2" t="s">
        <v>16</v>
      </c>
      <c r="L2" t="s">
        <v>28</v>
      </c>
      <c r="N2" t="s">
        <v>66</v>
      </c>
      <c r="O2" t="s">
        <v>65</v>
      </c>
      <c r="P2">
        <v>3.280839895013</v>
      </c>
      <c r="Q2" t="s">
        <v>34</v>
      </c>
    </row>
    <row r="3" spans="1:17" x14ac:dyDescent="0.35">
      <c r="N3">
        <f>J3*0.3342</f>
        <v>0</v>
      </c>
      <c r="O3">
        <f>L3*4.448</f>
        <v>0</v>
      </c>
      <c r="P3">
        <v>1.9438444924410001</v>
      </c>
      <c r="Q3" t="s">
        <v>36</v>
      </c>
    </row>
    <row r="4" spans="1:17" x14ac:dyDescent="0.35">
      <c r="N4">
        <f t="shared" ref="N4:N53" si="0">J4*0.3342</f>
        <v>0</v>
      </c>
      <c r="O4">
        <f t="shared" ref="O4:O53" si="1">L4*4.448</f>
        <v>0</v>
      </c>
      <c r="P4">
        <v>2.2369362920540001</v>
      </c>
      <c r="Q4" t="s">
        <v>37</v>
      </c>
    </row>
    <row r="5" spans="1:17" x14ac:dyDescent="0.35">
      <c r="N5">
        <f t="shared" si="0"/>
        <v>0</v>
      </c>
      <c r="O5">
        <f t="shared" si="1"/>
        <v>0</v>
      </c>
    </row>
    <row r="6" spans="1:17" x14ac:dyDescent="0.35">
      <c r="N6">
        <f t="shared" si="0"/>
        <v>0</v>
      </c>
      <c r="O6">
        <f t="shared" si="1"/>
        <v>0</v>
      </c>
    </row>
    <row r="7" spans="1:17" x14ac:dyDescent="0.35">
      <c r="N7">
        <f t="shared" si="0"/>
        <v>0</v>
      </c>
      <c r="O7">
        <f t="shared" si="1"/>
        <v>0</v>
      </c>
    </row>
    <row r="8" spans="1:17" x14ac:dyDescent="0.35">
      <c r="N8">
        <f t="shared" si="0"/>
        <v>0</v>
      </c>
      <c r="O8">
        <f t="shared" si="1"/>
        <v>0</v>
      </c>
    </row>
    <row r="9" spans="1:17" x14ac:dyDescent="0.35">
      <c r="N9">
        <f t="shared" si="0"/>
        <v>0</v>
      </c>
      <c r="O9">
        <f t="shared" si="1"/>
        <v>0</v>
      </c>
    </row>
    <row r="10" spans="1:17" x14ac:dyDescent="0.35">
      <c r="N10">
        <f t="shared" si="0"/>
        <v>0</v>
      </c>
      <c r="O10">
        <f t="shared" si="1"/>
        <v>0</v>
      </c>
    </row>
    <row r="11" spans="1:17" x14ac:dyDescent="0.35">
      <c r="J11">
        <v>40</v>
      </c>
      <c r="K11">
        <f>airplane!$B$23*airplane!$B$7/'maximum speed'!J11+airplane!$B$11*'maximum speed'!J11/airplane!$B$23</f>
        <v>0.50858193947633124</v>
      </c>
      <c r="L11">
        <f>airplane!$B$22*K11/(airplane!$B$9*airplane!$B$10)</f>
        <v>13.462463103785236</v>
      </c>
      <c r="N11">
        <f t="shared" si="0"/>
        <v>13.368</v>
      </c>
      <c r="O11">
        <f t="shared" si="1"/>
        <v>59.881035885636734</v>
      </c>
    </row>
    <row r="12" spans="1:17" x14ac:dyDescent="0.35">
      <c r="J12">
        <f t="shared" ref="J12:J53" si="2">J11+5</f>
        <v>45</v>
      </c>
      <c r="K12">
        <f>airplane!$B$23*airplane!$B$7/'maximum speed'!J12+airplane!$B$11*'maximum speed'!J12/airplane!$B$23</f>
        <v>0.4558884940673113</v>
      </c>
      <c r="L12">
        <f>airplane!$B$22*K12/(airplane!$B$9*airplane!$B$10)</f>
        <v>12.06763660766412</v>
      </c>
      <c r="N12">
        <f t="shared" si="0"/>
        <v>15.039</v>
      </c>
      <c r="O12">
        <f t="shared" si="1"/>
        <v>53.676847630890009</v>
      </c>
    </row>
    <row r="13" spans="1:17" x14ac:dyDescent="0.35">
      <c r="J13">
        <f t="shared" si="2"/>
        <v>50</v>
      </c>
      <c r="K13">
        <f>airplane!$B$23*airplane!$B$7/'maximum speed'!J13+airplane!$B$11*'maximum speed'!J13/airplane!$B$23</f>
        <v>0.41413774869062658</v>
      </c>
      <c r="L13">
        <f>airplane!$B$22*K13/(airplane!$B$9*airplane!$B$10)</f>
        <v>10.96246981828129</v>
      </c>
      <c r="N13">
        <f t="shared" si="0"/>
        <v>16.71</v>
      </c>
      <c r="O13">
        <f t="shared" si="1"/>
        <v>48.761065751715186</v>
      </c>
    </row>
    <row r="14" spans="1:17" x14ac:dyDescent="0.35">
      <c r="J14">
        <f t="shared" si="2"/>
        <v>55</v>
      </c>
      <c r="K14">
        <f>airplane!$B$23*airplane!$B$7/'maximum speed'!J14+airplane!$B$11*'maximum speed'!J14/airplane!$B$23</f>
        <v>0.38034533061018561</v>
      </c>
      <c r="L14">
        <f>airplane!$B$22*K14/(airplane!$B$9*airplane!$B$10)</f>
        <v>10.067964633799029</v>
      </c>
      <c r="N14">
        <f t="shared" si="0"/>
        <v>18.381</v>
      </c>
      <c r="O14">
        <f t="shared" si="1"/>
        <v>44.782306691138089</v>
      </c>
    </row>
    <row r="15" spans="1:17" x14ac:dyDescent="0.35">
      <c r="J15">
        <f t="shared" si="2"/>
        <v>60</v>
      </c>
      <c r="K15">
        <f>airplane!$B$23*airplane!$B$7/'maximum speed'!J15+airplane!$B$11*'maximum speed'!J15/airplane!$B$23</f>
        <v>0.35252165800192753</v>
      </c>
      <c r="L15">
        <f>airplane!$B$22*K15/(airplane!$B$9*airplane!$B$10)</f>
        <v>9.331455652992199</v>
      </c>
      <c r="N15">
        <f t="shared" si="0"/>
        <v>20.052</v>
      </c>
      <c r="O15">
        <f t="shared" si="1"/>
        <v>41.506314744509304</v>
      </c>
    </row>
    <row r="16" spans="1:17" x14ac:dyDescent="0.35">
      <c r="J16">
        <f t="shared" si="2"/>
        <v>65</v>
      </c>
      <c r="K16">
        <f>airplane!$B$23*airplane!$B$7/'maximum speed'!J16+airplane!$B$11*'maximum speed'!J16/airplane!$B$23</f>
        <v>0.32928932806457922</v>
      </c>
      <c r="L16">
        <f>airplane!$B$22*K16/(airplane!$B$9*airplane!$B$10)</f>
        <v>8.7164822134741549</v>
      </c>
      <c r="N16">
        <f t="shared" si="0"/>
        <v>21.722999999999999</v>
      </c>
      <c r="O16">
        <f t="shared" si="1"/>
        <v>38.770912885533043</v>
      </c>
    </row>
    <row r="17" spans="1:15" x14ac:dyDescent="0.35">
      <c r="J17">
        <f t="shared" si="2"/>
        <v>70</v>
      </c>
      <c r="K17">
        <f>airplane!$B$23*airplane!$B$7/'maximum speed'!J17+airplane!$B$11*'maximum speed'!J17/airplane!$B$23</f>
        <v>0.30966448165437443</v>
      </c>
      <c r="L17">
        <f>airplane!$B$22*K17/(airplane!$B$9*airplane!$B$10)</f>
        <v>8.1970009849687333</v>
      </c>
      <c r="N17">
        <f t="shared" si="0"/>
        <v>23.393999999999998</v>
      </c>
      <c r="O17">
        <f t="shared" si="1"/>
        <v>36.460260381140927</v>
      </c>
    </row>
    <row r="18" spans="1:15" x14ac:dyDescent="0.35">
      <c r="J18">
        <f t="shared" si="2"/>
        <v>75</v>
      </c>
      <c r="K18">
        <f>airplane!$B$23*airplane!$B$7/'maximum speed'!J18+airplane!$B$11*'maximum speed'!J18/airplane!$B$23</f>
        <v>0.29292562206588446</v>
      </c>
      <c r="L18">
        <f>airplane!$B$22*K18/(airplane!$B$9*airplane!$B$10)</f>
        <v>7.7539135252734113</v>
      </c>
      <c r="N18">
        <f t="shared" si="0"/>
        <v>25.065000000000001</v>
      </c>
      <c r="O18">
        <f t="shared" si="1"/>
        <v>34.489407360416138</v>
      </c>
    </row>
    <row r="19" spans="1:15" x14ac:dyDescent="0.35">
      <c r="J19">
        <f t="shared" si="2"/>
        <v>80</v>
      </c>
      <c r="K19">
        <f>airplane!$B$23*airplane!$B$7/'maximum speed'!J19+airplane!$B$11*'maximum speed'!J19/airplane!$B$23</f>
        <v>0.27853162677003762</v>
      </c>
      <c r="L19">
        <f>airplane!$B$22*K19/(airplane!$B$9*airplane!$B$10)</f>
        <v>7.3728960027362902</v>
      </c>
      <c r="N19">
        <f t="shared" si="0"/>
        <v>26.736000000000001</v>
      </c>
      <c r="O19">
        <f t="shared" si="1"/>
        <v>32.794641420171018</v>
      </c>
    </row>
    <row r="20" spans="1:15" x14ac:dyDescent="0.35">
      <c r="A20" t="s">
        <v>29</v>
      </c>
      <c r="J20">
        <f t="shared" si="2"/>
        <v>85</v>
      </c>
      <c r="K20">
        <f>airplane!$B$23*airplane!$B$7/'maximum speed'!J20+airplane!$B$11*'maximum speed'!J20/airplane!$B$23</f>
        <v>0.26606869618577944</v>
      </c>
      <c r="L20">
        <f>airplane!$B$22*K20/(airplane!$B$9*airplane!$B$10)</f>
        <v>7.0429948990353379</v>
      </c>
      <c r="N20">
        <f t="shared" si="0"/>
        <v>28.407</v>
      </c>
      <c r="O20">
        <f t="shared" si="1"/>
        <v>31.327241310909187</v>
      </c>
    </row>
    <row r="21" spans="1:15" x14ac:dyDescent="0.35">
      <c r="J21">
        <f t="shared" si="2"/>
        <v>90</v>
      </c>
      <c r="K21">
        <f>airplane!$B$23*airplane!$B$7/'maximum speed'!J21+airplane!$B$11*'maximum speed'!J21/airplane!$B$23</f>
        <v>0.25521498619451172</v>
      </c>
      <c r="L21">
        <f>airplane!$B$22*K21/(airplane!$B$9*airplane!$B$10)</f>
        <v>6.7556908110311928</v>
      </c>
      <c r="N21">
        <f t="shared" si="0"/>
        <v>30.077999999999999</v>
      </c>
      <c r="O21">
        <f t="shared" si="1"/>
        <v>30.049312727466749</v>
      </c>
    </row>
    <row r="22" spans="1:15" x14ac:dyDescent="0.35">
      <c r="J22">
        <f t="shared" si="2"/>
        <v>95</v>
      </c>
      <c r="K22">
        <f>airplane!$B$23*airplane!$B$7/'maximum speed'!J22+airplane!$B$11*'maximum speed'!J22/airplane!$B$23</f>
        <v>0.24571640933418332</v>
      </c>
      <c r="L22">
        <f>airplane!$B$22*K22/(airplane!$B$9*airplane!$B$10)</f>
        <v>6.5042578941401459</v>
      </c>
      <c r="N22">
        <f t="shared" si="0"/>
        <v>31.748999999999999</v>
      </c>
      <c r="O22">
        <f t="shared" si="1"/>
        <v>28.93093911313537</v>
      </c>
    </row>
    <row r="23" spans="1:15" x14ac:dyDescent="0.35">
      <c r="J23">
        <f t="shared" si="2"/>
        <v>100</v>
      </c>
      <c r="K23">
        <f>airplane!$B$23*airplane!$B$7/'maximum speed'!J23+airplane!$B$11*'maximum speed'!J23/airplane!$B$23</f>
        <v>0.23736969563515337</v>
      </c>
      <c r="L23">
        <f>airplane!$B$22*K23/(airplane!$B$9*airplane!$B$10)</f>
        <v>6.2833154726952349</v>
      </c>
      <c r="N23">
        <f t="shared" si="0"/>
        <v>33.42</v>
      </c>
      <c r="O23">
        <f t="shared" si="1"/>
        <v>27.948187222548409</v>
      </c>
    </row>
    <row r="24" spans="1:15" x14ac:dyDescent="0.35">
      <c r="J24">
        <f t="shared" si="2"/>
        <v>105</v>
      </c>
      <c r="K24">
        <f>airplane!$B$23*airplane!$B$7/'maximum speed'!J24+airplane!$B$11*'maximum speed'!J24/airplane!$B$23</f>
        <v>0.23001029321723634</v>
      </c>
      <c r="L24">
        <f>airplane!$B$22*K24/(airplane!$B$9*airplane!$B$10)</f>
        <v>6.0885077616327266</v>
      </c>
      <c r="N24">
        <f t="shared" si="0"/>
        <v>35.091000000000001</v>
      </c>
      <c r="O24">
        <f t="shared" si="1"/>
        <v>27.081682523742369</v>
      </c>
    </row>
    <row r="25" spans="1:15" x14ac:dyDescent="0.35">
      <c r="J25">
        <f t="shared" si="2"/>
        <v>110</v>
      </c>
      <c r="K25">
        <f>airplane!$B$23*airplane!$B$7/'maximum speed'!J25+airplane!$B$11*'maximum speed'!J25/airplane!$B$23</f>
        <v>0.22350356872391688</v>
      </c>
      <c r="L25">
        <f>airplane!$B$22*K25/(airplane!$B$9*airplane!$B$10)</f>
        <v>5.916270936809565</v>
      </c>
      <c r="N25">
        <f t="shared" si="0"/>
        <v>36.762</v>
      </c>
      <c r="O25">
        <f t="shared" si="1"/>
        <v>26.315573126928946</v>
      </c>
    </row>
    <row r="26" spans="1:15" x14ac:dyDescent="0.35">
      <c r="J26">
        <f t="shared" si="2"/>
        <v>115</v>
      </c>
      <c r="K26">
        <f>airplane!$B$23*airplane!$B$7/'maximum speed'!J26+airplane!$B$11*'maximum speed'!J26/airplane!$B$23</f>
        <v>0.21773830329546484</v>
      </c>
      <c r="L26">
        <f>airplane!$B$22*K26/(airplane!$B$9*airplane!$B$10)</f>
        <v>5.7636609695858336</v>
      </c>
      <c r="N26">
        <f t="shared" si="0"/>
        <v>38.433</v>
      </c>
      <c r="O26">
        <f t="shared" si="1"/>
        <v>25.636763992717789</v>
      </c>
    </row>
    <row r="27" spans="1:15" x14ac:dyDescent="0.35">
      <c r="J27">
        <f t="shared" si="2"/>
        <v>120</v>
      </c>
      <c r="K27">
        <f>airplane!$B$23*airplane!$B$7/'maximum speed'!J27+airplane!$B$11*'maximum speed'!J27/airplane!$B$23</f>
        <v>0.21262181454877183</v>
      </c>
      <c r="L27">
        <f>airplane!$B$22*K27/(airplane!$B$9*airplane!$B$10)</f>
        <v>5.6282245027616069</v>
      </c>
      <c r="N27">
        <f t="shared" si="0"/>
        <v>40.103999999999999</v>
      </c>
      <c r="O27">
        <f t="shared" si="1"/>
        <v>25.034342588283629</v>
      </c>
    </row>
    <row r="28" spans="1:15" x14ac:dyDescent="0.35">
      <c r="J28">
        <f t="shared" si="2"/>
        <v>125</v>
      </c>
      <c r="K28">
        <f>airplane!$B$23*airplane!$B$7/'maximum speed'!J28+airplane!$B$11*'maximum speed'!J28/airplane!$B$23</f>
        <v>0.20807624928202673</v>
      </c>
      <c r="L28">
        <f>airplane!$B$22*K28/(airplane!$B$9*airplane!$B$10)</f>
        <v>5.5079007162889422</v>
      </c>
      <c r="N28">
        <f t="shared" si="0"/>
        <v>41.774999999999999</v>
      </c>
      <c r="O28">
        <f t="shared" si="1"/>
        <v>24.499142386053219</v>
      </c>
    </row>
    <row r="29" spans="1:15" x14ac:dyDescent="0.35">
      <c r="J29">
        <f t="shared" si="2"/>
        <v>130</v>
      </c>
      <c r="K29">
        <f>airplane!$B$23*airplane!$B$7/'maximum speed'!J29+airplane!$B$11*'maximum speed'!J29/airplane!$B$23</f>
        <v>0.20403573170908168</v>
      </c>
      <c r="L29">
        <f>airplane!$B$22*K29/(airplane!$B$9*airplane!$B$10)</f>
        <v>5.4009458393580445</v>
      </c>
      <c r="N29">
        <f t="shared" si="0"/>
        <v>43.445999999999998</v>
      </c>
      <c r="O29">
        <f t="shared" si="1"/>
        <v>24.023407093464584</v>
      </c>
    </row>
    <row r="30" spans="1:15" x14ac:dyDescent="0.35">
      <c r="J30">
        <f t="shared" si="2"/>
        <v>135</v>
      </c>
      <c r="K30">
        <f>airplane!$B$23*airplane!$B$7/'maximum speed'!J30+airplane!$B$11*'maximum speed'!J30/airplane!$B$23</f>
        <v>0.20044414541951452</v>
      </c>
      <c r="L30">
        <f>airplane!$B$22*K30/(airplane!$B$9*airplane!$B$10)</f>
        <v>5.3058744375753841</v>
      </c>
      <c r="N30">
        <f t="shared" si="0"/>
        <v>45.116999999999997</v>
      </c>
      <c r="O30">
        <f t="shared" si="1"/>
        <v>23.600529498335312</v>
      </c>
    </row>
    <row r="31" spans="1:15" x14ac:dyDescent="0.35">
      <c r="J31">
        <f>J30+5</f>
        <v>140</v>
      </c>
      <c r="K31">
        <f>airplane!$B$23*airplane!$B$7/'maximum speed'!J31+airplane!$B$11*'maximum speed'!J31/airplane!$B$23</f>
        <v>0.19725339063296329</v>
      </c>
      <c r="L31">
        <f>airplane!$B$22*K31/(airplane!$B$9*airplane!$B$10)</f>
        <v>5.2214132814607925</v>
      </c>
      <c r="N31">
        <f t="shared" si="0"/>
        <v>46.787999999999997</v>
      </c>
      <c r="O31">
        <f t="shared" si="1"/>
        <v>23.224846275937608</v>
      </c>
    </row>
    <row r="32" spans="1:15" x14ac:dyDescent="0.35">
      <c r="J32">
        <f t="shared" si="2"/>
        <v>145</v>
      </c>
      <c r="K32">
        <f>airplane!$B$23*airplane!$B$7/'maximum speed'!J32+airplane!$B$11*'maximum speed'!J32/airplane!$B$23</f>
        <v>0.19442200202152982</v>
      </c>
      <c r="L32">
        <f>airplane!$B$22*K32/(airplane!$B$9*airplane!$B$10)</f>
        <v>5.1464647593934361</v>
      </c>
      <c r="N32">
        <f t="shared" si="0"/>
        <v>48.458999999999996</v>
      </c>
      <c r="O32">
        <f t="shared" si="1"/>
        <v>22.891475249782005</v>
      </c>
    </row>
    <row r="33" spans="10:15" x14ac:dyDescent="0.35">
      <c r="J33">
        <f t="shared" si="2"/>
        <v>150</v>
      </c>
      <c r="K33">
        <f>airplane!$B$23*airplane!$B$7/'maximum speed'!J33+airplane!$B$11*'maximum speed'!J33/airplane!$B$23</f>
        <v>0.19191404296770231</v>
      </c>
      <c r="L33">
        <f>airplane!$B$22*K33/(airplane!$B$9*airplane!$B$10)</f>
        <v>5.0800776079685903</v>
      </c>
      <c r="N33">
        <f t="shared" si="0"/>
        <v>50.13</v>
      </c>
      <c r="O33">
        <f t="shared" si="1"/>
        <v>22.596185200244292</v>
      </c>
    </row>
    <row r="34" spans="10:15" x14ac:dyDescent="0.35">
      <c r="J34">
        <f t="shared" si="2"/>
        <v>155</v>
      </c>
      <c r="K34">
        <f>airplane!$B$23*airplane!$B$7/'maximum speed'!J34+airplane!$B$11*'maximum speed'!J34/airplane!$B$23</f>
        <v>0.18969821383687374</v>
      </c>
      <c r="L34">
        <f>airplane!$B$22*K34/(airplane!$B$9*airplane!$B$10)</f>
        <v>5.021423307446657</v>
      </c>
      <c r="N34">
        <f t="shared" si="0"/>
        <v>51.801000000000002</v>
      </c>
      <c r="O34">
        <f t="shared" si="1"/>
        <v>22.335290871522734</v>
      </c>
    </row>
    <row r="35" spans="10:15" x14ac:dyDescent="0.35">
      <c r="J35">
        <f t="shared" si="2"/>
        <v>160</v>
      </c>
      <c r="K35">
        <f>airplane!$B$23*airplane!$B$7/'maximum speed'!J35+airplane!$B$11*'maximum speed'!J35/airplane!$B$23</f>
        <v>0.18774712744876293</v>
      </c>
      <c r="L35">
        <f>airplane!$B$22*K35/(airplane!$B$9*airplane!$B$10)</f>
        <v>4.9697769030554895</v>
      </c>
      <c r="N35">
        <f t="shared" si="0"/>
        <v>53.472000000000001</v>
      </c>
      <c r="O35">
        <f t="shared" si="1"/>
        <v>22.105567664790819</v>
      </c>
    </row>
    <row r="36" spans="10:15" x14ac:dyDescent="0.35">
      <c r="J36">
        <f t="shared" si="2"/>
        <v>165</v>
      </c>
      <c r="K36">
        <f>airplane!$B$23*airplane!$B$7/'maximum speed'!J36+airplane!$B$11*'maximum speed'!J36/airplane!$B$23</f>
        <v>0.18603671628130464</v>
      </c>
      <c r="L36">
        <f>airplane!$B$22*K36/(airplane!$B$9*airplane!$B$10)</f>
        <v>4.9245013133286513</v>
      </c>
      <c r="N36">
        <f t="shared" si="0"/>
        <v>55.143000000000001</v>
      </c>
      <c r="O36">
        <f t="shared" si="1"/>
        <v>21.904181841685844</v>
      </c>
    </row>
    <row r="37" spans="10:15" x14ac:dyDescent="0.35">
      <c r="J37">
        <f t="shared" si="2"/>
        <v>170</v>
      </c>
      <c r="K37">
        <f>airplane!$B$23*airplane!$B$7/'maximum speed'!J37+airplane!$B$11*'maximum speed'!J37/airplane!$B$23</f>
        <v>0.18454574428561782</v>
      </c>
      <c r="L37">
        <f>airplane!$B$22*K37/(airplane!$B$9*airplane!$B$10)</f>
        <v>4.8850344075604708</v>
      </c>
      <c r="N37">
        <f t="shared" si="0"/>
        <v>56.814</v>
      </c>
      <c r="O37">
        <f t="shared" si="1"/>
        <v>21.728633044828975</v>
      </c>
    </row>
    <row r="38" spans="10:15" x14ac:dyDescent="0.35">
      <c r="J38">
        <f t="shared" si="2"/>
        <v>175</v>
      </c>
      <c r="K38">
        <f>airplane!$B$23*airplane!$B$7/'maximum speed'!J38+airplane!$B$11*'maximum speed'!J38/airplane!$B$23</f>
        <v>0.18325540238983629</v>
      </c>
      <c r="L38">
        <f>airplane!$B$22*K38/(airplane!$B$9*airplane!$B$10)</f>
        <v>4.8508782985544894</v>
      </c>
      <c r="N38">
        <f t="shared" si="0"/>
        <v>58.484999999999999</v>
      </c>
      <c r="O38">
        <f t="shared" si="1"/>
        <v>21.576706671970371</v>
      </c>
    </row>
    <row r="39" spans="10:15" x14ac:dyDescent="0.35">
      <c r="J39">
        <f t="shared" si="2"/>
        <v>180</v>
      </c>
      <c r="K39">
        <f>airplane!$B$23*airplane!$B$7/'maximum speed'!J39+airplane!$B$11*'maximum speed'!J39/airplane!$B$23</f>
        <v>0.18214897141896796</v>
      </c>
      <c r="L39">
        <f>airplane!$B$22*K39/(airplane!$B$9*airplane!$B$10)</f>
        <v>4.8215904199138571</v>
      </c>
      <c r="N39">
        <f t="shared" si="0"/>
        <v>60.155999999999999</v>
      </c>
      <c r="O39">
        <f t="shared" si="1"/>
        <v>21.446434187776838</v>
      </c>
    </row>
    <row r="40" spans="10:15" x14ac:dyDescent="0.35">
      <c r="J40">
        <f t="shared" si="2"/>
        <v>185</v>
      </c>
      <c r="K40">
        <f>airplane!$B$23*airplane!$B$7/'maximum speed'!J40+airplane!$B$11*'maximum speed'!J40/airplane!$B$23</f>
        <v>0.18121153967639825</v>
      </c>
      <c r="L40">
        <f>airplane!$B$22*K40/(airplane!$B$9*airplane!$B$10)</f>
        <v>4.7967760502576002</v>
      </c>
      <c r="N40">
        <f t="shared" si="0"/>
        <v>61.826999999999998</v>
      </c>
      <c r="O40">
        <f t="shared" si="1"/>
        <v>21.336059871545807</v>
      </c>
    </row>
    <row r="41" spans="10:15" x14ac:dyDescent="0.35">
      <c r="J41">
        <f t="shared" si="2"/>
        <v>190</v>
      </c>
      <c r="K41">
        <f>airplane!$B$23*airplane!$B$7/'maximum speed'!J41+airplane!$B$11*'maximum speed'!J41/airplane!$B$23</f>
        <v>0.18042976511778774</v>
      </c>
      <c r="L41">
        <f>airplane!$B$22*K41/(airplane!$B$9*airplane!$B$10)</f>
        <v>4.7760820178237928</v>
      </c>
      <c r="N41">
        <f t="shared" si="0"/>
        <v>63.497999999999998</v>
      </c>
      <c r="O41">
        <f t="shared" si="1"/>
        <v>21.244012815280232</v>
      </c>
    </row>
    <row r="42" spans="10:15" x14ac:dyDescent="0.35">
      <c r="J42">
        <f t="shared" si="2"/>
        <v>195</v>
      </c>
      <c r="K42">
        <f>airplane!$B$23*airplane!$B$7/'maximum speed'!J42+airplane!$B$11*'maximum speed'!J42/airplane!$B$23</f>
        <v>0.1797916741136012</v>
      </c>
      <c r="L42">
        <f>airplane!$B$22*K42/(airplane!$B$9*airplane!$B$10)</f>
        <v>4.7591913735953257</v>
      </c>
      <c r="N42">
        <f t="shared" si="0"/>
        <v>65.168999999999997</v>
      </c>
      <c r="O42">
        <f t="shared" si="1"/>
        <v>21.168883229752012</v>
      </c>
    </row>
    <row r="43" spans="10:15" x14ac:dyDescent="0.35">
      <c r="J43">
        <f t="shared" si="2"/>
        <v>200</v>
      </c>
      <c r="K43">
        <f>airplane!$B$23*airplane!$B$7/'maximum speed'!J43+airplane!$B$11*'maximum speed'!J43/airplane!$B$23</f>
        <v>0.1792864903972568</v>
      </c>
      <c r="L43">
        <f>airplane!$B$22*K43/(airplane!$B$9*airplane!$B$10)</f>
        <v>4.7458188634567975</v>
      </c>
      <c r="N43">
        <f t="shared" si="0"/>
        <v>66.84</v>
      </c>
      <c r="O43">
        <f t="shared" si="1"/>
        <v>21.109402304655838</v>
      </c>
    </row>
    <row r="44" spans="10:15" x14ac:dyDescent="0.35">
      <c r="J44">
        <f t="shared" si="2"/>
        <v>205</v>
      </c>
      <c r="K44">
        <f>airplane!$B$23*airplane!$B$7/'maximum speed'!J44+airplane!$B$11*'maximum speed'!J44/airplane!$B$23</f>
        <v>0.17890448904525386</v>
      </c>
      <c r="L44">
        <f>airplane!$B$22*K44/(airplane!$B$9*airplane!$B$10)</f>
        <v>4.7357070629626019</v>
      </c>
      <c r="N44">
        <f t="shared" si="0"/>
        <v>68.510999999999996</v>
      </c>
      <c r="O44">
        <f t="shared" si="1"/>
        <v>21.064425016057655</v>
      </c>
    </row>
    <row r="45" spans="10:15" x14ac:dyDescent="0.35">
      <c r="J45">
        <f t="shared" si="2"/>
        <v>210</v>
      </c>
      <c r="K45">
        <f>airplane!$B$23*airplane!$B$7/'maximum speed'!J45+airplane!$B$11*'maximum speed'!J45/airplane!$B$23</f>
        <v>0.17863687131728229</v>
      </c>
      <c r="L45">
        <f>airplane!$B$22*K45/(airplane!$B$9*airplane!$B$10)</f>
        <v>4.7286230642810017</v>
      </c>
      <c r="N45">
        <f t="shared" si="0"/>
        <v>70.182000000000002</v>
      </c>
      <c r="O45">
        <f t="shared" si="1"/>
        <v>21.032915389921897</v>
      </c>
    </row>
    <row r="46" spans="10:15" x14ac:dyDescent="0.35">
      <c r="J46">
        <f t="shared" si="2"/>
        <v>215</v>
      </c>
      <c r="K46">
        <f>airplane!$B$23*airplane!$B$7/'maximum speed'!J46+airplane!$B$11*'maximum speed'!J46/airplane!$B$23</f>
        <v>0.17847565696050272</v>
      </c>
      <c r="L46">
        <f>airplane!$B$22*K46/(airplane!$B$9*airplane!$B$10)</f>
        <v>4.7243556254250709</v>
      </c>
      <c r="N46">
        <f t="shared" si="0"/>
        <v>71.852999999999994</v>
      </c>
      <c r="O46">
        <f t="shared" si="1"/>
        <v>21.013933821890717</v>
      </c>
    </row>
    <row r="47" spans="10:15" x14ac:dyDescent="0.35">
      <c r="J47">
        <f t="shared" si="2"/>
        <v>220</v>
      </c>
      <c r="K47">
        <f>airplane!$B$23*airplane!$B$7/'maximum speed'!J47+airplane!$B$11*'maximum speed'!J47/airplane!$B$23</f>
        <v>0.17841359119960656</v>
      </c>
      <c r="L47">
        <f>airplane!$B$22*K47/(airplane!$B$9*airplane!$B$10)</f>
        <v>4.7227127082248792</v>
      </c>
      <c r="N47">
        <f t="shared" si="0"/>
        <v>73.524000000000001</v>
      </c>
      <c r="O47">
        <f t="shared" si="1"/>
        <v>21.006626126184266</v>
      </c>
    </row>
    <row r="48" spans="10:15" x14ac:dyDescent="0.35">
      <c r="J48">
        <f t="shared" si="2"/>
        <v>225</v>
      </c>
      <c r="K48">
        <f>airplane!$B$23*airplane!$B$7/'maximum speed'!J48+airplane!$B$11*'maximum speed'!J48/airplane!$B$23</f>
        <v>0.17844406412820163</v>
      </c>
      <c r="L48">
        <f>airplane!$B$22*K48/(airplane!$B$9*airplane!$B$10)</f>
        <v>4.7235193445700432</v>
      </c>
      <c r="N48">
        <f t="shared" si="0"/>
        <v>75.194999999999993</v>
      </c>
      <c r="O48">
        <f t="shared" si="1"/>
        <v>21.010214044647554</v>
      </c>
    </row>
    <row r="49" spans="10:15" x14ac:dyDescent="0.35">
      <c r="J49">
        <f t="shared" si="2"/>
        <v>230</v>
      </c>
      <c r="K49">
        <f>airplane!$B$23*airplane!$B$7/'maximum speed'!J49+airplane!$B$11*'maximum speed'!J49/airplane!$B$23</f>
        <v>0.17856104061436456</v>
      </c>
      <c r="L49">
        <f>airplane!$B$22*K49/(airplane!$B$9*airplane!$B$10)</f>
        <v>4.7266157809684737</v>
      </c>
      <c r="N49">
        <f t="shared" si="0"/>
        <v>76.866</v>
      </c>
      <c r="O49">
        <f t="shared" si="1"/>
        <v>21.023986993747773</v>
      </c>
    </row>
    <row r="50" spans="10:15" x14ac:dyDescent="0.35">
      <c r="J50">
        <f t="shared" si="2"/>
        <v>235</v>
      </c>
      <c r="K50">
        <f>airplane!$B$23*airplane!$B$7/'maximum speed'!J50+airplane!$B$11*'maximum speed'!J50/airplane!$B$23</f>
        <v>0.17875899915442078</v>
      </c>
      <c r="L50">
        <f>airplane!$B$22*K50/(airplane!$B$9*airplane!$B$10)</f>
        <v>4.7318558599699614</v>
      </c>
      <c r="N50">
        <f t="shared" si="0"/>
        <v>78.537000000000006</v>
      </c>
      <c r="O50">
        <f t="shared" si="1"/>
        <v>21.047294865146391</v>
      </c>
    </row>
    <row r="51" spans="10:15" x14ac:dyDescent="0.35">
      <c r="J51">
        <f t="shared" si="2"/>
        <v>240</v>
      </c>
      <c r="K51">
        <f>airplane!$B$23*airplane!$B$7/'maximum speed'!J51+airplane!$B$11*'maximum speed'!J51/airplane!$B$23</f>
        <v>0.17903287837000204</v>
      </c>
      <c r="L51">
        <f>airplane!$B$22*K51/(airplane!$B$9*airplane!$B$10)</f>
        <v>4.7391056039118178</v>
      </c>
      <c r="N51">
        <f t="shared" si="0"/>
        <v>80.207999999999998</v>
      </c>
      <c r="O51">
        <f t="shared" si="1"/>
        <v>21.079541726199768</v>
      </c>
    </row>
    <row r="52" spans="10:15" x14ac:dyDescent="0.35">
      <c r="J52">
        <f t="shared" si="2"/>
        <v>245</v>
      </c>
      <c r="K52">
        <f>airplane!$B$23*airplane!$B$7/'maximum speed'!J52+airplane!$B$11*'maximum speed'!J52/airplane!$B$23</f>
        <v>0.17937803005648428</v>
      </c>
      <c r="L52">
        <f>airplane!$B$22*K52/(airplane!$B$9*airplane!$B$10)</f>
        <v>4.7482419720834068</v>
      </c>
      <c r="N52">
        <f t="shared" si="0"/>
        <v>81.879000000000005</v>
      </c>
      <c r="O52">
        <f t="shared" si="1"/>
        <v>21.120180291826994</v>
      </c>
    </row>
    <row r="53" spans="10:15" x14ac:dyDescent="0.35">
      <c r="J53">
        <f t="shared" si="2"/>
        <v>250</v>
      </c>
      <c r="K53">
        <f>airplane!$B$23*airplane!$B$7/'maximum speed'!J53+airplane!$B$11*'maximum speed'!J53/airplane!$B$23</f>
        <v>0.17979017786561349</v>
      </c>
      <c r="L53">
        <f>airplane!$B$22*K53/(airplane!$B$9*airplane!$B$10)</f>
        <v>4.7591517670309447</v>
      </c>
      <c r="N53">
        <f t="shared" si="0"/>
        <v>83.55</v>
      </c>
      <c r="O53">
        <f t="shared" si="1"/>
        <v>21.168707059753643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4" r:id="rId3">
          <objectPr defaultSize="0" autoPict="0" r:id="rId4">
            <anchor moveWithCells="1" sizeWithCells="1">
              <from>
                <xdr:col>0</xdr:col>
                <xdr:colOff>762000</xdr:colOff>
                <xdr:row>10</xdr:row>
                <xdr:rowOff>19050</xdr:rowOff>
              </from>
              <to>
                <xdr:col>4</xdr:col>
                <xdr:colOff>190500</xdr:colOff>
                <xdr:row>16</xdr:row>
                <xdr:rowOff>146050</xdr:rowOff>
              </to>
            </anchor>
          </objectPr>
        </oleObject>
      </mc:Choice>
      <mc:Fallback>
        <oleObject progId="Equation.3" shapeId="3074" r:id="rId3"/>
      </mc:Fallback>
    </mc:AlternateContent>
    <mc:AlternateContent xmlns:mc="http://schemas.openxmlformats.org/markup-compatibility/2006">
      <mc:Choice Requires="x14">
        <oleObject progId="Equation.3" shapeId="3076" r:id="rId5">
          <objectPr defaultSize="0" autoPict="0" r:id="rId6">
            <anchor moveWithCells="1" sizeWithCells="1">
              <from>
                <xdr:col>1</xdr:col>
                <xdr:colOff>393700</xdr:colOff>
                <xdr:row>20</xdr:row>
                <xdr:rowOff>19050</xdr:rowOff>
              </from>
              <to>
                <xdr:col>4</xdr:col>
                <xdr:colOff>95250</xdr:colOff>
                <xdr:row>25</xdr:row>
                <xdr:rowOff>133350</xdr:rowOff>
              </to>
            </anchor>
          </objectPr>
        </oleObject>
      </mc:Choice>
      <mc:Fallback>
        <oleObject progId="Equation.3" shapeId="307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3"/>
  <sheetViews>
    <sheetView workbookViewId="0">
      <selection activeCell="J3" sqref="J3"/>
    </sheetView>
  </sheetViews>
  <sheetFormatPr defaultRowHeight="14.5" x14ac:dyDescent="0.35"/>
  <cols>
    <col min="1" max="1" width="22.1796875" customWidth="1"/>
    <col min="10" max="10" width="14.54296875" customWidth="1"/>
    <col min="11" max="11" width="15.54296875" bestFit="1" customWidth="1"/>
    <col min="12" max="12" width="14.1796875" bestFit="1" customWidth="1"/>
  </cols>
  <sheetData>
    <row r="1" spans="10:15" x14ac:dyDescent="0.35">
      <c r="J1" t="s">
        <v>24</v>
      </c>
      <c r="K1" t="s">
        <v>46</v>
      </c>
      <c r="L1" t="s">
        <v>47</v>
      </c>
      <c r="N1" t="s">
        <v>24</v>
      </c>
      <c r="O1" t="s">
        <v>27</v>
      </c>
    </row>
    <row r="2" spans="10:15" x14ac:dyDescent="0.35">
      <c r="J2" t="s">
        <v>16</v>
      </c>
      <c r="L2" t="s">
        <v>50</v>
      </c>
      <c r="N2" t="s">
        <v>66</v>
      </c>
      <c r="O2" t="s">
        <v>65</v>
      </c>
    </row>
    <row r="3" spans="10:15" x14ac:dyDescent="0.35">
      <c r="J3">
        <f>1/2*airplane!B31*airplane!B30*2*airplane!B28/1.2</f>
        <v>19.931782305916013</v>
      </c>
      <c r="K3">
        <f>1.2*SQRT(2*J3/(airplane!$B$31*airplane!$B$33*airplane!$B$28))</f>
        <v>5.0467204950444833</v>
      </c>
      <c r="L3" t="e">
        <f>K3^3/(airplane!$B$32*airplane!$B$29*airplane!$B$9*airplane!$B$10*airplane!$B$4)</f>
        <v>#DIV/0!</v>
      </c>
      <c r="N3">
        <f>J3*0.3342</f>
        <v>6.6612016466371315</v>
      </c>
      <c r="O3" t="e">
        <f>L3*4.448</f>
        <v>#DIV/0!</v>
      </c>
    </row>
    <row r="4" spans="10:15" x14ac:dyDescent="0.35">
      <c r="J4">
        <f>J3+5</f>
        <v>24.931782305916013</v>
      </c>
      <c r="K4">
        <f>1.2*SQRT(2*J4/(airplane!$B$31*airplane!$B$33*airplane!$B$28))</f>
        <v>5.6443358610438903</v>
      </c>
      <c r="L4" t="e">
        <f>K4^3/(airplane!$B$32*airplane!$B$29*airplane!$B$9*airplane!$B$10*airplane!$B$4)</f>
        <v>#DIV/0!</v>
      </c>
      <c r="N4">
        <f t="shared" ref="N4:N38" si="0">J4*0.3342</f>
        <v>8.3322016466371309</v>
      </c>
      <c r="O4" t="e">
        <f t="shared" ref="O4:O38" si="1">L4*4.448</f>
        <v>#DIV/0!</v>
      </c>
    </row>
    <row r="5" spans="10:15" x14ac:dyDescent="0.35">
      <c r="J5">
        <f t="shared" ref="J5:J53" si="2">J4+5</f>
        <v>29.931782305916013</v>
      </c>
      <c r="K5">
        <f>1.2*SQRT(2*J5/(airplane!$B$31*airplane!$B$33*airplane!$B$28))</f>
        <v>6.1844698131230382</v>
      </c>
      <c r="L5" t="e">
        <f>K5^3/(airplane!$B$32*airplane!$B$29*airplane!$B$9*airplane!$B$10*airplane!$B$4)</f>
        <v>#DIV/0!</v>
      </c>
      <c r="N5">
        <f t="shared" si="0"/>
        <v>10.003201646637132</v>
      </c>
      <c r="O5" t="e">
        <f t="shared" si="1"/>
        <v>#DIV/0!</v>
      </c>
    </row>
    <row r="6" spans="10:15" x14ac:dyDescent="0.35">
      <c r="J6">
        <f t="shared" si="2"/>
        <v>34.931782305916016</v>
      </c>
      <c r="K6">
        <f>1.2*SQRT(2*J6/(airplane!$B$31*airplane!$B$33*airplane!$B$28))</f>
        <v>6.6810782383230745</v>
      </c>
      <c r="L6" t="e">
        <f>K6^3/(airplane!$B$32*airplane!$B$29*airplane!$B$9*airplane!$B$10*airplane!$B$4)</f>
        <v>#DIV/0!</v>
      </c>
      <c r="N6">
        <f t="shared" si="0"/>
        <v>11.674201646637133</v>
      </c>
      <c r="O6" t="e">
        <f t="shared" si="1"/>
        <v>#DIV/0!</v>
      </c>
    </row>
    <row r="7" spans="10:15" x14ac:dyDescent="0.35">
      <c r="J7">
        <f t="shared" si="2"/>
        <v>39.931782305916016</v>
      </c>
      <c r="K7">
        <f>1.2*SQRT(2*J7/(airplane!$B$31*airplane!$B$33*airplane!$B$28))</f>
        <v>7.1432447797732781</v>
      </c>
      <c r="L7" t="e">
        <f>K7^3/(airplane!$B$32*airplane!$B$29*airplane!$B$9*airplane!$B$10*airplane!$B$4)</f>
        <v>#DIV/0!</v>
      </c>
      <c r="N7">
        <f t="shared" si="0"/>
        <v>13.345201646637133</v>
      </c>
      <c r="O7" t="e">
        <f t="shared" si="1"/>
        <v>#DIV/0!</v>
      </c>
    </row>
    <row r="8" spans="10:15" x14ac:dyDescent="0.35">
      <c r="J8">
        <f t="shared" si="2"/>
        <v>44.931782305916016</v>
      </c>
      <c r="K8">
        <f>1.2*SQRT(2*J8/(airplane!$B$31*airplane!$B$33*airplane!$B$28))</f>
        <v>7.5772742817534473</v>
      </c>
      <c r="L8" t="e">
        <f>K8^3/(airplane!$B$32*airplane!$B$29*airplane!$B$9*airplane!$B$10*airplane!$B$4)</f>
        <v>#DIV/0!</v>
      </c>
      <c r="N8">
        <f t="shared" si="0"/>
        <v>15.016201646637132</v>
      </c>
      <c r="O8" t="e">
        <f t="shared" si="1"/>
        <v>#DIV/0!</v>
      </c>
    </row>
    <row r="9" spans="10:15" x14ac:dyDescent="0.35">
      <c r="J9">
        <f t="shared" si="2"/>
        <v>49.931782305916016</v>
      </c>
      <c r="K9">
        <f>1.2*SQRT(2*J9/(airplane!$B$31*airplane!$B$33*airplane!$B$28))</f>
        <v>7.9877546969149131</v>
      </c>
      <c r="L9" t="e">
        <f>K9^3/(airplane!$B$32*airplane!$B$29*airplane!$B$9*airplane!$B$10*airplane!$B$4)</f>
        <v>#DIV/0!</v>
      </c>
      <c r="N9">
        <f t="shared" si="0"/>
        <v>16.687201646637131</v>
      </c>
      <c r="O9" t="e">
        <f t="shared" si="1"/>
        <v>#DIV/0!</v>
      </c>
    </row>
    <row r="10" spans="10:15" x14ac:dyDescent="0.35">
      <c r="J10">
        <f t="shared" si="2"/>
        <v>54.931782305916016</v>
      </c>
      <c r="K10">
        <f>1.2*SQRT(2*J10/(airplane!$B$31*airplane!$B$33*airplane!$B$28))</f>
        <v>8.3781480444815664</v>
      </c>
      <c r="L10" t="e">
        <f>K10^3/(airplane!$B$32*airplane!$B$29*airplane!$B$9*airplane!$B$10*airplane!$B$4)</f>
        <v>#DIV/0!</v>
      </c>
      <c r="N10">
        <f t="shared" si="0"/>
        <v>18.358201646637131</v>
      </c>
      <c r="O10" t="e">
        <f t="shared" si="1"/>
        <v>#DIV/0!</v>
      </c>
    </row>
    <row r="11" spans="10:15" x14ac:dyDescent="0.35">
      <c r="J11">
        <f t="shared" si="2"/>
        <v>59.931782305916016</v>
      </c>
      <c r="K11">
        <f>1.2*SQRT(2*J11/(airplane!$B$31*airplane!$B$33*airplane!$B$28))</f>
        <v>8.751143023194988</v>
      </c>
      <c r="L11" t="e">
        <f>K11^3/(airplane!$B$32*airplane!$B$29*airplane!$B$9*airplane!$B$10*airplane!$B$4)</f>
        <v>#DIV/0!</v>
      </c>
      <c r="N11">
        <f t="shared" si="0"/>
        <v>20.029201646637134</v>
      </c>
      <c r="O11" t="e">
        <f t="shared" si="1"/>
        <v>#DIV/0!</v>
      </c>
    </row>
    <row r="12" spans="10:15" x14ac:dyDescent="0.35">
      <c r="J12">
        <f t="shared" si="2"/>
        <v>64.931782305916016</v>
      </c>
      <c r="K12">
        <f>1.2*SQRT(2*J12/(airplane!$B$31*airplane!$B$33*airplane!$B$28))</f>
        <v>9.1088771958775663</v>
      </c>
      <c r="L12" t="e">
        <f>K12^3/(airplane!$B$32*airplane!$B$29*airplane!$B$9*airplane!$B$10*airplane!$B$4)</f>
        <v>#DIV/0!</v>
      </c>
      <c r="N12">
        <f t="shared" si="0"/>
        <v>21.700201646637133</v>
      </c>
      <c r="O12" t="e">
        <f t="shared" si="1"/>
        <v>#DIV/0!</v>
      </c>
    </row>
    <row r="13" spans="10:15" x14ac:dyDescent="0.35">
      <c r="J13">
        <f t="shared" si="2"/>
        <v>69.931782305916016</v>
      </c>
      <c r="K13">
        <f>1.2*SQRT(2*J13/(airplane!$B$31*airplane!$B$33*airplane!$B$28))</f>
        <v>9.4530832709091488</v>
      </c>
      <c r="L13" t="e">
        <f>K13^3/(airplane!$B$32*airplane!$B$29*airplane!$B$9*airplane!$B$10*airplane!$B$4)</f>
        <v>#DIV/0!</v>
      </c>
      <c r="N13">
        <f t="shared" si="0"/>
        <v>23.371201646637132</v>
      </c>
      <c r="O13" t="e">
        <f t="shared" si="1"/>
        <v>#DIV/0!</v>
      </c>
    </row>
    <row r="14" spans="10:15" x14ac:dyDescent="0.35">
      <c r="J14">
        <f t="shared" si="2"/>
        <v>74.931782305916016</v>
      </c>
      <c r="K14">
        <f>1.2*SQRT(2*J14/(airplane!$B$31*airplane!$B$33*airplane!$B$28))</f>
        <v>9.7851889549413613</v>
      </c>
      <c r="L14" t="e">
        <f>K14^3/(airplane!$B$32*airplane!$B$29*airplane!$B$9*airplane!$B$10*airplane!$B$4)</f>
        <v>#DIV/0!</v>
      </c>
      <c r="N14">
        <f t="shared" si="0"/>
        <v>25.042201646637132</v>
      </c>
      <c r="O14" t="e">
        <f t="shared" si="1"/>
        <v>#DIV/0!</v>
      </c>
    </row>
    <row r="15" spans="10:15" x14ac:dyDescent="0.35">
      <c r="J15">
        <f t="shared" si="2"/>
        <v>79.931782305916016</v>
      </c>
      <c r="K15">
        <f>1.2*SQRT(2*J15/(airplane!$B$31*airplane!$B$33*airplane!$B$28))</f>
        <v>10.106387210129567</v>
      </c>
      <c r="L15" t="e">
        <f>K15^3/(airplane!$B$32*airplane!$B$29*airplane!$B$9*airplane!$B$10*airplane!$B$4)</f>
        <v>#DIV/0!</v>
      </c>
      <c r="N15">
        <f t="shared" si="0"/>
        <v>26.713201646637131</v>
      </c>
      <c r="O15" t="e">
        <f t="shared" si="1"/>
        <v>#DIV/0!</v>
      </c>
    </row>
    <row r="16" spans="10:15" x14ac:dyDescent="0.35">
      <c r="J16">
        <f t="shared" si="2"/>
        <v>84.931782305916016</v>
      </c>
      <c r="K16">
        <f>1.2*SQRT(2*J16/(airplane!$B$31*airplane!$B$33*airplane!$B$28))</f>
        <v>10.417686979278773</v>
      </c>
      <c r="L16" t="e">
        <f>K16^3/(airplane!$B$32*airplane!$B$29*airplane!$B$9*airplane!$B$10*airplane!$B$4)</f>
        <v>#DIV/0!</v>
      </c>
      <c r="N16">
        <f t="shared" si="0"/>
        <v>28.384201646637134</v>
      </c>
      <c r="O16" t="e">
        <f t="shared" si="1"/>
        <v>#DIV/0!</v>
      </c>
    </row>
    <row r="17" spans="1:15" x14ac:dyDescent="0.35">
      <c r="A17" t="s">
        <v>41</v>
      </c>
      <c r="J17">
        <f t="shared" si="2"/>
        <v>89.931782305916016</v>
      </c>
      <c r="K17">
        <f>1.2*SQRT(2*J17/(airplane!$B$31*airplane!$B$33*airplane!$B$28))</f>
        <v>10.719950632134392</v>
      </c>
      <c r="L17" t="e">
        <f>K17^3/(airplane!$B$32*airplane!$B$29*airplane!$B$9*airplane!$B$10*airplane!$B$4)</f>
        <v>#DIV/0!</v>
      </c>
      <c r="N17">
        <f t="shared" si="0"/>
        <v>30.055201646637133</v>
      </c>
      <c r="O17" t="e">
        <f t="shared" si="1"/>
        <v>#DIV/0!</v>
      </c>
    </row>
    <row r="18" spans="1:15" x14ac:dyDescent="0.35">
      <c r="J18">
        <f t="shared" si="2"/>
        <v>94.931782305916016</v>
      </c>
      <c r="K18">
        <f>1.2*SQRT(2*J18/(airplane!$B$31*airplane!$B$33*airplane!$B$28))</f>
        <v>11.013922149378148</v>
      </c>
      <c r="L18" t="e">
        <f>K18^3/(airplane!$B$32*airplane!$B$29*airplane!$B$9*airplane!$B$10*airplane!$B$4)</f>
        <v>#DIV/0!</v>
      </c>
      <c r="N18">
        <f t="shared" si="0"/>
        <v>31.726201646637133</v>
      </c>
      <c r="O18" t="e">
        <f t="shared" si="1"/>
        <v>#DIV/0!</v>
      </c>
    </row>
    <row r="19" spans="1:15" x14ac:dyDescent="0.35">
      <c r="J19">
        <f t="shared" si="2"/>
        <v>99.931782305916016</v>
      </c>
      <c r="K19">
        <f>1.2*SQRT(2*J19/(airplane!$B$31*airplane!$B$33*airplane!$B$28))</f>
        <v>11.300248699463504</v>
      </c>
      <c r="L19" t="e">
        <f>K19^3/(airplane!$B$32*airplane!$B$29*airplane!$B$9*airplane!$B$10*airplane!$B$4)</f>
        <v>#DIV/0!</v>
      </c>
      <c r="N19">
        <f t="shared" si="0"/>
        <v>33.397201646637136</v>
      </c>
      <c r="O19" t="e">
        <f t="shared" si="1"/>
        <v>#DIV/0!</v>
      </c>
    </row>
    <row r="20" spans="1:15" x14ac:dyDescent="0.35">
      <c r="J20">
        <f t="shared" si="2"/>
        <v>104.93178230591602</v>
      </c>
      <c r="K20">
        <f>1.2*SQRT(2*J20/(airplane!$B$31*airplane!$B$33*airplane!$B$28))</f>
        <v>11.579497408216415</v>
      </c>
      <c r="L20" t="e">
        <f>K20^3/(airplane!$B$32*airplane!$B$29*airplane!$B$9*airplane!$B$10*airplane!$B$4)</f>
        <v>#DIV/0!</v>
      </c>
      <c r="N20">
        <f t="shared" si="0"/>
        <v>35.068201646637135</v>
      </c>
      <c r="O20" t="e">
        <f t="shared" si="1"/>
        <v>#DIV/0!</v>
      </c>
    </row>
    <row r="21" spans="1:15" x14ac:dyDescent="0.35">
      <c r="J21">
        <f t="shared" si="2"/>
        <v>109.93178230591602</v>
      </c>
      <c r="K21">
        <f>1.2*SQRT(2*J21/(airplane!$B$31*airplane!$B$33*airplane!$B$28))</f>
        <v>11.852168568833921</v>
      </c>
      <c r="L21" t="e">
        <f>K21^3/(airplane!$B$32*airplane!$B$29*airplane!$B$9*airplane!$B$10*airplane!$B$4)</f>
        <v>#DIV/0!</v>
      </c>
      <c r="N21">
        <f t="shared" si="0"/>
        <v>36.739201646637135</v>
      </c>
      <c r="O21" t="e">
        <f t="shared" si="1"/>
        <v>#DIV/0!</v>
      </c>
    </row>
    <row r="22" spans="1:15" x14ac:dyDescent="0.35">
      <c r="J22">
        <f t="shared" si="2"/>
        <v>114.93178230591602</v>
      </c>
      <c r="K22">
        <f>1.2*SQRT(2*J22/(airplane!$B$31*airplane!$B$33*airplane!$B$28))</f>
        <v>12.118706174390843</v>
      </c>
      <c r="L22" t="e">
        <f>K22^3/(airplane!$B$32*airplane!$B$29*airplane!$B$9*airplane!$B$10*airplane!$B$4)</f>
        <v>#DIV/0!</v>
      </c>
      <c r="N22">
        <f t="shared" si="0"/>
        <v>38.410201646637134</v>
      </c>
      <c r="O22" t="e">
        <f t="shared" si="1"/>
        <v>#DIV/0!</v>
      </c>
    </row>
    <row r="23" spans="1:15" x14ac:dyDescent="0.35">
      <c r="J23">
        <f t="shared" si="2"/>
        <v>119.93178230591602</v>
      </c>
      <c r="K23">
        <f>1.2*SQRT(2*J23/(airplane!$B$31*airplane!$B$33*airplane!$B$28))</f>
        <v>12.379506407703934</v>
      </c>
      <c r="L23" t="e">
        <f>K23^3/(airplane!$B$32*airplane!$B$29*airplane!$B$9*airplane!$B$10*airplane!$B$4)</f>
        <v>#DIV/0!</v>
      </c>
      <c r="N23">
        <f t="shared" si="0"/>
        <v>40.081201646637133</v>
      </c>
      <c r="O23" t="e">
        <f t="shared" si="1"/>
        <v>#DIV/0!</v>
      </c>
    </row>
    <row r="24" spans="1:15" x14ac:dyDescent="0.35">
      <c r="J24">
        <f t="shared" si="2"/>
        <v>124.93178230591602</v>
      </c>
      <c r="K24">
        <f>1.2*SQRT(2*J24/(airplane!$B$31*airplane!$B$33*airplane!$B$28))</f>
        <v>12.634924552823685</v>
      </c>
      <c r="L24" t="e">
        <f>K24^3/(airplane!$B$32*airplane!$B$29*airplane!$B$9*airplane!$B$10*airplane!$B$4)</f>
        <v>#DIV/0!</v>
      </c>
      <c r="N24">
        <f t="shared" si="0"/>
        <v>41.752201646637133</v>
      </c>
      <c r="O24" t="e">
        <f t="shared" si="1"/>
        <v>#DIV/0!</v>
      </c>
    </row>
    <row r="25" spans="1:15" x14ac:dyDescent="0.35">
      <c r="J25">
        <f t="shared" si="2"/>
        <v>129.93178230591602</v>
      </c>
      <c r="K25">
        <f>1.2*SQRT(2*J25/(airplane!$B$31*airplane!$B$33*airplane!$B$28))</f>
        <v>12.885280672640036</v>
      </c>
      <c r="L25" t="e">
        <f>K25^3/(airplane!$B$32*airplane!$B$29*airplane!$B$9*airplane!$B$10*airplane!$B$4)</f>
        <v>#DIV/0!</v>
      </c>
      <c r="N25">
        <f t="shared" si="0"/>
        <v>43.423201646637132</v>
      </c>
      <c r="O25" t="e">
        <f t="shared" si="1"/>
        <v>#DIV/0!</v>
      </c>
    </row>
    <row r="26" spans="1:15" x14ac:dyDescent="0.35">
      <c r="J26">
        <f t="shared" si="2"/>
        <v>134.93178230591602</v>
      </c>
      <c r="K26">
        <f>1.2*SQRT(2*J26/(airplane!$B$31*airplane!$B$33*airplane!$B$28))</f>
        <v>13.130864311608541</v>
      </c>
      <c r="L26" t="e">
        <f>K26^3/(airplane!$B$32*airplane!$B$29*airplane!$B$9*airplane!$B$10*airplane!$B$4)</f>
        <v>#DIV/0!</v>
      </c>
      <c r="N26">
        <f t="shared" si="0"/>
        <v>45.094201646637131</v>
      </c>
      <c r="O26" t="e">
        <f t="shared" si="1"/>
        <v>#DIV/0!</v>
      </c>
    </row>
    <row r="27" spans="1:15" x14ac:dyDescent="0.35">
      <c r="J27">
        <f t="shared" si="2"/>
        <v>139.93178230591602</v>
      </c>
      <c r="K27">
        <f>1.2*SQRT(2*J27/(airplane!$B$31*airplane!$B$33*airplane!$B$28))</f>
        <v>13.371938420701724</v>
      </c>
      <c r="L27" t="e">
        <f>K27^3/(airplane!$B$32*airplane!$B$29*airplane!$B$9*airplane!$B$10*airplane!$B$4)</f>
        <v>#DIV/0!</v>
      </c>
      <c r="N27">
        <f t="shared" si="0"/>
        <v>46.765201646637131</v>
      </c>
      <c r="O27" t="e">
        <f t="shared" si="1"/>
        <v>#DIV/0!</v>
      </c>
    </row>
    <row r="28" spans="1:15" x14ac:dyDescent="0.35">
      <c r="J28">
        <f t="shared" si="2"/>
        <v>144.93178230591602</v>
      </c>
      <c r="K28">
        <f>1.2*SQRT(2*J28/(airplane!$B$31*airplane!$B$33*airplane!$B$28))</f>
        <v>13.608742656256048</v>
      </c>
      <c r="L28" t="e">
        <f>K28^3/(airplane!$B$32*airplane!$B$29*airplane!$B$9*airplane!$B$10*airplane!$B$4)</f>
        <v>#DIV/0!</v>
      </c>
      <c r="N28">
        <f t="shared" si="0"/>
        <v>48.43620164663713</v>
      </c>
      <c r="O28" t="e">
        <f t="shared" si="1"/>
        <v>#DIV/0!</v>
      </c>
    </row>
    <row r="29" spans="1:15" x14ac:dyDescent="0.35">
      <c r="J29">
        <f t="shared" si="2"/>
        <v>149.93178230591602</v>
      </c>
      <c r="K29">
        <f>1.2*SQRT(2*J29/(airplane!$B$31*airplane!$B$33*airplane!$B$28))</f>
        <v>13.841496170622849</v>
      </c>
      <c r="L29" t="e">
        <f>K29^3/(airplane!$B$32*airplane!$B$29*airplane!$B$9*airplane!$B$10*airplane!$B$4)</f>
        <v>#DIV/0!</v>
      </c>
      <c r="N29">
        <f t="shared" si="0"/>
        <v>50.107201646637129</v>
      </c>
      <c r="O29" t="e">
        <f t="shared" si="1"/>
        <v>#DIV/0!</v>
      </c>
    </row>
    <row r="30" spans="1:15" x14ac:dyDescent="0.35">
      <c r="J30">
        <f t="shared" si="2"/>
        <v>154.93178230591602</v>
      </c>
      <c r="K30">
        <f>1.2*SQRT(2*J30/(airplane!$B$31*airplane!$B$33*airplane!$B$28))</f>
        <v>14.070399987154985</v>
      </c>
      <c r="L30" t="e">
        <f>K30^3/(airplane!$B$32*airplane!$B$29*airplane!$B$9*airplane!$B$10*airplane!$B$4)</f>
        <v>#DIV/0!</v>
      </c>
      <c r="N30">
        <f t="shared" si="0"/>
        <v>51.778201646637129</v>
      </c>
      <c r="O30" t="e">
        <f t="shared" si="1"/>
        <v>#DIV/0!</v>
      </c>
    </row>
    <row r="31" spans="1:15" x14ac:dyDescent="0.35">
      <c r="J31">
        <f>J30+5</f>
        <v>159.93178230591602</v>
      </c>
      <c r="K31">
        <f>1.2*SQRT(2*J31/(airplane!$B$31*airplane!$B$33*airplane!$B$28))</f>
        <v>14.295639032785315</v>
      </c>
      <c r="L31" t="e">
        <f>K31^3/(airplane!$B$32*airplane!$B$29*airplane!$B$9*airplane!$B$10*airplane!$B$4)</f>
        <v>#DIV/0!</v>
      </c>
      <c r="N31">
        <f t="shared" si="0"/>
        <v>53.449201646637135</v>
      </c>
      <c r="O31" t="e">
        <f t="shared" si="1"/>
        <v>#DIV/0!</v>
      </c>
    </row>
    <row r="32" spans="1:15" x14ac:dyDescent="0.35">
      <c r="J32">
        <f t="shared" si="2"/>
        <v>164.93178230591602</v>
      </c>
      <c r="K32">
        <f>1.2*SQRT(2*J32/(airplane!$B$31*airplane!$B$33*airplane!$B$28))</f>
        <v>14.517383886667012</v>
      </c>
      <c r="L32" t="e">
        <f>K32^3/(airplane!$B$32*airplane!$B$29*airplane!$B$9*airplane!$B$10*airplane!$B$4)</f>
        <v>#DIV/0!</v>
      </c>
      <c r="N32">
        <f t="shared" si="0"/>
        <v>55.120201646637135</v>
      </c>
      <c r="O32" t="e">
        <f t="shared" si="1"/>
        <v>#DIV/0!</v>
      </c>
    </row>
    <row r="33" spans="1:15" x14ac:dyDescent="0.35">
      <c r="J33">
        <f t="shared" si="2"/>
        <v>169.93178230591602</v>
      </c>
      <c r="K33">
        <f>1.2*SQRT(2*J33/(airplane!$B$31*airplane!$B$33*airplane!$B$28))</f>
        <v>14.735792291900122</v>
      </c>
      <c r="L33" t="e">
        <f>K33^3/(airplane!$B$32*airplane!$B$29*airplane!$B$9*airplane!$B$10*airplane!$B$4)</f>
        <v>#DIV/0!</v>
      </c>
      <c r="N33">
        <f t="shared" si="0"/>
        <v>56.791201646637134</v>
      </c>
      <c r="O33" t="e">
        <f t="shared" si="1"/>
        <v>#DIV/0!</v>
      </c>
    </row>
    <row r="34" spans="1:15" x14ac:dyDescent="0.35">
      <c r="J34">
        <f t="shared" si="2"/>
        <v>174.93178230591602</v>
      </c>
      <c r="K34">
        <f>1.2*SQRT(2*J34/(airplane!$B$31*airplane!$B$33*airplane!$B$28))</f>
        <v>14.951010468432798</v>
      </c>
      <c r="L34" t="e">
        <f>K34^3/(airplane!$B$32*airplane!$B$29*airplane!$B$9*airplane!$B$10*airplane!$B$4)</f>
        <v>#DIV/0!</v>
      </c>
      <c r="N34">
        <f t="shared" si="0"/>
        <v>58.462201646637133</v>
      </c>
      <c r="O34" t="e">
        <f t="shared" si="1"/>
        <v>#DIV/0!</v>
      </c>
    </row>
    <row r="35" spans="1:15" x14ac:dyDescent="0.35">
      <c r="J35">
        <f t="shared" si="2"/>
        <v>179.93178230591602</v>
      </c>
      <c r="K35">
        <f>1.2*SQRT(2*J35/(airplane!$B$31*airplane!$B$33*airplane!$B$28))</f>
        <v>15.163174258193802</v>
      </c>
      <c r="L35" t="e">
        <f>K35^3/(airplane!$B$32*airplane!$B$29*airplane!$B$9*airplane!$B$10*airplane!$B$4)</f>
        <v>#DIV/0!</v>
      </c>
      <c r="N35">
        <f t="shared" si="0"/>
        <v>60.133201646637133</v>
      </c>
      <c r="O35" t="e">
        <f t="shared" si="1"/>
        <v>#DIV/0!</v>
      </c>
    </row>
    <row r="36" spans="1:15" x14ac:dyDescent="0.35">
      <c r="J36">
        <f t="shared" si="2"/>
        <v>184.93178230591602</v>
      </c>
      <c r="K36">
        <f>1.2*SQRT(2*J36/(airplane!$B$31*airplane!$B$33*airplane!$B$28))</f>
        <v>15.372410127937492</v>
      </c>
      <c r="L36" t="e">
        <f>K36^3/(airplane!$B$32*airplane!$B$29*airplane!$B$9*airplane!$B$10*airplane!$B$4)</f>
        <v>#DIV/0!</v>
      </c>
      <c r="N36">
        <f t="shared" si="0"/>
        <v>61.804201646637132</v>
      </c>
      <c r="O36" t="e">
        <f t="shared" si="1"/>
        <v>#DIV/0!</v>
      </c>
    </row>
    <row r="37" spans="1:15" x14ac:dyDescent="0.35">
      <c r="J37">
        <f t="shared" si="2"/>
        <v>189.93178230591602</v>
      </c>
      <c r="K37">
        <f>1.2*SQRT(2*J37/(airplane!$B$31*airplane!$B$33*airplane!$B$28))</f>
        <v>15.578836050831242</v>
      </c>
      <c r="L37" t="e">
        <f>K37^3/(airplane!$B$32*airplane!$B$29*airplane!$B$9*airplane!$B$10*airplane!$B$4)</f>
        <v>#DIV/0!</v>
      </c>
      <c r="N37">
        <f t="shared" si="0"/>
        <v>63.475201646637132</v>
      </c>
      <c r="O37" t="e">
        <f t="shared" si="1"/>
        <v>#DIV/0!</v>
      </c>
    </row>
    <row r="38" spans="1:15" x14ac:dyDescent="0.35">
      <c r="J38">
        <f t="shared" si="2"/>
        <v>194.93178230591602</v>
      </c>
      <c r="K38">
        <f>1.2*SQRT(2*J38/(airplane!$B$31*airplane!$B$33*airplane!$B$28))</f>
        <v>15.782562284237731</v>
      </c>
      <c r="L38" t="e">
        <f>K38^3/(airplane!$B$32*airplane!$B$29*airplane!$B$9*airplane!$B$10*airplane!$B$4)</f>
        <v>#DIV/0!</v>
      </c>
      <c r="N38">
        <f t="shared" si="0"/>
        <v>65.146201646637138</v>
      </c>
      <c r="O38" t="e">
        <f t="shared" si="1"/>
        <v>#DIV/0!</v>
      </c>
    </row>
    <row r="39" spans="1:15" x14ac:dyDescent="0.35">
      <c r="J39">
        <f t="shared" si="2"/>
        <v>199.93178230591602</v>
      </c>
      <c r="K39">
        <f>1.2*SQRT(2*J39/(airplane!$B$31*airplane!$B$33*airplane!$B$28))</f>
        <v>15.98369205825135</v>
      </c>
      <c r="L39" t="e">
        <f>K39^3/(airplane!$B$32*airplane!$B$29*airplane!$B$9*airplane!$B$10*airplane!$B$4)</f>
        <v>#DIV/0!</v>
      </c>
      <c r="N39">
        <f>J39*0.3342</f>
        <v>66.81720164663713</v>
      </c>
      <c r="O39" t="e">
        <f>L39*4.448</f>
        <v>#DIV/0!</v>
      </c>
    </row>
    <row r="40" spans="1:15" x14ac:dyDescent="0.35">
      <c r="A40" t="s">
        <v>40</v>
      </c>
      <c r="J40">
        <f t="shared" si="2"/>
        <v>204.93178230591602</v>
      </c>
      <c r="K40">
        <f>1.2*SQRT(2*J40/(airplane!$B$31*airplane!$B$33*airplane!$B$28))</f>
        <v>16.182322187194622</v>
      </c>
      <c r="L40" t="e">
        <f>K40^3/(airplane!$B$32*airplane!$B$29*airplane!$B$9*airplane!$B$10*airplane!$B$4)</f>
        <v>#DIV/0!</v>
      </c>
      <c r="N40">
        <f t="shared" ref="N40:N53" si="3">J40*0.3342</f>
        <v>68.488201646637137</v>
      </c>
      <c r="O40" t="e">
        <f t="shared" ref="O40:O53" si="4">L40*4.448</f>
        <v>#DIV/0!</v>
      </c>
    </row>
    <row r="41" spans="1:15" x14ac:dyDescent="0.35">
      <c r="J41">
        <f t="shared" si="2"/>
        <v>209.93178230591602</v>
      </c>
      <c r="K41">
        <f>1.2*SQRT(2*J41/(airplane!$B$31*airplane!$B$33*airplane!$B$28))</f>
        <v>16.378543614355195</v>
      </c>
      <c r="L41" t="e">
        <f>K41^3/(airplane!$B$32*airplane!$B$29*airplane!$B$9*airplane!$B$10*airplane!$B$4)</f>
        <v>#DIV/0!</v>
      </c>
      <c r="N41">
        <f t="shared" si="3"/>
        <v>70.159201646637129</v>
      </c>
      <c r="O41" t="e">
        <f t="shared" si="4"/>
        <v>#DIV/0!</v>
      </c>
    </row>
    <row r="42" spans="1:15" x14ac:dyDescent="0.35">
      <c r="J42">
        <f t="shared" si="2"/>
        <v>214.93178230591602</v>
      </c>
      <c r="K42">
        <f>1.2*SQRT(2*J42/(airplane!$B$31*airplane!$B$33*airplane!$B$28))</f>
        <v>16.572441898661143</v>
      </c>
      <c r="L42" t="e">
        <f>K42^3/(airplane!$B$32*airplane!$B$29*airplane!$B$9*airplane!$B$10*airplane!$B$4)</f>
        <v>#DIV/0!</v>
      </c>
      <c r="N42">
        <f t="shared" si="3"/>
        <v>71.830201646637136</v>
      </c>
      <c r="O42" t="e">
        <f t="shared" si="4"/>
        <v>#DIV/0!</v>
      </c>
    </row>
    <row r="43" spans="1:15" x14ac:dyDescent="0.35">
      <c r="J43">
        <f t="shared" si="2"/>
        <v>219.93178230591602</v>
      </c>
      <c r="K43">
        <f>1.2*SQRT(2*J43/(airplane!$B$31*airplane!$B$33*airplane!$B$28))</f>
        <v>16.764097650683841</v>
      </c>
      <c r="L43" t="e">
        <f>K43^3/(airplane!$B$32*airplane!$B$29*airplane!$B$9*airplane!$B$10*airplane!$B$4)</f>
        <v>#DIV/0!</v>
      </c>
      <c r="N43">
        <f t="shared" si="3"/>
        <v>73.501201646637128</v>
      </c>
      <c r="O43" t="e">
        <f t="shared" si="4"/>
        <v>#DIV/0!</v>
      </c>
    </row>
    <row r="44" spans="1:15" x14ac:dyDescent="0.35">
      <c r="J44">
        <f t="shared" si="2"/>
        <v>224.93178230591602</v>
      </c>
      <c r="K44">
        <f>1.2*SQRT(2*J44/(airplane!$B$31*airplane!$B$33*airplane!$B$28))</f>
        <v>16.953586924271441</v>
      </c>
      <c r="L44" t="e">
        <f>K44^3/(airplane!$B$32*airplane!$B$29*airplane!$B$9*airplane!$B$10*airplane!$B$4)</f>
        <v>#DIV/0!</v>
      </c>
      <c r="N44">
        <f t="shared" si="3"/>
        <v>75.172201646637134</v>
      </c>
      <c r="O44" t="e">
        <f t="shared" si="4"/>
        <v>#DIV/0!</v>
      </c>
    </row>
    <row r="45" spans="1:15" x14ac:dyDescent="0.35">
      <c r="J45">
        <f t="shared" si="2"/>
        <v>229.93178230591602</v>
      </c>
      <c r="K45">
        <f>1.2*SQRT(2*J45/(airplane!$B$31*airplane!$B$33*airplane!$B$28))</f>
        <v>17.140981569209842</v>
      </c>
      <c r="L45" t="e">
        <f>K45^3/(airplane!$B$32*airplane!$B$29*airplane!$B$9*airplane!$B$10*airplane!$B$4)</f>
        <v>#DIV/0!</v>
      </c>
      <c r="N45">
        <f t="shared" si="3"/>
        <v>76.843201646637127</v>
      </c>
      <c r="O45" t="e">
        <f t="shared" si="4"/>
        <v>#DIV/0!</v>
      </c>
    </row>
    <row r="46" spans="1:15" x14ac:dyDescent="0.35">
      <c r="J46">
        <f t="shared" si="2"/>
        <v>234.93178230591602</v>
      </c>
      <c r="K46">
        <f>1.2*SQRT(2*J46/(airplane!$B$31*airplane!$B$33*airplane!$B$28))</f>
        <v>17.326349549548961</v>
      </c>
      <c r="L46" t="e">
        <f>K46^3/(airplane!$B$32*airplane!$B$29*airplane!$B$9*airplane!$B$10*airplane!$B$4)</f>
        <v>#DIV/0!</v>
      </c>
      <c r="N46">
        <f t="shared" si="3"/>
        <v>78.514201646637133</v>
      </c>
      <c r="O46" t="e">
        <f t="shared" si="4"/>
        <v>#DIV/0!</v>
      </c>
    </row>
    <row r="47" spans="1:15" x14ac:dyDescent="0.35">
      <c r="J47">
        <f t="shared" si="2"/>
        <v>239.93178230591602</v>
      </c>
      <c r="K47">
        <f>1.2*SQRT(2*J47/(airplane!$B$31*airplane!$B$33*airplane!$B$28))</f>
        <v>17.509755231593605</v>
      </c>
      <c r="L47" t="e">
        <f>K47^3/(airplane!$B$32*airplane!$B$29*airplane!$B$9*airplane!$B$10*airplane!$B$4)</f>
        <v>#DIV/0!</v>
      </c>
      <c r="N47">
        <f t="shared" si="3"/>
        <v>80.185201646637125</v>
      </c>
      <c r="O47" t="e">
        <f t="shared" si="4"/>
        <v>#DIV/0!</v>
      </c>
    </row>
    <row r="48" spans="1:15" x14ac:dyDescent="0.35">
      <c r="J48">
        <f t="shared" si="2"/>
        <v>244.93178230591602</v>
      </c>
      <c r="K48">
        <f>1.2*SQRT(2*J48/(airplane!$B$31*airplane!$B$33*airplane!$B$28))</f>
        <v>17.691259645019166</v>
      </c>
      <c r="L48" t="e">
        <f>K48^3/(airplane!$B$32*airplane!$B$29*airplane!$B$9*airplane!$B$10*airplane!$B$4)</f>
        <v>#DIV/0!</v>
      </c>
      <c r="N48">
        <f t="shared" si="3"/>
        <v>81.856201646637132</v>
      </c>
      <c r="O48" t="e">
        <f t="shared" si="4"/>
        <v>#DIV/0!</v>
      </c>
    </row>
    <row r="49" spans="10:15" x14ac:dyDescent="0.35">
      <c r="J49">
        <f t="shared" si="2"/>
        <v>249.93178230591602</v>
      </c>
      <c r="K49">
        <f>1.2*SQRT(2*J49/(airplane!$B$31*airplane!$B$33*airplane!$B$28))</f>
        <v>17.870920720115336</v>
      </c>
      <c r="L49" t="e">
        <f>K49^3/(airplane!$B$32*airplane!$B$29*airplane!$B$9*airplane!$B$10*airplane!$B$4)</f>
        <v>#DIV/0!</v>
      </c>
      <c r="N49">
        <f t="shared" si="3"/>
        <v>83.527201646637138</v>
      </c>
      <c r="O49" t="e">
        <f t="shared" si="4"/>
        <v>#DIV/0!</v>
      </c>
    </row>
    <row r="50" spans="10:15" x14ac:dyDescent="0.35">
      <c r="J50">
        <f t="shared" si="2"/>
        <v>254.93178230591602</v>
      </c>
      <c r="K50">
        <f>1.2*SQRT(2*J50/(airplane!$B$31*airplane!$B$33*airplane!$B$28))</f>
        <v>18.048793503772259</v>
      </c>
      <c r="L50" t="e">
        <f>K50^3/(airplane!$B$32*airplane!$B$29*airplane!$B$9*airplane!$B$10*airplane!$B$4)</f>
        <v>#DIV/0!</v>
      </c>
      <c r="N50">
        <f t="shared" si="3"/>
        <v>85.198201646637131</v>
      </c>
      <c r="O50" t="e">
        <f t="shared" si="4"/>
        <v>#DIV/0!</v>
      </c>
    </row>
    <row r="51" spans="10:15" x14ac:dyDescent="0.35">
      <c r="J51">
        <f t="shared" si="2"/>
        <v>259.93178230591604</v>
      </c>
      <c r="K51">
        <f>1.2*SQRT(2*J51/(airplane!$B$31*airplane!$B$33*airplane!$B$28))</f>
        <v>18.224930356491786</v>
      </c>
      <c r="L51" t="e">
        <f>K51^3/(airplane!$B$32*airplane!$B$29*airplane!$B$9*airplane!$B$10*airplane!$B$4)</f>
        <v>#DIV/0!</v>
      </c>
      <c r="N51">
        <f t="shared" si="3"/>
        <v>86.869201646637137</v>
      </c>
      <c r="O51" t="e">
        <f t="shared" si="4"/>
        <v>#DIV/0!</v>
      </c>
    </row>
    <row r="52" spans="10:15" x14ac:dyDescent="0.35">
      <c r="J52">
        <f t="shared" si="2"/>
        <v>264.93178230591604</v>
      </c>
      <c r="K52">
        <f>1.2*SQRT(2*J52/(airplane!$B$31*airplane!$B$33*airplane!$B$28))</f>
        <v>18.399381132422356</v>
      </c>
      <c r="L52" t="e">
        <f>K52^3/(airplane!$B$32*airplane!$B$29*airplane!$B$9*airplane!$B$10*airplane!$B$4)</f>
        <v>#DIV/0!</v>
      </c>
      <c r="N52">
        <f t="shared" si="3"/>
        <v>88.540201646637144</v>
      </c>
      <c r="O52" t="e">
        <f t="shared" si="4"/>
        <v>#DIV/0!</v>
      </c>
    </row>
    <row r="53" spans="10:15" x14ac:dyDescent="0.35">
      <c r="J53">
        <f t="shared" si="2"/>
        <v>269.93178230591604</v>
      </c>
      <c r="K53">
        <f>1.2*SQRT(2*J53/(airplane!$B$31*airplane!$B$33*airplane!$B$28))</f>
        <v>18.572193344171922</v>
      </c>
      <c r="L53" t="e">
        <f>K53^3/(airplane!$B$32*airplane!$B$29*airplane!$B$9*airplane!$B$10*airplane!$B$4)</f>
        <v>#DIV/0!</v>
      </c>
      <c r="N53">
        <f t="shared" si="3"/>
        <v>90.211201646637136</v>
      </c>
      <c r="O53" t="e">
        <f t="shared" si="4"/>
        <v>#DIV/0!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>
              <from>
                <xdr:col>0</xdr:col>
                <xdr:colOff>1327150</xdr:colOff>
                <xdr:row>12</xdr:row>
                <xdr:rowOff>171450</xdr:rowOff>
              </from>
              <to>
                <xdr:col>3</xdr:col>
                <xdr:colOff>495300</xdr:colOff>
                <xdr:row>15</xdr:row>
                <xdr:rowOff>95250</xdr:rowOff>
              </to>
            </anchor>
          </objectPr>
        </oleObject>
      </mc:Choice>
      <mc:Fallback>
        <oleObject progId="Equation.3" shapeId="4098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:N53"/>
  <sheetViews>
    <sheetView workbookViewId="0">
      <selection sqref="A1:C4"/>
    </sheetView>
  </sheetViews>
  <sheetFormatPr defaultRowHeight="14.5" x14ac:dyDescent="0.35"/>
  <cols>
    <col min="9" max="9" width="14.54296875" customWidth="1"/>
  </cols>
  <sheetData>
    <row r="1" spans="9:14" x14ac:dyDescent="0.35">
      <c r="I1" t="s">
        <v>24</v>
      </c>
      <c r="J1" t="s">
        <v>56</v>
      </c>
      <c r="K1" t="s">
        <v>64</v>
      </c>
      <c r="M1" t="s">
        <v>24</v>
      </c>
      <c r="N1" t="s">
        <v>27</v>
      </c>
    </row>
    <row r="2" spans="9:14" x14ac:dyDescent="0.35">
      <c r="I2" t="s">
        <v>16</v>
      </c>
      <c r="M2" t="s">
        <v>66</v>
      </c>
      <c r="N2" t="s">
        <v>65</v>
      </c>
    </row>
    <row r="3" spans="9:14" x14ac:dyDescent="0.35">
      <c r="I3">
        <v>0</v>
      </c>
      <c r="J3">
        <f>SQRT(2*I3/airplane!$B$33/airplane!$B$39)</f>
        <v>0</v>
      </c>
      <c r="K3">
        <f>J3/(airplane!$B$38*airplane!$B$10*airplane!$B$9*airplane!$B$12*SQRT(airplane!$B$37))</f>
        <v>0</v>
      </c>
      <c r="M3">
        <f>I3*0.3342</f>
        <v>0</v>
      </c>
      <c r="N3">
        <f>K3*4.448</f>
        <v>0</v>
      </c>
    </row>
    <row r="4" spans="9:14" x14ac:dyDescent="0.35">
      <c r="I4">
        <f>I3+5</f>
        <v>5</v>
      </c>
      <c r="J4">
        <f>SQRT(2*I4/airplane!$B$33/airplane!$B$39)</f>
        <v>2.0504499642845997</v>
      </c>
      <c r="K4">
        <f>J4/(airplane!$B$38*airplane!$B$10*airplane!$B$9*airplane!$B$12*SQRT(airplane!$B$37))</f>
        <v>0.39827976829943995</v>
      </c>
      <c r="M4">
        <f t="shared" ref="M4:M36" si="0">I4*0.3342</f>
        <v>1.671</v>
      </c>
      <c r="N4">
        <f t="shared" ref="N4:N36" si="1">K4*4.448</f>
        <v>1.7715484093959091</v>
      </c>
    </row>
    <row r="5" spans="9:14" x14ac:dyDescent="0.35">
      <c r="I5">
        <f t="shared" ref="I5:I53" si="2">I4+5</f>
        <v>10</v>
      </c>
      <c r="J5">
        <f>SQRT(2*I5/airplane!$B$33/airplane!$B$39)</f>
        <v>2.8997741484587092</v>
      </c>
      <c r="K5">
        <f>J5/(airplane!$B$38*airplane!$B$10*airplane!$B$9*airplane!$B$12*SQRT(airplane!$B$37))</f>
        <v>0.56325264994788182</v>
      </c>
      <c r="M5">
        <f t="shared" si="0"/>
        <v>3.3420000000000001</v>
      </c>
      <c r="N5">
        <f t="shared" si="1"/>
        <v>2.5053477869681786</v>
      </c>
    </row>
    <row r="6" spans="9:14" x14ac:dyDescent="0.35">
      <c r="I6">
        <f t="shared" si="2"/>
        <v>15</v>
      </c>
      <c r="J6">
        <f>SQRT(2*I6/airplane!$B$33/airplane!$B$39)</f>
        <v>3.5514835165187164</v>
      </c>
      <c r="K6">
        <f>J6/(airplane!$B$38*airplane!$B$10*airplane!$B$9*airplane!$B$12*SQRT(airplane!$B$37))</f>
        <v>0.68984079432139034</v>
      </c>
      <c r="M6">
        <f t="shared" si="0"/>
        <v>5.0129999999999999</v>
      </c>
      <c r="N6">
        <f t="shared" si="1"/>
        <v>3.0684118531415443</v>
      </c>
    </row>
    <row r="7" spans="9:14" x14ac:dyDescent="0.35">
      <c r="I7">
        <f t="shared" si="2"/>
        <v>20</v>
      </c>
      <c r="J7">
        <f>SQRT(2*I7/airplane!$B$33/airplane!$B$39)</f>
        <v>4.1008999285691994</v>
      </c>
      <c r="K7">
        <f>J7/(airplane!$B$38*airplane!$B$10*airplane!$B$9*airplane!$B$12*SQRT(airplane!$B$37))</f>
        <v>0.7965595365988799</v>
      </c>
      <c r="M7">
        <f t="shared" si="0"/>
        <v>6.6840000000000002</v>
      </c>
      <c r="N7">
        <f t="shared" si="1"/>
        <v>3.5430968187918181</v>
      </c>
    </row>
    <row r="8" spans="9:14" x14ac:dyDescent="0.35">
      <c r="I8">
        <f t="shared" si="2"/>
        <v>25</v>
      </c>
      <c r="J8">
        <f>SQRT(2*I8/airplane!$B$33/airplane!$B$39)</f>
        <v>4.5849455046023806</v>
      </c>
      <c r="K8">
        <f>J8/(airplane!$B$38*airplane!$B$10*airplane!$B$9*airplane!$B$12*SQRT(airplane!$B$37))</f>
        <v>0.89058063598041348</v>
      </c>
      <c r="M8">
        <f t="shared" si="0"/>
        <v>8.3550000000000004</v>
      </c>
      <c r="N8">
        <f t="shared" si="1"/>
        <v>3.9613026688408794</v>
      </c>
    </row>
    <row r="9" spans="9:14" x14ac:dyDescent="0.35">
      <c r="I9">
        <f t="shared" si="2"/>
        <v>30</v>
      </c>
      <c r="J9">
        <f>SQRT(2*I9/airplane!$B$33/airplane!$B$39)</f>
        <v>5.0225561556052609</v>
      </c>
      <c r="K9">
        <f>J9/(airplane!$B$38*airplane!$B$10*airplane!$B$9*airplane!$B$12*SQRT(airplane!$B$37))</f>
        <v>0.97558220720753897</v>
      </c>
      <c r="M9">
        <f t="shared" si="0"/>
        <v>10.026</v>
      </c>
      <c r="N9">
        <f t="shared" si="1"/>
        <v>4.339389657659134</v>
      </c>
    </row>
    <row r="10" spans="9:14" x14ac:dyDescent="0.35">
      <c r="I10">
        <f t="shared" si="2"/>
        <v>35</v>
      </c>
      <c r="J10">
        <f>SQRT(2*I10/airplane!$B$33/airplane!$B$39)</f>
        <v>5.4249806812783223</v>
      </c>
      <c r="K10">
        <f>J10/(airplane!$B$38*airplane!$B$10*airplane!$B$9*airplane!$B$12*SQRT(airplane!$B$37))</f>
        <v>1.0537492191487445</v>
      </c>
      <c r="M10">
        <f t="shared" si="0"/>
        <v>11.696999999999999</v>
      </c>
      <c r="N10">
        <f t="shared" si="1"/>
        <v>4.6870765267736161</v>
      </c>
    </row>
    <row r="11" spans="9:14" x14ac:dyDescent="0.35">
      <c r="I11">
        <f t="shared" si="2"/>
        <v>40</v>
      </c>
      <c r="J11">
        <f>SQRT(2*I11/airplane!$B$33/airplane!$B$39)</f>
        <v>5.7995482969174184</v>
      </c>
      <c r="K11">
        <f>J11/(airplane!$B$38*airplane!$B$10*airplane!$B$9*airplane!$B$12*SQRT(airplane!$B$37))</f>
        <v>1.1265052998957636</v>
      </c>
      <c r="M11">
        <f t="shared" si="0"/>
        <v>13.368</v>
      </c>
      <c r="N11">
        <f t="shared" si="1"/>
        <v>5.0106955739363572</v>
      </c>
    </row>
    <row r="12" spans="9:14" x14ac:dyDescent="0.35">
      <c r="I12">
        <f t="shared" si="2"/>
        <v>45</v>
      </c>
      <c r="J12">
        <f>SQRT(2*I12/airplane!$B$33/airplane!$B$39)</f>
        <v>6.1513498928537986</v>
      </c>
      <c r="K12">
        <f>J12/(airplane!$B$38*airplane!$B$10*airplane!$B$9*airplane!$B$12*SQRT(airplane!$B$37))</f>
        <v>1.1948393048983197</v>
      </c>
      <c r="M12">
        <f t="shared" si="0"/>
        <v>15.039</v>
      </c>
      <c r="N12">
        <f t="shared" si="1"/>
        <v>5.3146452281877261</v>
      </c>
    </row>
    <row r="13" spans="9:14" x14ac:dyDescent="0.35">
      <c r="I13">
        <f t="shared" si="2"/>
        <v>50</v>
      </c>
      <c r="J13">
        <f>SQRT(2*I13/airplane!$B$33/airplane!$B$39)</f>
        <v>6.4840921153502409</v>
      </c>
      <c r="K13">
        <f>J13/(airplane!$B$38*airplane!$B$10*airplane!$B$9*airplane!$B$12*SQRT(airplane!$B$37))</f>
        <v>1.2594712137903572</v>
      </c>
      <c r="M13">
        <f t="shared" si="0"/>
        <v>16.71</v>
      </c>
      <c r="N13">
        <f t="shared" si="1"/>
        <v>5.6021279589395094</v>
      </c>
    </row>
    <row r="14" spans="9:14" x14ac:dyDescent="0.35">
      <c r="I14">
        <f t="shared" si="2"/>
        <v>55</v>
      </c>
      <c r="J14">
        <f>SQRT(2*I14/airplane!$B$33/airplane!$B$39)</f>
        <v>6.8005731829296474</v>
      </c>
      <c r="K14">
        <f>J14/(airplane!$B$38*airplane!$B$10*airplane!$B$9*airplane!$B$12*SQRT(airplane!$B$37))</f>
        <v>1.3209445530389272</v>
      </c>
      <c r="M14">
        <f t="shared" si="0"/>
        <v>18.381</v>
      </c>
      <c r="N14">
        <f t="shared" si="1"/>
        <v>5.8755613719171489</v>
      </c>
    </row>
    <row r="15" spans="9:14" x14ac:dyDescent="0.35">
      <c r="I15">
        <f t="shared" si="2"/>
        <v>60</v>
      </c>
      <c r="J15">
        <f>SQRT(2*I15/airplane!$B$33/airplane!$B$39)</f>
        <v>7.1029670330374328</v>
      </c>
      <c r="K15">
        <f>J15/(airplane!$B$38*airplane!$B$10*airplane!$B$9*airplane!$B$12*SQRT(airplane!$B$37))</f>
        <v>1.3796815886427807</v>
      </c>
      <c r="M15">
        <f t="shared" si="0"/>
        <v>20.052</v>
      </c>
      <c r="N15">
        <f t="shared" si="1"/>
        <v>6.1368237062830886</v>
      </c>
    </row>
    <row r="16" spans="9:14" x14ac:dyDescent="0.35">
      <c r="I16">
        <f t="shared" si="2"/>
        <v>65</v>
      </c>
      <c r="J16">
        <f>SQRT(2*I16/airplane!$B$33/airplane!$B$39)</f>
        <v>7.3930024840014292</v>
      </c>
      <c r="K16">
        <f>J16/(airplane!$B$38*airplane!$B$10*airplane!$B$9*airplane!$B$12*SQRT(airplane!$B$37))</f>
        <v>1.4360181265835479</v>
      </c>
      <c r="M16">
        <f t="shared" si="0"/>
        <v>21.722999999999999</v>
      </c>
      <c r="N16">
        <f t="shared" si="1"/>
        <v>6.3874086270436212</v>
      </c>
    </row>
    <row r="17" spans="9:14" x14ac:dyDescent="0.35">
      <c r="I17">
        <f t="shared" si="2"/>
        <v>70</v>
      </c>
      <c r="J17">
        <f>SQRT(2*I17/airplane!$B$33/airplane!$B$39)</f>
        <v>7.6720812550758364</v>
      </c>
      <c r="K17">
        <f>J17/(airplane!$B$38*airplane!$B$10*airplane!$B$9*airplane!$B$12*SQRT(airplane!$B$37))</f>
        <v>1.4902264370602134</v>
      </c>
      <c r="M17">
        <f t="shared" si="0"/>
        <v>23.393999999999998</v>
      </c>
      <c r="N17">
        <f t="shared" si="1"/>
        <v>6.6285271920438298</v>
      </c>
    </row>
    <row r="18" spans="9:14" x14ac:dyDescent="0.35">
      <c r="I18">
        <f t="shared" si="2"/>
        <v>75</v>
      </c>
      <c r="J18">
        <f>SQRT(2*I18/airplane!$B$33/airplane!$B$39)</f>
        <v>7.9413585639058475</v>
      </c>
      <c r="K18">
        <f>J18/(airplane!$B$38*airplane!$B$10*airplane!$B$9*airplane!$B$12*SQRT(airplane!$B$37))</f>
        <v>1.5425309097550797</v>
      </c>
      <c r="M18">
        <f t="shared" si="0"/>
        <v>25.065000000000001</v>
      </c>
      <c r="N18">
        <f t="shared" si="1"/>
        <v>6.861177486590595</v>
      </c>
    </row>
    <row r="19" spans="9:14" x14ac:dyDescent="0.35">
      <c r="I19">
        <f t="shared" si="2"/>
        <v>80</v>
      </c>
      <c r="J19">
        <f>SQRT(2*I19/airplane!$B$33/airplane!$B$39)</f>
        <v>8.2017998571383988</v>
      </c>
      <c r="K19">
        <f>J19/(airplane!$B$38*airplane!$B$10*airplane!$B$9*airplane!$B$12*SQRT(airplane!$B$37))</f>
        <v>1.5931190731977598</v>
      </c>
      <c r="M19">
        <f t="shared" si="0"/>
        <v>26.736000000000001</v>
      </c>
      <c r="N19">
        <f t="shared" si="1"/>
        <v>7.0861936375836363</v>
      </c>
    </row>
    <row r="20" spans="9:14" x14ac:dyDescent="0.35">
      <c r="I20">
        <f t="shared" si="2"/>
        <v>85</v>
      </c>
      <c r="J20">
        <f>SQRT(2*I20/airplane!$B$33/airplane!$B$39)</f>
        <v>8.4542217827893644</v>
      </c>
      <c r="K20">
        <f>J20/(airplane!$B$38*airplane!$B$10*airplane!$B$9*airplane!$B$12*SQRT(airplane!$B$37))</f>
        <v>1.6421495532451194</v>
      </c>
      <c r="M20">
        <f t="shared" si="0"/>
        <v>28.407</v>
      </c>
      <c r="N20">
        <f t="shared" si="1"/>
        <v>7.3042812128342911</v>
      </c>
    </row>
    <row r="21" spans="9:14" x14ac:dyDescent="0.35">
      <c r="I21">
        <f t="shared" si="2"/>
        <v>90</v>
      </c>
      <c r="J21">
        <f>SQRT(2*I21/airplane!$B$33/airplane!$B$39)</f>
        <v>8.6993224453761275</v>
      </c>
      <c r="K21">
        <f>J21/(airplane!$B$38*airplane!$B$10*airplane!$B$9*airplane!$B$12*SQRT(airplane!$B$37))</f>
        <v>1.6897579498436457</v>
      </c>
      <c r="M21">
        <f t="shared" si="0"/>
        <v>30.077999999999999</v>
      </c>
      <c r="N21">
        <f t="shared" si="1"/>
        <v>7.5160433609045363</v>
      </c>
    </row>
    <row r="22" spans="9:14" x14ac:dyDescent="0.35">
      <c r="I22">
        <f t="shared" si="2"/>
        <v>95</v>
      </c>
      <c r="J22">
        <f>SQRT(2*I22/airplane!$B$33/airplane!$B$39)</f>
        <v>8.9377041831031523</v>
      </c>
      <c r="K22">
        <f>J22/(airplane!$B$38*airplane!$B$10*airplane!$B$9*airplane!$B$12*SQRT(airplane!$B$37))</f>
        <v>1.7360612612740529</v>
      </c>
      <c r="M22">
        <f t="shared" si="0"/>
        <v>31.748999999999999</v>
      </c>
      <c r="N22">
        <f t="shared" si="1"/>
        <v>7.7220004901469883</v>
      </c>
    </row>
    <row r="23" spans="9:14" x14ac:dyDescent="0.35">
      <c r="I23">
        <f t="shared" si="2"/>
        <v>100</v>
      </c>
      <c r="J23">
        <f>SQRT(2*I23/airplane!$B$33/airplane!$B$39)</f>
        <v>9.1698910092047612</v>
      </c>
      <c r="K23">
        <f>J23/(airplane!$B$38*airplane!$B$10*airplane!$B$9*airplane!$B$12*SQRT(airplane!$B$37))</f>
        <v>1.781161271960827</v>
      </c>
      <c r="M23">
        <f t="shared" si="0"/>
        <v>33.42</v>
      </c>
      <c r="N23">
        <f t="shared" si="1"/>
        <v>7.9226053376817589</v>
      </c>
    </row>
    <row r="24" spans="9:14" x14ac:dyDescent="0.35">
      <c r="I24">
        <f t="shared" si="2"/>
        <v>105</v>
      </c>
      <c r="J24">
        <f>SQRT(2*I24/airplane!$B$33/airplane!$B$39)</f>
        <v>9.3963421700536767</v>
      </c>
      <c r="K24">
        <f>J24/(airplane!$B$38*airplane!$B$10*airplane!$B$9*airplane!$B$12*SQRT(airplane!$B$37))</f>
        <v>1.825147186001657</v>
      </c>
      <c r="M24">
        <f t="shared" si="0"/>
        <v>35.091000000000001</v>
      </c>
      <c r="N24">
        <f t="shared" si="1"/>
        <v>8.1182546833353708</v>
      </c>
    </row>
    <row r="25" spans="9:14" x14ac:dyDescent="0.35">
      <c r="I25">
        <f t="shared" si="2"/>
        <v>110</v>
      </c>
      <c r="J25">
        <f>SQRT(2*I25/airplane!$B$33/airplane!$B$39)</f>
        <v>9.6174628272098737</v>
      </c>
      <c r="K25">
        <f>J25/(airplane!$B$38*airplane!$B$10*airplane!$B$9*airplane!$B$12*SQRT(airplane!$B$37))</f>
        <v>1.868097702050517</v>
      </c>
      <c r="M25">
        <f t="shared" si="0"/>
        <v>36.762</v>
      </c>
      <c r="N25">
        <f t="shared" si="1"/>
        <v>8.3092985787206999</v>
      </c>
    </row>
    <row r="26" spans="9:14" x14ac:dyDescent="0.35">
      <c r="I26">
        <f t="shared" si="2"/>
        <v>115</v>
      </c>
      <c r="J26">
        <f>SQRT(2*I26/airplane!$B$33/airplane!$B$39)</f>
        <v>9.8336125756915234</v>
      </c>
      <c r="K26">
        <f>J26/(airplane!$B$38*airplane!$B$10*airplane!$B$9*airplane!$B$12*SQRT(airplane!$B$37))</f>
        <v>1.9100826679081402</v>
      </c>
      <c r="M26">
        <f t="shared" si="0"/>
        <v>38.433</v>
      </c>
      <c r="N26">
        <f t="shared" si="1"/>
        <v>8.4960477068554088</v>
      </c>
    </row>
    <row r="27" spans="9:14" x14ac:dyDescent="0.35">
      <c r="I27">
        <f t="shared" si="2"/>
        <v>120</v>
      </c>
      <c r="J27">
        <f>SQRT(2*I27/airplane!$B$33/airplane!$B$39)</f>
        <v>10.045112311210522</v>
      </c>
      <c r="K27">
        <f>J27/(airplane!$B$38*airplane!$B$10*airplane!$B$9*airplane!$B$12*SQRT(airplane!$B$37))</f>
        <v>1.9511644144150779</v>
      </c>
      <c r="M27">
        <f t="shared" si="0"/>
        <v>40.103999999999999</v>
      </c>
      <c r="N27">
        <f t="shared" si="1"/>
        <v>8.678779315318268</v>
      </c>
    </row>
    <row r="28" spans="9:14" x14ac:dyDescent="0.35">
      <c r="I28">
        <f t="shared" si="2"/>
        <v>125</v>
      </c>
      <c r="J28">
        <f>SQRT(2*I28/airplane!$B$33/airplane!$B$39)</f>
        <v>10.252249821422998</v>
      </c>
      <c r="K28">
        <f>J28/(airplane!$B$38*airplane!$B$10*airplane!$B$9*airplane!$B$12*SQRT(airplane!$B$37))</f>
        <v>1.9913988414971997</v>
      </c>
      <c r="M28">
        <f t="shared" si="0"/>
        <v>41.774999999999999</v>
      </c>
      <c r="N28">
        <f t="shared" si="1"/>
        <v>8.8577420469795456</v>
      </c>
    </row>
    <row r="29" spans="9:14" x14ac:dyDescent="0.35">
      <c r="I29">
        <f t="shared" si="2"/>
        <v>130</v>
      </c>
      <c r="J29">
        <f>SQRT(2*I29/airplane!$B$33/airplane!$B$39)</f>
        <v>10.455284379532802</v>
      </c>
      <c r="K29">
        <f>J29/(airplane!$B$38*airplane!$B$10*airplane!$B$9*airplane!$B$12*SQRT(airplane!$B$37))</f>
        <v>2.0308363104280573</v>
      </c>
      <c r="M29">
        <f t="shared" si="0"/>
        <v>43.445999999999998</v>
      </c>
      <c r="N29">
        <f t="shared" si="1"/>
        <v>9.0331599087840004</v>
      </c>
    </row>
    <row r="30" spans="9:14" x14ac:dyDescent="0.35">
      <c r="I30">
        <f t="shared" si="2"/>
        <v>135</v>
      </c>
      <c r="J30">
        <f>SQRT(2*I30/airplane!$B$33/airplane!$B$39)</f>
        <v>10.654450549556151</v>
      </c>
      <c r="K30">
        <f>J30/(airplane!$B$38*airplane!$B$10*airplane!$B$9*airplane!$B$12*SQRT(airplane!$B$37))</f>
        <v>2.0695223829641711</v>
      </c>
      <c r="M30">
        <f t="shared" si="0"/>
        <v>45.116999999999997</v>
      </c>
      <c r="N30">
        <f t="shared" si="1"/>
        <v>9.2052355594246347</v>
      </c>
    </row>
    <row r="31" spans="9:14" x14ac:dyDescent="0.35">
      <c r="I31">
        <f>I30+5</f>
        <v>140</v>
      </c>
      <c r="J31">
        <f>SQRT(2*I31/airplane!$B$33/airplane!$B$39)</f>
        <v>10.849961362556645</v>
      </c>
      <c r="K31">
        <f>J31/(airplane!$B$38*airplane!$B$10*airplane!$B$9*airplane!$B$12*SQRT(airplane!$B$37))</f>
        <v>2.1074984382974891</v>
      </c>
      <c r="M31">
        <f t="shared" si="0"/>
        <v>46.787999999999997</v>
      </c>
      <c r="N31">
        <f t="shared" si="1"/>
        <v>9.3741530535472322</v>
      </c>
    </row>
    <row r="32" spans="9:14" x14ac:dyDescent="0.35">
      <c r="I32">
        <f t="shared" si="2"/>
        <v>145</v>
      </c>
      <c r="J32">
        <f>SQRT(2*I32/airplane!$B$33/airplane!$B$39)</f>
        <v>11.042010986455626</v>
      </c>
      <c r="K32">
        <f>J32/(airplane!$B$38*airplane!$B$10*airplane!$B$9*airplane!$B$12*SQRT(airplane!$B$37))</f>
        <v>2.1448021916398283</v>
      </c>
      <c r="M32">
        <f t="shared" si="0"/>
        <v>48.458999999999996</v>
      </c>
      <c r="N32">
        <f t="shared" si="1"/>
        <v>9.5400801484139581</v>
      </c>
    </row>
    <row r="33" spans="9:14" x14ac:dyDescent="0.35">
      <c r="I33">
        <f t="shared" si="2"/>
        <v>150</v>
      </c>
      <c r="J33">
        <f>SQRT(2*I33/airplane!$B$33/airplane!$B$39)</f>
        <v>11.230776984743375</v>
      </c>
      <c r="K33">
        <f>J33/(airplane!$B$38*airplane!$B$10*airplane!$B$9*airplane!$B$12*SQRT(airplane!$B$37))</f>
        <v>2.1814681329553425</v>
      </c>
      <c r="M33">
        <f t="shared" si="0"/>
        <v>50.13</v>
      </c>
      <c r="N33">
        <f t="shared" si="1"/>
        <v>9.7031702553853645</v>
      </c>
    </row>
    <row r="34" spans="9:14" x14ac:dyDescent="0.35">
      <c r="I34">
        <f t="shared" si="2"/>
        <v>155</v>
      </c>
      <c r="J34">
        <f>SQRT(2*I34/airplane!$B$33/airplane!$B$39)</f>
        <v>11.416422238909885</v>
      </c>
      <c r="K34">
        <f>J34/(airplane!$B$38*airplane!$B$10*airplane!$B$9*airplane!$B$12*SQRT(airplane!$B$37))</f>
        <v>2.21752790037382</v>
      </c>
      <c r="M34">
        <f t="shared" si="0"/>
        <v>51.801000000000002</v>
      </c>
      <c r="N34">
        <f t="shared" si="1"/>
        <v>9.8635641008627513</v>
      </c>
    </row>
    <row r="35" spans="9:14" x14ac:dyDescent="0.35">
      <c r="I35">
        <f t="shared" si="2"/>
        <v>160</v>
      </c>
      <c r="J35">
        <f>SQRT(2*I35/airplane!$B$33/airplane!$B$39)</f>
        <v>11.599096593834837</v>
      </c>
      <c r="K35">
        <f>J35/(airplane!$B$38*airplane!$B$10*airplane!$B$9*airplane!$B$12*SQRT(airplane!$B$37))</f>
        <v>2.2530105997915273</v>
      </c>
      <c r="M35">
        <f t="shared" si="0"/>
        <v>53.472000000000001</v>
      </c>
      <c r="N35">
        <f t="shared" si="1"/>
        <v>10.021391147872714</v>
      </c>
    </row>
    <row r="36" spans="9:14" x14ac:dyDescent="0.35">
      <c r="I36">
        <f t="shared" si="2"/>
        <v>165</v>
      </c>
      <c r="J36">
        <f>SQRT(2*I36/airplane!$B$33/airplane!$B$39)</f>
        <v>11.778938273424545</v>
      </c>
      <c r="K36">
        <f>J36/(airplane!$B$38*airplane!$B$10*airplane!$B$9*airplane!$B$12*SQRT(airplane!$B$37))</f>
        <v>2.2879430798447835</v>
      </c>
      <c r="M36">
        <f t="shared" si="0"/>
        <v>55.143000000000001</v>
      </c>
      <c r="N36">
        <f t="shared" si="1"/>
        <v>10.176770819149597</v>
      </c>
    </row>
    <row r="37" spans="9:14" x14ac:dyDescent="0.35">
      <c r="I37">
        <f t="shared" si="2"/>
        <v>170</v>
      </c>
      <c r="J37">
        <f>SQRT(2*I37/airplane!$B$33/airplane!$B$39)</f>
        <v>11.956075104530765</v>
      </c>
      <c r="K37">
        <f>J37/(airplane!$B$38*airplane!$B$10*airplane!$B$9*airplane!$B$12*SQRT(airplane!$B$37))</f>
        <v>2.3223501696441664</v>
      </c>
      <c r="M37">
        <f>I37*0.3342</f>
        <v>56.814</v>
      </c>
      <c r="N37">
        <f>K37*4.448</f>
        <v>10.329813554577253</v>
      </c>
    </row>
    <row r="38" spans="9:14" x14ac:dyDescent="0.35">
      <c r="I38">
        <f t="shared" si="2"/>
        <v>175</v>
      </c>
      <c r="J38">
        <f>SQRT(2*I38/airplane!$B$33/airplane!$B$39)</f>
        <v>12.13062557996145</v>
      </c>
      <c r="K38">
        <f>J38/(airplane!$B$38*airplane!$B$10*airplane!$B$9*airplane!$B$12*SQRT(airplane!$B$37))</f>
        <v>2.3562548852539162</v>
      </c>
      <c r="M38">
        <f t="shared" ref="M38:M53" si="3">I38*0.3342</f>
        <v>58.484999999999999</v>
      </c>
      <c r="N38">
        <f t="shared" ref="N38:N53" si="4">K38*4.448</f>
        <v>10.480621729609421</v>
      </c>
    </row>
    <row r="39" spans="9:14" x14ac:dyDescent="0.35">
      <c r="I39">
        <f t="shared" si="2"/>
        <v>180</v>
      </c>
      <c r="J39">
        <f>SQRT(2*I39/airplane!$B$33/airplane!$B$39)</f>
        <v>12.302699785707597</v>
      </c>
      <c r="K39">
        <f>J39/(airplane!$B$38*airplane!$B$10*airplane!$B$9*airplane!$B$12*SQRT(airplane!$B$37))</f>
        <v>2.3896786097966394</v>
      </c>
      <c r="M39">
        <f t="shared" si="3"/>
        <v>60.155999999999999</v>
      </c>
      <c r="N39">
        <f t="shared" si="4"/>
        <v>10.629290456375452</v>
      </c>
    </row>
    <row r="40" spans="9:14" x14ac:dyDescent="0.35">
      <c r="I40">
        <f t="shared" si="2"/>
        <v>185</v>
      </c>
      <c r="J40">
        <f>SQRT(2*I40/airplane!$B$33/airplane!$B$39)</f>
        <v>12.472400213001686</v>
      </c>
      <c r="K40">
        <f>J40/(airplane!$B$38*airplane!$B$10*airplane!$B$9*airplane!$B$12*SQRT(airplane!$B$37))</f>
        <v>2.4226412511876902</v>
      </c>
      <c r="M40">
        <f t="shared" si="3"/>
        <v>61.826999999999998</v>
      </c>
      <c r="N40">
        <f t="shared" si="4"/>
        <v>10.775908285282847</v>
      </c>
    </row>
    <row r="41" spans="9:14" x14ac:dyDescent="0.35">
      <c r="I41">
        <f t="shared" si="2"/>
        <v>190</v>
      </c>
      <c r="J41">
        <f>SQRT(2*I41/airplane!$B$33/airplane!$B$39)</f>
        <v>12.639822472223223</v>
      </c>
      <c r="K41">
        <f>J41/(airplane!$B$38*airplane!$B$10*airplane!$B$9*airplane!$B$12*SQRT(airplane!$B$37))</f>
        <v>2.4551613808043071</v>
      </c>
      <c r="M41">
        <f t="shared" si="3"/>
        <v>63.497999999999998</v>
      </c>
      <c r="N41">
        <f t="shared" si="4"/>
        <v>10.920557821817559</v>
      </c>
    </row>
    <row r="42" spans="9:14" x14ac:dyDescent="0.35">
      <c r="I42">
        <f t="shared" si="2"/>
        <v>195</v>
      </c>
      <c r="J42">
        <f>SQRT(2*I42/airplane!$B$33/airplane!$B$39)</f>
        <v>12.805055922773391</v>
      </c>
      <c r="K42">
        <f>J42/(airplane!$B$38*airplane!$B$10*airplane!$B$9*airplane!$B$12*SQRT(airplane!$B$37))</f>
        <v>2.4872563558325802</v>
      </c>
      <c r="M42">
        <f t="shared" si="3"/>
        <v>65.168999999999997</v>
      </c>
      <c r="N42">
        <f t="shared" si="4"/>
        <v>11.063316270743318</v>
      </c>
    </row>
    <row r="43" spans="9:14" x14ac:dyDescent="0.35">
      <c r="I43">
        <f t="shared" si="2"/>
        <v>200</v>
      </c>
      <c r="J43">
        <f>SQRT(2*I43/airplane!$B$33/airplane!$B$39)</f>
        <v>12.968184230700482</v>
      </c>
      <c r="K43">
        <f>J43/(airplane!$B$38*airplane!$B$10*airplane!$B$9*airplane!$B$12*SQRT(airplane!$B$37))</f>
        <v>2.5189424275807144</v>
      </c>
      <c r="M43">
        <f t="shared" si="3"/>
        <v>66.84</v>
      </c>
      <c r="N43">
        <f t="shared" si="4"/>
        <v>11.204255917879019</v>
      </c>
    </row>
    <row r="44" spans="9:14" x14ac:dyDescent="0.35">
      <c r="I44">
        <f t="shared" si="2"/>
        <v>205</v>
      </c>
      <c r="J44">
        <f>SQRT(2*I44/airplane!$B$33/airplane!$B$39)</f>
        <v>13.129285863954038</v>
      </c>
      <c r="K44">
        <f>J44/(airplane!$B$38*airplane!$B$10*airplane!$B$9*airplane!$B$12*SQRT(airplane!$B$37))</f>
        <v>2.5502348376772832</v>
      </c>
      <c r="M44">
        <f t="shared" si="3"/>
        <v>68.510999999999996</v>
      </c>
      <c r="N44">
        <f t="shared" si="4"/>
        <v>11.343444557988557</v>
      </c>
    </row>
    <row r="45" spans="9:14" x14ac:dyDescent="0.35">
      <c r="I45">
        <f t="shared" si="2"/>
        <v>210</v>
      </c>
      <c r="J45">
        <f>SQRT(2*I45/airplane!$B$33/airplane!$B$39)</f>
        <v>13.288434533588148</v>
      </c>
      <c r="K45">
        <f>J45/(airplane!$B$38*airplane!$B$10*airplane!$B$9*airplane!$B$12*SQRT(airplane!$B$37))</f>
        <v>2.5811479037706331</v>
      </c>
      <c r="M45">
        <f t="shared" si="3"/>
        <v>70.182000000000002</v>
      </c>
      <c r="N45">
        <f t="shared" si="4"/>
        <v>11.480945875971777</v>
      </c>
    </row>
    <row r="46" spans="9:14" x14ac:dyDescent="0.35">
      <c r="I46">
        <f t="shared" si="2"/>
        <v>215</v>
      </c>
      <c r="J46">
        <f>SQRT(2*I46/airplane!$B$33/airplane!$B$39)</f>
        <v>13.445699587953495</v>
      </c>
      <c r="K46">
        <f>J46/(airplane!$B$38*airplane!$B$10*airplane!$B$9*airplane!$B$12*SQRT(airplane!$B$37))</f>
        <v>2.6116950960968222</v>
      </c>
      <c r="M46">
        <f t="shared" si="3"/>
        <v>71.852999999999994</v>
      </c>
      <c r="N46">
        <f t="shared" si="4"/>
        <v>11.616819787438667</v>
      </c>
    </row>
    <row r="47" spans="9:14" x14ac:dyDescent="0.35">
      <c r="I47">
        <f t="shared" si="2"/>
        <v>220</v>
      </c>
      <c r="J47">
        <f>SQRT(2*I47/airplane!$B$33/airplane!$B$39)</f>
        <v>13.601146365859295</v>
      </c>
      <c r="K47">
        <f>J47/(airplane!$B$38*airplane!$B$10*airplane!$B$9*airplane!$B$12*SQRT(airplane!$B$37))</f>
        <v>2.6418891060778544</v>
      </c>
      <c r="M47">
        <f t="shared" si="3"/>
        <v>73.524000000000001</v>
      </c>
      <c r="N47">
        <f t="shared" si="4"/>
        <v>11.751122743834298</v>
      </c>
    </row>
    <row r="48" spans="9:14" x14ac:dyDescent="0.35">
      <c r="I48">
        <f t="shared" si="2"/>
        <v>225</v>
      </c>
      <c r="J48">
        <f>SQRT(2*I48/airplane!$B$33/airplane!$B$39)</f>
        <v>13.754836513807142</v>
      </c>
      <c r="K48">
        <f>J48/(airplane!$B$38*airplane!$B$10*airplane!$B$9*airplane!$B$12*SQRT(airplane!$B$37))</f>
        <v>2.6717419079412403</v>
      </c>
      <c r="M48">
        <f t="shared" si="3"/>
        <v>75.194999999999993</v>
      </c>
      <c r="N48">
        <f t="shared" si="4"/>
        <v>11.883908006522638</v>
      </c>
    </row>
    <row r="49" spans="9:14" x14ac:dyDescent="0.35">
      <c r="I49">
        <f t="shared" si="2"/>
        <v>230</v>
      </c>
      <c r="J49">
        <f>SQRT(2*I49/airplane!$B$33/airplane!$B$39)</f>
        <v>13.906828271665576</v>
      </c>
      <c r="K49">
        <f>J49/(airplane!$B$38*airplane!$B$10*airplane!$B$9*airplane!$B$12*SQRT(airplane!$B$37))</f>
        <v>2.7012648142094764</v>
      </c>
      <c r="M49">
        <f t="shared" si="3"/>
        <v>76.866</v>
      </c>
      <c r="N49">
        <f t="shared" si="4"/>
        <v>12.015225893603752</v>
      </c>
    </row>
    <row r="50" spans="9:14" x14ac:dyDescent="0.35">
      <c r="I50">
        <f t="shared" si="2"/>
        <v>235</v>
      </c>
      <c r="J50">
        <f>SQRT(2*I50/airplane!$B$33/airplane!$B$39)</f>
        <v>14.057176730539872</v>
      </c>
      <c r="K50">
        <f>J50/(airplane!$B$38*airplane!$B$10*airplane!$B$9*airplane!$B$12*SQRT(airplane!$B$37))</f>
        <v>2.7304685257887176</v>
      </c>
      <c r="M50">
        <f t="shared" si="3"/>
        <v>78.537000000000006</v>
      </c>
      <c r="N50">
        <f t="shared" si="4"/>
        <v>12.145124002708217</v>
      </c>
    </row>
    <row r="51" spans="9:14" x14ac:dyDescent="0.35">
      <c r="I51">
        <f t="shared" si="2"/>
        <v>240</v>
      </c>
      <c r="J51">
        <f>SQRT(2*I51/airplane!$B$33/airplane!$B$39)</f>
        <v>14.205934066074866</v>
      </c>
      <c r="K51">
        <f>J51/(airplane!$B$38*airplane!$B$10*airplane!$B$9*airplane!$B$12*SQRT(airplane!$B$37))</f>
        <v>2.7593631772855614</v>
      </c>
      <c r="M51">
        <f t="shared" si="3"/>
        <v>80.207999999999998</v>
      </c>
      <c r="N51">
        <f t="shared" si="4"/>
        <v>12.273647412566177</v>
      </c>
    </row>
    <row r="52" spans="9:14" x14ac:dyDescent="0.35">
      <c r="I52">
        <f t="shared" si="2"/>
        <v>245</v>
      </c>
      <c r="J52">
        <f>SQRT(2*I52/airplane!$B$33/airplane!$B$39)</f>
        <v>14.353149749992197</v>
      </c>
      <c r="K52">
        <f>J52/(airplane!$B$38*airplane!$B$10*airplane!$B$9*airplane!$B$12*SQRT(airplane!$B$37))</f>
        <v>2.7879583780960795</v>
      </c>
      <c r="M52">
        <f t="shared" si="3"/>
        <v>81.879000000000005</v>
      </c>
      <c r="N52">
        <f t="shared" si="4"/>
        <v>12.400838865771362</v>
      </c>
    </row>
    <row r="53" spans="9:14" x14ac:dyDescent="0.35">
      <c r="I53">
        <f t="shared" si="2"/>
        <v>250</v>
      </c>
      <c r="J53">
        <f>SQRT(2*I53/airplane!$B$33/airplane!$B$39)</f>
        <v>14.498870742293546</v>
      </c>
      <c r="K53">
        <f>J53/(airplane!$B$38*airplane!$B$10*airplane!$B$9*airplane!$B$12*SQRT(airplane!$B$37))</f>
        <v>2.8162632497394093</v>
      </c>
      <c r="M53">
        <f t="shared" si="3"/>
        <v>83.55</v>
      </c>
      <c r="N53">
        <f t="shared" si="4"/>
        <v>12.526738934840894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N53"/>
  <sheetViews>
    <sheetView workbookViewId="0">
      <selection activeCell="J4" sqref="J4"/>
    </sheetView>
  </sheetViews>
  <sheetFormatPr defaultRowHeight="14.5" x14ac:dyDescent="0.35"/>
  <cols>
    <col min="1" max="1" width="17.81640625" bestFit="1" customWidth="1"/>
    <col min="9" max="9" width="14.54296875" customWidth="1"/>
    <col min="11" max="11" width="14.1796875" bestFit="1" customWidth="1"/>
  </cols>
  <sheetData>
    <row r="1" spans="9:14" x14ac:dyDescent="0.35">
      <c r="I1" t="s">
        <v>24</v>
      </c>
      <c r="J1" t="s">
        <v>56</v>
      </c>
      <c r="K1" t="s">
        <v>47</v>
      </c>
      <c r="M1" t="s">
        <v>24</v>
      </c>
      <c r="N1" t="s">
        <v>27</v>
      </c>
    </row>
    <row r="2" spans="9:14" x14ac:dyDescent="0.35">
      <c r="I2" t="s">
        <v>16</v>
      </c>
      <c r="K2" t="s">
        <v>50</v>
      </c>
      <c r="M2" t="s">
        <v>66</v>
      </c>
      <c r="N2" t="s">
        <v>65</v>
      </c>
    </row>
    <row r="3" spans="9:14" x14ac:dyDescent="0.35">
      <c r="I3">
        <v>0</v>
      </c>
      <c r="J3">
        <f>SQRT(I3*2/airplane!$B$33/airplane!$B$47)</f>
        <v>0</v>
      </c>
      <c r="K3">
        <f>1/(airplane!$B$46*airplane!$B$9*airplane!$B$10)*(airplane!$B$43+'Rate of climb'!J3/(0.866*airplane!$B$12*SQRT(airplane!$B$45)))</f>
        <v>3.6494597839135654</v>
      </c>
      <c r="M3">
        <f>I3*0.3342</f>
        <v>0</v>
      </c>
      <c r="N3">
        <f>K3*4.448</f>
        <v>16.23279711884754</v>
      </c>
    </row>
    <row r="4" spans="9:14" x14ac:dyDescent="0.35">
      <c r="I4">
        <f>I3+5</f>
        <v>5</v>
      </c>
      <c r="J4">
        <f>SQRT(I4*2/airplane!$B$33/airplane!$B$47)</f>
        <v>2.0504499642845997</v>
      </c>
      <c r="K4">
        <f>1/(airplane!$B$46*airplane!$B$9*airplane!$B$10)*(airplane!$B$43+'Rate of climb'!J4/(0.866*airplane!$B$12*SQRT(airplane!$B$45)))</f>
        <v>4.1076473524818331</v>
      </c>
      <c r="M4">
        <f t="shared" ref="M4:M53" si="0">I4*0.3342</f>
        <v>1.671</v>
      </c>
      <c r="N4">
        <f t="shared" ref="N4:N53" si="1">K4*4.448</f>
        <v>18.270815423839196</v>
      </c>
    </row>
    <row r="5" spans="9:14" x14ac:dyDescent="0.35">
      <c r="I5">
        <f t="shared" ref="I5:I53" si="2">I4+5</f>
        <v>10</v>
      </c>
      <c r="J5">
        <f>SQRT(I5*2/airplane!$B$33/airplane!$B$47)</f>
        <v>2.8997741484587092</v>
      </c>
      <c r="K5">
        <f>1/(airplane!$B$46*airplane!$B$9*airplane!$B$10)*(airplane!$B$43+'Rate of climb'!J5/(0.866*airplane!$B$12*SQRT(airplane!$B$45)))</f>
        <v>4.2974348574935624</v>
      </c>
      <c r="M5">
        <f t="shared" si="0"/>
        <v>3.3420000000000001</v>
      </c>
      <c r="N5">
        <f t="shared" si="1"/>
        <v>19.114990246131367</v>
      </c>
    </row>
    <row r="6" spans="9:14" x14ac:dyDescent="0.35">
      <c r="I6">
        <f t="shared" si="2"/>
        <v>15</v>
      </c>
      <c r="J6">
        <f>SQRT(I6*2/airplane!$B$33/airplane!$B$47)</f>
        <v>3.5514835165187164</v>
      </c>
      <c r="K6">
        <f>1/(airplane!$B$46*airplane!$B$9*airplane!$B$10)*(airplane!$B$43+'Rate of climb'!J6/(0.866*airplane!$B$12*SQRT(airplane!$B$45)))</f>
        <v>4.4430639320702543</v>
      </c>
      <c r="M6">
        <f t="shared" si="0"/>
        <v>5.0129999999999999</v>
      </c>
      <c r="N6">
        <f t="shared" si="1"/>
        <v>19.762748369848492</v>
      </c>
    </row>
    <row r="7" spans="9:14" x14ac:dyDescent="0.35">
      <c r="I7">
        <f t="shared" si="2"/>
        <v>20</v>
      </c>
      <c r="J7">
        <f>SQRT(I7*2/airplane!$B$33/airplane!$B$47)</f>
        <v>4.1008999285691994</v>
      </c>
      <c r="K7">
        <f>1/(airplane!$B$46*airplane!$B$9*airplane!$B$10)*(airplane!$B$43+'Rate of climb'!J7/(0.866*airplane!$B$12*SQRT(airplane!$B$45)))</f>
        <v>4.5658349210501008</v>
      </c>
      <c r="M7">
        <f t="shared" si="0"/>
        <v>6.6840000000000002</v>
      </c>
      <c r="N7">
        <f t="shared" si="1"/>
        <v>20.308833728830852</v>
      </c>
    </row>
    <row r="8" spans="9:14" x14ac:dyDescent="0.35">
      <c r="I8">
        <f t="shared" si="2"/>
        <v>25</v>
      </c>
      <c r="J8">
        <f>SQRT(I8*2/airplane!$B$33/airplane!$B$47)</f>
        <v>4.5849455046023806</v>
      </c>
      <c r="K8">
        <f>1/(airplane!$B$46*airplane!$B$9*airplane!$B$10)*(airplane!$B$43+'Rate of climb'!J8/(0.866*airplane!$B$12*SQRT(airplane!$B$45)))</f>
        <v>4.6739983336775586</v>
      </c>
      <c r="M8">
        <f t="shared" si="0"/>
        <v>8.3550000000000004</v>
      </c>
      <c r="N8">
        <f t="shared" si="1"/>
        <v>20.789944588197784</v>
      </c>
    </row>
    <row r="9" spans="9:14" x14ac:dyDescent="0.35">
      <c r="I9">
        <f t="shared" si="2"/>
        <v>30</v>
      </c>
      <c r="J9">
        <f>SQRT(I9*2/airplane!$B$33/airplane!$B$47)</f>
        <v>5.0225561556052609</v>
      </c>
      <c r="K9">
        <f>1/(airplane!$B$46*airplane!$B$9*airplane!$B$10)*(airplane!$B$43+'Rate of climb'!J9/(0.866*airplane!$B$12*SQRT(airplane!$B$45)))</f>
        <v>4.7717855333923023</v>
      </c>
      <c r="M9">
        <f t="shared" si="0"/>
        <v>10.026</v>
      </c>
      <c r="N9">
        <f t="shared" si="1"/>
        <v>21.224902052528961</v>
      </c>
    </row>
    <row r="10" spans="9:14" x14ac:dyDescent="0.35">
      <c r="I10">
        <f t="shared" si="2"/>
        <v>35</v>
      </c>
      <c r="J10">
        <f>SQRT(I10*2/airplane!$B$33/airplane!$B$47)</f>
        <v>5.4249806812783223</v>
      </c>
      <c r="K10">
        <f>1/(airplane!$B$46*airplane!$B$9*airplane!$B$10)*(airplane!$B$43+'Rate of climb'!J10/(0.866*airplane!$B$12*SQRT(airplane!$B$45)))</f>
        <v>4.8617101441665573</v>
      </c>
      <c r="M10">
        <f t="shared" si="0"/>
        <v>11.696999999999999</v>
      </c>
      <c r="N10">
        <f t="shared" si="1"/>
        <v>21.624886721252849</v>
      </c>
    </row>
    <row r="11" spans="9:14" x14ac:dyDescent="0.35">
      <c r="I11">
        <f t="shared" si="2"/>
        <v>40</v>
      </c>
      <c r="J11">
        <f>SQRT(I11*2/airplane!$B$33/airplane!$B$47)</f>
        <v>5.7995482969174184</v>
      </c>
      <c r="K11">
        <f>1/(airplane!$B$46*airplane!$B$9*airplane!$B$10)*(airplane!$B$43+'Rate of climb'!J11/(0.866*airplane!$B$12*SQRT(airplane!$B$45)))</f>
        <v>4.9454099310735593</v>
      </c>
      <c r="M11">
        <f t="shared" si="0"/>
        <v>13.368</v>
      </c>
      <c r="N11">
        <f t="shared" si="1"/>
        <v>21.997183373415194</v>
      </c>
    </row>
    <row r="12" spans="9:14" x14ac:dyDescent="0.35">
      <c r="I12">
        <f t="shared" si="2"/>
        <v>45</v>
      </c>
      <c r="J12">
        <f>SQRT(I12*2/airplane!$B$33/airplane!$B$47)</f>
        <v>6.1513498928537986</v>
      </c>
      <c r="K12">
        <f>1/(airplane!$B$46*airplane!$B$9*airplane!$B$10)*(airplane!$B$43+'Rate of climb'!J12/(0.866*airplane!$B$12*SQRT(airplane!$B$45)))</f>
        <v>5.0240224896183694</v>
      </c>
      <c r="M12">
        <f t="shared" si="0"/>
        <v>15.039</v>
      </c>
      <c r="N12">
        <f t="shared" si="1"/>
        <v>22.346852033822508</v>
      </c>
    </row>
    <row r="13" spans="9:14" x14ac:dyDescent="0.35">
      <c r="I13">
        <f t="shared" si="2"/>
        <v>50</v>
      </c>
      <c r="J13">
        <f>SQRT(I13*2/airplane!$B$33/airplane!$B$47)</f>
        <v>6.4840921153502409</v>
      </c>
      <c r="K13">
        <f>1/(airplane!$B$46*airplane!$B$9*airplane!$B$10)*(airplane!$B$43+'Rate of climb'!J13/(0.866*airplane!$B$12*SQRT(airplane!$B$45)))</f>
        <v>5.0983760961638662</v>
      </c>
      <c r="M13">
        <f t="shared" si="0"/>
        <v>16.71</v>
      </c>
      <c r="N13">
        <f t="shared" si="1"/>
        <v>22.677576875736879</v>
      </c>
    </row>
    <row r="14" spans="9:14" x14ac:dyDescent="0.35">
      <c r="I14">
        <f t="shared" si="2"/>
        <v>55</v>
      </c>
      <c r="J14">
        <f>SQRT(I14*2/airplane!$B$33/airplane!$B$47)</f>
        <v>6.8005731829296474</v>
      </c>
      <c r="K14">
        <f>1/(airplane!$B$46*airplane!$B$9*airplane!$B$10)*(airplane!$B$43+'Rate of climb'!J14/(0.866*airplane!$B$12*SQRT(airplane!$B$45)))</f>
        <v>5.1690960324597475</v>
      </c>
      <c r="M14">
        <f t="shared" si="0"/>
        <v>18.381</v>
      </c>
      <c r="N14">
        <f t="shared" si="1"/>
        <v>22.992139152380958</v>
      </c>
    </row>
    <row r="15" spans="9:14" x14ac:dyDescent="0.35">
      <c r="I15">
        <f t="shared" si="2"/>
        <v>60</v>
      </c>
      <c r="J15">
        <f>SQRT(I15*2/airplane!$B$33/airplane!$B$47)</f>
        <v>7.1029670330374328</v>
      </c>
      <c r="K15">
        <f>1/(airplane!$B$46*airplane!$B$9*airplane!$B$10)*(airplane!$B$43+'Rate of climb'!J15/(0.866*airplane!$B$12*SQRT(airplane!$B$45)))</f>
        <v>5.2366680802269432</v>
      </c>
      <c r="M15">
        <f t="shared" si="0"/>
        <v>20.052</v>
      </c>
      <c r="N15">
        <f t="shared" si="1"/>
        <v>23.292699620849444</v>
      </c>
    </row>
    <row r="16" spans="9:14" x14ac:dyDescent="0.35">
      <c r="I16">
        <f t="shared" si="2"/>
        <v>65</v>
      </c>
      <c r="J16">
        <f>SQRT(I16*2/airplane!$B$33/airplane!$B$47)</f>
        <v>7.3930024840014292</v>
      </c>
      <c r="K16">
        <f>1/(airplane!$B$46*airplane!$B$9*airplane!$B$10)*(airplane!$B$43+'Rate of climb'!J16/(0.866*airplane!$B$12*SQRT(airplane!$B$45)))</f>
        <v>5.3014785561666278</v>
      </c>
      <c r="M16">
        <f t="shared" si="0"/>
        <v>21.722999999999999</v>
      </c>
      <c r="N16">
        <f t="shared" si="1"/>
        <v>23.580976617829162</v>
      </c>
    </row>
    <row r="17" spans="9:14" x14ac:dyDescent="0.35">
      <c r="I17">
        <f t="shared" si="2"/>
        <v>70</v>
      </c>
      <c r="J17">
        <f>SQRT(I17*2/airplane!$B$33/airplane!$B$47)</f>
        <v>7.6720812550758364</v>
      </c>
      <c r="K17">
        <f>1/(airplane!$B$46*airplane!$B$9*airplane!$B$10)*(airplane!$B$43+'Rate of climb'!J17/(0.866*airplane!$B$12*SQRT(airplane!$B$45)))</f>
        <v>5.3638406843750177</v>
      </c>
      <c r="M17">
        <f t="shared" si="0"/>
        <v>23.393999999999998</v>
      </c>
      <c r="N17">
        <f t="shared" si="1"/>
        <v>23.858363364100082</v>
      </c>
    </row>
    <row r="18" spans="9:14" x14ac:dyDescent="0.35">
      <c r="I18">
        <f t="shared" si="2"/>
        <v>75</v>
      </c>
      <c r="J18">
        <f>SQRT(I18*2/airplane!$B$33/airplane!$B$47)</f>
        <v>7.9413585639058475</v>
      </c>
      <c r="K18">
        <f>1/(airplane!$B$46*airplane!$B$9*airplane!$B$10)*(airplane!$B$43+'Rate of climb'!J18/(0.866*airplane!$B$12*SQRT(airplane!$B$45)))</f>
        <v>5.4240126064177359</v>
      </c>
      <c r="M18">
        <f t="shared" si="0"/>
        <v>25.065000000000001</v>
      </c>
      <c r="N18">
        <f t="shared" si="1"/>
        <v>24.126008073346092</v>
      </c>
    </row>
    <row r="19" spans="9:14" x14ac:dyDescent="0.35">
      <c r="I19">
        <f t="shared" si="2"/>
        <v>80</v>
      </c>
      <c r="J19">
        <f>SQRT(I19*2/airplane!$B$33/airplane!$B$47)</f>
        <v>8.2017998571383988</v>
      </c>
      <c r="K19">
        <f>1/(airplane!$B$46*airplane!$B$9*airplane!$B$10)*(airplane!$B$43+'Rate of climb'!J19/(0.866*airplane!$B$12*SQRT(airplane!$B$45)))</f>
        <v>5.4822100581866371</v>
      </c>
      <c r="M19">
        <f t="shared" si="0"/>
        <v>26.736000000000001</v>
      </c>
      <c r="N19">
        <f t="shared" si="1"/>
        <v>24.384870338814164</v>
      </c>
    </row>
    <row r="20" spans="9:14" x14ac:dyDescent="0.35">
      <c r="I20">
        <f t="shared" si="2"/>
        <v>85</v>
      </c>
      <c r="J20">
        <f>SQRT(I20*2/airplane!$B$33/airplane!$B$47)</f>
        <v>8.4542217827893644</v>
      </c>
      <c r="K20">
        <f>1/(airplane!$B$46*airplane!$B$9*airplane!$B$10)*(airplane!$B$43+'Rate of climb'!J20/(0.866*airplane!$B$12*SQRT(airplane!$B$45)))</f>
        <v>5.5386155254654676</v>
      </c>
      <c r="M20">
        <f t="shared" si="0"/>
        <v>28.407</v>
      </c>
      <c r="N20">
        <f t="shared" si="1"/>
        <v>24.635761857270403</v>
      </c>
    </row>
    <row r="21" spans="9:14" x14ac:dyDescent="0.35">
      <c r="I21">
        <f t="shared" si="2"/>
        <v>90</v>
      </c>
      <c r="J21">
        <f>SQRT(I21*2/airplane!$B$33/airplane!$B$47)</f>
        <v>8.6993224453761275</v>
      </c>
      <c r="K21">
        <f>1/(airplane!$B$46*airplane!$B$9*airplane!$B$10)*(airplane!$B$43+'Rate of climb'!J21/(0.866*airplane!$B$12*SQRT(airplane!$B$45)))</f>
        <v>5.5933850046535563</v>
      </c>
      <c r="M21">
        <f t="shared" si="0"/>
        <v>30.077999999999999</v>
      </c>
      <c r="N21">
        <f t="shared" si="1"/>
        <v>24.879376500699021</v>
      </c>
    </row>
    <row r="22" spans="9:14" x14ac:dyDescent="0.35">
      <c r="I22">
        <f t="shared" si="2"/>
        <v>95</v>
      </c>
      <c r="J22">
        <f>SQRT(I22*2/airplane!$B$33/airplane!$B$47)</f>
        <v>8.9377041831031523</v>
      </c>
      <c r="K22">
        <f>1/(airplane!$B$46*airplane!$B$9*airplane!$B$10)*(airplane!$B$43+'Rate of climb'!J22/(0.866*airplane!$B$12*SQRT(airplane!$B$45)))</f>
        <v>5.6466530924892586</v>
      </c>
      <c r="M22">
        <f t="shared" si="0"/>
        <v>31.748999999999999</v>
      </c>
      <c r="N22">
        <f t="shared" si="1"/>
        <v>25.116312955392225</v>
      </c>
    </row>
    <row r="23" spans="9:14" x14ac:dyDescent="0.35">
      <c r="I23">
        <f t="shared" si="2"/>
        <v>100</v>
      </c>
      <c r="J23">
        <f>SQRT(I23*2/airplane!$B$33/airplane!$B$47)</f>
        <v>9.1698910092047612</v>
      </c>
      <c r="K23">
        <f>1/(airplane!$B$46*airplane!$B$9*airplane!$B$10)*(airplane!$B$43+'Rate of climb'!J23/(0.866*airplane!$B$12*SQRT(airplane!$B$45)))</f>
        <v>5.6985368834415517</v>
      </c>
      <c r="M23">
        <f t="shared" si="0"/>
        <v>33.42</v>
      </c>
      <c r="N23">
        <f t="shared" si="1"/>
        <v>25.347092057548025</v>
      </c>
    </row>
    <row r="24" spans="9:14" x14ac:dyDescent="0.35">
      <c r="I24">
        <f t="shared" si="2"/>
        <v>105</v>
      </c>
      <c r="J24">
        <f>SQRT(I24*2/airplane!$B$33/airplane!$B$47)</f>
        <v>9.3963421700536767</v>
      </c>
      <c r="K24">
        <f>1/(airplane!$B$46*airplane!$B$9*airplane!$B$10)*(airplane!$B$43+'Rate of climb'!J24/(0.866*airplane!$B$12*SQRT(airplane!$B$45)))</f>
        <v>5.7491389993654227</v>
      </c>
      <c r="M24">
        <f t="shared" si="0"/>
        <v>35.091000000000001</v>
      </c>
      <c r="N24">
        <f t="shared" si="1"/>
        <v>25.572170269177402</v>
      </c>
    </row>
    <row r="25" spans="9:14" x14ac:dyDescent="0.35">
      <c r="I25">
        <f t="shared" si="2"/>
        <v>110</v>
      </c>
      <c r="J25">
        <f>SQRT(I25*2/airplane!$B$33/airplane!$B$47)</f>
        <v>9.6174628272098737</v>
      </c>
      <c r="K25">
        <f>1/(airplane!$B$46*airplane!$B$9*airplane!$B$10)*(airplane!$B$43+'Rate of climb'!J25/(0.866*airplane!$B$12*SQRT(airplane!$B$45)))</f>
        <v>5.7985499764813477</v>
      </c>
      <c r="M25">
        <f t="shared" si="0"/>
        <v>36.762</v>
      </c>
      <c r="N25">
        <f t="shared" si="1"/>
        <v>25.791950295389036</v>
      </c>
    </row>
    <row r="26" spans="9:14" x14ac:dyDescent="0.35">
      <c r="I26">
        <f t="shared" si="2"/>
        <v>115</v>
      </c>
      <c r="J26">
        <f>SQRT(I26*2/airplane!$B$33/airplane!$B$47)</f>
        <v>9.8336125756915234</v>
      </c>
      <c r="K26">
        <f>1/(airplane!$B$46*airplane!$B$9*airplane!$B$10)*(airplane!$B$43+'Rate of climb'!J26/(0.866*airplane!$B$12*SQRT(airplane!$B$45)))</f>
        <v>5.8468501688432726</v>
      </c>
      <c r="M26">
        <f t="shared" si="0"/>
        <v>38.433</v>
      </c>
      <c r="N26">
        <f t="shared" si="1"/>
        <v>26.006789551014879</v>
      </c>
    </row>
    <row r="27" spans="9:14" x14ac:dyDescent="0.35">
      <c r="I27">
        <f t="shared" si="2"/>
        <v>120</v>
      </c>
      <c r="J27">
        <f>SQRT(I27*2/airplane!$B$33/airplane!$B$47)</f>
        <v>10.045112311210522</v>
      </c>
      <c r="K27">
        <f>1/(airplane!$B$46*airplane!$B$9*airplane!$B$10)*(airplane!$B$43+'Rate of climb'!J27/(0.866*airplane!$B$12*SQRT(airplane!$B$45)))</f>
        <v>5.8941112828710382</v>
      </c>
      <c r="M27">
        <f t="shared" si="0"/>
        <v>40.103999999999999</v>
      </c>
      <c r="N27">
        <f t="shared" si="1"/>
        <v>26.217006986210379</v>
      </c>
    </row>
    <row r="28" spans="9:14" x14ac:dyDescent="0.35">
      <c r="I28">
        <f t="shared" si="2"/>
        <v>125</v>
      </c>
      <c r="J28">
        <f>SQRT(I28*2/airplane!$B$33/airplane!$B$47)</f>
        <v>10.252249821422998</v>
      </c>
      <c r="K28">
        <f>1/(airplane!$B$46*airplane!$B$9*airplane!$B$10)*(airplane!$B$43+'Rate of climb'!J28/(0.866*airplane!$B$12*SQRT(airplane!$B$45)))</f>
        <v>5.9403976267549057</v>
      </c>
      <c r="M28">
        <f t="shared" si="0"/>
        <v>41.774999999999999</v>
      </c>
      <c r="N28">
        <f t="shared" si="1"/>
        <v>26.422888643805823</v>
      </c>
    </row>
    <row r="29" spans="9:14" x14ac:dyDescent="0.35">
      <c r="I29">
        <f t="shared" si="2"/>
        <v>130</v>
      </c>
      <c r="J29">
        <f>SQRT(I29*2/airplane!$B$33/airplane!$B$47)</f>
        <v>10.455284379532802</v>
      </c>
      <c r="K29">
        <f>1/(airplane!$B$46*airplane!$B$9*airplane!$B$10)*(airplane!$B$43+'Rate of climb'!J29/(0.866*airplane!$B$12*SQRT(airplane!$B$45)))</f>
        <v>5.9857671369287955</v>
      </c>
      <c r="M29">
        <f t="shared" si="0"/>
        <v>43.445999999999998</v>
      </c>
      <c r="N29">
        <f t="shared" si="1"/>
        <v>26.624692225059285</v>
      </c>
    </row>
    <row r="30" spans="9:14" x14ac:dyDescent="0.35">
      <c r="I30">
        <f t="shared" si="2"/>
        <v>135</v>
      </c>
      <c r="J30">
        <f>SQRT(I30*2/airplane!$B$33/airplane!$B$47)</f>
        <v>10.654450549556151</v>
      </c>
      <c r="K30">
        <f>1/(airplane!$B$46*airplane!$B$9*airplane!$B$10)*(airplane!$B$43+'Rate of climb'!J30/(0.866*airplane!$B$12*SQRT(airplane!$B$45)))</f>
        <v>6.0302722283836321</v>
      </c>
      <c r="M30">
        <f t="shared" si="0"/>
        <v>45.116999999999997</v>
      </c>
      <c r="N30">
        <f t="shared" si="1"/>
        <v>26.822650871850399</v>
      </c>
    </row>
    <row r="31" spans="9:14" x14ac:dyDescent="0.35">
      <c r="I31">
        <f>I30+5</f>
        <v>140</v>
      </c>
      <c r="J31">
        <f>SQRT(I31*2/airplane!$B$33/airplane!$B$47)</f>
        <v>10.849961362556645</v>
      </c>
      <c r="K31">
        <f>1/(airplane!$B$46*airplane!$B$9*airplane!$B$10)*(airplane!$B$43+'Rate of climb'!J31/(0.866*airplane!$B$12*SQRT(airplane!$B$45)))</f>
        <v>6.0739605044195484</v>
      </c>
      <c r="M31">
        <f t="shared" si="0"/>
        <v>46.787999999999997</v>
      </c>
      <c r="N31">
        <f t="shared" si="1"/>
        <v>27.016976323658152</v>
      </c>
    </row>
    <row r="32" spans="9:14" x14ac:dyDescent="0.35">
      <c r="I32">
        <f t="shared" si="2"/>
        <v>145</v>
      </c>
      <c r="J32">
        <f>SQRT(I32*2/airplane!$B$33/airplane!$B$47)</f>
        <v>11.042010986455626</v>
      </c>
      <c r="K32">
        <f>1/(airplane!$B$46*airplane!$B$9*airplane!$B$10)*(airplane!$B$43+'Rate of climb'!J32/(0.866*airplane!$B$12*SQRT(airplane!$B$45)))</f>
        <v>6.1168753532339295</v>
      </c>
      <c r="M32">
        <f t="shared" si="0"/>
        <v>48.458999999999996</v>
      </c>
      <c r="N32">
        <f t="shared" si="1"/>
        <v>27.20786157118452</v>
      </c>
    </row>
    <row r="33" spans="9:14" x14ac:dyDescent="0.35">
      <c r="I33">
        <f t="shared" si="2"/>
        <v>150</v>
      </c>
      <c r="J33">
        <f>SQRT(I33*2/airplane!$B$33/airplane!$B$47)</f>
        <v>11.230776984743375</v>
      </c>
      <c r="K33">
        <f>1/(airplane!$B$46*airplane!$B$9*airplane!$B$10)*(airplane!$B$43+'Rate of climb'!J33/(0.866*airplane!$B$12*SQRT(airplane!$B$45)))</f>
        <v>6.1590564526464195</v>
      </c>
      <c r="M33">
        <f t="shared" si="0"/>
        <v>50.13</v>
      </c>
      <c r="N33">
        <f t="shared" si="1"/>
        <v>27.395483101371276</v>
      </c>
    </row>
    <row r="34" spans="9:14" x14ac:dyDescent="0.35">
      <c r="I34">
        <f t="shared" si="2"/>
        <v>155</v>
      </c>
      <c r="J34">
        <f>SQRT(I34*2/airplane!$B$33/airplane!$B$47)</f>
        <v>11.416422238909885</v>
      </c>
      <c r="K34">
        <f>1/(airplane!$B$46*airplane!$B$9*airplane!$B$10)*(airplane!$B$43+'Rate of climb'!J34/(0.866*airplane!$B$12*SQRT(airplane!$B$45)))</f>
        <v>6.2005401996797049</v>
      </c>
      <c r="M34">
        <f t="shared" si="0"/>
        <v>51.801000000000002</v>
      </c>
      <c r="N34">
        <f t="shared" si="1"/>
        <v>27.58000280817533</v>
      </c>
    </row>
    <row r="35" spans="9:14" x14ac:dyDescent="0.35">
      <c r="I35">
        <f t="shared" si="2"/>
        <v>160</v>
      </c>
      <c r="J35">
        <f>SQRT(I35*2/airplane!$B$33/airplane!$B$47)</f>
        <v>11.599096593834837</v>
      </c>
      <c r="K35">
        <f>1/(airplane!$B$46*airplane!$B$9*airplane!$B$10)*(airplane!$B$43+'Rate of climb'!J35/(0.866*airplane!$B$12*SQRT(airplane!$B$45)))</f>
        <v>6.2413600782335523</v>
      </c>
      <c r="M35">
        <f t="shared" si="0"/>
        <v>53.472000000000001</v>
      </c>
      <c r="N35">
        <f t="shared" si="1"/>
        <v>27.761569627982844</v>
      </c>
    </row>
    <row r="36" spans="9:14" x14ac:dyDescent="0.35">
      <c r="I36">
        <f t="shared" si="2"/>
        <v>165</v>
      </c>
      <c r="J36">
        <f>SQRT(I36*2/airplane!$B$33/airplane!$B$47)</f>
        <v>11.778938273424545</v>
      </c>
      <c r="K36">
        <f>1/(airplane!$B$46*airplane!$B$9*airplane!$B$10)*(airplane!$B$43+'Rate of climb'!J36/(0.866*airplane!$B$12*SQRT(airplane!$B$45)))</f>
        <v>6.2815469754189195</v>
      </c>
      <c r="M36">
        <f t="shared" si="0"/>
        <v>55.143000000000001</v>
      </c>
      <c r="N36">
        <f t="shared" si="1"/>
        <v>27.940320946663356</v>
      </c>
    </row>
    <row r="37" spans="9:14" x14ac:dyDescent="0.35">
      <c r="I37">
        <f t="shared" si="2"/>
        <v>170</v>
      </c>
      <c r="J37">
        <f>SQRT(I37*2/airplane!$B$33/airplane!$B$47)</f>
        <v>11.956075104530765</v>
      </c>
      <c r="K37">
        <f>1/(airplane!$B$46*airplane!$B$9*airplane!$B$10)*(airplane!$B$43+'Rate of climb'!J37/(0.866*airplane!$B$12*SQRT(airplane!$B$45)))</f>
        <v>6.3211294550512687</v>
      </c>
      <c r="M37">
        <f t="shared" si="0"/>
        <v>56.814</v>
      </c>
      <c r="N37">
        <f t="shared" si="1"/>
        <v>28.116383816068044</v>
      </c>
    </row>
    <row r="38" spans="9:14" x14ac:dyDescent="0.35">
      <c r="I38">
        <f t="shared" si="2"/>
        <v>175</v>
      </c>
      <c r="J38">
        <f>SQRT(I38*2/airplane!$B$33/airplane!$B$47)</f>
        <v>12.13062557996145</v>
      </c>
      <c r="K38">
        <f>1/(airplane!$B$46*airplane!$B$9*airplane!$B$10)*(airplane!$B$43+'Rate of climb'!J38/(0.866*airplane!$B$12*SQRT(airplane!$B$45)))</f>
        <v>6.3601339951878648</v>
      </c>
      <c r="M38">
        <f t="shared" si="0"/>
        <v>58.484999999999999</v>
      </c>
      <c r="N38">
        <f t="shared" si="1"/>
        <v>28.289876010595624</v>
      </c>
    </row>
    <row r="39" spans="9:14" x14ac:dyDescent="0.35">
      <c r="I39">
        <f t="shared" si="2"/>
        <v>180</v>
      </c>
      <c r="J39">
        <f>SQRT(I39*2/airplane!$B$33/airplane!$B$47)</f>
        <v>12.302699785707597</v>
      </c>
      <c r="K39">
        <f>1/(airplane!$B$46*airplane!$B$9*airplane!$B$10)*(airplane!$B$43+'Rate of climb'!J39/(0.866*airplane!$B$12*SQRT(airplane!$B$45)))</f>
        <v>6.3985851953231725</v>
      </c>
      <c r="M39">
        <f t="shared" si="0"/>
        <v>60.155999999999999</v>
      </c>
      <c r="N39">
        <f t="shared" si="1"/>
        <v>28.460906948797472</v>
      </c>
    </row>
    <row r="40" spans="9:14" x14ac:dyDescent="0.35">
      <c r="I40">
        <f t="shared" si="2"/>
        <v>185</v>
      </c>
      <c r="J40">
        <f>SQRT(I40*2/airplane!$B$33/airplane!$B$47)</f>
        <v>12.472400213001686</v>
      </c>
      <c r="K40">
        <f>1/(airplane!$B$46*airplane!$B$9*airplane!$B$10)*(airplane!$B$43+'Rate of climb'!J40/(0.866*airplane!$B$12*SQRT(airplane!$B$45)))</f>
        <v>6.4365059578490724</v>
      </c>
      <c r="M40">
        <f t="shared" si="0"/>
        <v>61.826999999999998</v>
      </c>
      <c r="N40">
        <f t="shared" si="1"/>
        <v>28.629578500512675</v>
      </c>
    </row>
    <row r="41" spans="9:14" x14ac:dyDescent="0.35">
      <c r="I41">
        <f t="shared" si="2"/>
        <v>190</v>
      </c>
      <c r="J41">
        <f>SQRT(I41*2/airplane!$B$33/airplane!$B$47)</f>
        <v>12.639822472223223</v>
      </c>
      <c r="K41">
        <f>1/(airplane!$B$46*airplane!$B$9*airplane!$B$10)*(airplane!$B$43+'Rate of climb'!J41/(0.866*airplane!$B$12*SQRT(airplane!$B$45)))</f>
        <v>6.4739176475821036</v>
      </c>
      <c r="M41">
        <f t="shared" si="0"/>
        <v>63.497999999999998</v>
      </c>
      <c r="N41">
        <f t="shared" si="1"/>
        <v>28.7959856964452</v>
      </c>
    </row>
    <row r="42" spans="9:14" x14ac:dyDescent="0.35">
      <c r="I42">
        <f t="shared" si="2"/>
        <v>195</v>
      </c>
      <c r="J42">
        <f>SQRT(I42*2/airplane!$B$33/airplane!$B$47)</f>
        <v>12.805055922773391</v>
      </c>
      <c r="K42">
        <f>1/(airplane!$B$46*airplane!$B$9*airplane!$B$10)*(airplane!$B$43+'Rate of climb'!J42/(0.866*airplane!$B$12*SQRT(airplane!$B$45)))</f>
        <v>6.5108402325134271</v>
      </c>
      <c r="M42">
        <f t="shared" si="0"/>
        <v>65.168999999999997</v>
      </c>
      <c r="N42">
        <f t="shared" si="1"/>
        <v>28.960217354219726</v>
      </c>
    </row>
    <row r="43" spans="9:14" x14ac:dyDescent="0.35">
      <c r="I43">
        <f t="shared" si="2"/>
        <v>200</v>
      </c>
      <c r="J43">
        <f>SQRT(I43*2/airplane!$B$33/airplane!$B$47)</f>
        <v>12.968184230700482</v>
      </c>
      <c r="K43">
        <f>1/(airplane!$B$46*airplane!$B$9*airplane!$B$10)*(airplane!$B$43+'Rate of climb'!J43/(0.866*airplane!$B$12*SQRT(airplane!$B$45)))</f>
        <v>6.5472924084141679</v>
      </c>
      <c r="M43">
        <f t="shared" si="0"/>
        <v>66.84</v>
      </c>
      <c r="N43">
        <f t="shared" si="1"/>
        <v>29.122356632626222</v>
      </c>
    </row>
    <row r="44" spans="9:14" x14ac:dyDescent="0.35">
      <c r="I44">
        <f t="shared" si="2"/>
        <v>205</v>
      </c>
      <c r="J44">
        <f>SQRT(I44*2/airplane!$B$33/airplane!$B$47)</f>
        <v>13.129285863954038</v>
      </c>
      <c r="K44">
        <f>1/(airplane!$B$46*airplane!$B$9*airplane!$B$10)*(airplane!$B$43+'Rate of climb'!J44/(0.866*airplane!$B$12*SQRT(airplane!$B$45)))</f>
        <v>6.5832917095034675</v>
      </c>
      <c r="M44">
        <f t="shared" si="0"/>
        <v>68.510999999999996</v>
      </c>
      <c r="N44">
        <f t="shared" si="1"/>
        <v>29.282481523871425</v>
      </c>
    </row>
    <row r="45" spans="9:14" x14ac:dyDescent="0.35">
      <c r="I45">
        <f t="shared" si="2"/>
        <v>210</v>
      </c>
      <c r="J45">
        <f>SQRT(I45*2/airplane!$B$33/airplane!$B$47)</f>
        <v>13.288434533588148</v>
      </c>
      <c r="K45">
        <f>1/(airplane!$B$46*airplane!$B$9*airplane!$B$10)*(airplane!$B$43+'Rate of climb'!J45/(0.866*airplane!$B$12*SQRT(airplane!$B$45)))</f>
        <v>6.6188546070384815</v>
      </c>
      <c r="M45">
        <f t="shared" si="0"/>
        <v>70.182000000000002</v>
      </c>
      <c r="N45">
        <f t="shared" si="1"/>
        <v>29.44066529210717</v>
      </c>
    </row>
    <row r="46" spans="9:14" x14ac:dyDescent="0.35">
      <c r="I46">
        <f t="shared" si="2"/>
        <v>215</v>
      </c>
      <c r="J46">
        <f>SQRT(I46*2/airplane!$B$33/airplane!$B$47)</f>
        <v>13.445699587953495</v>
      </c>
      <c r="K46">
        <f>1/(airplane!$B$46*airplane!$B$9*airplane!$B$10)*(airplane!$B$43+'Rate of climb'!J46/(0.866*airplane!$B$12*SQRT(airplane!$B$45)))</f>
        <v>6.6539965973993906</v>
      </c>
      <c r="M46">
        <f t="shared" si="0"/>
        <v>71.852999999999994</v>
      </c>
      <c r="N46">
        <f t="shared" si="1"/>
        <v>29.596976865232492</v>
      </c>
    </row>
    <row r="47" spans="9:14" x14ac:dyDescent="0.35">
      <c r="I47">
        <f t="shared" si="2"/>
        <v>220</v>
      </c>
      <c r="J47">
        <f>SQRT(I47*2/airplane!$B$33/airplane!$B$47)</f>
        <v>13.601146365859295</v>
      </c>
      <c r="K47">
        <f>1/(airplane!$B$46*airplane!$B$9*airplane!$B$10)*(airplane!$B$43+'Rate of climb'!J47/(0.866*airplane!$B$12*SQRT(airplane!$B$45)))</f>
        <v>6.6887322810059295</v>
      </c>
      <c r="M47">
        <f t="shared" si="0"/>
        <v>73.524000000000001</v>
      </c>
      <c r="N47">
        <f t="shared" si="1"/>
        <v>29.751481185914376</v>
      </c>
    </row>
    <row r="48" spans="9:14" x14ac:dyDescent="0.35">
      <c r="I48">
        <f t="shared" si="2"/>
        <v>225</v>
      </c>
      <c r="J48">
        <f>SQRT(I48*2/airplane!$B$33/airplane!$B$47)</f>
        <v>13.754836513807142</v>
      </c>
      <c r="K48">
        <f>1/(airplane!$B$46*airplane!$B$9*airplane!$B$10)*(airplane!$B$43+'Rate of climb'!J48/(0.866*airplane!$B$12*SQRT(airplane!$B$45)))</f>
        <v>6.7230754332055449</v>
      </c>
      <c r="M48">
        <f t="shared" si="0"/>
        <v>75.194999999999993</v>
      </c>
      <c r="N48">
        <f t="shared" si="1"/>
        <v>29.904239526898266</v>
      </c>
    </row>
    <row r="49" spans="9:14" x14ac:dyDescent="0.35">
      <c r="I49">
        <f t="shared" si="2"/>
        <v>230</v>
      </c>
      <c r="J49">
        <f>SQRT(I49*2/airplane!$B$33/airplane!$B$47)</f>
        <v>13.906828271665576</v>
      </c>
      <c r="K49">
        <f>1/(airplane!$B$46*airplane!$B$9*airplane!$B$10)*(airplane!$B$43+'Rate of climb'!J49/(0.866*airplane!$B$12*SQRT(airplane!$B$45)))</f>
        <v>6.7570390681093944</v>
      </c>
      <c r="M49">
        <f t="shared" si="0"/>
        <v>76.866</v>
      </c>
      <c r="N49">
        <f t="shared" si="1"/>
        <v>30.05530977495059</v>
      </c>
    </row>
    <row r="50" spans="9:14" x14ac:dyDescent="0.35">
      <c r="I50">
        <f t="shared" si="2"/>
        <v>235</v>
      </c>
      <c r="J50">
        <f>SQRT(I50*2/airplane!$B$33/airplane!$B$47)</f>
        <v>14.057176730539872</v>
      </c>
      <c r="K50">
        <f>1/(airplane!$B$46*airplane!$B$9*airplane!$B$10)*(airplane!$B$43+'Rate of climb'!J50/(0.866*airplane!$B$12*SQRT(airplane!$B$45)))</f>
        <v>6.7906354962151809</v>
      </c>
      <c r="M50">
        <f t="shared" si="0"/>
        <v>78.537000000000006</v>
      </c>
      <c r="N50">
        <f t="shared" si="1"/>
        <v>30.204746687165127</v>
      </c>
    </row>
    <row r="51" spans="9:14" x14ac:dyDescent="0.35">
      <c r="I51">
        <f t="shared" si="2"/>
        <v>240</v>
      </c>
      <c r="J51">
        <f>SQRT(I51*2/airplane!$B$33/airplane!$B$47)</f>
        <v>14.205934066074866</v>
      </c>
      <c r="K51">
        <f>1/(airplane!$B$46*airplane!$B$9*airplane!$B$10)*(airplane!$B$43+'Rate of climb'!J51/(0.866*airplane!$B$12*SQRT(airplane!$B$45)))</f>
        <v>6.823876376540321</v>
      </c>
      <c r="M51">
        <f t="shared" si="0"/>
        <v>80.207999999999998</v>
      </c>
      <c r="N51">
        <f t="shared" si="1"/>
        <v>30.352602122851351</v>
      </c>
    </row>
    <row r="52" spans="9:14" x14ac:dyDescent="0.35">
      <c r="I52">
        <f t="shared" si="2"/>
        <v>245</v>
      </c>
      <c r="J52">
        <f>SQRT(I52*2/airplane!$B$33/airplane!$B$47)</f>
        <v>14.353149749992197</v>
      </c>
      <c r="K52">
        <f>1/(airplane!$B$46*airplane!$B$9*airplane!$B$10)*(airplane!$B$43+'Rate of climb'!J52/(0.866*airplane!$B$12*SQRT(airplane!$B$45)))</f>
        <v>6.8567727638914411</v>
      </c>
      <c r="M52">
        <f t="shared" si="0"/>
        <v>81.879000000000005</v>
      </c>
      <c r="N52">
        <f t="shared" si="1"/>
        <v>30.498925253789132</v>
      </c>
    </row>
    <row r="53" spans="9:14" x14ac:dyDescent="0.35">
      <c r="I53">
        <f t="shared" si="2"/>
        <v>250</v>
      </c>
      <c r="J53">
        <f>SQRT(I53*2/airplane!$B$33/airplane!$B$47)</f>
        <v>14.498870742293546</v>
      </c>
      <c r="K53">
        <f>1/(airplane!$B$46*airplane!$B$9*airplane!$B$10)*(airplane!$B$43+'Rate of climb'!J53/(0.866*airplane!$B$12*SQRT(airplane!$B$45)))</f>
        <v>6.8893351518135511</v>
      </c>
      <c r="M53">
        <f t="shared" si="0"/>
        <v>83.55</v>
      </c>
      <c r="N53">
        <f t="shared" si="1"/>
        <v>30.643762755266678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1:N53"/>
  <sheetViews>
    <sheetView workbookViewId="0">
      <selection activeCell="A2" sqref="A2:C7"/>
    </sheetView>
  </sheetViews>
  <sheetFormatPr defaultRowHeight="14.5" x14ac:dyDescent="0.35"/>
  <cols>
    <col min="1" max="1" width="16.81640625" bestFit="1" customWidth="1"/>
    <col min="9" max="9" width="14.54296875" customWidth="1"/>
  </cols>
  <sheetData>
    <row r="1" spans="9:14" x14ac:dyDescent="0.35">
      <c r="I1" t="s">
        <v>24</v>
      </c>
      <c r="J1" t="s">
        <v>63</v>
      </c>
      <c r="K1" t="s">
        <v>64</v>
      </c>
      <c r="M1" t="s">
        <v>24</v>
      </c>
      <c r="N1" t="s">
        <v>27</v>
      </c>
    </row>
    <row r="2" spans="9:14" x14ac:dyDescent="0.35">
      <c r="I2" t="s">
        <v>16</v>
      </c>
      <c r="M2" t="s">
        <v>66</v>
      </c>
      <c r="N2" t="s">
        <v>65</v>
      </c>
    </row>
    <row r="3" spans="9:14" x14ac:dyDescent="0.35">
      <c r="M3">
        <f>I3*0.3342</f>
        <v>0</v>
      </c>
      <c r="N3">
        <f>K3*4.448</f>
        <v>0</v>
      </c>
    </row>
    <row r="4" spans="9:14" x14ac:dyDescent="0.35">
      <c r="I4">
        <f>I3+5</f>
        <v>5</v>
      </c>
      <c r="J4">
        <f>(1/airplane!$B$54)*(airplane!$B$55*airplane!$B$7/Turns!I4+airplane!$B$52^2*airplane!$B$11*Turns!I4/airplane!$B$55)</f>
        <v>2.7682748417348328</v>
      </c>
      <c r="K4">
        <f>airplane!$B$51*J4/(airplane!$B$9*airplane!$B$10)</f>
        <v>61.064886214738948</v>
      </c>
      <c r="M4">
        <f t="shared" ref="M4:M53" si="0">I4*0.3342</f>
        <v>1.671</v>
      </c>
      <c r="N4">
        <f t="shared" ref="N4:N53" si="1">K4*4.448</f>
        <v>271.61661388315889</v>
      </c>
    </row>
    <row r="5" spans="9:14" x14ac:dyDescent="0.35">
      <c r="I5">
        <f t="shared" ref="I5:I53" si="2">I4+5</f>
        <v>10</v>
      </c>
      <c r="J5">
        <f>(1/airplane!$B$54)*(airplane!$B$55*airplane!$B$7/Turns!I5+airplane!$B$52^2*airplane!$B$11*Turns!I5/airplane!$B$55)</f>
        <v>1.4021746834696649</v>
      </c>
      <c r="K5">
        <f>airplane!$B$51*J5/(airplane!$B$9*airplane!$B$10)</f>
        <v>30.930323900066139</v>
      </c>
      <c r="M5">
        <f t="shared" si="0"/>
        <v>3.3420000000000001</v>
      </c>
      <c r="N5">
        <f t="shared" si="1"/>
        <v>137.57808070749419</v>
      </c>
    </row>
    <row r="6" spans="9:14" x14ac:dyDescent="0.35">
      <c r="I6">
        <f t="shared" si="2"/>
        <v>15</v>
      </c>
      <c r="J6">
        <f>(1/airplane!$B$54)*(airplane!$B$55*airplane!$B$7/Turns!I6+airplane!$B$52^2*airplane!$B$11*Turns!I6/airplane!$B$55)</f>
        <v>0.95482452520449712</v>
      </c>
      <c r="K6">
        <f>airplane!$B$51*J6/(airplane!$B$9*airplane!$B$10)</f>
        <v>21.062305703040376</v>
      </c>
      <c r="M6">
        <f t="shared" si="0"/>
        <v>5.0129999999999999</v>
      </c>
      <c r="N6">
        <f t="shared" si="1"/>
        <v>93.685135767123597</v>
      </c>
    </row>
    <row r="7" spans="9:14" x14ac:dyDescent="0.35">
      <c r="I7">
        <f t="shared" si="2"/>
        <v>20</v>
      </c>
      <c r="J7">
        <f>(1/airplane!$B$54)*(airplane!$B$55*airplane!$B$7/Turns!I7+airplane!$B$52^2*airplane!$B$11*Turns!I7/airplane!$B$55)</f>
        <v>0.7371618669393295</v>
      </c>
      <c r="K7">
        <f>airplane!$B$51*J7/(airplane!$B$9*airplane!$B$10)</f>
        <v>16.260923535426386</v>
      </c>
      <c r="M7">
        <f t="shared" si="0"/>
        <v>6.6840000000000002</v>
      </c>
      <c r="N7">
        <f t="shared" si="1"/>
        <v>72.328587885576567</v>
      </c>
    </row>
    <row r="8" spans="9:14" x14ac:dyDescent="0.35">
      <c r="I8">
        <f t="shared" si="2"/>
        <v>25</v>
      </c>
      <c r="J8">
        <f>(1/airplane!$B$54)*(airplane!$B$55*airplane!$B$7/Turns!I8+airplane!$B$52^2*airplane!$B$11*Turns!I8/airplane!$B$55)</f>
        <v>0.61137420867416181</v>
      </c>
      <c r="K8">
        <f>airplane!$B$51*J8/(airplane!$B$9*airplane!$B$10)</f>
        <v>13.486195779577098</v>
      </c>
      <c r="M8">
        <f t="shared" si="0"/>
        <v>8.3550000000000004</v>
      </c>
      <c r="N8">
        <f t="shared" si="1"/>
        <v>59.986598827558936</v>
      </c>
    </row>
    <row r="9" spans="9:14" x14ac:dyDescent="0.35">
      <c r="I9">
        <f t="shared" si="2"/>
        <v>30</v>
      </c>
      <c r="J9">
        <f>(1/airplane!$B$54)*(airplane!$B$55*airplane!$B$7/Turns!I9+airplane!$B$52^2*airplane!$B$11*Turns!I9/airplane!$B$55)</f>
        <v>0.5315240504089942</v>
      </c>
      <c r="K9">
        <f>airplane!$B$51*J9/(airplane!$B$9*airplane!$B$10)</f>
        <v>11.724795229610164</v>
      </c>
      <c r="M9">
        <f t="shared" si="0"/>
        <v>10.026</v>
      </c>
      <c r="N9">
        <f t="shared" si="1"/>
        <v>52.151889181306018</v>
      </c>
    </row>
    <row r="10" spans="9:14" x14ac:dyDescent="0.35">
      <c r="I10">
        <f t="shared" si="2"/>
        <v>35</v>
      </c>
      <c r="J10">
        <f>(1/airplane!$B$54)*(airplane!$B$55*airplane!$B$7/Turns!I10+airplane!$B$52^2*airplane!$B$11*Turns!I10/airplane!$B$55)</f>
        <v>0.47792389214382658</v>
      </c>
      <c r="K10">
        <f>airplane!$B$51*J10/(airplane!$B$9*airplane!$B$10)</f>
        <v>10.542438797290291</v>
      </c>
      <c r="M10">
        <f t="shared" si="0"/>
        <v>11.696999999999999</v>
      </c>
      <c r="N10">
        <f t="shared" si="1"/>
        <v>46.89276777034722</v>
      </c>
    </row>
    <row r="11" spans="9:14" x14ac:dyDescent="0.35">
      <c r="I11">
        <f t="shared" si="2"/>
        <v>40</v>
      </c>
      <c r="J11">
        <f>(1/airplane!$B$54)*(airplane!$B$55*airplane!$B$7/Turns!I11+airplane!$B$52^2*airplane!$B$11*Turns!I11/airplane!$B$55)</f>
        <v>0.44072998387865886</v>
      </c>
      <c r="K11">
        <f>airplane!$B$51*J11/(airplane!$B$9*airplane!$B$10)</f>
        <v>9.721984938499828</v>
      </c>
      <c r="M11">
        <f t="shared" si="0"/>
        <v>13.368</v>
      </c>
      <c r="N11">
        <f t="shared" si="1"/>
        <v>43.243389006447238</v>
      </c>
    </row>
    <row r="12" spans="9:14" x14ac:dyDescent="0.35">
      <c r="I12">
        <f t="shared" si="2"/>
        <v>45</v>
      </c>
      <c r="J12">
        <f>(1/airplane!$B$54)*(airplane!$B$55*airplane!$B$7/Turns!I12+airplane!$B$52^2*airplane!$B$11*Turns!I12/airplane!$B$55)</f>
        <v>0.41447357561349119</v>
      </c>
      <c r="K12">
        <f>airplane!$B$51*J12/(airplane!$B$9*airplane!$B$10)</f>
        <v>9.142799462062305</v>
      </c>
      <c r="M12">
        <f t="shared" si="0"/>
        <v>15.039</v>
      </c>
      <c r="N12">
        <f t="shared" si="1"/>
        <v>40.667172007253136</v>
      </c>
    </row>
    <row r="13" spans="9:14" x14ac:dyDescent="0.35">
      <c r="I13">
        <f t="shared" si="2"/>
        <v>50</v>
      </c>
      <c r="J13">
        <f>(1/airplane!$B$54)*(airplane!$B$55*airplane!$B$7/Turns!I13+airplane!$B$52^2*airplane!$B$11*Turns!I13/airplane!$B$55)</f>
        <v>0.3958734173483236</v>
      </c>
      <c r="K13">
        <f>airplane!$B$51*J13/(airplane!$B$9*airplane!$B$10)</f>
        <v>8.7325018532718435</v>
      </c>
      <c r="M13">
        <f t="shared" si="0"/>
        <v>16.71</v>
      </c>
      <c r="N13">
        <f t="shared" si="1"/>
        <v>38.842168243353164</v>
      </c>
    </row>
    <row r="14" spans="9:14" x14ac:dyDescent="0.35">
      <c r="I14">
        <f t="shared" si="2"/>
        <v>55</v>
      </c>
      <c r="J14">
        <f>(1/airplane!$B$54)*(airplane!$B$55*airplane!$B$7/Turns!I14+airplane!$B$52^2*airplane!$B$11*Turns!I14/airplane!$B$55)</f>
        <v>0.38284144090133776</v>
      </c>
      <c r="K14">
        <f>airplane!$B$51*J14/(airplane!$B$9*airplane!$B$10)</f>
        <v>8.4450317845883323</v>
      </c>
      <c r="M14">
        <f t="shared" si="0"/>
        <v>18.381</v>
      </c>
      <c r="N14">
        <f t="shared" si="1"/>
        <v>37.563501377848908</v>
      </c>
    </row>
    <row r="15" spans="9:14" x14ac:dyDescent="0.35">
      <c r="I15">
        <f t="shared" si="2"/>
        <v>60</v>
      </c>
      <c r="J15">
        <f>(1/airplane!$B$54)*(airplane!$B$55*airplane!$B$7/Turns!I15+airplane!$B$52^2*airplane!$B$11*Turns!I15/airplane!$B$55)</f>
        <v>0.37398560081798826</v>
      </c>
      <c r="K15">
        <f>airplane!$B$51*J15/(airplane!$B$9*airplane!$B$10)</f>
        <v>8.2496823709850347</v>
      </c>
      <c r="M15">
        <f t="shared" si="0"/>
        <v>20.052</v>
      </c>
      <c r="N15">
        <f t="shared" si="1"/>
        <v>36.69458718614144</v>
      </c>
    </row>
    <row r="16" spans="9:14" x14ac:dyDescent="0.35">
      <c r="I16">
        <f t="shared" si="2"/>
        <v>65</v>
      </c>
      <c r="J16">
        <f>(1/airplane!$B$54)*(airplane!$B$55*airplane!$B$7/Turns!I16+airplane!$B$52^2*airplane!$B$11*Turns!I16/airplane!$B$55)</f>
        <v>0.36834217332205138</v>
      </c>
      <c r="K16">
        <f>airplane!$B$51*J16/(airplane!$B$9*airplane!$B$10)</f>
        <v>8.1251949997511339</v>
      </c>
      <c r="M16">
        <f t="shared" si="0"/>
        <v>21.722999999999999</v>
      </c>
      <c r="N16">
        <f t="shared" si="1"/>
        <v>36.140867358893047</v>
      </c>
    </row>
    <row r="17" spans="9:14" x14ac:dyDescent="0.35">
      <c r="I17">
        <f t="shared" si="2"/>
        <v>70</v>
      </c>
      <c r="J17">
        <f>(1/airplane!$B$54)*(airplane!$B$55*airplane!$B$7/Turns!I17+airplane!$B$52^2*airplane!$B$11*Turns!I17/airplane!$B$55)</f>
        <v>0.36522278428765298</v>
      </c>
      <c r="K17">
        <f>airplane!$B$51*J17/(airplane!$B$9*airplane!$B$10)</f>
        <v>8.0563849475217566</v>
      </c>
      <c r="M17">
        <f t="shared" si="0"/>
        <v>23.393999999999998</v>
      </c>
      <c r="N17">
        <f t="shared" si="1"/>
        <v>35.834800246576776</v>
      </c>
    </row>
    <row r="18" spans="9:14" x14ac:dyDescent="0.35">
      <c r="I18">
        <f t="shared" si="2"/>
        <v>75</v>
      </c>
      <c r="J18">
        <f>(1/airplane!$B$54)*(airplane!$B$55*airplane!$B$7/Turns!I18+airplane!$B$52^2*airplane!$B$11*Turns!I18/airplane!$B$55)</f>
        <v>0.36412262602248535</v>
      </c>
      <c r="K18">
        <f>airplane!$B$51*J18/(airplane!$B$9*airplane!$B$10)</f>
        <v>8.0321167504959998</v>
      </c>
      <c r="M18">
        <f t="shared" si="0"/>
        <v>25.065000000000001</v>
      </c>
      <c r="N18">
        <f t="shared" si="1"/>
        <v>35.726855306206211</v>
      </c>
    </row>
    <row r="19" spans="9:14" x14ac:dyDescent="0.35">
      <c r="I19">
        <f t="shared" si="2"/>
        <v>80</v>
      </c>
      <c r="J19">
        <f>(1/airplane!$B$54)*(airplane!$B$55*airplane!$B$7/Turns!I19+airplane!$B$52^2*airplane!$B$11*Turns!I19/airplane!$B$55)</f>
        <v>0.36466309275731768</v>
      </c>
      <c r="K19">
        <f>airplane!$B$51*J19/(airplane!$B$9*airplane!$B$10)</f>
        <v>8.0440388108231833</v>
      </c>
      <c r="M19">
        <f t="shared" si="0"/>
        <v>26.736000000000001</v>
      </c>
      <c r="N19">
        <f t="shared" si="1"/>
        <v>35.779884630541524</v>
      </c>
    </row>
    <row r="20" spans="9:14" x14ac:dyDescent="0.35">
      <c r="I20">
        <f t="shared" si="2"/>
        <v>85</v>
      </c>
      <c r="J20">
        <f>(1/airplane!$B$54)*(airplane!$B$55*airplane!$B$7/Turns!I20+airplane!$B$52^2*airplane!$B$11*Turns!I20/airplane!$B$55)</f>
        <v>0.36655466243332652</v>
      </c>
      <c r="K20">
        <f>airplane!$B$51*J20/(airplane!$B$9*airplane!$B$10)</f>
        <v>8.0857646124998492</v>
      </c>
      <c r="M20">
        <f t="shared" si="0"/>
        <v>28.407</v>
      </c>
      <c r="N20">
        <f t="shared" si="1"/>
        <v>35.965480996399336</v>
      </c>
    </row>
    <row r="21" spans="9:14" x14ac:dyDescent="0.35">
      <c r="I21">
        <f t="shared" si="2"/>
        <v>90</v>
      </c>
      <c r="J21">
        <f>(1/airplane!$B$54)*(airplane!$B$55*airplane!$B$7/Turns!I21+airplane!$B$52^2*airplane!$B$11*Turns!I21/airplane!$B$55)</f>
        <v>0.36957215122698239</v>
      </c>
      <c r="K21">
        <f>airplane!$B$51*J21/(airplane!$B$9*airplane!$B$10)</f>
        <v>8.152326865301081</v>
      </c>
      <c r="M21">
        <f t="shared" si="0"/>
        <v>30.077999999999999</v>
      </c>
      <c r="N21">
        <f t="shared" si="1"/>
        <v>36.261549896859215</v>
      </c>
    </row>
    <row r="22" spans="9:14" x14ac:dyDescent="0.35">
      <c r="I22">
        <f t="shared" si="2"/>
        <v>95</v>
      </c>
      <c r="J22">
        <f>(1/airplane!$B$54)*(airplane!$B$55*airplane!$B$7/Turns!I22+airplane!$B$52^2*airplane!$B$11*Turns!I22/airplane!$B$55)</f>
        <v>0.37353778243549896</v>
      </c>
      <c r="K22">
        <f>airplane!$B$51*J22/(airplane!$B$9*airplane!$B$10)</f>
        <v>8.2398040243124751</v>
      </c>
      <c r="M22">
        <f t="shared" si="0"/>
        <v>31.748999999999999</v>
      </c>
      <c r="N22">
        <f t="shared" si="1"/>
        <v>36.650648300141896</v>
      </c>
    </row>
    <row r="23" spans="9:14" x14ac:dyDescent="0.35">
      <c r="I23">
        <f t="shared" si="2"/>
        <v>100</v>
      </c>
      <c r="J23">
        <f>(1/airplane!$B$54)*(airplane!$B$55*airplane!$B$7/Turns!I23+airplane!$B$52^2*airplane!$B$11*Turns!I23/airplane!$B$55)</f>
        <v>0.37830933469664713</v>
      </c>
      <c r="K23">
        <f>airplane!$B$51*J23/(airplane!$B$9*airplane!$B$10)</f>
        <v>8.3450588536025094</v>
      </c>
      <c r="M23">
        <f t="shared" si="0"/>
        <v>33.42</v>
      </c>
      <c r="N23">
        <f t="shared" si="1"/>
        <v>37.118821780823964</v>
      </c>
    </row>
    <row r="24" spans="9:14" x14ac:dyDescent="0.35">
      <c r="I24">
        <f t="shared" si="2"/>
        <v>105</v>
      </c>
      <c r="J24">
        <f>(1/airplane!$B$54)*(airplane!$B$55*airplane!$B$7/Turns!I24+airplane!$B$52^2*airplane!$B$11*Turns!I24/airplane!$B$55)</f>
        <v>0.38377167643147947</v>
      </c>
      <c r="K24">
        <f>airplane!$B$51*J24/(airplane!$B$9*airplane!$B$10)</f>
        <v>8.4655516859885171</v>
      </c>
      <c r="M24">
        <f t="shared" si="0"/>
        <v>35.091000000000001</v>
      </c>
      <c r="N24">
        <f t="shared" si="1"/>
        <v>37.654773899276925</v>
      </c>
    </row>
    <row r="25" spans="9:14" x14ac:dyDescent="0.35">
      <c r="I25">
        <f t="shared" si="2"/>
        <v>110</v>
      </c>
      <c r="J25">
        <f>(1/airplane!$B$54)*(airplane!$B$55*airplane!$B$7/Turns!I25+airplane!$B$52^2*airplane!$B$11*Turns!I25/airplane!$B$55)</f>
        <v>0.38983060907540273</v>
      </c>
      <c r="K25">
        <f>airplane!$B$51*J25/(airplane!$B$9*airplane!$B$10)</f>
        <v>8.599204611957413</v>
      </c>
      <c r="M25">
        <f t="shared" si="0"/>
        <v>36.762</v>
      </c>
      <c r="N25">
        <f t="shared" si="1"/>
        <v>38.249262113986575</v>
      </c>
    </row>
    <row r="26" spans="9:14" x14ac:dyDescent="0.35">
      <c r="I26">
        <f t="shared" si="2"/>
        <v>115</v>
      </c>
      <c r="J26">
        <f>(1/airplane!$B$54)*(airplane!$B$55*airplane!$B$7/Turns!I26+airplane!$B$52^2*airplane!$B$11*Turns!I26/airplane!$B$55)</f>
        <v>0.39640831642288327</v>
      </c>
      <c r="K26">
        <f>airplane!$B$51*J26/(airplane!$B$9*airplane!$B$10)</f>
        <v>8.7443010975636</v>
      </c>
      <c r="M26">
        <f t="shared" si="0"/>
        <v>38.433</v>
      </c>
      <c r="N26">
        <f t="shared" si="1"/>
        <v>38.894651281962894</v>
      </c>
    </row>
    <row r="27" spans="9:14" x14ac:dyDescent="0.35">
      <c r="I27">
        <f t="shared" si="2"/>
        <v>120</v>
      </c>
      <c r="J27">
        <f>(1/airplane!$B$54)*(airplane!$B$55*airplane!$B$7/Turns!I27+airplane!$B$52^2*airplane!$B$11*Turns!I27/airplane!$B$55)</f>
        <v>0.40343995163597657</v>
      </c>
      <c r="K27">
        <f>airplane!$B$51*J27/(airplane!$B$9*airplane!$B$10)</f>
        <v>8.8994106978524226</v>
      </c>
      <c r="M27">
        <f t="shared" si="0"/>
        <v>40.103999999999999</v>
      </c>
      <c r="N27">
        <f t="shared" si="1"/>
        <v>39.584578784047579</v>
      </c>
    </row>
    <row r="28" spans="9:14" x14ac:dyDescent="0.35">
      <c r="I28">
        <f t="shared" si="2"/>
        <v>125</v>
      </c>
      <c r="J28">
        <f>(1/airplane!$B$54)*(airplane!$B$55*airplane!$B$7/Turns!I28+airplane!$B$52^2*airplane!$B$11*Turns!I28/airplane!$B$55)</f>
        <v>0.41087104337080887</v>
      </c>
      <c r="K28">
        <f>airplane!$B$51*J28/(airplane!$B$9*airplane!$B$10)</f>
        <v>9.063331839061961</v>
      </c>
      <c r="M28">
        <f t="shared" si="0"/>
        <v>41.774999999999999</v>
      </c>
      <c r="N28">
        <f t="shared" si="1"/>
        <v>40.313700020147607</v>
      </c>
    </row>
    <row r="29" spans="9:14" x14ac:dyDescent="0.35">
      <c r="I29">
        <f t="shared" si="2"/>
        <v>130</v>
      </c>
      <c r="J29">
        <f>(1/airplane!$B$54)*(airplane!$B$55*airplane!$B$7/Turns!I29+airplane!$B$52^2*airplane!$B$11*Turns!I29/airplane!$B$55)</f>
        <v>0.41865550049025657</v>
      </c>
      <c r="K29">
        <f>airplane!$B$51*J29/(airplane!$B$9*airplane!$B$10)</f>
        <v>9.2350478049321296</v>
      </c>
      <c r="M29">
        <f t="shared" si="0"/>
        <v>43.445999999999998</v>
      </c>
      <c r="N29">
        <f t="shared" si="1"/>
        <v>41.077492636338114</v>
      </c>
    </row>
    <row r="30" spans="9:14" x14ac:dyDescent="0.35">
      <c r="I30">
        <f t="shared" si="2"/>
        <v>135</v>
      </c>
      <c r="J30">
        <f>(1/airplane!$B$54)*(airplane!$B$55*airplane!$B$7/Turns!I30+airplane!$B$52^2*airplane!$B$11*Turns!I30/airplane!$B$55)</f>
        <v>0.4267540601738069</v>
      </c>
      <c r="K30">
        <f>airplane!$B$51*J30/(airplane!$B$9*airplane!$B$10)</f>
        <v>9.4136925038339747</v>
      </c>
      <c r="M30">
        <f t="shared" si="0"/>
        <v>45.116999999999997</v>
      </c>
      <c r="N30">
        <f t="shared" si="1"/>
        <v>41.872104257053522</v>
      </c>
    </row>
    <row r="31" spans="9:14" x14ac:dyDescent="0.35">
      <c r="I31">
        <f>I30+5</f>
        <v>140</v>
      </c>
      <c r="J31">
        <f>(1/airplane!$B$54)*(airplane!$B$55*airplane!$B$7/Turns!I31+airplane!$B$52^2*airplane!$B$11*Turns!I31/airplane!$B$55)</f>
        <v>0.43513306857530593</v>
      </c>
      <c r="K31">
        <f>airplane!$B$51*J31/(airplane!$B$9*airplane!$B$10)</f>
        <v>9.5985235715141002</v>
      </c>
      <c r="M31">
        <f t="shared" si="0"/>
        <v>46.787999999999997</v>
      </c>
      <c r="N31">
        <f t="shared" si="1"/>
        <v>42.694232846094721</v>
      </c>
    </row>
    <row r="32" spans="9:14" x14ac:dyDescent="0.35">
      <c r="I32">
        <f t="shared" si="2"/>
        <v>145</v>
      </c>
      <c r="J32">
        <f>(1/airplane!$B$54)*(airplane!$B$55*airplane!$B$7/Turns!I32+airplane!$B$52^2*airplane!$B$11*Turns!I32/airplane!$B$55)</f>
        <v>0.44376351375841416</v>
      </c>
      <c r="K32">
        <f>airplane!$B$51*J32/(airplane!$B$9*airplane!$B$10)</f>
        <v>9.7889010387885467</v>
      </c>
      <c r="M32">
        <f t="shared" si="0"/>
        <v>48.458999999999996</v>
      </c>
      <c r="N32">
        <f t="shared" si="1"/>
        <v>43.541031820531458</v>
      </c>
    </row>
    <row r="33" spans="9:14" x14ac:dyDescent="0.35">
      <c r="I33">
        <f t="shared" si="2"/>
        <v>150</v>
      </c>
      <c r="J33">
        <f>(1/airplane!$B$54)*(airplane!$B$55*airplane!$B$7/Turns!I33+airplane!$B$52^2*airplane!$B$11*Turns!I33/airplane!$B$55)</f>
        <v>0.45262025204497058</v>
      </c>
      <c r="K33">
        <f>airplane!$B$51*J33/(airplane!$B$9*airplane!$B$10)</f>
        <v>9.9842702656978801</v>
      </c>
      <c r="M33">
        <f t="shared" si="0"/>
        <v>50.13</v>
      </c>
      <c r="N33">
        <f t="shared" si="1"/>
        <v>44.410034141824177</v>
      </c>
    </row>
    <row r="34" spans="9:14" x14ac:dyDescent="0.35">
      <c r="I34">
        <f t="shared" si="2"/>
        <v>155</v>
      </c>
      <c r="J34">
        <f>(1/airplane!$B$54)*(airplane!$B$55*airplane!$B$7/Turns!I34+airplane!$B$52^2*airplane!$B$11*Turns!I34/airplane!$B$55)</f>
        <v>0.46168138410238369</v>
      </c>
      <c r="K34">
        <f>airplane!$B$51*J34/(airplane!$B$9*airplane!$B$10)</f>
        <v>10.18414817872905</v>
      </c>
      <c r="M34">
        <f t="shared" si="0"/>
        <v>51.801000000000002</v>
      </c>
      <c r="N34">
        <f t="shared" si="1"/>
        <v>45.299091098986814</v>
      </c>
    </row>
    <row r="35" spans="9:14" x14ac:dyDescent="0.35">
      <c r="I35">
        <f t="shared" si="2"/>
        <v>160</v>
      </c>
      <c r="J35">
        <f>(1/airplane!$B$54)*(airplane!$B$55*airplane!$B$7/Turns!I35+airplane!$B$52^2*airplane!$B$11*Turns!I35/airplane!$B$55)</f>
        <v>0.47092774801463533</v>
      </c>
      <c r="K35">
        <f>airplane!$B$51*J35/(airplane!$B$9*airplane!$B$10)</f>
        <v>10.388112088558131</v>
      </c>
      <c r="M35">
        <f t="shared" si="0"/>
        <v>53.472000000000001</v>
      </c>
      <c r="N35">
        <f t="shared" si="1"/>
        <v>46.206322569906568</v>
      </c>
    </row>
    <row r="36" spans="9:14" x14ac:dyDescent="0.35">
      <c r="I36">
        <f t="shared" si="2"/>
        <v>165</v>
      </c>
      <c r="J36">
        <f>(1/airplane!$B$54)*(airplane!$B$55*airplane!$B$7/Turns!I36+airplane!$B$52^2*airplane!$B$11*Turns!I36/airplane!$B$55)</f>
        <v>0.48034250452219496</v>
      </c>
      <c r="K36">
        <f>airplane!$B$51*J36/(airplane!$B$9*airplane!$B$10)</f>
        <v>10.59579054093077</v>
      </c>
      <c r="M36">
        <f t="shared" si="0"/>
        <v>55.143000000000001</v>
      </c>
      <c r="N36">
        <f t="shared" si="1"/>
        <v>47.13007632606007</v>
      </c>
    </row>
    <row r="37" spans="9:14" x14ac:dyDescent="0.35">
      <c r="I37">
        <f t="shared" si="2"/>
        <v>170</v>
      </c>
      <c r="J37">
        <f>(1/airplane!$B$54)*(airplane!$B$55*airplane!$B$7/Turns!I37+airplane!$B$52^2*airplane!$B$11*Turns!I37/airplane!$B$55)</f>
        <v>0.48991079545488825</v>
      </c>
      <c r="K37">
        <f>airplane!$B$51*J37/(airplane!$B$9*airplane!$B$10)</f>
        <v>10.806855782093123</v>
      </c>
      <c r="M37">
        <f t="shared" si="0"/>
        <v>56.814</v>
      </c>
      <c r="N37">
        <f t="shared" si="1"/>
        <v>48.06889451875022</v>
      </c>
    </row>
    <row r="38" spans="9:14" x14ac:dyDescent="0.35">
      <c r="I38">
        <f t="shared" si="2"/>
        <v>175</v>
      </c>
      <c r="J38">
        <f>(1/airplane!$B$54)*(airplane!$B$55*airplane!$B$7/Turns!I38+airplane!$B$52^2*airplane!$B$11*Turns!I38/airplane!$B$55)</f>
        <v>0.49961946071913238</v>
      </c>
      <c r="K38">
        <f>airplane!$B$51*J38/(airplane!$B$9*airplane!$B$10)</f>
        <v>11.021017515863214</v>
      </c>
      <c r="M38">
        <f t="shared" si="0"/>
        <v>58.484999999999999</v>
      </c>
      <c r="N38">
        <f t="shared" si="1"/>
        <v>49.021485910559583</v>
      </c>
    </row>
    <row r="39" spans="9:14" x14ac:dyDescent="0.35">
      <c r="I39">
        <f t="shared" si="2"/>
        <v>180</v>
      </c>
      <c r="J39">
        <f>(1/airplane!$B$54)*(airplane!$B$55*airplane!$B$7/Turns!I39+airplane!$B$52^2*airplane!$B$11*Turns!I39/airplane!$B$55)</f>
        <v>0.50945680245396463</v>
      </c>
      <c r="K39">
        <f>airplane!$B$51*J39/(airplane!$B$9*airplane!$B$10)</f>
        <v>11.238017701190396</v>
      </c>
      <c r="M39">
        <f t="shared" si="0"/>
        <v>60.155999999999999</v>
      </c>
      <c r="N39">
        <f t="shared" si="1"/>
        <v>49.986702734894884</v>
      </c>
    </row>
    <row r="40" spans="9:14" x14ac:dyDescent="0.35">
      <c r="I40">
        <f t="shared" si="2"/>
        <v>185</v>
      </c>
      <c r="J40">
        <f>(1/airplane!$B$54)*(airplane!$B$55*airplane!$B$7/Turns!I40+airplane!$B$52^2*airplane!$B$11*Turns!I40/airplane!$B$55)</f>
        <v>0.51941238743204043</v>
      </c>
      <c r="K40">
        <f>airplane!$B$51*J40/(airplane!$B$9*airplane!$B$10)</f>
        <v>11.457626193353832</v>
      </c>
      <c r="M40">
        <f t="shared" si="0"/>
        <v>61.826999999999998</v>
      </c>
      <c r="N40">
        <f t="shared" si="1"/>
        <v>50.963521308037848</v>
      </c>
    </row>
    <row r="41" spans="9:14" x14ac:dyDescent="0.35">
      <c r="I41">
        <f t="shared" si="2"/>
        <v>190</v>
      </c>
      <c r="J41">
        <f>(1/airplane!$B$54)*(airplane!$B$55*airplane!$B$7/Turns!I41+airplane!$B$52^2*airplane!$B$11*Turns!I41/airplane!$B$55)</f>
        <v>0.5294768806604716</v>
      </c>
      <c r="K41">
        <f>airplane!$B$51*J41/(airplane!$B$9*airplane!$B$10)</f>
        <v>11.679637073392755</v>
      </c>
      <c r="M41">
        <f t="shared" si="0"/>
        <v>63.497999999999998</v>
      </c>
      <c r="N41">
        <f t="shared" si="1"/>
        <v>51.951025702450977</v>
      </c>
    </row>
    <row r="42" spans="9:14" x14ac:dyDescent="0.35">
      <c r="I42">
        <f t="shared" si="2"/>
        <v>195</v>
      </c>
      <c r="J42">
        <f>(1/airplane!$B$54)*(airplane!$B$55*airplane!$B$7/Turns!I42+airplane!$B$52^2*airplane!$B$11*Turns!I42/airplane!$B$55)</f>
        <v>0.53964190458153882</v>
      </c>
      <c r="K42">
        <f>airplane!$B$51*J42/(airplane!$B$9*airplane!$B$10)</f>
        <v>11.903865542239828</v>
      </c>
      <c r="M42">
        <f t="shared" si="0"/>
        <v>65.168999999999997</v>
      </c>
      <c r="N42">
        <f t="shared" si="1"/>
        <v>52.948393931882762</v>
      </c>
    </row>
    <row r="43" spans="9:14" x14ac:dyDescent="0.35">
      <c r="I43">
        <f t="shared" si="2"/>
        <v>200</v>
      </c>
      <c r="J43">
        <f>(1/airplane!$B$54)*(airplane!$B$55*airplane!$B$7/Turns!I43+airplane!$B$52^2*airplane!$B$11*Turns!I43/airplane!$B$55)</f>
        <v>0.54989991939329419</v>
      </c>
      <c r="K43">
        <f>airplane!$B$51*J43/(airplane!$B$9*airplane!$B$10)</f>
        <v>12.13014528073443</v>
      </c>
      <c r="M43">
        <f t="shared" si="0"/>
        <v>66.84</v>
      </c>
      <c r="N43">
        <f t="shared" si="1"/>
        <v>53.954886208706753</v>
      </c>
    </row>
    <row r="44" spans="9:14" x14ac:dyDescent="0.35">
      <c r="I44">
        <f t="shared" si="2"/>
        <v>205</v>
      </c>
      <c r="J44">
        <f>(1/airplane!$B$54)*(airplane!$B$55*airplane!$B$7/Turns!I44+airplane!$B$52^2*airplane!$B$11*Turns!I44/airplane!$B$55)</f>
        <v>0.56024412088422415</v>
      </c>
      <c r="K44">
        <f>airplane!$B$51*J44/(airplane!$B$9*airplane!$B$10)</f>
        <v>12.358326195975531</v>
      </c>
      <c r="M44">
        <f t="shared" si="0"/>
        <v>68.510999999999996</v>
      </c>
      <c r="N44">
        <f t="shared" si="1"/>
        <v>54.969834919699167</v>
      </c>
    </row>
    <row r="45" spans="9:14" x14ac:dyDescent="0.35">
      <c r="I45">
        <f t="shared" si="2"/>
        <v>210</v>
      </c>
      <c r="J45">
        <f>(1/airplane!$B$54)*(airplane!$B$55*airplane!$B$7/Turns!I45+airplane!$B$52^2*airplane!$B$11*Turns!I45/airplane!$B$55)</f>
        <v>0.57066835286295892</v>
      </c>
      <c r="K45">
        <f>airplane!$B$51*J45/(airplane!$B$9*airplane!$B$10)</f>
        <v>12.588272489624092</v>
      </c>
      <c r="M45">
        <f t="shared" si="0"/>
        <v>70.182000000000002</v>
      </c>
      <c r="N45">
        <f t="shared" si="1"/>
        <v>55.992636033847965</v>
      </c>
    </row>
    <row r="46" spans="9:14" x14ac:dyDescent="0.35">
      <c r="I46">
        <f t="shared" si="2"/>
        <v>215</v>
      </c>
      <c r="J46">
        <f>(1/airplane!$B$54)*(airplane!$B$55*airplane!$B$7/Turns!I46+airplane!$B$52^2*airplane!$B$11*Turns!I46/airplane!$B$55)</f>
        <v>0.58116703180709361</v>
      </c>
      <c r="K46">
        <f>airplane!$B$51*J46/(airplane!$B$9*airplane!$B$10)</f>
        <v>12.81986099574471</v>
      </c>
      <c r="M46">
        <f t="shared" si="0"/>
        <v>71.852999999999994</v>
      </c>
      <c r="N46">
        <f t="shared" si="1"/>
        <v>57.022741709072477</v>
      </c>
    </row>
    <row r="47" spans="9:14" x14ac:dyDescent="0.35">
      <c r="I47">
        <f t="shared" si="2"/>
        <v>220</v>
      </c>
      <c r="J47">
        <f>(1/airplane!$B$54)*(airplane!$B$55*airplane!$B$7/Turns!I47+airplane!$B$52^2*airplane!$B$11*Turns!I47/airplane!$B$55)</f>
        <v>0.59173508178716905</v>
      </c>
      <c r="K47">
        <f>airplane!$B$51*J47/(airplane!$B$9*airplane!$B$10)</f>
        <v>13.052979745305199</v>
      </c>
      <c r="M47">
        <f t="shared" si="0"/>
        <v>73.524000000000001</v>
      </c>
      <c r="N47">
        <f t="shared" si="1"/>
        <v>58.059653907117536</v>
      </c>
    </row>
    <row r="48" spans="9:14" x14ac:dyDescent="0.35">
      <c r="I48">
        <f t="shared" si="2"/>
        <v>225</v>
      </c>
      <c r="J48">
        <f>(1/airplane!$B$54)*(airplane!$B$55*airplane!$B$7/Turns!I48+airplane!$B$52^2*airplane!$B$11*Turns!I48/airplane!$B$55)</f>
        <v>0.60236787806745595</v>
      </c>
      <c r="K48">
        <f>airplane!$B$51*J48/(airplane!$B$9*airplane!$B$10)</f>
        <v>13.287526722076233</v>
      </c>
      <c r="M48">
        <f t="shared" si="0"/>
        <v>75.194999999999993</v>
      </c>
      <c r="N48">
        <f t="shared" si="1"/>
        <v>59.102918859795089</v>
      </c>
    </row>
    <row r="49" spans="9:14" x14ac:dyDescent="0.35">
      <c r="I49">
        <f t="shared" si="2"/>
        <v>230</v>
      </c>
      <c r="J49">
        <f>(1/airplane!$B$54)*(airplane!$B$55*airplane!$B$7/Turns!I49+airplane!$B$52^2*airplane!$B$11*Turns!I49/airplane!$B$55)</f>
        <v>0.61306119806315784</v>
      </c>
      <c r="K49">
        <f>airplane!$B$51*J49/(airplane!$B$9*airplane!$B$10)</f>
        <v>13.523408780804953</v>
      </c>
      <c r="M49">
        <f t="shared" si="0"/>
        <v>76.866</v>
      </c>
      <c r="N49">
        <f t="shared" si="1"/>
        <v>60.152122257020437</v>
      </c>
    </row>
    <row r="50" spans="9:14" x14ac:dyDescent="0.35">
      <c r="I50">
        <f t="shared" si="2"/>
        <v>235</v>
      </c>
      <c r="J50">
        <f>(1/airplane!$B$54)*(airplane!$B$55*airplane!$B$7/Turns!I50+airplane!$B$52^2*airplane!$B$11*Turns!I50/airplane!$B$55)</f>
        <v>0.62381117855839729</v>
      </c>
      <c r="K50">
        <f>airplane!$B$51*J50/(airplane!$B$9*airplane!$B$10)</f>
        <v>13.760540703494057</v>
      </c>
      <c r="M50">
        <f t="shared" si="0"/>
        <v>78.537000000000006</v>
      </c>
      <c r="N50">
        <f t="shared" si="1"/>
        <v>61.206885049141569</v>
      </c>
    </row>
    <row r="51" spans="9:14" x14ac:dyDescent="0.35">
      <c r="I51">
        <f t="shared" si="2"/>
        <v>240</v>
      </c>
      <c r="J51">
        <f>(1/airplane!$B$54)*(airplane!$B$55*airplane!$B$7/Turns!I51+airplane!$B$52^2*airplane!$B$11*Turns!I51/airplane!$B$55)</f>
        <v>0.63461427827195305</v>
      </c>
      <c r="K51">
        <f>airplane!$B$51*J51/(airplane!$B$9*airplane!$B$10)</f>
        <v>13.998844373646021</v>
      </c>
      <c r="M51">
        <f t="shared" si="0"/>
        <v>80.207999999999998</v>
      </c>
      <c r="N51">
        <f t="shared" si="1"/>
        <v>62.266859773977508</v>
      </c>
    </row>
    <row r="52" spans="9:14" x14ac:dyDescent="0.35">
      <c r="I52">
        <f t="shared" si="2"/>
        <v>245</v>
      </c>
      <c r="J52">
        <f>(1/airplane!$B$54)*(airplane!$B$55*airplane!$B$7/Turns!I52+airplane!$B$52^2*airplane!$B$11*Turns!I52/airplane!$B$55)</f>
        <v>0.64546724500678543</v>
      </c>
      <c r="K52">
        <f>airplane!$B$51*J52/(airplane!$B$9*airplane!$B$10)</f>
        <v>14.238248051620268</v>
      </c>
      <c r="M52">
        <f t="shared" si="0"/>
        <v>81.879000000000005</v>
      </c>
      <c r="N52">
        <f t="shared" si="1"/>
        <v>63.331727333606956</v>
      </c>
    </row>
    <row r="53" spans="9:14" x14ac:dyDescent="0.35">
      <c r="I53">
        <f t="shared" si="2"/>
        <v>250</v>
      </c>
      <c r="J53">
        <f>(1/airplane!$B$54)*(airplane!$B$55*airplane!$B$7/Turns!I53+airplane!$B$52^2*airplane!$B$11*Turns!I53/airplane!$B$55)</f>
        <v>0.6563670867416177</v>
      </c>
      <c r="K53">
        <f>airplane!$B$51*J53/(airplane!$B$9*airplane!$B$10)</f>
        <v>14.478685736947448</v>
      </c>
      <c r="M53">
        <f t="shared" si="0"/>
        <v>83.55</v>
      </c>
      <c r="N53">
        <f t="shared" si="1"/>
        <v>64.401194157942257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airplane</vt:lpstr>
      <vt:lpstr>take off</vt:lpstr>
      <vt:lpstr>maximum speed</vt:lpstr>
      <vt:lpstr>Landing</vt:lpstr>
      <vt:lpstr>Ceiling</vt:lpstr>
      <vt:lpstr>Rate of climb</vt:lpstr>
      <vt:lpstr>Turns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Computer Network</dc:creator>
  <cp:lastModifiedBy>Sarah</cp:lastModifiedBy>
  <dcterms:created xsi:type="dcterms:W3CDTF">2011-04-03T21:04:55Z</dcterms:created>
  <dcterms:modified xsi:type="dcterms:W3CDTF">2019-09-19T22:55:14Z</dcterms:modified>
</cp:coreProperties>
</file>