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ropbox\Senior Design\"/>
    </mc:Choice>
  </mc:AlternateContent>
  <xr:revisionPtr revIDLastSave="0" documentId="13_ncr:1_{C7807DAB-8C2B-4E85-B167-102FD6C56DC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airplane" sheetId="1" r:id="rId1"/>
    <sheet name="take off" sheetId="2" r:id="rId2"/>
    <sheet name="Best range cruise" sheetId="4" r:id="rId3"/>
    <sheet name="loiter 40kn" sheetId="5" r:id="rId4"/>
    <sheet name="Cruise 60 kn" sheetId="3" r:id="rId5"/>
    <sheet name="Turns" sheetId="6" r:id="rId6"/>
    <sheet name="Sheet1" sheetId="7" r:id="rId7"/>
    <sheet name="Sheet2" sheetId="8" r:id="rId8"/>
    <sheet name="Batteries" sheetId="9" r:id="rId9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4" i="3"/>
  <c r="D15" i="1"/>
  <c r="P7" i="9" l="1"/>
  <c r="P9" i="9"/>
  <c r="P11" i="9"/>
  <c r="P13" i="9"/>
  <c r="P15" i="9"/>
  <c r="P17" i="9"/>
  <c r="G16" i="9"/>
  <c r="I16" i="9" s="1"/>
  <c r="I14" i="9"/>
  <c r="G14" i="9"/>
  <c r="D5" i="8"/>
  <c r="F5" i="8" s="1"/>
  <c r="D4" i="8"/>
  <c r="F4" i="8" s="1"/>
  <c r="E12" i="7"/>
  <c r="C10" i="7"/>
  <c r="C16" i="7" l="1"/>
  <c r="B3" i="5"/>
  <c r="E16" i="7" l="1"/>
  <c r="G16" i="7"/>
  <c r="C18" i="7"/>
  <c r="B5" i="6"/>
  <c r="B6" i="6" s="1"/>
  <c r="E18" i="7" l="1"/>
  <c r="G18" i="7"/>
  <c r="B8" i="5"/>
  <c r="B7" i="5"/>
  <c r="D7" i="5" s="1"/>
  <c r="H5" i="5"/>
  <c r="F5" i="5"/>
  <c r="D5" i="5"/>
  <c r="H5" i="3" l="1"/>
  <c r="F5" i="3"/>
  <c r="D5" i="3"/>
  <c r="D13" i="1" l="1"/>
  <c r="B5" i="2" l="1"/>
  <c r="B6" i="2" l="1"/>
  <c r="B9" i="2" s="1"/>
  <c r="B13" i="2"/>
  <c r="B7" i="2"/>
  <c r="B8" i="3"/>
  <c r="B7" i="3"/>
  <c r="D7" i="3" s="1"/>
  <c r="B18" i="1"/>
  <c r="E2" i="1"/>
  <c r="D2" i="1"/>
  <c r="B9" i="3" l="1"/>
  <c r="B11" i="3" s="1"/>
  <c r="B5" i="4"/>
  <c r="B9" i="5"/>
  <c r="I3" i="1"/>
  <c r="B8" i="6"/>
  <c r="B9" i="6" s="1"/>
  <c r="B19" i="1"/>
  <c r="D12" i="1"/>
  <c r="F12" i="1" s="1"/>
  <c r="D11" i="1"/>
  <c r="B3" i="4" l="1"/>
  <c r="B7" i="4" s="1"/>
  <c r="D7" i="4" s="1"/>
  <c r="B8" i="4"/>
  <c r="B9" i="4" s="1"/>
  <c r="I7" i="1"/>
  <c r="I6" i="1"/>
  <c r="D5" i="4"/>
  <c r="F5" i="4"/>
  <c r="H5" i="4"/>
  <c r="B11" i="5"/>
  <c r="B11" i="4" l="1"/>
  <c r="I4" i="1" s="1"/>
  <c r="I5" i="1"/>
  <c r="I10" i="1" l="1"/>
  <c r="I12" i="1" s="1"/>
  <c r="I17" i="1" s="1"/>
  <c r="I13" i="1" l="1"/>
  <c r="K13" i="1" s="1"/>
  <c r="K12" i="1"/>
  <c r="K7" i="1"/>
  <c r="I14" i="1"/>
  <c r="M14" i="1" s="1"/>
  <c r="M12" i="1"/>
  <c r="K6" i="1"/>
  <c r="K5" i="1"/>
  <c r="K4" i="1"/>
  <c r="I19" i="1"/>
  <c r="K3" i="1"/>
  <c r="K17" i="1"/>
  <c r="M13" i="1" l="1"/>
  <c r="I18" i="1"/>
  <c r="K18" i="1" s="1"/>
  <c r="K10" i="1"/>
  <c r="K14" i="1"/>
</calcChain>
</file>

<file path=xl/sharedStrings.xml><?xml version="1.0" encoding="utf-8"?>
<sst xmlns="http://schemas.openxmlformats.org/spreadsheetml/2006/main" count="240" uniqueCount="156">
  <si>
    <t>kg</t>
  </si>
  <si>
    <t>Newtons</t>
  </si>
  <si>
    <t>lb</t>
  </si>
  <si>
    <t>Convert</t>
  </si>
  <si>
    <t>g</t>
  </si>
  <si>
    <t>m/sec^2</t>
  </si>
  <si>
    <t>airplane</t>
  </si>
  <si>
    <t>aspect ratio</t>
  </si>
  <si>
    <t>Cdo</t>
  </si>
  <si>
    <t>span efficiency  (e)</t>
  </si>
  <si>
    <t>propeller efficiency</t>
  </si>
  <si>
    <t>motor efficiency</t>
  </si>
  <si>
    <t>payload weight (N)</t>
  </si>
  <si>
    <t>N</t>
  </si>
  <si>
    <t>k     Drag due to lift factor</t>
  </si>
  <si>
    <t xml:space="preserve">    k=1/(pi*ar*e)  </t>
  </si>
  <si>
    <t>(L/D)  max    (emax)</t>
  </si>
  <si>
    <t xml:space="preserve"> 1/(2*sqrt(k*cdo)) </t>
  </si>
  <si>
    <t>N/m^2</t>
  </si>
  <si>
    <t>oz/ft^2</t>
  </si>
  <si>
    <t>P/W   power loading  (W/N=m)</t>
  </si>
  <si>
    <t>watts/lb</t>
  </si>
  <si>
    <t>k_battery</t>
  </si>
  <si>
    <t>We/Wto  empty weight fraction</t>
  </si>
  <si>
    <t>Take off</t>
  </si>
  <si>
    <t>Density of air</t>
  </si>
  <si>
    <t>kg/m^3</t>
  </si>
  <si>
    <t>Clmax</t>
  </si>
  <si>
    <t>Take off velocity</t>
  </si>
  <si>
    <t>m/sec</t>
  </si>
  <si>
    <t>vlo=1.2*sqrt(2*wos/(sigma*rho_sl*Clmax));    % Take-off Velocity [Brandt Eq.5.52, Pg.221]</t>
  </si>
  <si>
    <t>time for take off</t>
  </si>
  <si>
    <t>sec</t>
  </si>
  <si>
    <t>take off distance</t>
  </si>
  <si>
    <t xml:space="preserve">m </t>
  </si>
  <si>
    <t>wb_wto=t_takeoff*PoW1/k_batt                    % Battery Weight / Take off weight</t>
  </si>
  <si>
    <t>W/N  or (m/sec)</t>
  </si>
  <si>
    <t>J/N  or (m)</t>
  </si>
  <si>
    <t>Wb/Wto for take off</t>
  </si>
  <si>
    <t>cruise distance</t>
  </si>
  <si>
    <t>km</t>
  </si>
  <si>
    <t>Cruise velocity</t>
  </si>
  <si>
    <t xml:space="preserve">Cruise time </t>
  </si>
  <si>
    <t>q- dynamic pressure</t>
  </si>
  <si>
    <t>L/D   at cruise velocity</t>
  </si>
  <si>
    <t xml:space="preserve">LoD= wos/(cdo*q+k*(wos^2)/q)    % Lift over Drag    </t>
  </si>
  <si>
    <t>wb_wto=x/(eta_p*eta_m*k_batt*LoD)        % Battery Weight / Take off weight</t>
  </si>
  <si>
    <t xml:space="preserve">Wb/Wto  for cruise </t>
  </si>
  <si>
    <t xml:space="preserve">Battery weight fractions </t>
  </si>
  <si>
    <t>total  Wb/Wto</t>
  </si>
  <si>
    <t>Wto</t>
  </si>
  <si>
    <t>Wempty</t>
  </si>
  <si>
    <t>Wbattery</t>
  </si>
  <si>
    <t xml:space="preserve">s_takeoff=1/3*(vlo)^3/(g*eta_p*eta_m*PoW);               </t>
  </si>
  <si>
    <t>S wing area</t>
  </si>
  <si>
    <t>m^2</t>
  </si>
  <si>
    <t xml:space="preserve">b  wing span </t>
  </si>
  <si>
    <t>ft</t>
  </si>
  <si>
    <t>sq. ft</t>
  </si>
  <si>
    <t>Output</t>
  </si>
  <si>
    <t>J/lb</t>
  </si>
  <si>
    <t>ft/sec</t>
  </si>
  <si>
    <t>Cruise 1</t>
  </si>
  <si>
    <t>stall velocity</t>
  </si>
  <si>
    <t>min</t>
  </si>
  <si>
    <t>knots</t>
  </si>
  <si>
    <t>miles/hr</t>
  </si>
  <si>
    <t>velocity conversions  from m/sec</t>
  </si>
  <si>
    <t>miles/hour</t>
  </si>
  <si>
    <t>Power</t>
  </si>
  <si>
    <t>Watts</t>
  </si>
  <si>
    <t>watts/oz</t>
  </si>
  <si>
    <t>Cruise-dash</t>
  </si>
  <si>
    <t>W/S   wing loading (S)</t>
  </si>
  <si>
    <t>Loiter/Arrival</t>
  </si>
  <si>
    <t>Loiter distance</t>
  </si>
  <si>
    <t>Loiter velocity</t>
  </si>
  <si>
    <t xml:space="preserve">Loiter time </t>
  </si>
  <si>
    <t>L/D   at Loiter</t>
  </si>
  <si>
    <t>Take-off</t>
  </si>
  <si>
    <t>Turns</t>
  </si>
  <si>
    <t>Turn Velocity</t>
  </si>
  <si>
    <t>m/s</t>
  </si>
  <si>
    <t>air density</t>
  </si>
  <si>
    <t>dynamic pressure</t>
  </si>
  <si>
    <t>load factor n</t>
  </si>
  <si>
    <t>theta</t>
  </si>
  <si>
    <t>Wb/Wto  for sustained turn</t>
  </si>
  <si>
    <t xml:space="preserve">t_takeoff=0.7*(vlo)^2/(g*PoW*eta_p*eta_m);  </t>
  </si>
  <si>
    <t>Time</t>
  </si>
  <si>
    <t>hrs</t>
  </si>
  <si>
    <t>time</t>
  </si>
  <si>
    <t>cruise 60kn</t>
  </si>
  <si>
    <t>Best range cruise</t>
  </si>
  <si>
    <t>loiter 40kn</t>
  </si>
  <si>
    <t>battery weight</t>
  </si>
  <si>
    <t>m</t>
  </si>
  <si>
    <t>K</t>
  </si>
  <si>
    <t>L/D</t>
  </si>
  <si>
    <t>x</t>
  </si>
  <si>
    <t>Wb/Wto</t>
  </si>
  <si>
    <t>eta prop</t>
  </si>
  <si>
    <t>eta motor</t>
  </si>
  <si>
    <t>Wpay</t>
  </si>
  <si>
    <t>We/Wto</t>
  </si>
  <si>
    <t>W</t>
  </si>
  <si>
    <t>Wb</t>
  </si>
  <si>
    <t>KWh/kg</t>
  </si>
  <si>
    <t>N/kg</t>
  </si>
  <si>
    <t>lead acid</t>
  </si>
  <si>
    <t>J/N</t>
  </si>
  <si>
    <t>Li-ion</t>
  </si>
  <si>
    <t>Wh/kg</t>
  </si>
  <si>
    <t>Wh/N</t>
  </si>
  <si>
    <t>kWh/N</t>
  </si>
  <si>
    <t>Capacity(mAh)</t>
  </si>
  <si>
    <t>Config (s)</t>
  </si>
  <si>
    <t>Discharge (c)</t>
  </si>
  <si>
    <t>Weight (g)</t>
  </si>
  <si>
    <t>Max Charge Rate (C)</t>
  </si>
  <si>
    <t>Length-A(mm)</t>
  </si>
  <si>
    <t>Height-B(mm)</t>
  </si>
  <si>
    <t>Width-C(mm)</t>
  </si>
  <si>
    <t>Spec.</t>
  </si>
  <si>
    <r>
      <t>Minimum Capacity: </t>
    </r>
    <r>
      <rPr>
        <b/>
        <sz val="8"/>
        <color rgb="FF000000"/>
        <rFont val="Verdana"/>
        <family val="2"/>
      </rPr>
      <t>2200mAh (True 100% Capacity)</t>
    </r>
  </si>
  <si>
    <r>
      <t>Configuration: </t>
    </r>
    <r>
      <rPr>
        <b/>
        <sz val="8"/>
        <color rgb="FF000000"/>
        <rFont val="Verdana"/>
        <family val="2"/>
      </rPr>
      <t>3S1P / 11.1v / 3Cell</t>
    </r>
  </si>
  <si>
    <r>
      <t>Constant Discharge: </t>
    </r>
    <r>
      <rPr>
        <b/>
        <sz val="8"/>
        <color rgb="FF000000"/>
        <rFont val="Verdana"/>
        <family val="2"/>
      </rPr>
      <t>20C</t>
    </r>
  </si>
  <si>
    <r>
      <t>Peak Discharge (10sec): </t>
    </r>
    <r>
      <rPr>
        <b/>
        <sz val="8"/>
        <color rgb="FF000000"/>
        <rFont val="Verdana"/>
        <family val="2"/>
      </rPr>
      <t>30C</t>
    </r>
  </si>
  <si>
    <r>
      <t>Pack Weight: </t>
    </r>
    <r>
      <rPr>
        <b/>
        <sz val="8"/>
        <color rgb="FF000000"/>
        <rFont val="Verdana"/>
        <family val="2"/>
      </rPr>
      <t>188g</t>
    </r>
  </si>
  <si>
    <r>
      <t>Pack Size: </t>
    </r>
    <r>
      <rPr>
        <b/>
        <sz val="8"/>
        <color rgb="FF000000"/>
        <rFont val="Verdana"/>
        <family val="2"/>
      </rPr>
      <t>103 x 33 x 24mm</t>
    </r>
  </si>
  <si>
    <r>
      <t>Charge Plug: </t>
    </r>
    <r>
      <rPr>
        <b/>
        <sz val="8"/>
        <color rgb="FF000000"/>
        <rFont val="Verdana"/>
        <family val="2"/>
      </rPr>
      <t>JST-XH</t>
    </r>
  </si>
  <si>
    <r>
      <t>Discharge Plug: </t>
    </r>
    <r>
      <rPr>
        <b/>
        <sz val="8"/>
        <color rgb="FF000000"/>
        <rFont val="Verdana"/>
        <family val="2"/>
      </rPr>
      <t>XT60</t>
    </r>
  </si>
  <si>
    <t>amps</t>
  </si>
  <si>
    <t>I</t>
  </si>
  <si>
    <t>V</t>
  </si>
  <si>
    <t>volts</t>
  </si>
  <si>
    <t>t</t>
  </si>
  <si>
    <t>E</t>
  </si>
  <si>
    <t>J</t>
  </si>
  <si>
    <t>Battery</t>
  </si>
  <si>
    <t>Type</t>
  </si>
  <si>
    <t>Cost</t>
  </si>
  <si>
    <t>$ per Wh</t>
  </si>
  <si>
    <t>Joules/kg</t>
  </si>
  <si>
    <t>Wh/liter</t>
  </si>
  <si>
    <t>Lead-acid</t>
  </si>
  <si>
    <t>Alkaline long-life</t>
  </si>
  <si>
    <t>Carbon-zinc</t>
  </si>
  <si>
    <t>NiMH</t>
  </si>
  <si>
    <t>NiCad</t>
  </si>
  <si>
    <t>Lithium-ion</t>
  </si>
  <si>
    <t>Wh</t>
  </si>
  <si>
    <t>weight</t>
  </si>
  <si>
    <t>J/kg</t>
  </si>
  <si>
    <t>Joules/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</si>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</sst>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FFFBF"/>
        <bgColor indexed="64"/>
      </patternFill>
    </fill>
    <fill>
      <patternFill patternType="solid">
        <fgColor rgb="FF5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2" borderId="1" xfId="0" applyFill="1" applyBorder="1"/>
    <xf numFmtId="0" fontId="1" fillId="0" borderId="0" xfId="0" applyFont="1"/>
    <xf numFmtId="0" fontId="0" fillId="4" borderId="0" xfId="0" applyFill="1"/>
    <xf numFmtId="0" fontId="0" fillId="4" borderId="0" xfId="0" applyFill="1" applyBorder="1"/>
    <xf numFmtId="0" fontId="0" fillId="3" borderId="2" xfId="0" applyFill="1" applyBorder="1"/>
    <xf numFmtId="0" fontId="0" fillId="0" borderId="0" xfId="0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2" fontId="0" fillId="3" borderId="1" xfId="0" applyNumberFormat="1" applyFill="1" applyBorder="1"/>
    <xf numFmtId="2" fontId="0" fillId="3" borderId="0" xfId="0" applyNumberFormat="1" applyFill="1"/>
    <xf numFmtId="0" fontId="2" fillId="5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6" borderId="0" xfId="0" applyFill="1"/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8" fontId="6" fillId="6" borderId="3" xfId="0" applyNumberFormat="1" applyFont="1" applyFill="1" applyBorder="1" applyAlignment="1">
      <alignment horizontal="center" vertical="center" wrapText="1"/>
    </xf>
    <xf numFmtId="3" fontId="6" fillId="6" borderId="3" xfId="0" applyNumberFormat="1" applyFont="1" applyFill="1" applyBorder="1" applyAlignment="1">
      <alignment horizontal="center" vertical="center" wrapText="1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NumberFormat="1" applyFill="1"/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12</xdr:col>
      <xdr:colOff>257175</xdr:colOff>
      <xdr:row>14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6800" y="1143000"/>
          <a:ext cx="2695575" cy="14859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0</xdr:rowOff>
    </xdr:from>
    <xdr:to>
      <xdr:col>4</xdr:col>
      <xdr:colOff>114300</xdr:colOff>
      <xdr:row>9</xdr:row>
      <xdr:rowOff>45832</xdr:rowOff>
    </xdr:to>
    <xdr:pic>
      <xdr:nvPicPr>
        <xdr:cNvPr id="2" name="Picture 1" descr="Turnigy 2200mAh 3S 20C Lipo Pack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0"/>
          <a:ext cx="2457450" cy="1893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80" zoomScaleNormal="80" workbookViewId="0">
      <selection activeCell="C19" sqref="C19"/>
    </sheetView>
  </sheetViews>
  <sheetFormatPr defaultRowHeight="14.5" x14ac:dyDescent="0.35"/>
  <cols>
    <col min="1" max="1" width="33.81640625" customWidth="1"/>
    <col min="3" max="3" width="15.81640625" customWidth="1"/>
    <col min="4" max="4" width="16.453125" bestFit="1" customWidth="1"/>
    <col min="8" max="9" width="23" bestFit="1" customWidth="1"/>
    <col min="10" max="10" width="6.1796875" customWidth="1"/>
    <col min="11" max="11" width="14.1796875" bestFit="1" customWidth="1"/>
    <col min="12" max="12" width="5.7265625" customWidth="1"/>
  </cols>
  <sheetData>
    <row r="1" spans="1:14" ht="21" x14ac:dyDescent="0.5">
      <c r="C1" s="1" t="s">
        <v>0</v>
      </c>
      <c r="D1" s="1" t="s">
        <v>1</v>
      </c>
      <c r="E1" s="1" t="s">
        <v>2</v>
      </c>
      <c r="H1" s="7" t="s">
        <v>59</v>
      </c>
    </row>
    <row r="2" spans="1:14" x14ac:dyDescent="0.35">
      <c r="B2" t="s">
        <v>3</v>
      </c>
      <c r="C2" s="6">
        <v>10</v>
      </c>
      <c r="D2">
        <f>9.80665*C2</f>
        <v>98.066499999999991</v>
      </c>
      <c r="E2" s="2">
        <f>2.20462*C2</f>
        <v>22.046199999999999</v>
      </c>
      <c r="H2" s="5" t="s">
        <v>48</v>
      </c>
      <c r="I2" s="12" t="s">
        <v>48</v>
      </c>
      <c r="J2" s="5"/>
      <c r="K2" s="5" t="s">
        <v>95</v>
      </c>
      <c r="L2" s="5"/>
      <c r="M2" s="5"/>
      <c r="N2" s="5"/>
    </row>
    <row r="3" spans="1:14" x14ac:dyDescent="0.35">
      <c r="H3" s="5" t="s">
        <v>79</v>
      </c>
      <c r="I3" s="13">
        <f>'take off'!B9</f>
        <v>2.3487543600207719E-4</v>
      </c>
      <c r="J3" s="5"/>
      <c r="K3" s="13">
        <f>$I$12*I3</f>
        <v>8.9994248841577269E-3</v>
      </c>
      <c r="L3" s="5" t="s">
        <v>13</v>
      </c>
      <c r="M3" s="5"/>
      <c r="N3" s="5"/>
    </row>
    <row r="4" spans="1:14" x14ac:dyDescent="0.35">
      <c r="A4" t="s">
        <v>4</v>
      </c>
      <c r="B4">
        <v>9.8000000000000007</v>
      </c>
      <c r="C4" t="s">
        <v>5</v>
      </c>
      <c r="H4" s="5" t="s">
        <v>93</v>
      </c>
      <c r="I4" s="13">
        <f>'Best range cruise'!B11</f>
        <v>3.5051667833570811E-2</v>
      </c>
      <c r="J4" s="5"/>
      <c r="K4" s="13">
        <f t="shared" ref="K4:K7" si="0">$I$12*I4</f>
        <v>1.3430304041239902</v>
      </c>
      <c r="L4" s="5" t="s">
        <v>13</v>
      </c>
      <c r="M4" s="5"/>
      <c r="N4" s="5"/>
    </row>
    <row r="5" spans="1:14" x14ac:dyDescent="0.35">
      <c r="A5" t="s">
        <v>6</v>
      </c>
      <c r="H5" s="5" t="s">
        <v>94</v>
      </c>
      <c r="I5" s="13">
        <f>'loiter 40kn'!B11</f>
        <v>0</v>
      </c>
      <c r="J5" s="5"/>
      <c r="K5" s="13">
        <f t="shared" si="0"/>
        <v>0</v>
      </c>
      <c r="L5" s="5" t="s">
        <v>13</v>
      </c>
      <c r="M5" s="5"/>
      <c r="N5" s="5"/>
    </row>
    <row r="6" spans="1:14" x14ac:dyDescent="0.35">
      <c r="A6" t="s">
        <v>7</v>
      </c>
      <c r="B6" s="6">
        <v>5</v>
      </c>
      <c r="H6" s="5" t="s">
        <v>92</v>
      </c>
      <c r="I6" s="13">
        <f>'Cruise 60 kn'!B11</f>
        <v>0</v>
      </c>
      <c r="J6" s="5"/>
      <c r="K6" s="13">
        <f t="shared" si="0"/>
        <v>0</v>
      </c>
      <c r="L6" s="5" t="s">
        <v>13</v>
      </c>
      <c r="M6" s="5"/>
      <c r="N6" s="5"/>
    </row>
    <row r="7" spans="1:14" x14ac:dyDescent="0.35">
      <c r="A7" t="s">
        <v>8</v>
      </c>
      <c r="B7" s="6">
        <v>0.1</v>
      </c>
      <c r="H7" s="5" t="s">
        <v>80</v>
      </c>
      <c r="I7" s="13">
        <f>Turns!B9</f>
        <v>3.3765505024114503E-4</v>
      </c>
      <c r="J7" s="5"/>
      <c r="K7" s="13">
        <f t="shared" si="0"/>
        <v>1.293750131186479E-2</v>
      </c>
      <c r="L7" s="5" t="s">
        <v>13</v>
      </c>
      <c r="M7" s="5"/>
      <c r="N7" s="5"/>
    </row>
    <row r="8" spans="1:14" x14ac:dyDescent="0.35">
      <c r="A8" t="s">
        <v>9</v>
      </c>
      <c r="B8" s="6">
        <v>0.8</v>
      </c>
      <c r="H8" s="5"/>
      <c r="I8" s="13"/>
      <c r="J8" s="5"/>
      <c r="K8" s="13"/>
      <c r="L8" s="5"/>
      <c r="M8" s="5"/>
      <c r="N8" s="5"/>
    </row>
    <row r="9" spans="1:14" x14ac:dyDescent="0.35">
      <c r="A9" t="s">
        <v>10</v>
      </c>
      <c r="B9" s="6">
        <v>0.8</v>
      </c>
      <c r="H9" s="5"/>
      <c r="I9" s="13"/>
      <c r="J9" s="5"/>
      <c r="K9" s="13"/>
      <c r="L9" s="5"/>
      <c r="M9" s="5"/>
      <c r="N9" s="5"/>
    </row>
    <row r="10" spans="1:14" x14ac:dyDescent="0.35">
      <c r="A10" t="s">
        <v>11</v>
      </c>
      <c r="B10" s="6">
        <v>0.85</v>
      </c>
      <c r="H10" s="5" t="s">
        <v>49</v>
      </c>
      <c r="I10" s="13">
        <f>SUM(I3:I7)</f>
        <v>3.5624198319814032E-2</v>
      </c>
      <c r="J10" s="5"/>
      <c r="K10" s="13">
        <f>SUM(K3:K7)</f>
        <v>1.3649673303200129</v>
      </c>
      <c r="L10" s="5" t="s">
        <v>13</v>
      </c>
      <c r="M10" s="5"/>
      <c r="N10" s="5"/>
    </row>
    <row r="11" spans="1:14" x14ac:dyDescent="0.35">
      <c r="A11" t="s">
        <v>73</v>
      </c>
      <c r="B11" s="6">
        <v>75</v>
      </c>
      <c r="C11" t="s">
        <v>18</v>
      </c>
      <c r="D11">
        <f>B11*3.59694/10.7639</f>
        <v>25.062523806427041</v>
      </c>
      <c r="E11" t="s">
        <v>19</v>
      </c>
      <c r="H11" s="5"/>
      <c r="I11" s="13"/>
      <c r="J11" s="5"/>
      <c r="K11" s="13"/>
      <c r="L11" s="5"/>
      <c r="M11" s="5"/>
      <c r="N11" s="5"/>
    </row>
    <row r="12" spans="1:14" x14ac:dyDescent="0.35">
      <c r="A12" t="s">
        <v>20</v>
      </c>
      <c r="B12" s="6">
        <v>8.6999999999999993</v>
      </c>
      <c r="C12" t="s">
        <v>36</v>
      </c>
      <c r="D12">
        <f>B12/0.224809</f>
        <v>38.699518257720996</v>
      </c>
      <c r="E12" t="s">
        <v>21</v>
      </c>
      <c r="F12">
        <f>D12/16</f>
        <v>2.4187198911075622</v>
      </c>
      <c r="G12" t="s">
        <v>71</v>
      </c>
      <c r="H12" s="5" t="s">
        <v>50</v>
      </c>
      <c r="I12" s="14">
        <f>B15/(1-B14-I10)</f>
        <v>38.315734660640025</v>
      </c>
      <c r="J12" s="5" t="s">
        <v>13</v>
      </c>
      <c r="K12" s="13">
        <f>I12*0.101972</f>
        <v>3.9071320948147843</v>
      </c>
      <c r="L12" s="5" t="s">
        <v>0</v>
      </c>
      <c r="M12" s="5">
        <f>I12*0.224809</f>
        <v>8.6137219933238232</v>
      </c>
      <c r="N12" s="5" t="s">
        <v>2</v>
      </c>
    </row>
    <row r="13" spans="1:14" x14ac:dyDescent="0.35">
      <c r="A13" t="s">
        <v>22</v>
      </c>
      <c r="B13" s="6">
        <v>46939</v>
      </c>
      <c r="C13" t="s">
        <v>37</v>
      </c>
      <c r="D13" s="2">
        <f>B13/0.224</f>
        <v>209549.10714285713</v>
      </c>
      <c r="E13" t="s">
        <v>60</v>
      </c>
      <c r="H13" s="5" t="s">
        <v>51</v>
      </c>
      <c r="I13" s="14">
        <f>I12*B14</f>
        <v>19.157867330320013</v>
      </c>
      <c r="J13" s="5" t="s">
        <v>13</v>
      </c>
      <c r="K13" s="13">
        <f t="shared" ref="K13:K14" si="1">I13*0.101972</f>
        <v>1.9535660474073921</v>
      </c>
      <c r="L13" s="5" t="s">
        <v>0</v>
      </c>
      <c r="M13" s="5">
        <f t="shared" ref="M13:M14" si="2">I13*0.224809</f>
        <v>4.3068609966619116</v>
      </c>
      <c r="N13" s="5" t="s">
        <v>2</v>
      </c>
    </row>
    <row r="14" spans="1:14" x14ac:dyDescent="0.35">
      <c r="A14" t="s">
        <v>23</v>
      </c>
      <c r="B14" s="6">
        <v>0.5</v>
      </c>
      <c r="D14" s="2"/>
      <c r="H14" s="5" t="s">
        <v>52</v>
      </c>
      <c r="I14" s="14">
        <f>I12*I10</f>
        <v>1.3649673303200127</v>
      </c>
      <c r="J14" s="5" t="s">
        <v>13</v>
      </c>
      <c r="K14" s="13">
        <f t="shared" si="1"/>
        <v>0.13918844860739232</v>
      </c>
      <c r="L14" s="5" t="s">
        <v>0</v>
      </c>
      <c r="M14" s="5">
        <f t="shared" si="2"/>
        <v>0.30685694056191176</v>
      </c>
      <c r="N14" s="5" t="s">
        <v>2</v>
      </c>
    </row>
    <row r="15" spans="1:14" x14ac:dyDescent="0.35">
      <c r="A15" t="s">
        <v>12</v>
      </c>
      <c r="B15" s="6">
        <v>17.792899999999999</v>
      </c>
      <c r="C15" t="s">
        <v>13</v>
      </c>
      <c r="D15" s="2">
        <f>0.224809*B15</f>
        <v>4.0000040560999999</v>
      </c>
      <c r="E15" t="s">
        <v>2</v>
      </c>
      <c r="H15" s="5"/>
      <c r="I15" s="13"/>
      <c r="J15" s="5"/>
      <c r="K15" s="13"/>
      <c r="L15" s="5"/>
      <c r="M15" s="5"/>
      <c r="N15" s="5"/>
    </row>
    <row r="16" spans="1:14" x14ac:dyDescent="0.35">
      <c r="B16" s="9"/>
      <c r="D16" s="2"/>
      <c r="H16" s="5"/>
      <c r="I16" s="13"/>
      <c r="J16" s="5"/>
      <c r="K16" s="13"/>
      <c r="L16" s="5"/>
      <c r="M16" s="5"/>
      <c r="N16" s="5"/>
    </row>
    <row r="17" spans="1:14" x14ac:dyDescent="0.35">
      <c r="H17" s="5" t="s">
        <v>54</v>
      </c>
      <c r="I17" s="14">
        <f>I12/B11</f>
        <v>0.51087646214186699</v>
      </c>
      <c r="J17" s="5" t="s">
        <v>55</v>
      </c>
      <c r="K17" s="13">
        <f>3.28084^2*I17</f>
        <v>5.4990288244384802</v>
      </c>
      <c r="L17" s="5" t="s">
        <v>58</v>
      </c>
      <c r="M17" s="5"/>
      <c r="N17" s="5"/>
    </row>
    <row r="18" spans="1:14" x14ac:dyDescent="0.35">
      <c r="A18" t="s">
        <v>14</v>
      </c>
      <c r="B18">
        <f>1/(PI()*B6*B8)</f>
        <v>7.9577471545947673E-2</v>
      </c>
      <c r="D18" t="s">
        <v>15</v>
      </c>
      <c r="H18" s="5" t="s">
        <v>56</v>
      </c>
      <c r="I18" s="14">
        <f>SQRT(I17*B6)</f>
        <v>1.5982435079515684</v>
      </c>
      <c r="J18" s="5" t="s">
        <v>34</v>
      </c>
      <c r="K18" s="13">
        <f>3.28084*I18</f>
        <v>5.2435812306278242</v>
      </c>
      <c r="L18" s="5" t="s">
        <v>57</v>
      </c>
      <c r="M18" s="5"/>
      <c r="N18" s="5"/>
    </row>
    <row r="19" spans="1:14" x14ac:dyDescent="0.35">
      <c r="A19" t="s">
        <v>16</v>
      </c>
      <c r="B19">
        <f>1/(2*SQRT(B18*B7))</f>
        <v>5.604991216397929</v>
      </c>
      <c r="D19" t="s">
        <v>17</v>
      </c>
      <c r="H19" s="10" t="s">
        <v>69</v>
      </c>
      <c r="I19" s="15">
        <f>B12*I12</f>
        <v>333.34689154756819</v>
      </c>
      <c r="J19" s="10" t="s">
        <v>70</v>
      </c>
    </row>
    <row r="21" spans="1:14" x14ac:dyDescent="0.35">
      <c r="A21" t="s">
        <v>25</v>
      </c>
      <c r="B21" s="3">
        <v>1.2250000000000001</v>
      </c>
      <c r="C21" t="s">
        <v>26</v>
      </c>
      <c r="H21" s="11"/>
    </row>
    <row r="22" spans="1:14" x14ac:dyDescent="0.35">
      <c r="A22" t="s">
        <v>27</v>
      </c>
      <c r="B22" s="3">
        <v>1.2</v>
      </c>
      <c r="I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80" zoomScaleNormal="80" workbookViewId="0">
      <selection activeCell="B9" sqref="B9"/>
    </sheetView>
  </sheetViews>
  <sheetFormatPr defaultRowHeight="14.5" x14ac:dyDescent="0.35"/>
  <cols>
    <col min="1" max="1" width="21.26953125" customWidth="1"/>
  </cols>
  <sheetData>
    <row r="1" spans="1:6" x14ac:dyDescent="0.35">
      <c r="A1" t="s">
        <v>24</v>
      </c>
    </row>
    <row r="3" spans="1:6" x14ac:dyDescent="0.35">
      <c r="A3" t="s">
        <v>25</v>
      </c>
      <c r="B3" s="3">
        <v>1.2250000000000001</v>
      </c>
      <c r="C3" t="s">
        <v>26</v>
      </c>
    </row>
    <row r="4" spans="1:6" x14ac:dyDescent="0.35">
      <c r="A4" t="s">
        <v>27</v>
      </c>
      <c r="B4" s="3">
        <v>1.2</v>
      </c>
    </row>
    <row r="5" spans="1:6" x14ac:dyDescent="0.35">
      <c r="A5" t="s">
        <v>28</v>
      </c>
      <c r="B5">
        <f>1.2*SQRT(2*airplane!B11/(B3*B4))</f>
        <v>12.121830534626527</v>
      </c>
      <c r="C5" t="s">
        <v>29</v>
      </c>
      <c r="F5" t="s">
        <v>30</v>
      </c>
    </row>
    <row r="6" spans="1:6" x14ac:dyDescent="0.35">
      <c r="A6" t="s">
        <v>31</v>
      </c>
      <c r="B6">
        <f>1/2*B5^2/(airplane!B4*airplane!B12*airplane!B9*airplane!B10)</f>
        <v>1.2672204701725864</v>
      </c>
      <c r="C6" t="s">
        <v>32</v>
      </c>
      <c r="F6" t="s">
        <v>88</v>
      </c>
    </row>
    <row r="7" spans="1:6" x14ac:dyDescent="0.35">
      <c r="A7" t="s">
        <v>33</v>
      </c>
      <c r="B7">
        <f>1/3*B5^3/(airplane!B4*airplane!B9*airplane!B10*airplane!B12)</f>
        <v>10.240687859627897</v>
      </c>
      <c r="C7" t="s">
        <v>34</v>
      </c>
      <c r="F7" t="s">
        <v>53</v>
      </c>
    </row>
    <row r="9" spans="1:6" x14ac:dyDescent="0.35">
      <c r="A9" t="s">
        <v>38</v>
      </c>
      <c r="B9">
        <f>B6*airplane!B12/airplane!B13</f>
        <v>2.3487543600207719E-4</v>
      </c>
      <c r="F9" t="s">
        <v>35</v>
      </c>
    </row>
    <row r="13" spans="1:6" x14ac:dyDescent="0.35">
      <c r="A13" t="s">
        <v>63</v>
      </c>
      <c r="B13">
        <f>B5/1.2</f>
        <v>10.101525445522107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"/>
  <sheetViews>
    <sheetView zoomScale="80" zoomScaleNormal="80" workbookViewId="0">
      <selection activeCell="B5" sqref="B5"/>
    </sheetView>
  </sheetViews>
  <sheetFormatPr defaultRowHeight="14.5" x14ac:dyDescent="0.35"/>
  <cols>
    <col min="1" max="1" width="23.7265625" customWidth="1"/>
  </cols>
  <sheetData>
    <row r="1" spans="1:17" x14ac:dyDescent="0.35">
      <c r="A1" t="s">
        <v>62</v>
      </c>
      <c r="P1" t="s">
        <v>67</v>
      </c>
    </row>
    <row r="2" spans="1:17" x14ac:dyDescent="0.35">
      <c r="A2" t="s">
        <v>25</v>
      </c>
      <c r="B2" s="3">
        <v>1.2250000000000001</v>
      </c>
      <c r="C2" t="s">
        <v>26</v>
      </c>
      <c r="P2">
        <v>3.280839895013</v>
      </c>
      <c r="Q2" t="s">
        <v>61</v>
      </c>
    </row>
    <row r="3" spans="1:17" x14ac:dyDescent="0.35">
      <c r="A3" t="s">
        <v>39</v>
      </c>
      <c r="B3" s="8">
        <f>B5*B4*3.6</f>
        <v>6.2708493800965259</v>
      </c>
      <c r="C3" t="s">
        <v>40</v>
      </c>
      <c r="P3">
        <v>1.9438444924410001</v>
      </c>
      <c r="Q3" t="s">
        <v>65</v>
      </c>
    </row>
    <row r="4" spans="1:17" x14ac:dyDescent="0.35">
      <c r="A4" t="s">
        <v>89</v>
      </c>
      <c r="B4" s="3">
        <f>1/6</f>
        <v>0.16666666666666666</v>
      </c>
      <c r="C4" t="s">
        <v>90</v>
      </c>
    </row>
    <row r="5" spans="1:17" x14ac:dyDescent="0.35">
      <c r="A5" t="s">
        <v>41</v>
      </c>
      <c r="B5" s="8">
        <f>SQRT(2*airplane!B11/('Best range cruise'!B2*SQRT(airplane!B7/airplane!B18)))</f>
        <v>10.451415633494211</v>
      </c>
      <c r="C5" t="s">
        <v>29</v>
      </c>
      <c r="D5">
        <f>B5*P2</f>
        <v>34.28942136973037</v>
      </c>
      <c r="E5" t="s">
        <v>61</v>
      </c>
      <c r="F5">
        <f>B5*P3</f>
        <v>20.315926717379487</v>
      </c>
      <c r="G5" t="s">
        <v>65</v>
      </c>
      <c r="H5">
        <f>B5*P5</f>
        <v>23.379150933903748</v>
      </c>
      <c r="I5" t="s">
        <v>66</v>
      </c>
      <c r="P5">
        <v>2.2369362920540001</v>
      </c>
      <c r="Q5" t="s">
        <v>68</v>
      </c>
    </row>
    <row r="7" spans="1:17" x14ac:dyDescent="0.35">
      <c r="A7" t="s">
        <v>42</v>
      </c>
      <c r="B7">
        <f>B3*1000/B5</f>
        <v>600</v>
      </c>
      <c r="C7" t="s">
        <v>32</v>
      </c>
      <c r="D7">
        <f>B7/60</f>
        <v>10</v>
      </c>
      <c r="E7" t="s">
        <v>64</v>
      </c>
    </row>
    <row r="8" spans="1:17" x14ac:dyDescent="0.35">
      <c r="A8" t="s">
        <v>43</v>
      </c>
      <c r="B8">
        <f>1/2*B2*B5^2</f>
        <v>66.904654355728908</v>
      </c>
      <c r="C8" t="s">
        <v>18</v>
      </c>
    </row>
    <row r="9" spans="1:17" x14ac:dyDescent="0.35">
      <c r="A9" t="s">
        <v>44</v>
      </c>
      <c r="B9">
        <f>airplane!B11/(airplane!B7*B8+airplane!B18*airplane!B11^2/B8)</f>
        <v>5.6049912163979281</v>
      </c>
    </row>
    <row r="11" spans="1:17" x14ac:dyDescent="0.35">
      <c r="A11" t="s">
        <v>47</v>
      </c>
      <c r="B11">
        <f>B3/(airplane!B9*airplane!B10*airplane!B19*airplane!B13)*1000</f>
        <v>3.5051667833570811E-2</v>
      </c>
    </row>
    <row r="18" spans="5:5" x14ac:dyDescent="0.35">
      <c r="E18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"/>
  <sheetViews>
    <sheetView zoomScale="80" zoomScaleNormal="80" workbookViewId="0">
      <selection activeCell="B5" sqref="B5"/>
    </sheetView>
  </sheetViews>
  <sheetFormatPr defaultRowHeight="14.5" x14ac:dyDescent="0.35"/>
  <cols>
    <col min="1" max="1" width="20.453125" bestFit="1" customWidth="1"/>
  </cols>
  <sheetData>
    <row r="1" spans="1:17" x14ac:dyDescent="0.35">
      <c r="A1" t="s">
        <v>74</v>
      </c>
      <c r="P1" t="s">
        <v>67</v>
      </c>
    </row>
    <row r="2" spans="1:17" x14ac:dyDescent="0.35">
      <c r="A2" t="s">
        <v>25</v>
      </c>
      <c r="B2" s="3">
        <v>1.2250000000000001</v>
      </c>
      <c r="C2" t="s">
        <v>26</v>
      </c>
      <c r="P2">
        <v>3.280839895013</v>
      </c>
      <c r="Q2" t="s">
        <v>61</v>
      </c>
    </row>
    <row r="3" spans="1:17" x14ac:dyDescent="0.35">
      <c r="A3" t="s">
        <v>75</v>
      </c>
      <c r="B3" s="8">
        <f>B5*B4*3.6</f>
        <v>0</v>
      </c>
      <c r="C3" t="s">
        <v>40</v>
      </c>
      <c r="P3">
        <v>1.9438444924410001</v>
      </c>
      <c r="Q3" t="s">
        <v>65</v>
      </c>
    </row>
    <row r="4" spans="1:17" x14ac:dyDescent="0.35">
      <c r="A4" t="s">
        <v>91</v>
      </c>
      <c r="B4" s="3">
        <v>0</v>
      </c>
    </row>
    <row r="5" spans="1:17" x14ac:dyDescent="0.35">
      <c r="A5" t="s">
        <v>76</v>
      </c>
      <c r="B5" s="3">
        <v>21</v>
      </c>
      <c r="C5" t="s">
        <v>29</v>
      </c>
      <c r="D5">
        <f>B5*P2</f>
        <v>68.897637795272999</v>
      </c>
      <c r="E5" t="s">
        <v>61</v>
      </c>
      <c r="F5">
        <f>B5*P3</f>
        <v>40.820734341261002</v>
      </c>
      <c r="G5" t="s">
        <v>65</v>
      </c>
      <c r="H5">
        <f>B5*P5</f>
        <v>46.975662133134001</v>
      </c>
      <c r="I5" t="s">
        <v>66</v>
      </c>
      <c r="P5">
        <v>2.2369362920540001</v>
      </c>
      <c r="Q5" t="s">
        <v>68</v>
      </c>
    </row>
    <row r="7" spans="1:17" x14ac:dyDescent="0.35">
      <c r="A7" t="s">
        <v>77</v>
      </c>
      <c r="B7">
        <f>B3*1000/B5</f>
        <v>0</v>
      </c>
      <c r="C7" t="s">
        <v>32</v>
      </c>
      <c r="D7">
        <f>B7/60</f>
        <v>0</v>
      </c>
      <c r="E7" t="s">
        <v>64</v>
      </c>
    </row>
    <row r="8" spans="1:17" x14ac:dyDescent="0.35">
      <c r="A8" t="s">
        <v>43</v>
      </c>
      <c r="B8">
        <f>1/2*B2*B5^2</f>
        <v>270.11250000000001</v>
      </c>
      <c r="C8" t="s">
        <v>18</v>
      </c>
    </row>
    <row r="9" spans="1:17" x14ac:dyDescent="0.35">
      <c r="A9" t="s">
        <v>78</v>
      </c>
      <c r="B9">
        <f>airplane!B11/(airplane!B7*B8+airplane!B18*airplane!B11^2/B8)</f>
        <v>2.6161187410902582</v>
      </c>
      <c r="G9" t="s">
        <v>45</v>
      </c>
    </row>
    <row r="11" spans="1:17" x14ac:dyDescent="0.35">
      <c r="A11" t="s">
        <v>47</v>
      </c>
      <c r="B11">
        <f>B3/(airplane!B9*airplane!B10*airplane!B13*B9)*1000</f>
        <v>0</v>
      </c>
      <c r="G1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"/>
  <sheetViews>
    <sheetView workbookViewId="0">
      <selection activeCell="B4" sqref="B4"/>
    </sheetView>
  </sheetViews>
  <sheetFormatPr defaultRowHeight="14.5" x14ac:dyDescent="0.35"/>
  <cols>
    <col min="1" max="1" width="22.1796875" customWidth="1"/>
    <col min="2" max="2" width="11" bestFit="1" customWidth="1"/>
  </cols>
  <sheetData>
    <row r="1" spans="1:17" x14ac:dyDescent="0.35">
      <c r="A1" t="s">
        <v>72</v>
      </c>
      <c r="P1" t="s">
        <v>67</v>
      </c>
    </row>
    <row r="2" spans="1:17" x14ac:dyDescent="0.35">
      <c r="A2" t="s">
        <v>25</v>
      </c>
      <c r="B2" s="3">
        <v>1.2250000000000001</v>
      </c>
      <c r="C2" t="s">
        <v>26</v>
      </c>
      <c r="P2">
        <v>3.280839895013</v>
      </c>
      <c r="Q2" t="s">
        <v>61</v>
      </c>
    </row>
    <row r="3" spans="1:17" x14ac:dyDescent="0.35">
      <c r="A3" t="s">
        <v>39</v>
      </c>
      <c r="B3" s="8">
        <v>0</v>
      </c>
      <c r="C3" t="s">
        <v>40</v>
      </c>
      <c r="P3">
        <v>1.9438444924410001</v>
      </c>
      <c r="Q3" t="s">
        <v>65</v>
      </c>
    </row>
    <row r="4" spans="1:17" x14ac:dyDescent="0.35">
      <c r="A4" t="s">
        <v>91</v>
      </c>
      <c r="B4" s="32">
        <f>1/6</f>
        <v>0.16666666666666666</v>
      </c>
    </row>
    <row r="5" spans="1:17" x14ac:dyDescent="0.35">
      <c r="A5" t="s">
        <v>41</v>
      </c>
      <c r="B5" s="3">
        <v>31</v>
      </c>
      <c r="C5" t="s">
        <v>29</v>
      </c>
      <c r="D5">
        <f>B5*P2</f>
        <v>101.706036745403</v>
      </c>
      <c r="E5" t="s">
        <v>61</v>
      </c>
      <c r="F5">
        <f>B5*P3</f>
        <v>60.259179265671001</v>
      </c>
      <c r="G5" t="s">
        <v>65</v>
      </c>
      <c r="H5">
        <f>B5*P5</f>
        <v>69.345025053674007</v>
      </c>
      <c r="I5" t="s">
        <v>66</v>
      </c>
      <c r="P5">
        <v>2.2369362920540001</v>
      </c>
      <c r="Q5" t="s">
        <v>68</v>
      </c>
    </row>
    <row r="7" spans="1:17" x14ac:dyDescent="0.35">
      <c r="A7" t="s">
        <v>42</v>
      </c>
      <c r="B7">
        <f>B3*1000/B5</f>
        <v>0</v>
      </c>
      <c r="C7" t="s">
        <v>32</v>
      </c>
      <c r="D7">
        <f>B7/60</f>
        <v>0</v>
      </c>
      <c r="E7" t="s">
        <v>64</v>
      </c>
    </row>
    <row r="8" spans="1:17" x14ac:dyDescent="0.35">
      <c r="A8" t="s">
        <v>43</v>
      </c>
      <c r="B8">
        <f>1/2*B2*B5^2</f>
        <v>588.61250000000007</v>
      </c>
      <c r="C8" t="s">
        <v>18</v>
      </c>
    </row>
    <row r="9" spans="1:17" x14ac:dyDescent="0.35">
      <c r="A9" t="s">
        <v>44</v>
      </c>
      <c r="B9">
        <f>airplane!B11/(airplane!B7*B8+airplane!B18*airplane!B11^2/B8)</f>
        <v>1.2579307941129578</v>
      </c>
      <c r="G9" t="s">
        <v>45</v>
      </c>
    </row>
    <row r="11" spans="1:17" x14ac:dyDescent="0.35">
      <c r="A11" t="s">
        <v>47</v>
      </c>
      <c r="B11">
        <f>B3/(airplane!B9*airplane!B10*airplane!B13*B9)*1000</f>
        <v>0</v>
      </c>
      <c r="G11" t="s">
        <v>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9"/>
  <sheetViews>
    <sheetView workbookViewId="0">
      <selection activeCell="B2" sqref="B2"/>
    </sheetView>
  </sheetViews>
  <sheetFormatPr defaultRowHeight="14.5" x14ac:dyDescent="0.35"/>
  <cols>
    <col min="1" max="1" width="25.7265625" bestFit="1" customWidth="1"/>
  </cols>
  <sheetData>
    <row r="2" spans="1:3" x14ac:dyDescent="0.35">
      <c r="A2" t="s">
        <v>86</v>
      </c>
      <c r="B2" s="3">
        <v>0.5</v>
      </c>
    </row>
    <row r="3" spans="1:3" x14ac:dyDescent="0.35">
      <c r="A3" t="s">
        <v>83</v>
      </c>
      <c r="B3" s="3">
        <v>1.2250000000000001</v>
      </c>
      <c r="C3" t="s">
        <v>26</v>
      </c>
    </row>
    <row r="5" spans="1:3" x14ac:dyDescent="0.35">
      <c r="A5" t="s">
        <v>81</v>
      </c>
      <c r="B5">
        <f>1.2*SQRT(2*airplane!B11/(B3*airplane!B22))</f>
        <v>12.121830534626527</v>
      </c>
      <c r="C5" t="s">
        <v>82</v>
      </c>
    </row>
    <row r="6" spans="1:3" x14ac:dyDescent="0.35">
      <c r="A6" t="s">
        <v>84</v>
      </c>
      <c r="B6">
        <f>0.5*B3*B5^2</f>
        <v>89.999999999999986</v>
      </c>
      <c r="C6" t="s">
        <v>18</v>
      </c>
    </row>
    <row r="8" spans="1:3" x14ac:dyDescent="0.35">
      <c r="A8" t="s">
        <v>85</v>
      </c>
      <c r="B8">
        <f>SQRT(B6/(airplane!B18*airplane!B11)*(airplane!B12*airplane!B9*airplane!B10/Turns!B5 - Turns!B6*airplane!B7/(airplane!B11)))</f>
        <v>2.3558415398606183</v>
      </c>
    </row>
    <row r="9" spans="1:3" x14ac:dyDescent="0.35">
      <c r="A9" t="s">
        <v>87</v>
      </c>
      <c r="B9">
        <f>2*3.1416*B2*airplane!B12*Turns!B5/(airplane!B13*airplane!B4*SQRT((Turns!B8)^2-1))</f>
        <v>3.3765505024114503E-4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H18"/>
  <sheetViews>
    <sheetView workbookViewId="0">
      <selection activeCell="J12" sqref="J12"/>
    </sheetView>
  </sheetViews>
  <sheetFormatPr defaultRowHeight="14.5" x14ac:dyDescent="0.35"/>
  <sheetData>
    <row r="3" spans="2:8" x14ac:dyDescent="0.35">
      <c r="B3" t="s">
        <v>97</v>
      </c>
      <c r="C3" s="6">
        <v>46000</v>
      </c>
      <c r="D3" t="s">
        <v>96</v>
      </c>
      <c r="F3" s="6">
        <v>60480</v>
      </c>
    </row>
    <row r="4" spans="2:8" x14ac:dyDescent="0.35">
      <c r="B4" t="s">
        <v>98</v>
      </c>
      <c r="C4">
        <v>7</v>
      </c>
    </row>
    <row r="5" spans="2:8" x14ac:dyDescent="0.35">
      <c r="B5" t="s">
        <v>99</v>
      </c>
      <c r="C5">
        <v>24000</v>
      </c>
      <c r="D5" t="s">
        <v>96</v>
      </c>
    </row>
    <row r="6" spans="2:8" x14ac:dyDescent="0.35">
      <c r="B6" t="s">
        <v>101</v>
      </c>
      <c r="C6">
        <v>0.8</v>
      </c>
    </row>
    <row r="7" spans="2:8" x14ac:dyDescent="0.35">
      <c r="B7" t="s">
        <v>102</v>
      </c>
      <c r="C7">
        <v>0.9</v>
      </c>
    </row>
    <row r="10" spans="2:8" x14ac:dyDescent="0.35">
      <c r="B10" t="s">
        <v>100</v>
      </c>
      <c r="C10">
        <f>C5/(C6*C7*C4*C3)</f>
        <v>0.10351966873706003</v>
      </c>
    </row>
    <row r="12" spans="2:8" x14ac:dyDescent="0.35">
      <c r="B12" t="s">
        <v>103</v>
      </c>
      <c r="C12">
        <v>2</v>
      </c>
      <c r="D12" t="s">
        <v>2</v>
      </c>
      <c r="E12">
        <f>C12*4.44822</f>
        <v>8.8964400000000001</v>
      </c>
    </row>
    <row r="14" spans="2:8" x14ac:dyDescent="0.35">
      <c r="B14" t="s">
        <v>104</v>
      </c>
      <c r="C14">
        <v>0.4</v>
      </c>
    </row>
    <row r="16" spans="2:8" x14ac:dyDescent="0.35">
      <c r="B16" t="s">
        <v>105</v>
      </c>
      <c r="C16">
        <f>E12/(1-C14-C10)</f>
        <v>17.919018015012512</v>
      </c>
      <c r="D16" t="s">
        <v>13</v>
      </c>
      <c r="E16">
        <f>C16/4.44</f>
        <v>4.0358148682460611</v>
      </c>
      <c r="F16" t="s">
        <v>2</v>
      </c>
      <c r="G16">
        <f>C16*101.972</f>
        <v>1827.2381050268557</v>
      </c>
      <c r="H16" t="s">
        <v>4</v>
      </c>
    </row>
    <row r="18" spans="2:8" x14ac:dyDescent="0.35">
      <c r="B18" t="s">
        <v>106</v>
      </c>
      <c r="C18">
        <f>C10*C16</f>
        <v>1.8549708090075063</v>
      </c>
      <c r="D18" t="s">
        <v>13</v>
      </c>
      <c r="E18">
        <f>C18/4.44</f>
        <v>0.41778621824493384</v>
      </c>
      <c r="F18" t="s">
        <v>2</v>
      </c>
      <c r="G18">
        <f>C18*101.972</f>
        <v>189.15508333611342</v>
      </c>
      <c r="H18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5"/>
  <sheetViews>
    <sheetView workbookViewId="0">
      <selection activeCell="G6" sqref="G6"/>
    </sheetView>
  </sheetViews>
  <sheetFormatPr defaultRowHeight="14.5" x14ac:dyDescent="0.35"/>
  <sheetData>
    <row r="2" spans="1:7" x14ac:dyDescent="0.35">
      <c r="E2">
        <v>9.8066499999999994</v>
      </c>
      <c r="F2" t="s">
        <v>108</v>
      </c>
    </row>
    <row r="4" spans="1:7" x14ac:dyDescent="0.35">
      <c r="A4" t="s">
        <v>109</v>
      </c>
      <c r="B4">
        <v>0.04</v>
      </c>
      <c r="C4" t="s">
        <v>107</v>
      </c>
      <c r="D4">
        <f>B4/E2</f>
        <v>4.0788648519117137E-3</v>
      </c>
      <c r="E4" t="s">
        <v>114</v>
      </c>
      <c r="F4">
        <f>D4*1000*60</f>
        <v>244.73189111470282</v>
      </c>
      <c r="G4" t="s">
        <v>110</v>
      </c>
    </row>
    <row r="5" spans="1:7" x14ac:dyDescent="0.35">
      <c r="A5" t="s">
        <v>111</v>
      </c>
      <c r="B5">
        <v>200</v>
      </c>
      <c r="C5" t="s">
        <v>112</v>
      </c>
      <c r="D5">
        <f>B5/E2</f>
        <v>20.394324259558566</v>
      </c>
      <c r="E5" t="s">
        <v>113</v>
      </c>
      <c r="F5">
        <f>D5*60</f>
        <v>1223.6594555735139</v>
      </c>
      <c r="G5" t="s">
        <v>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Q21"/>
  <sheetViews>
    <sheetView topLeftCell="E1" workbookViewId="0">
      <selection activeCell="P17" sqref="P17"/>
    </sheetView>
  </sheetViews>
  <sheetFormatPr defaultRowHeight="14.5" x14ac:dyDescent="0.35"/>
  <cols>
    <col min="2" max="2" width="15.81640625" customWidth="1"/>
    <col min="5" max="5" width="52.81640625" customWidth="1"/>
    <col min="12" max="12" width="11.26953125" customWidth="1"/>
    <col min="13" max="13" width="11.7265625" customWidth="1"/>
    <col min="17" max="17" width="12.26953125" customWidth="1"/>
  </cols>
  <sheetData>
    <row r="3" spans="2:17" x14ac:dyDescent="0.35">
      <c r="L3" s="25"/>
      <c r="M3" s="26"/>
      <c r="N3" s="26"/>
      <c r="O3" s="26"/>
      <c r="P3" s="26"/>
      <c r="Q3" s="27"/>
    </row>
    <row r="4" spans="2:17" ht="15" customHeight="1" x14ac:dyDescent="0.35">
      <c r="L4" s="20" t="s">
        <v>139</v>
      </c>
      <c r="M4" s="20" t="s">
        <v>141</v>
      </c>
      <c r="N4" s="33" t="s">
        <v>112</v>
      </c>
      <c r="O4" s="33" t="s">
        <v>143</v>
      </c>
      <c r="P4" s="20" t="s">
        <v>154</v>
      </c>
      <c r="Q4" s="33" t="s">
        <v>144</v>
      </c>
    </row>
    <row r="5" spans="2:17" ht="27" x14ac:dyDescent="0.35">
      <c r="L5" s="21" t="s">
        <v>140</v>
      </c>
      <c r="M5" s="21" t="s">
        <v>142</v>
      </c>
      <c r="N5" s="34"/>
      <c r="O5" s="34"/>
      <c r="P5" s="21" t="s">
        <v>155</v>
      </c>
      <c r="Q5" s="34"/>
    </row>
    <row r="6" spans="2:17" x14ac:dyDescent="0.35">
      <c r="L6" s="28"/>
      <c r="M6" s="19"/>
      <c r="N6" s="19"/>
      <c r="O6" s="19"/>
      <c r="P6" s="19"/>
      <c r="Q6" s="29"/>
    </row>
    <row r="7" spans="2:17" x14ac:dyDescent="0.35">
      <c r="L7" s="22" t="s">
        <v>145</v>
      </c>
      <c r="M7" s="23">
        <v>0.17</v>
      </c>
      <c r="N7" s="22">
        <v>41</v>
      </c>
      <c r="O7" s="24">
        <v>146000</v>
      </c>
      <c r="P7" s="24">
        <f>O7/9.8</f>
        <v>14897.959183673469</v>
      </c>
      <c r="Q7" s="22">
        <v>100</v>
      </c>
    </row>
    <row r="8" spans="2:17" x14ac:dyDescent="0.35">
      <c r="L8" s="28"/>
      <c r="M8" s="19"/>
      <c r="N8" s="19"/>
      <c r="O8" s="19"/>
      <c r="P8" s="24"/>
      <c r="Q8" s="29"/>
    </row>
    <row r="9" spans="2:17" ht="27" x14ac:dyDescent="0.35">
      <c r="F9" s="30" t="s">
        <v>152</v>
      </c>
      <c r="G9" s="30">
        <v>0.188</v>
      </c>
      <c r="H9" s="30" t="s">
        <v>0</v>
      </c>
      <c r="I9" s="30"/>
      <c r="J9" s="30"/>
      <c r="L9" s="22" t="s">
        <v>146</v>
      </c>
      <c r="M9" s="23">
        <v>0.19</v>
      </c>
      <c r="N9" s="22">
        <v>110</v>
      </c>
      <c r="O9" s="24">
        <v>400000</v>
      </c>
      <c r="P9" s="24">
        <f t="shared" ref="P9:P17" si="0">O9/9.8</f>
        <v>40816.326530612241</v>
      </c>
      <c r="Q9" s="22">
        <v>320</v>
      </c>
    </row>
    <row r="10" spans="2:17" x14ac:dyDescent="0.35">
      <c r="F10" s="30" t="s">
        <v>134</v>
      </c>
      <c r="G10" s="30">
        <v>11.1</v>
      </c>
      <c r="H10" s="30" t="s">
        <v>135</v>
      </c>
      <c r="I10" s="30"/>
      <c r="J10" s="30"/>
      <c r="L10" s="28"/>
      <c r="M10" s="19"/>
      <c r="N10" s="19"/>
      <c r="O10" s="19"/>
      <c r="P10" s="24"/>
      <c r="Q10" s="29"/>
    </row>
    <row r="11" spans="2:17" ht="27" x14ac:dyDescent="0.35">
      <c r="B11" s="16" t="s">
        <v>115</v>
      </c>
      <c r="C11" s="16">
        <v>2200</v>
      </c>
      <c r="F11" s="30" t="s">
        <v>133</v>
      </c>
      <c r="G11" s="30">
        <v>2.2000000000000002</v>
      </c>
      <c r="H11" s="30" t="s">
        <v>132</v>
      </c>
      <c r="I11" s="30"/>
      <c r="J11" s="30"/>
      <c r="L11" s="22" t="s">
        <v>147</v>
      </c>
      <c r="M11" s="23">
        <v>0.31</v>
      </c>
      <c r="N11" s="22">
        <v>36</v>
      </c>
      <c r="O11" s="24">
        <v>130000</v>
      </c>
      <c r="P11" s="24">
        <f t="shared" si="0"/>
        <v>13265.306122448979</v>
      </c>
      <c r="Q11" s="22">
        <v>92</v>
      </c>
    </row>
    <row r="12" spans="2:17" x14ac:dyDescent="0.35">
      <c r="B12" s="16" t="s">
        <v>116</v>
      </c>
      <c r="C12" s="16">
        <v>3</v>
      </c>
      <c r="E12" s="17" t="s">
        <v>123</v>
      </c>
      <c r="F12" s="30" t="s">
        <v>136</v>
      </c>
      <c r="G12" s="30">
        <v>3600</v>
      </c>
      <c r="H12" s="30" t="s">
        <v>32</v>
      </c>
      <c r="I12" s="30"/>
      <c r="J12" s="30"/>
      <c r="L12" s="28"/>
      <c r="M12" s="19"/>
      <c r="N12" s="19"/>
      <c r="O12" s="19"/>
      <c r="P12" s="24"/>
      <c r="Q12" s="29"/>
    </row>
    <row r="13" spans="2:17" x14ac:dyDescent="0.35">
      <c r="B13" s="16" t="s">
        <v>117</v>
      </c>
      <c r="C13" s="16">
        <v>20</v>
      </c>
      <c r="E13" s="18" t="s">
        <v>124</v>
      </c>
      <c r="F13" s="30"/>
      <c r="G13" s="30"/>
      <c r="H13" s="30"/>
      <c r="I13" s="30"/>
      <c r="J13" s="30"/>
      <c r="L13" s="22" t="s">
        <v>148</v>
      </c>
      <c r="M13" s="23">
        <v>0.99</v>
      </c>
      <c r="N13" s="22">
        <v>95</v>
      </c>
      <c r="O13" s="24">
        <v>340000</v>
      </c>
      <c r="P13" s="24">
        <f t="shared" si="0"/>
        <v>34693.877551020407</v>
      </c>
      <c r="Q13" s="22">
        <v>300</v>
      </c>
    </row>
    <row r="14" spans="2:17" x14ac:dyDescent="0.35">
      <c r="B14" s="16" t="s">
        <v>118</v>
      </c>
      <c r="C14" s="16">
        <v>188</v>
      </c>
      <c r="E14" s="18" t="s">
        <v>125</v>
      </c>
      <c r="F14" s="30" t="s">
        <v>137</v>
      </c>
      <c r="G14" s="30">
        <f>G10*G11*G12</f>
        <v>87912</v>
      </c>
      <c r="H14" s="30" t="s">
        <v>138</v>
      </c>
      <c r="I14" s="30">
        <f>G10*G11</f>
        <v>24.42</v>
      </c>
      <c r="J14" s="30" t="s">
        <v>151</v>
      </c>
      <c r="L14" s="28"/>
      <c r="M14" s="19"/>
      <c r="N14" s="19"/>
      <c r="O14" s="19"/>
      <c r="P14" s="24"/>
      <c r="Q14" s="29"/>
    </row>
    <row r="15" spans="2:17" x14ac:dyDescent="0.35">
      <c r="B15" s="16" t="s">
        <v>119</v>
      </c>
      <c r="C15" s="16">
        <v>2</v>
      </c>
      <c r="E15" s="18" t="s">
        <v>126</v>
      </c>
      <c r="F15" s="30"/>
      <c r="G15" s="30"/>
      <c r="H15" s="30"/>
      <c r="I15" s="30"/>
      <c r="J15" s="30"/>
      <c r="L15" s="22" t="s">
        <v>149</v>
      </c>
      <c r="M15" s="23">
        <v>1.5</v>
      </c>
      <c r="N15" s="22">
        <v>39</v>
      </c>
      <c r="O15" s="24">
        <v>140000</v>
      </c>
      <c r="P15" s="24">
        <f t="shared" si="0"/>
        <v>14285.714285714284</v>
      </c>
      <c r="Q15" s="22">
        <v>140</v>
      </c>
    </row>
    <row r="16" spans="2:17" x14ac:dyDescent="0.35">
      <c r="B16" s="16" t="s">
        <v>120</v>
      </c>
      <c r="C16" s="16">
        <v>103</v>
      </c>
      <c r="E16" s="18" t="s">
        <v>127</v>
      </c>
      <c r="F16" s="30" t="s">
        <v>97</v>
      </c>
      <c r="G16" s="30">
        <f>G14/G9</f>
        <v>467617.02127659577</v>
      </c>
      <c r="H16" s="30" t="s">
        <v>153</v>
      </c>
      <c r="I16" s="31">
        <f>G16/9.8</f>
        <v>47716.022579244462</v>
      </c>
      <c r="J16" s="30" t="s">
        <v>110</v>
      </c>
      <c r="L16" s="28"/>
      <c r="M16" s="19"/>
      <c r="N16" s="19"/>
      <c r="O16" s="19"/>
      <c r="P16" s="24"/>
      <c r="Q16" s="29"/>
    </row>
    <row r="17" spans="2:17" ht="27" x14ac:dyDescent="0.35">
      <c r="B17" s="16" t="s">
        <v>121</v>
      </c>
      <c r="C17" s="16">
        <v>33</v>
      </c>
      <c r="E17" s="18" t="s">
        <v>128</v>
      </c>
      <c r="L17" s="22" t="s">
        <v>150</v>
      </c>
      <c r="M17" s="23">
        <v>0.47</v>
      </c>
      <c r="N17" s="22">
        <v>128</v>
      </c>
      <c r="O17" s="24">
        <v>460000</v>
      </c>
      <c r="P17" s="24">
        <f t="shared" si="0"/>
        <v>46938.775510204076</v>
      </c>
      <c r="Q17" s="22">
        <v>230</v>
      </c>
    </row>
    <row r="18" spans="2:17" x14ac:dyDescent="0.35">
      <c r="B18" s="16" t="s">
        <v>122</v>
      </c>
      <c r="C18" s="16">
        <v>24</v>
      </c>
      <c r="E18" s="18" t="s">
        <v>129</v>
      </c>
    </row>
    <row r="19" spans="2:17" x14ac:dyDescent="0.35">
      <c r="E19" s="18" t="s">
        <v>130</v>
      </c>
    </row>
    <row r="20" spans="2:17" x14ac:dyDescent="0.35">
      <c r="E20" s="18" t="s">
        <v>131</v>
      </c>
    </row>
    <row r="21" spans="2:17" x14ac:dyDescent="0.35">
      <c r="E21" s="18"/>
    </row>
  </sheetData>
  <mergeCells count="3">
    <mergeCell ref="N4:N5"/>
    <mergeCell ref="O4:O5"/>
    <mergeCell ref="Q4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airplane</vt:lpstr>
      <vt:lpstr>take off</vt:lpstr>
      <vt:lpstr>Best range cruise</vt:lpstr>
      <vt:lpstr>loiter 40kn</vt:lpstr>
      <vt:lpstr>Cruise 60 kn</vt:lpstr>
      <vt:lpstr>Turns</vt:lpstr>
      <vt:lpstr>Sheet1</vt:lpstr>
      <vt:lpstr>Sheet2</vt:lpstr>
      <vt:lpstr>Batteries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Sarah</cp:lastModifiedBy>
  <dcterms:created xsi:type="dcterms:W3CDTF">2011-04-10T19:03:44Z</dcterms:created>
  <dcterms:modified xsi:type="dcterms:W3CDTF">2019-09-19T22:55:10Z</dcterms:modified>
</cp:coreProperties>
</file>