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8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Z:\AAE451\"/>
    </mc:Choice>
  </mc:AlternateContent>
  <xr:revisionPtr revIDLastSave="0" documentId="13_ncr:1_{BE24BE67-D0C0-4142-9211-642D3EC02ED3}" xr6:coauthVersionLast="45" xr6:coauthVersionMax="45" xr10:uidLastSave="{00000000-0000-0000-0000-000000000000}"/>
  <bookViews>
    <workbookView xWindow="-120" yWindow="-120" windowWidth="20730" windowHeight="11310" firstSheet="3" activeTab="8" xr2:uid="{00000000-000D-0000-FFFF-FFFF00000000}"/>
  </bookViews>
  <sheets>
    <sheet name="RFP &amp; Constraints" sheetId="13" r:id="rId1"/>
    <sheet name="constraint" sheetId="1" r:id="rId2"/>
    <sheet name="weight analysis" sheetId="3" r:id="rId3"/>
    <sheet name="Initial drag polar" sheetId="6" r:id="rId4"/>
    <sheet name="Tail Sizing" sheetId="8" r:id="rId5"/>
    <sheet name="Electric Motor" sheetId="9" r:id="rId6"/>
    <sheet name="PropWGlider" sheetId="10" r:id="rId7"/>
    <sheet name="PropWOGlider" sheetId="19" r:id="rId8"/>
    <sheet name="Battery" sheetId="11" r:id="rId9"/>
    <sheet name="Launch " sheetId="14" r:id="rId10"/>
    <sheet name="Fly" sheetId="12" r:id="rId11"/>
    <sheet name="senior telemaster" sheetId="15" r:id="rId12"/>
    <sheet name="senior telemaster 17x12" sheetId="16" r:id="rId13"/>
    <sheet name="Sheet2" sheetId="18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1" l="1"/>
  <c r="I24" i="11"/>
  <c r="C23" i="3" l="1"/>
  <c r="C25" i="3"/>
  <c r="C10" i="3"/>
  <c r="B12" i="19" s="1"/>
  <c r="C14" i="3" l="1"/>
  <c r="B12" i="10"/>
  <c r="B25" i="19" l="1"/>
  <c r="J20" i="19"/>
  <c r="N20" i="19" s="1"/>
  <c r="D19" i="19"/>
  <c r="B21" i="19" s="1"/>
  <c r="B7" i="19"/>
  <c r="D6" i="19"/>
  <c r="B26" i="19" l="1"/>
  <c r="B27" i="19" s="1"/>
  <c r="B23" i="19"/>
  <c r="D21" i="19"/>
  <c r="L20" i="19"/>
  <c r="J23" i="19" l="1"/>
  <c r="J21" i="19"/>
  <c r="C21" i="3"/>
  <c r="L21" i="19" l="1"/>
  <c r="J22" i="19"/>
  <c r="J24" i="19"/>
  <c r="J27" i="19"/>
  <c r="J28" i="19" s="1"/>
  <c r="L28" i="19" s="1"/>
  <c r="C111" i="16"/>
  <c r="C114" i="16" s="1"/>
  <c r="C107" i="16"/>
  <c r="E107" i="16" s="1"/>
  <c r="L88" i="16"/>
  <c r="N88" i="16" s="1"/>
  <c r="C86" i="16"/>
  <c r="E80" i="16"/>
  <c r="C82" i="16" s="1"/>
  <c r="C69" i="16"/>
  <c r="E68" i="16"/>
  <c r="C65" i="16"/>
  <c r="E65" i="16" s="1"/>
  <c r="E64" i="16"/>
  <c r="E63" i="16"/>
  <c r="E62" i="16"/>
  <c r="E60" i="16"/>
  <c r="O59" i="16"/>
  <c r="E58" i="16"/>
  <c r="E57" i="16"/>
  <c r="H52" i="16"/>
  <c r="E52" i="16"/>
  <c r="O51" i="16"/>
  <c r="O52" i="16" s="1"/>
  <c r="X11" i="16" s="1"/>
  <c r="C51" i="16"/>
  <c r="C55" i="16" s="1"/>
  <c r="E50" i="16"/>
  <c r="R6" i="16"/>
  <c r="T6" i="16" s="1"/>
  <c r="L1" i="16"/>
  <c r="C111" i="15"/>
  <c r="C114" i="15" s="1"/>
  <c r="C107" i="15"/>
  <c r="E107" i="15" s="1"/>
  <c r="L88" i="15"/>
  <c r="N88" i="15" s="1"/>
  <c r="C86" i="15"/>
  <c r="E80" i="15"/>
  <c r="C82" i="15" s="1"/>
  <c r="C69" i="15"/>
  <c r="E68" i="15"/>
  <c r="C65" i="15"/>
  <c r="E65" i="15" s="1"/>
  <c r="E64" i="15"/>
  <c r="E63" i="15"/>
  <c r="E62" i="15"/>
  <c r="E60" i="15"/>
  <c r="O59" i="15"/>
  <c r="O60" i="15" s="1"/>
  <c r="E58" i="15"/>
  <c r="E57" i="15"/>
  <c r="H52" i="15"/>
  <c r="E52" i="15"/>
  <c r="O51" i="15"/>
  <c r="O52" i="15" s="1"/>
  <c r="X11" i="15" s="1"/>
  <c r="C51" i="15"/>
  <c r="E51" i="15" s="1"/>
  <c r="E50" i="15"/>
  <c r="C99" i="15" s="1"/>
  <c r="R6" i="15"/>
  <c r="V6" i="15" s="1"/>
  <c r="L1" i="15"/>
  <c r="C90" i="16" l="1"/>
  <c r="C90" i="15"/>
  <c r="C55" i="15"/>
  <c r="E51" i="16"/>
  <c r="E55" i="16" s="1"/>
  <c r="O60" i="16"/>
  <c r="C112" i="16"/>
  <c r="C109" i="16"/>
  <c r="R9" i="16"/>
  <c r="R7" i="16"/>
  <c r="E82" i="16"/>
  <c r="M67" i="16" s="1"/>
  <c r="G82" i="16"/>
  <c r="C87" i="16"/>
  <c r="C84" i="16"/>
  <c r="V6" i="16"/>
  <c r="G52" i="16"/>
  <c r="E55" i="15"/>
  <c r="C71" i="15"/>
  <c r="C53" i="15"/>
  <c r="C109" i="15"/>
  <c r="C112" i="15"/>
  <c r="E82" i="15"/>
  <c r="M67" i="15" s="1"/>
  <c r="C87" i="15"/>
  <c r="C84" i="15"/>
  <c r="G82" i="15"/>
  <c r="G52" i="15"/>
  <c r="T6" i="15"/>
  <c r="C73" i="15" l="1"/>
  <c r="C75" i="15" s="1"/>
  <c r="C76" i="15" s="1"/>
  <c r="C99" i="16"/>
  <c r="C113" i="15"/>
  <c r="C53" i="16"/>
  <c r="C71" i="16"/>
  <c r="R8" i="16"/>
  <c r="T7" i="16"/>
  <c r="R10" i="16"/>
  <c r="R11" i="16" s="1"/>
  <c r="R13" i="16"/>
  <c r="R14" i="16" s="1"/>
  <c r="T14" i="16" s="1"/>
  <c r="E96" i="16"/>
  <c r="C96" i="16"/>
  <c r="C88" i="16"/>
  <c r="M69" i="16" s="1"/>
  <c r="C78" i="15"/>
  <c r="C77" i="15"/>
  <c r="R9" i="15"/>
  <c r="R7" i="15"/>
  <c r="C101" i="15"/>
  <c r="C102" i="15" s="1"/>
  <c r="C54" i="15"/>
  <c r="E54" i="15" s="1"/>
  <c r="C70" i="15" s="1"/>
  <c r="C96" i="15"/>
  <c r="C88" i="15"/>
  <c r="M69" i="15" s="1"/>
  <c r="E96" i="15"/>
  <c r="C73" i="16" l="1"/>
  <c r="C75" i="16" s="1"/>
  <c r="C76" i="16" s="1"/>
  <c r="C113" i="16"/>
  <c r="C101" i="16"/>
  <c r="C102" i="16" s="1"/>
  <c r="C54" i="16"/>
  <c r="E54" i="16" s="1"/>
  <c r="C70" i="16" s="1"/>
  <c r="C93" i="16"/>
  <c r="E93" i="16" s="1"/>
  <c r="C94" i="16" s="1"/>
  <c r="E94" i="16" s="1"/>
  <c r="M72" i="16"/>
  <c r="L80" i="16"/>
  <c r="N80" i="16" s="1"/>
  <c r="M76" i="16"/>
  <c r="M77" i="16" s="1"/>
  <c r="L80" i="15"/>
  <c r="N80" i="15" s="1"/>
  <c r="M72" i="15"/>
  <c r="C93" i="15"/>
  <c r="E93" i="15" s="1"/>
  <c r="C94" i="15" s="1"/>
  <c r="E94" i="15" s="1"/>
  <c r="M76" i="15"/>
  <c r="M77" i="15" s="1"/>
  <c r="T7" i="15"/>
  <c r="R8" i="15"/>
  <c r="R10" i="15"/>
  <c r="R11" i="15" s="1"/>
  <c r="R13" i="15"/>
  <c r="R14" i="15" s="1"/>
  <c r="T14" i="15" s="1"/>
  <c r="C77" i="16" l="1"/>
  <c r="C78" i="16"/>
  <c r="O76" i="16"/>
  <c r="O76" i="15"/>
  <c r="A29" i="14" l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J28" i="14"/>
  <c r="C28" i="14"/>
  <c r="B28" i="14"/>
  <c r="C17" i="14"/>
  <c r="E16" i="14"/>
  <c r="C14" i="14"/>
  <c r="E14" i="14" s="1"/>
  <c r="V13" i="14"/>
  <c r="E13" i="14"/>
  <c r="V11" i="14"/>
  <c r="V15" i="14" s="1"/>
  <c r="X10" i="14"/>
  <c r="C7" i="6"/>
  <c r="C9" i="6"/>
  <c r="C8" i="6"/>
  <c r="I22" i="12"/>
  <c r="K22" i="12" s="1"/>
  <c r="M22" i="12" s="1"/>
  <c r="I24" i="12" s="1"/>
  <c r="K24" i="12" s="1"/>
  <c r="H7" i="12"/>
  <c r="H10" i="12" s="1"/>
  <c r="H12" i="12" s="1"/>
  <c r="H13" i="12" s="1"/>
  <c r="H15" i="12" s="1"/>
  <c r="I18" i="12"/>
  <c r="K18" i="12" s="1"/>
  <c r="M18" i="12" s="1"/>
  <c r="I20" i="12" s="1"/>
  <c r="K20" i="12" s="1"/>
  <c r="B6" i="12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R2" i="6" l="1"/>
  <c r="X11" i="14"/>
  <c r="V14" i="14"/>
  <c r="X14" i="14" s="1"/>
  <c r="X12" i="14" s="1"/>
  <c r="D28" i="14"/>
  <c r="E28" i="14" s="1"/>
  <c r="F28" i="14" s="1"/>
  <c r="G28" i="14" s="1"/>
  <c r="B29" i="14" s="1"/>
  <c r="K28" i="14"/>
  <c r="I29" i="14" s="1"/>
  <c r="L28" i="14"/>
  <c r="J29" i="14" s="1"/>
  <c r="H28" i="14" l="1"/>
  <c r="C29" i="14" s="1"/>
  <c r="L29" i="14" s="1"/>
  <c r="J30" i="14" s="1"/>
  <c r="D29" i="14"/>
  <c r="E29" i="14" s="1"/>
  <c r="F29" i="14" s="1"/>
  <c r="G29" i="14" s="1"/>
  <c r="B30" i="14" s="1"/>
  <c r="V16" i="14"/>
  <c r="K29" i="14" l="1"/>
  <c r="I30" i="14" s="1"/>
  <c r="H29" i="14"/>
  <c r="C30" i="14" s="1"/>
  <c r="L30" i="14" s="1"/>
  <c r="J31" i="14" s="1"/>
  <c r="D30" i="14"/>
  <c r="E30" i="14" s="1"/>
  <c r="F30" i="14" s="1"/>
  <c r="G30" i="14" s="1"/>
  <c r="B31" i="14" s="1"/>
  <c r="K30" i="14" l="1"/>
  <c r="I31" i="14" s="1"/>
  <c r="H30" i="14"/>
  <c r="C31" i="14" s="1"/>
  <c r="L31" i="14" s="1"/>
  <c r="J32" i="14" s="1"/>
  <c r="D31" i="14"/>
  <c r="E31" i="14" s="1"/>
  <c r="F31" i="14" s="1"/>
  <c r="G31" i="14" s="1"/>
  <c r="B32" i="14" s="1"/>
  <c r="H31" i="14" l="1"/>
  <c r="C32" i="14" s="1"/>
  <c r="K31" i="14"/>
  <c r="I32" i="14" s="1"/>
  <c r="L32" i="14"/>
  <c r="J33" i="14" s="1"/>
  <c r="K32" i="14"/>
  <c r="I33" i="14" s="1"/>
  <c r="D32" i="14"/>
  <c r="E32" i="14" s="1"/>
  <c r="F32" i="14" s="1"/>
  <c r="G32" i="14" s="1"/>
  <c r="B33" i="14" s="1"/>
  <c r="H32" i="14" l="1"/>
  <c r="C33" i="14" s="1"/>
  <c r="L33" i="14" s="1"/>
  <c r="J34" i="14" s="1"/>
  <c r="D33" i="14"/>
  <c r="E33" i="14" s="1"/>
  <c r="F33" i="14" s="1"/>
  <c r="G33" i="14" s="1"/>
  <c r="B34" i="14" s="1"/>
  <c r="H33" i="14" l="1"/>
  <c r="C34" i="14" s="1"/>
  <c r="K33" i="14"/>
  <c r="I34" i="14" s="1"/>
  <c r="L34" i="14"/>
  <c r="J35" i="14" s="1"/>
  <c r="K34" i="14"/>
  <c r="D34" i="14"/>
  <c r="E34" i="14" s="1"/>
  <c r="F34" i="14" s="1"/>
  <c r="G34" i="14" s="1"/>
  <c r="B35" i="14" s="1"/>
  <c r="I35" i="14" l="1"/>
  <c r="H34" i="14"/>
  <c r="C35" i="14" s="1"/>
  <c r="L35" i="14" s="1"/>
  <c r="J36" i="14" s="1"/>
  <c r="D35" i="14"/>
  <c r="E35" i="14" s="1"/>
  <c r="F35" i="14" s="1"/>
  <c r="G35" i="14" s="1"/>
  <c r="B36" i="14" s="1"/>
  <c r="H35" i="14" l="1"/>
  <c r="C36" i="14" s="1"/>
  <c r="K35" i="14"/>
  <c r="I36" i="14" s="1"/>
  <c r="L36" i="14"/>
  <c r="K36" i="14"/>
  <c r="D36" i="14"/>
  <c r="E36" i="14" s="1"/>
  <c r="F36" i="14" s="1"/>
  <c r="G36" i="14" s="1"/>
  <c r="B37" i="14" s="1"/>
  <c r="H36" i="14"/>
  <c r="C37" i="14" s="1"/>
  <c r="J37" i="14"/>
  <c r="I37" i="14"/>
  <c r="L37" i="14" l="1"/>
  <c r="K37" i="14"/>
  <c r="D37" i="14"/>
  <c r="E37" i="14" s="1"/>
  <c r="F37" i="14" s="1"/>
  <c r="G37" i="14" s="1"/>
  <c r="B38" i="14" s="1"/>
  <c r="I38" i="14"/>
  <c r="J38" i="14"/>
  <c r="H37" i="14" l="1"/>
  <c r="C38" i="14" s="1"/>
  <c r="L38" i="14" s="1"/>
  <c r="J39" i="14" s="1"/>
  <c r="K38" i="14"/>
  <c r="D38" i="14"/>
  <c r="E38" i="14" s="1"/>
  <c r="F38" i="14" s="1"/>
  <c r="G38" i="14" s="1"/>
  <c r="B39" i="14" s="1"/>
  <c r="I39" i="14"/>
  <c r="H38" i="14" l="1"/>
  <c r="C39" i="14" s="1"/>
  <c r="L39" i="14" s="1"/>
  <c r="J40" i="14" s="1"/>
  <c r="K39" i="14"/>
  <c r="D39" i="14"/>
  <c r="E39" i="14" s="1"/>
  <c r="F39" i="14" s="1"/>
  <c r="G39" i="14" s="1"/>
  <c r="B40" i="14" s="1"/>
  <c r="I40" i="14"/>
  <c r="H39" i="14" l="1"/>
  <c r="C40" i="14" s="1"/>
  <c r="L40" i="14"/>
  <c r="J41" i="14" s="1"/>
  <c r="K40" i="14"/>
  <c r="I41" i="14" s="1"/>
  <c r="D40" i="14"/>
  <c r="E40" i="14" s="1"/>
  <c r="F40" i="14" s="1"/>
  <c r="G40" i="14" s="1"/>
  <c r="B41" i="14" s="1"/>
  <c r="H40" i="14" l="1"/>
  <c r="C41" i="14" s="1"/>
  <c r="L41" i="14"/>
  <c r="J42" i="14" s="1"/>
  <c r="K41" i="14"/>
  <c r="I42" i="14" s="1"/>
  <c r="D41" i="14"/>
  <c r="E41" i="14" s="1"/>
  <c r="F41" i="14" s="1"/>
  <c r="G41" i="14" s="1"/>
  <c r="B42" i="14" s="1"/>
  <c r="H41" i="14" l="1"/>
  <c r="C42" i="14" s="1"/>
  <c r="L42" i="14" s="1"/>
  <c r="J43" i="14" s="1"/>
  <c r="D42" i="14"/>
  <c r="E42" i="14" s="1"/>
  <c r="F42" i="14" s="1"/>
  <c r="G42" i="14" s="1"/>
  <c r="B43" i="14" s="1"/>
  <c r="H42" i="14" l="1"/>
  <c r="C43" i="14" s="1"/>
  <c r="K42" i="14"/>
  <c r="I43" i="14" s="1"/>
  <c r="L43" i="14"/>
  <c r="J44" i="14" s="1"/>
  <c r="K43" i="14"/>
  <c r="I44" i="14" s="1"/>
  <c r="D43" i="14"/>
  <c r="E43" i="14" s="1"/>
  <c r="F43" i="14" s="1"/>
  <c r="G43" i="14" s="1"/>
  <c r="B44" i="14" s="1"/>
  <c r="H43" i="14" l="1"/>
  <c r="C44" i="14" s="1"/>
  <c r="L44" i="14" s="1"/>
  <c r="J45" i="14" s="1"/>
  <c r="D44" i="14"/>
  <c r="E44" i="14" s="1"/>
  <c r="F44" i="14" s="1"/>
  <c r="G44" i="14" l="1"/>
  <c r="B45" i="14" s="1"/>
  <c r="D45" i="14" s="1"/>
  <c r="E45" i="14" s="1"/>
  <c r="F45" i="14" s="1"/>
  <c r="G45" i="14" s="1"/>
  <c r="B46" i="14" s="1"/>
  <c r="H44" i="14"/>
  <c r="C45" i="14" s="1"/>
  <c r="K44" i="14"/>
  <c r="I45" i="14" s="1"/>
  <c r="K45" i="14" l="1"/>
  <c r="I46" i="14" s="1"/>
  <c r="L45" i="14"/>
  <c r="J46" i="14" s="1"/>
  <c r="H45" i="14"/>
  <c r="C46" i="14" s="1"/>
  <c r="L46" i="14" s="1"/>
  <c r="J47" i="14" s="1"/>
  <c r="D46" i="14"/>
  <c r="E46" i="14" s="1"/>
  <c r="F46" i="14" s="1"/>
  <c r="G46" i="14" s="1"/>
  <c r="B47" i="14" s="1"/>
  <c r="H46" i="14" l="1"/>
  <c r="C47" i="14" s="1"/>
  <c r="L47" i="14" s="1"/>
  <c r="J48" i="14" s="1"/>
  <c r="K46" i="14"/>
  <c r="I47" i="14" s="1"/>
  <c r="D47" i="14"/>
  <c r="E47" i="14" s="1"/>
  <c r="F47" i="14" s="1"/>
  <c r="G47" i="14" s="1"/>
  <c r="B48" i="14" s="1"/>
  <c r="K47" i="14" l="1"/>
  <c r="I48" i="14" s="1"/>
  <c r="H47" i="14"/>
  <c r="C48" i="14" s="1"/>
  <c r="L48" i="14" s="1"/>
  <c r="J49" i="14" s="1"/>
  <c r="D48" i="14"/>
  <c r="E48" i="14" s="1"/>
  <c r="F48" i="14" s="1"/>
  <c r="G48" i="14" s="1"/>
  <c r="B49" i="14" s="1"/>
  <c r="H48" i="14"/>
  <c r="C49" i="14" s="1"/>
  <c r="K48" i="14" l="1"/>
  <c r="I49" i="14" s="1"/>
  <c r="L49" i="14"/>
  <c r="K49" i="14"/>
  <c r="D49" i="14"/>
  <c r="E49" i="14" s="1"/>
  <c r="F49" i="14" s="1"/>
  <c r="G49" i="14" s="1"/>
  <c r="B50" i="14" s="1"/>
  <c r="J50" i="14"/>
  <c r="I50" i="14" l="1"/>
  <c r="H49" i="14"/>
  <c r="C50" i="14" s="1"/>
  <c r="L50" i="14" s="1"/>
  <c r="J51" i="14" s="1"/>
  <c r="D50" i="14"/>
  <c r="E50" i="14" s="1"/>
  <c r="F50" i="14" s="1"/>
  <c r="H50" i="14" l="1"/>
  <c r="C51" i="14" s="1"/>
  <c r="G50" i="14"/>
  <c r="B51" i="14" s="1"/>
  <c r="K51" i="14" s="1"/>
  <c r="I52" i="14" s="1"/>
  <c r="K50" i="14"/>
  <c r="I51" i="14" s="1"/>
  <c r="L51" i="14"/>
  <c r="J52" i="14" s="1"/>
  <c r="D51" i="14"/>
  <c r="E51" i="14" s="1"/>
  <c r="F51" i="14" s="1"/>
  <c r="G51" i="14" s="1"/>
  <c r="B52" i="14" s="1"/>
  <c r="H51" i="14" l="1"/>
  <c r="C52" i="14" s="1"/>
  <c r="L52" i="14" s="1"/>
  <c r="J53" i="14" s="1"/>
  <c r="D52" i="14"/>
  <c r="E52" i="14" s="1"/>
  <c r="F52" i="14" s="1"/>
  <c r="G52" i="14" s="1"/>
  <c r="B53" i="14" s="1"/>
  <c r="H52" i="14"/>
  <c r="C53" i="14" s="1"/>
  <c r="K52" i="14" l="1"/>
  <c r="I53" i="14" s="1"/>
  <c r="L53" i="14"/>
  <c r="J54" i="14" s="1"/>
  <c r="K53" i="14"/>
  <c r="I54" i="14" s="1"/>
  <c r="D53" i="14"/>
  <c r="E53" i="14" s="1"/>
  <c r="F53" i="14" s="1"/>
  <c r="G53" i="14" s="1"/>
  <c r="B54" i="14" s="1"/>
  <c r="H53" i="14" l="1"/>
  <c r="C54" i="14" s="1"/>
  <c r="L54" i="14" s="1"/>
  <c r="J55" i="14" s="1"/>
  <c r="D54" i="14"/>
  <c r="E54" i="14" s="1"/>
  <c r="F54" i="14" s="1"/>
  <c r="G54" i="14" l="1"/>
  <c r="B55" i="14" s="1"/>
  <c r="K54" i="14"/>
  <c r="I55" i="14" s="1"/>
  <c r="H54" i="14"/>
  <c r="C55" i="14" s="1"/>
  <c r="L55" i="14" s="1"/>
  <c r="J56" i="14" s="1"/>
  <c r="D55" i="14"/>
  <c r="E55" i="14" s="1"/>
  <c r="F55" i="14" s="1"/>
  <c r="G55" i="14" l="1"/>
  <c r="B56" i="14" s="1"/>
  <c r="D56" i="14" s="1"/>
  <c r="E56" i="14" s="1"/>
  <c r="F56" i="14" s="1"/>
  <c r="H55" i="14"/>
  <c r="C56" i="14" s="1"/>
  <c r="K55" i="14"/>
  <c r="I56" i="14" s="1"/>
  <c r="K56" i="14" l="1"/>
  <c r="I57" i="14" s="1"/>
  <c r="L56" i="14"/>
  <c r="J57" i="14" s="1"/>
  <c r="G56" i="14"/>
  <c r="B57" i="14" s="1"/>
  <c r="D57" i="14" s="1"/>
  <c r="E57" i="14" s="1"/>
  <c r="F57" i="14" s="1"/>
  <c r="G57" i="14" s="1"/>
  <c r="B58" i="14" s="1"/>
  <c r="H56" i="14"/>
  <c r="C57" i="14" s="1"/>
  <c r="L57" i="14" s="1"/>
  <c r="J58" i="14" s="1"/>
  <c r="K57" i="14" l="1"/>
  <c r="I58" i="14" s="1"/>
  <c r="H57" i="14"/>
  <c r="C58" i="14" s="1"/>
  <c r="L58" i="14" s="1"/>
  <c r="J59" i="14" s="1"/>
  <c r="D58" i="14"/>
  <c r="E58" i="14" s="1"/>
  <c r="F58" i="14" s="1"/>
  <c r="G58" i="14" s="1"/>
  <c r="B59" i="14" s="1"/>
  <c r="K58" i="14" l="1"/>
  <c r="I59" i="14" s="1"/>
  <c r="H58" i="14"/>
  <c r="C59" i="14" s="1"/>
  <c r="L59" i="14" s="1"/>
  <c r="J60" i="14" s="1"/>
  <c r="D59" i="14"/>
  <c r="E59" i="14" s="1"/>
  <c r="F59" i="14" s="1"/>
  <c r="G59" i="14" s="1"/>
  <c r="B60" i="14" s="1"/>
  <c r="K59" i="14" l="1"/>
  <c r="I60" i="14" s="1"/>
  <c r="H59" i="14"/>
  <c r="C60" i="14" s="1"/>
  <c r="L60" i="14" s="1"/>
  <c r="J61" i="14" s="1"/>
  <c r="D60" i="14"/>
  <c r="E60" i="14" s="1"/>
  <c r="F60" i="14" s="1"/>
  <c r="G60" i="14" s="1"/>
  <c r="B61" i="14" s="1"/>
  <c r="K60" i="14" l="1"/>
  <c r="I61" i="14" s="1"/>
  <c r="H60" i="14"/>
  <c r="C61" i="14" s="1"/>
  <c r="L61" i="14" s="1"/>
  <c r="J62" i="14" s="1"/>
  <c r="D61" i="14"/>
  <c r="E61" i="14" s="1"/>
  <c r="F61" i="14" s="1"/>
  <c r="G61" i="14" s="1"/>
  <c r="B62" i="14" s="1"/>
  <c r="K61" i="14" l="1"/>
  <c r="I62" i="14" s="1"/>
  <c r="H61" i="14"/>
  <c r="C62" i="14" s="1"/>
  <c r="L62" i="14" s="1"/>
  <c r="J63" i="14" s="1"/>
  <c r="D62" i="14"/>
  <c r="E62" i="14" s="1"/>
  <c r="F62" i="14" s="1"/>
  <c r="G62" i="14" s="1"/>
  <c r="B63" i="14" s="1"/>
  <c r="K62" i="14" l="1"/>
  <c r="I63" i="14" s="1"/>
  <c r="H62" i="14"/>
  <c r="C63" i="14" s="1"/>
  <c r="L63" i="14" s="1"/>
  <c r="J64" i="14" s="1"/>
  <c r="D63" i="14"/>
  <c r="E63" i="14" s="1"/>
  <c r="F63" i="14" s="1"/>
  <c r="K63" i="14" l="1"/>
  <c r="I64" i="14" s="1"/>
  <c r="G63" i="14"/>
  <c r="B64" i="14" s="1"/>
  <c r="D64" i="14" s="1"/>
  <c r="E64" i="14" s="1"/>
  <c r="F64" i="14" s="1"/>
  <c r="G64" i="14" s="1"/>
  <c r="B65" i="14" s="1"/>
  <c r="H63" i="14"/>
  <c r="C64" i="14" s="1"/>
  <c r="L64" i="14" l="1"/>
  <c r="J65" i="14" s="1"/>
  <c r="K64" i="14"/>
  <c r="I65" i="14" s="1"/>
  <c r="H64" i="14"/>
  <c r="C65" i="14" s="1"/>
  <c r="L65" i="14" s="1"/>
  <c r="J66" i="14" s="1"/>
  <c r="D65" i="14"/>
  <c r="E65" i="14" s="1"/>
  <c r="F65" i="14" s="1"/>
  <c r="G65" i="14" s="1"/>
  <c r="B66" i="14" s="1"/>
  <c r="H65" i="14" l="1"/>
  <c r="C66" i="14" s="1"/>
  <c r="K66" i="14" s="1"/>
  <c r="K65" i="14"/>
  <c r="I66" i="14" s="1"/>
  <c r="D66" i="14"/>
  <c r="E66" i="14" s="1"/>
  <c r="F66" i="14" s="1"/>
  <c r="G66" i="14" s="1"/>
  <c r="B67" i="14" s="1"/>
  <c r="L66" i="14" l="1"/>
  <c r="J67" i="14" s="1"/>
  <c r="I67" i="14"/>
  <c r="H66" i="14"/>
  <c r="C67" i="14" s="1"/>
  <c r="L67" i="14" s="1"/>
  <c r="J68" i="14" s="1"/>
  <c r="D67" i="14"/>
  <c r="E67" i="14" s="1"/>
  <c r="F67" i="14" s="1"/>
  <c r="G67" i="14" s="1"/>
  <c r="B68" i="14" s="1"/>
  <c r="K67" i="14" l="1"/>
  <c r="I68" i="14" s="1"/>
  <c r="H67" i="14"/>
  <c r="C68" i="14" s="1"/>
  <c r="L68" i="14" s="1"/>
  <c r="J69" i="14" s="1"/>
  <c r="D68" i="14"/>
  <c r="E68" i="14" s="1"/>
  <c r="F68" i="14" s="1"/>
  <c r="G68" i="14" s="1"/>
  <c r="B69" i="14" s="1"/>
  <c r="H68" i="14" l="1"/>
  <c r="C69" i="14" s="1"/>
  <c r="L69" i="14" s="1"/>
  <c r="J70" i="14" s="1"/>
  <c r="K68" i="14"/>
  <c r="I69" i="14" s="1"/>
  <c r="K69" i="14"/>
  <c r="I70" i="14" s="1"/>
  <c r="D69" i="14"/>
  <c r="E69" i="14" s="1"/>
  <c r="F69" i="14" s="1"/>
  <c r="G69" i="14" s="1"/>
  <c r="B70" i="14" s="1"/>
  <c r="H69" i="14" l="1"/>
  <c r="C70" i="14" s="1"/>
  <c r="L70" i="14" s="1"/>
  <c r="J71" i="14" s="1"/>
  <c r="D70" i="14"/>
  <c r="E70" i="14" s="1"/>
  <c r="F70" i="14" s="1"/>
  <c r="G70" i="14" s="1"/>
  <c r="B71" i="14" s="1"/>
  <c r="H70" i="14"/>
  <c r="C71" i="14" s="1"/>
  <c r="K70" i="14" l="1"/>
  <c r="I71" i="14" s="1"/>
  <c r="L71" i="14"/>
  <c r="K71" i="14"/>
  <c r="D71" i="14"/>
  <c r="E71" i="14" s="1"/>
  <c r="F71" i="14" s="1"/>
  <c r="G71" i="14" s="1"/>
  <c r="B72" i="14" s="1"/>
  <c r="J72" i="14"/>
  <c r="I72" i="14" l="1"/>
  <c r="H71" i="14"/>
  <c r="C72" i="14" s="1"/>
  <c r="L72" i="14" s="1"/>
  <c r="J73" i="14" s="1"/>
  <c r="D72" i="14"/>
  <c r="E72" i="14" s="1"/>
  <c r="F72" i="14" s="1"/>
  <c r="G72" i="14" s="1"/>
  <c r="B73" i="14" s="1"/>
  <c r="H72" i="14" l="1"/>
  <c r="C73" i="14" s="1"/>
  <c r="K72" i="14"/>
  <c r="I73" i="14" s="1"/>
  <c r="L73" i="14"/>
  <c r="J74" i="14" s="1"/>
  <c r="K73" i="14"/>
  <c r="I74" i="14" s="1"/>
  <c r="D73" i="14"/>
  <c r="E73" i="14" s="1"/>
  <c r="F73" i="14" s="1"/>
  <c r="G73" i="14" s="1"/>
  <c r="B74" i="14" s="1"/>
  <c r="H73" i="14" l="1"/>
  <c r="C74" i="14" s="1"/>
  <c r="L74" i="14" s="1"/>
  <c r="J75" i="14" s="1"/>
  <c r="D74" i="14"/>
  <c r="E74" i="14" s="1"/>
  <c r="F74" i="14" s="1"/>
  <c r="G74" i="14" s="1"/>
  <c r="B75" i="14" s="1"/>
  <c r="H74" i="14" l="1"/>
  <c r="C75" i="14" s="1"/>
  <c r="L75" i="14" s="1"/>
  <c r="J76" i="14" s="1"/>
  <c r="K74" i="14"/>
  <c r="I75" i="14" s="1"/>
  <c r="K75" i="14"/>
  <c r="I76" i="14" s="1"/>
  <c r="D75" i="14"/>
  <c r="E75" i="14" s="1"/>
  <c r="F75" i="14" s="1"/>
  <c r="G75" i="14" s="1"/>
  <c r="B76" i="14" s="1"/>
  <c r="H75" i="14" l="1"/>
  <c r="C76" i="14" s="1"/>
  <c r="L76" i="14" s="1"/>
  <c r="J77" i="14" s="1"/>
  <c r="D76" i="14"/>
  <c r="E76" i="14" s="1"/>
  <c r="F76" i="14" s="1"/>
  <c r="G76" i="14" s="1"/>
  <c r="B77" i="14" s="1"/>
  <c r="H76" i="14"/>
  <c r="C77" i="14" s="1"/>
  <c r="K76" i="14" l="1"/>
  <c r="I77" i="14" s="1"/>
  <c r="L77" i="14"/>
  <c r="K77" i="14"/>
  <c r="I78" i="14" s="1"/>
  <c r="D77" i="14"/>
  <c r="E77" i="14" s="1"/>
  <c r="F77" i="14" s="1"/>
  <c r="G77" i="14" s="1"/>
  <c r="B78" i="14" s="1"/>
  <c r="J78" i="14"/>
  <c r="H77" i="14" l="1"/>
  <c r="C78" i="14" s="1"/>
  <c r="L78" i="14" s="1"/>
  <c r="J79" i="14" s="1"/>
  <c r="D78" i="14"/>
  <c r="E78" i="14" s="1"/>
  <c r="F78" i="14" s="1"/>
  <c r="G78" i="14" s="1"/>
  <c r="B79" i="14" s="1"/>
  <c r="K78" i="14" l="1"/>
  <c r="I79" i="14" s="1"/>
  <c r="H78" i="14"/>
  <c r="C79" i="14" s="1"/>
  <c r="L79" i="14" s="1"/>
  <c r="J80" i="14" s="1"/>
  <c r="D79" i="14"/>
  <c r="E79" i="14" s="1"/>
  <c r="F79" i="14" s="1"/>
  <c r="G79" i="14" s="1"/>
  <c r="B80" i="14" s="1"/>
  <c r="H79" i="14" l="1"/>
  <c r="C80" i="14" s="1"/>
  <c r="L80" i="14" s="1"/>
  <c r="J81" i="14" s="1"/>
  <c r="K79" i="14"/>
  <c r="I80" i="14" s="1"/>
  <c r="K80" i="14"/>
  <c r="I81" i="14" s="1"/>
  <c r="D80" i="14"/>
  <c r="E80" i="14" s="1"/>
  <c r="F80" i="14" s="1"/>
  <c r="G80" i="14" s="1"/>
  <c r="B81" i="14" s="1"/>
  <c r="H80" i="14" l="1"/>
  <c r="C81" i="14" s="1"/>
  <c r="L81" i="14" s="1"/>
  <c r="J82" i="14" s="1"/>
  <c r="D81" i="14"/>
  <c r="E81" i="14" s="1"/>
  <c r="F81" i="14" s="1"/>
  <c r="G81" i="14" s="1"/>
  <c r="B82" i="14" s="1"/>
  <c r="K81" i="14" l="1"/>
  <c r="I82" i="14" s="1"/>
  <c r="H81" i="14"/>
  <c r="C82" i="14" s="1"/>
  <c r="L82" i="14"/>
  <c r="J83" i="14" s="1"/>
  <c r="K82" i="14"/>
  <c r="I83" i="14" s="1"/>
  <c r="D82" i="14"/>
  <c r="E82" i="14" s="1"/>
  <c r="F82" i="14" s="1"/>
  <c r="G82" i="14" s="1"/>
  <c r="B83" i="14" s="1"/>
  <c r="H82" i="14" l="1"/>
  <c r="C83" i="14" s="1"/>
  <c r="L83" i="14" s="1"/>
  <c r="J84" i="14" s="1"/>
  <c r="D83" i="14"/>
  <c r="E83" i="14" s="1"/>
  <c r="F83" i="14" s="1"/>
  <c r="G83" i="14" s="1"/>
  <c r="B84" i="14" s="1"/>
  <c r="H83" i="14"/>
  <c r="C84" i="14" s="1"/>
  <c r="K83" i="14" l="1"/>
  <c r="I84" i="14" s="1"/>
  <c r="L84" i="14"/>
  <c r="J85" i="14" s="1"/>
  <c r="K84" i="14"/>
  <c r="I85" i="14" s="1"/>
  <c r="D84" i="14"/>
  <c r="E84" i="14" s="1"/>
  <c r="F84" i="14" s="1"/>
  <c r="G84" i="14" s="1"/>
  <c r="B85" i="14" s="1"/>
  <c r="H84" i="14" l="1"/>
  <c r="C85" i="14" s="1"/>
  <c r="L85" i="14" s="1"/>
  <c r="J86" i="14" s="1"/>
  <c r="D85" i="14"/>
  <c r="E85" i="14" s="1"/>
  <c r="F85" i="14" s="1"/>
  <c r="G85" i="14" s="1"/>
  <c r="B86" i="14" s="1"/>
  <c r="K85" i="14" l="1"/>
  <c r="I86" i="14" s="1"/>
  <c r="H85" i="14"/>
  <c r="C86" i="14" s="1"/>
  <c r="L86" i="14" s="1"/>
  <c r="J87" i="14" s="1"/>
  <c r="D86" i="14"/>
  <c r="E86" i="14" s="1"/>
  <c r="F86" i="14" s="1"/>
  <c r="G86" i="14" s="1"/>
  <c r="B87" i="14" s="1"/>
  <c r="H86" i="14" l="1"/>
  <c r="C87" i="14" s="1"/>
  <c r="K86" i="14"/>
  <c r="I87" i="14" s="1"/>
  <c r="L87" i="14"/>
  <c r="K87" i="14"/>
  <c r="I88" i="14" s="1"/>
  <c r="D87" i="14"/>
  <c r="E87" i="14" s="1"/>
  <c r="F87" i="14" s="1"/>
  <c r="G87" i="14" s="1"/>
  <c r="B88" i="14" s="1"/>
  <c r="H87" i="14"/>
  <c r="C88" i="14" s="1"/>
  <c r="J88" i="14"/>
  <c r="L88" i="14" l="1"/>
  <c r="K88" i="14"/>
  <c r="I89" i="14" s="1"/>
  <c r="D88" i="14"/>
  <c r="E88" i="14" s="1"/>
  <c r="F88" i="14" s="1"/>
  <c r="G88" i="14" s="1"/>
  <c r="B89" i="14" s="1"/>
  <c r="J89" i="14"/>
  <c r="H88" i="14" l="1"/>
  <c r="C89" i="14" s="1"/>
  <c r="L89" i="14" s="1"/>
  <c r="J90" i="14" s="1"/>
  <c r="D89" i="14"/>
  <c r="E89" i="14" s="1"/>
  <c r="F89" i="14" s="1"/>
  <c r="H89" i="14" l="1"/>
  <c r="C90" i="14" s="1"/>
  <c r="G89" i="14"/>
  <c r="B90" i="14" s="1"/>
  <c r="D90" i="14" s="1"/>
  <c r="E90" i="14" s="1"/>
  <c r="F90" i="14" s="1"/>
  <c r="K89" i="14"/>
  <c r="I90" i="14" s="1"/>
  <c r="L90" i="14" l="1"/>
  <c r="J91" i="14" s="1"/>
  <c r="H90" i="14"/>
  <c r="C91" i="14" s="1"/>
  <c r="G90" i="14"/>
  <c r="B91" i="14" s="1"/>
  <c r="D91" i="14" s="1"/>
  <c r="E91" i="14" s="1"/>
  <c r="F91" i="14" s="1"/>
  <c r="K90" i="14"/>
  <c r="I91" i="14" s="1"/>
  <c r="L91" i="14" l="1"/>
  <c r="J92" i="14" s="1"/>
  <c r="H91" i="14"/>
  <c r="C92" i="14" s="1"/>
  <c r="G91" i="14"/>
  <c r="B92" i="14" s="1"/>
  <c r="D92" i="14" s="1"/>
  <c r="E92" i="14" s="1"/>
  <c r="F92" i="14" s="1"/>
  <c r="K91" i="14"/>
  <c r="I92" i="14" s="1"/>
  <c r="L92" i="14" l="1"/>
  <c r="J93" i="14" s="1"/>
  <c r="H92" i="14"/>
  <c r="C93" i="14" s="1"/>
  <c r="G92" i="14"/>
  <c r="B93" i="14" s="1"/>
  <c r="L93" i="14" s="1"/>
  <c r="J94" i="14" s="1"/>
  <c r="K92" i="14"/>
  <c r="I93" i="14" s="1"/>
  <c r="D93" i="14" l="1"/>
  <c r="E93" i="14" s="1"/>
  <c r="F93" i="14" s="1"/>
  <c r="G93" i="14" s="1"/>
  <c r="B94" i="14" s="1"/>
  <c r="K93" i="14"/>
  <c r="I94" i="14" s="1"/>
  <c r="T14" i="11"/>
  <c r="X14" i="11" s="1"/>
  <c r="C16" i="11"/>
  <c r="E16" i="11" s="1"/>
  <c r="J20" i="10"/>
  <c r="N20" i="10" s="1"/>
  <c r="F13" i="9"/>
  <c r="F14" i="9" s="1"/>
  <c r="J25" i="19" s="1"/>
  <c r="D94" i="14" l="1"/>
  <c r="E94" i="14" s="1"/>
  <c r="H93" i="14"/>
  <c r="C94" i="14" s="1"/>
  <c r="L94" i="14" s="1"/>
  <c r="J95" i="14" s="1"/>
  <c r="V14" i="11"/>
  <c r="L20" i="10"/>
  <c r="B25" i="10"/>
  <c r="D19" i="10"/>
  <c r="B21" i="10" s="1"/>
  <c r="B7" i="10"/>
  <c r="B9" i="10" s="1"/>
  <c r="D6" i="10"/>
  <c r="B8" i="8"/>
  <c r="D8" i="8"/>
  <c r="B9" i="8"/>
  <c r="D9" i="8"/>
  <c r="D7" i="8"/>
  <c r="B7" i="8"/>
  <c r="F94" i="14" l="1"/>
  <c r="G94" i="14" s="1"/>
  <c r="B95" i="14" s="1"/>
  <c r="H94" i="14"/>
  <c r="C95" i="14" s="1"/>
  <c r="K94" i="14"/>
  <c r="I95" i="14" s="1"/>
  <c r="J23" i="10"/>
  <c r="J21" i="10"/>
  <c r="T17" i="11"/>
  <c r="T15" i="11"/>
  <c r="B26" i="10"/>
  <c r="B27" i="10" s="1"/>
  <c r="N13" i="11" s="1"/>
  <c r="B23" i="10"/>
  <c r="D21" i="10"/>
  <c r="N11" i="11" s="1"/>
  <c r="L95" i="14" l="1"/>
  <c r="J96" i="14" s="1"/>
  <c r="K95" i="14"/>
  <c r="I96" i="14" s="1"/>
  <c r="D95" i="14"/>
  <c r="E95" i="14" s="1"/>
  <c r="F95" i="14" s="1"/>
  <c r="G95" i="14" s="1"/>
  <c r="B96" i="14" s="1"/>
  <c r="N16" i="11"/>
  <c r="V15" i="11"/>
  <c r="T21" i="11"/>
  <c r="T18" i="11"/>
  <c r="T19" i="11" s="1"/>
  <c r="L21" i="10"/>
  <c r="J27" i="10"/>
  <c r="I22" i="11" s="1"/>
  <c r="I25" i="11" s="1"/>
  <c r="J24" i="10"/>
  <c r="J25" i="10" s="1"/>
  <c r="I27" i="11" s="1"/>
  <c r="I26" i="11" l="1"/>
  <c r="D96" i="14"/>
  <c r="E96" i="14" s="1"/>
  <c r="F96" i="14" s="1"/>
  <c r="K96" i="14"/>
  <c r="I97" i="14" s="1"/>
  <c r="L96" i="14"/>
  <c r="J97" i="14" s="1"/>
  <c r="H95" i="14"/>
  <c r="C96" i="14" s="1"/>
  <c r="T22" i="11"/>
  <c r="V22" i="11" s="1"/>
  <c r="J28" i="10"/>
  <c r="L28" i="10" s="1"/>
  <c r="H96" i="14" l="1"/>
  <c r="C97" i="14" s="1"/>
  <c r="G96" i="14"/>
  <c r="B97" i="14" s="1"/>
  <c r="C5" i="6"/>
  <c r="B13" i="6"/>
  <c r="B14" i="6" s="1"/>
  <c r="G13" i="6"/>
  <c r="G14" i="6" s="1"/>
  <c r="E21" i="3"/>
  <c r="B9" i="19" s="1"/>
  <c r="C6" i="3"/>
  <c r="C19" i="3" s="1"/>
  <c r="D97" i="14" l="1"/>
  <c r="E97" i="14" s="1"/>
  <c r="F97" i="14" s="1"/>
  <c r="G97" i="14" s="1"/>
  <c r="B98" i="14" s="1"/>
  <c r="L97" i="14"/>
  <c r="J98" i="14" s="1"/>
  <c r="H97" i="14"/>
  <c r="C98" i="14" s="1"/>
  <c r="K97" i="14"/>
  <c r="I98" i="14" s="1"/>
  <c r="H13" i="6"/>
  <c r="H12" i="6"/>
  <c r="H44" i="6"/>
  <c r="H43" i="6"/>
  <c r="C13" i="6"/>
  <c r="D13" i="6" s="1"/>
  <c r="H14" i="6"/>
  <c r="G15" i="6"/>
  <c r="C14" i="6"/>
  <c r="D14" i="6" s="1"/>
  <c r="B15" i="6"/>
  <c r="C12" i="6"/>
  <c r="D12" i="6" s="1"/>
  <c r="G4" i="1"/>
  <c r="G5" i="1" s="1"/>
  <c r="C4" i="1"/>
  <c r="D98" i="14" l="1"/>
  <c r="E98" i="14" s="1"/>
  <c r="F98" i="14" s="1"/>
  <c r="G98" i="14" s="1"/>
  <c r="B99" i="14" s="1"/>
  <c r="H98" i="14"/>
  <c r="C99" i="14" s="1"/>
  <c r="K98" i="14"/>
  <c r="I99" i="14" s="1"/>
  <c r="L98" i="14"/>
  <c r="J99" i="14" s="1"/>
  <c r="C13" i="1"/>
  <c r="D13" i="1" s="1"/>
  <c r="C6" i="6"/>
  <c r="C3" i="6"/>
  <c r="E25" i="3"/>
  <c r="J22" i="10"/>
  <c r="T16" i="11"/>
  <c r="B16" i="6"/>
  <c r="C15" i="6"/>
  <c r="D15" i="6" s="1"/>
  <c r="H15" i="6"/>
  <c r="G16" i="6"/>
  <c r="G25" i="3"/>
  <c r="C28" i="3"/>
  <c r="G6" i="1"/>
  <c r="C15" i="1"/>
  <c r="D15" i="1" s="1"/>
  <c r="C14" i="1"/>
  <c r="D14" i="1" s="1"/>
  <c r="C4" i="6" l="1"/>
  <c r="B11" i="19"/>
  <c r="B13" i="19" s="1"/>
  <c r="B14" i="19" s="1"/>
  <c r="K99" i="14"/>
  <c r="I100" i="14" s="1"/>
  <c r="H99" i="14"/>
  <c r="C100" i="14" s="1"/>
  <c r="D99" i="14"/>
  <c r="E99" i="14" s="1"/>
  <c r="F99" i="14" s="1"/>
  <c r="G99" i="14" s="1"/>
  <c r="B100" i="14" s="1"/>
  <c r="L99" i="14"/>
  <c r="J100" i="14" s="1"/>
  <c r="R3" i="6"/>
  <c r="R5" i="6"/>
  <c r="C7" i="8"/>
  <c r="C10" i="6"/>
  <c r="I15" i="6" s="1"/>
  <c r="C35" i="3"/>
  <c r="F35" i="3" s="1"/>
  <c r="B11" i="10"/>
  <c r="B13" i="10" s="1"/>
  <c r="B14" i="10" s="1"/>
  <c r="D14" i="10" s="1"/>
  <c r="C29" i="3"/>
  <c r="G29" i="3"/>
  <c r="B17" i="6"/>
  <c r="C16" i="6"/>
  <c r="D16" i="6" s="1"/>
  <c r="G17" i="6"/>
  <c r="H16" i="6"/>
  <c r="C32" i="3"/>
  <c r="G26" i="3"/>
  <c r="E26" i="3"/>
  <c r="C16" i="1"/>
  <c r="D16" i="1" s="1"/>
  <c r="B16" i="19" l="1"/>
  <c r="D14" i="19"/>
  <c r="B15" i="19"/>
  <c r="J15" i="6"/>
  <c r="K15" i="6" s="1"/>
  <c r="L100" i="14"/>
  <c r="J101" i="14" s="1"/>
  <c r="D100" i="14"/>
  <c r="E100" i="14" s="1"/>
  <c r="F100" i="14" s="1"/>
  <c r="G100" i="14" s="1"/>
  <c r="B101" i="14" s="1"/>
  <c r="K100" i="14"/>
  <c r="I101" i="14" s="1"/>
  <c r="G9" i="6"/>
  <c r="G8" i="6"/>
  <c r="K9" i="6"/>
  <c r="K8" i="6"/>
  <c r="I43" i="6"/>
  <c r="J43" i="6" s="1"/>
  <c r="I44" i="6"/>
  <c r="J44" i="6" s="1"/>
  <c r="I14" i="6"/>
  <c r="J14" i="6" s="1"/>
  <c r="I13" i="6"/>
  <c r="J13" i="6" s="1"/>
  <c r="I12" i="6"/>
  <c r="J12" i="6" s="1"/>
  <c r="C30" i="3"/>
  <c r="C36" i="3"/>
  <c r="C37" i="3" s="1"/>
  <c r="B16" i="10"/>
  <c r="B15" i="10"/>
  <c r="C33" i="3"/>
  <c r="B8" i="19" s="1"/>
  <c r="C8" i="8"/>
  <c r="B18" i="6"/>
  <c r="C17" i="6"/>
  <c r="D17" i="6" s="1"/>
  <c r="I16" i="6"/>
  <c r="J16" i="6" s="1"/>
  <c r="G18" i="6"/>
  <c r="H17" i="6"/>
  <c r="C17" i="1"/>
  <c r="D17" i="1" s="1"/>
  <c r="L15" i="6" l="1"/>
  <c r="M15" i="6" s="1"/>
  <c r="D101" i="14"/>
  <c r="E101" i="14" s="1"/>
  <c r="F101" i="14" s="1"/>
  <c r="H100" i="14"/>
  <c r="C101" i="14" s="1"/>
  <c r="L101" i="14" s="1"/>
  <c r="J102" i="14" s="1"/>
  <c r="K12" i="6"/>
  <c r="L12" i="6"/>
  <c r="M12" i="6" s="1"/>
  <c r="K43" i="6"/>
  <c r="L43" i="6"/>
  <c r="M43" i="6" s="1"/>
  <c r="K14" i="6"/>
  <c r="L14" i="6"/>
  <c r="M14" i="6" s="1"/>
  <c r="K13" i="6"/>
  <c r="L13" i="6"/>
  <c r="M13" i="6" s="1"/>
  <c r="K44" i="6"/>
  <c r="L44" i="6"/>
  <c r="M44" i="6" s="1"/>
  <c r="K16" i="6"/>
  <c r="L16" i="6"/>
  <c r="M16" i="6" s="1"/>
  <c r="C9" i="8"/>
  <c r="B8" i="10"/>
  <c r="K17" i="8"/>
  <c r="K18" i="8" s="1"/>
  <c r="K20" i="8" s="1"/>
  <c r="K21" i="8" s="1"/>
  <c r="C17" i="8"/>
  <c r="I17" i="6"/>
  <c r="J17" i="6" s="1"/>
  <c r="H18" i="6"/>
  <c r="G19" i="6"/>
  <c r="B19" i="6"/>
  <c r="C18" i="6"/>
  <c r="D18" i="6" s="1"/>
  <c r="C18" i="1"/>
  <c r="D18" i="1" s="1"/>
  <c r="H101" i="14" l="1"/>
  <c r="C102" i="14" s="1"/>
  <c r="G101" i="14"/>
  <c r="B102" i="14" s="1"/>
  <c r="H102" i="14" s="1"/>
  <c r="C103" i="14" s="1"/>
  <c r="C18" i="8"/>
  <c r="C20" i="8" s="1"/>
  <c r="C21" i="8" s="1"/>
  <c r="D102" i="14"/>
  <c r="E102" i="14" s="1"/>
  <c r="F102" i="14" s="1"/>
  <c r="G102" i="14" s="1"/>
  <c r="B103" i="14" s="1"/>
  <c r="L102" i="14"/>
  <c r="J103" i="14" s="1"/>
  <c r="K101" i="14"/>
  <c r="I102" i="14" s="1"/>
  <c r="K17" i="6"/>
  <c r="L17" i="6"/>
  <c r="M17" i="6" s="1"/>
  <c r="B20" i="6"/>
  <c r="C19" i="6"/>
  <c r="D19" i="6" s="1"/>
  <c r="G20" i="6"/>
  <c r="H19" i="6"/>
  <c r="I18" i="6"/>
  <c r="J18" i="6" s="1"/>
  <c r="C19" i="1"/>
  <c r="D19" i="1" s="1"/>
  <c r="K102" i="14" l="1"/>
  <c r="D103" i="14"/>
  <c r="E103" i="14" s="1"/>
  <c r="F103" i="14" s="1"/>
  <c r="G103" i="14" s="1"/>
  <c r="B104" i="14" s="1"/>
  <c r="K103" i="14"/>
  <c r="L103" i="14"/>
  <c r="J104" i="14" s="1"/>
  <c r="I103" i="14"/>
  <c r="K18" i="6"/>
  <c r="L18" i="6"/>
  <c r="M18" i="6" s="1"/>
  <c r="G21" i="6"/>
  <c r="H20" i="6"/>
  <c r="B21" i="6"/>
  <c r="C20" i="6"/>
  <c r="D20" i="6" s="1"/>
  <c r="I19" i="6"/>
  <c r="J19" i="6" s="1"/>
  <c r="C20" i="1"/>
  <c r="D20" i="1" s="1"/>
  <c r="H103" i="14" l="1"/>
  <c r="C104" i="14" s="1"/>
  <c r="K104" i="14" s="1"/>
  <c r="D104" i="14"/>
  <c r="E104" i="14" s="1"/>
  <c r="F104" i="14" s="1"/>
  <c r="G104" i="14" s="1"/>
  <c r="B105" i="14" s="1"/>
  <c r="H104" i="14"/>
  <c r="C105" i="14" s="1"/>
  <c r="L104" i="14"/>
  <c r="J105" i="14" s="1"/>
  <c r="I104" i="14"/>
  <c r="K19" i="6"/>
  <c r="L19" i="6"/>
  <c r="M19" i="6" s="1"/>
  <c r="B22" i="6"/>
  <c r="C21" i="6"/>
  <c r="D21" i="6" s="1"/>
  <c r="I20" i="6"/>
  <c r="J20" i="6" s="1"/>
  <c r="G22" i="6"/>
  <c r="H21" i="6"/>
  <c r="C21" i="1"/>
  <c r="D21" i="1" s="1"/>
  <c r="D105" i="14" l="1"/>
  <c r="E105" i="14" s="1"/>
  <c r="F105" i="14" s="1"/>
  <c r="G105" i="14" s="1"/>
  <c r="B106" i="14" s="1"/>
  <c r="L105" i="14"/>
  <c r="J106" i="14" s="1"/>
  <c r="K105" i="14"/>
  <c r="I105" i="14"/>
  <c r="K20" i="6"/>
  <c r="L20" i="6"/>
  <c r="M20" i="6" s="1"/>
  <c r="C22" i="6"/>
  <c r="D22" i="6" s="1"/>
  <c r="B23" i="6"/>
  <c r="I21" i="6"/>
  <c r="J21" i="6" s="1"/>
  <c r="H22" i="6"/>
  <c r="G23" i="6"/>
  <c r="C22" i="1"/>
  <c r="D22" i="1" s="1"/>
  <c r="D106" i="14" l="1"/>
  <c r="E106" i="14" s="1"/>
  <c r="F106" i="14" s="1"/>
  <c r="I106" i="14"/>
  <c r="H105" i="14"/>
  <c r="C106" i="14" s="1"/>
  <c r="L106" i="14" s="1"/>
  <c r="J107" i="14" s="1"/>
  <c r="K21" i="6"/>
  <c r="L21" i="6"/>
  <c r="M21" i="6" s="1"/>
  <c r="B24" i="6"/>
  <c r="C23" i="6"/>
  <c r="D23" i="6" s="1"/>
  <c r="H23" i="6"/>
  <c r="G24" i="6"/>
  <c r="I22" i="6"/>
  <c r="J22" i="6" s="1"/>
  <c r="C23" i="1"/>
  <c r="D23" i="1" s="1"/>
  <c r="H106" i="14" l="1"/>
  <c r="C107" i="14" s="1"/>
  <c r="K106" i="14"/>
  <c r="I107" i="14" s="1"/>
  <c r="G106" i="14"/>
  <c r="B107" i="14" s="1"/>
  <c r="K22" i="6"/>
  <c r="L22" i="6"/>
  <c r="M22" i="6" s="1"/>
  <c r="B25" i="6"/>
  <c r="C24" i="6"/>
  <c r="D24" i="6" s="1"/>
  <c r="G25" i="6"/>
  <c r="H24" i="6"/>
  <c r="I23" i="6"/>
  <c r="J23" i="6" s="1"/>
  <c r="C24" i="1"/>
  <c r="D24" i="1" s="1"/>
  <c r="K107" i="14" l="1"/>
  <c r="I108" i="14" s="1"/>
  <c r="D107" i="14"/>
  <c r="E107" i="14" s="1"/>
  <c r="F107" i="14" s="1"/>
  <c r="G107" i="14" s="1"/>
  <c r="B108" i="14" s="1"/>
  <c r="H107" i="14"/>
  <c r="C108" i="14" s="1"/>
  <c r="L108" i="14" s="1"/>
  <c r="L107" i="14"/>
  <c r="J108" i="14" s="1"/>
  <c r="K23" i="6"/>
  <c r="L23" i="6"/>
  <c r="M23" i="6" s="1"/>
  <c r="B26" i="6"/>
  <c r="C25" i="6"/>
  <c r="D25" i="6" s="1"/>
  <c r="I24" i="6"/>
  <c r="J24" i="6" s="1"/>
  <c r="G26" i="6"/>
  <c r="H25" i="6"/>
  <c r="C25" i="1"/>
  <c r="D25" i="1" s="1"/>
  <c r="J109" i="14" l="1"/>
  <c r="D108" i="14"/>
  <c r="E108" i="14" s="1"/>
  <c r="F108" i="14" s="1"/>
  <c r="G108" i="14" s="1"/>
  <c r="B109" i="14" s="1"/>
  <c r="K108" i="14"/>
  <c r="I109" i="14" s="1"/>
  <c r="H108" i="14"/>
  <c r="C109" i="14" s="1"/>
  <c r="L109" i="14" s="1"/>
  <c r="J110" i="14" s="1"/>
  <c r="K24" i="6"/>
  <c r="L24" i="6"/>
  <c r="M24" i="6" s="1"/>
  <c r="B27" i="6"/>
  <c r="C26" i="6"/>
  <c r="D26" i="6" s="1"/>
  <c r="I25" i="6"/>
  <c r="J25" i="6" s="1"/>
  <c r="H26" i="6"/>
  <c r="G27" i="6"/>
  <c r="C26" i="1"/>
  <c r="D26" i="1" s="1"/>
  <c r="D109" i="14" l="1"/>
  <c r="E109" i="14" s="1"/>
  <c r="F109" i="14" s="1"/>
  <c r="G109" i="14" s="1"/>
  <c r="B110" i="14" s="1"/>
  <c r="K109" i="14"/>
  <c r="I110" i="14" s="1"/>
  <c r="K25" i="6"/>
  <c r="L25" i="6"/>
  <c r="M25" i="6" s="1"/>
  <c r="B28" i="6"/>
  <c r="C27" i="6"/>
  <c r="D27" i="6" s="1"/>
  <c r="G28" i="6"/>
  <c r="H27" i="6"/>
  <c r="I26" i="6"/>
  <c r="J26" i="6" s="1"/>
  <c r="C27" i="1"/>
  <c r="D27" i="1" s="1"/>
  <c r="D110" i="14" l="1"/>
  <c r="E110" i="14" s="1"/>
  <c r="F110" i="14" s="1"/>
  <c r="H109" i="14"/>
  <c r="C110" i="14" s="1"/>
  <c r="L110" i="14" s="1"/>
  <c r="J111" i="14" s="1"/>
  <c r="K26" i="6"/>
  <c r="L26" i="6"/>
  <c r="M26" i="6" s="1"/>
  <c r="B29" i="6"/>
  <c r="C28" i="6"/>
  <c r="D28" i="6" s="1"/>
  <c r="G29" i="6"/>
  <c r="H28" i="6"/>
  <c r="I27" i="6"/>
  <c r="J27" i="6" s="1"/>
  <c r="C28" i="1"/>
  <c r="D28" i="1" s="1"/>
  <c r="G110" i="14" l="1"/>
  <c r="B111" i="14" s="1"/>
  <c r="K110" i="14"/>
  <c r="I111" i="14" s="1"/>
  <c r="D111" i="14"/>
  <c r="E111" i="14" s="1"/>
  <c r="F111" i="14" s="1"/>
  <c r="G111" i="14" s="1"/>
  <c r="B112" i="14" s="1"/>
  <c r="H111" i="14"/>
  <c r="C112" i="14" s="1"/>
  <c r="L112" i="14" s="1"/>
  <c r="J113" i="14" s="1"/>
  <c r="H110" i="14"/>
  <c r="C111" i="14" s="1"/>
  <c r="L111" i="14" s="1"/>
  <c r="J112" i="14" s="1"/>
  <c r="K27" i="6"/>
  <c r="L27" i="6"/>
  <c r="M27" i="6" s="1"/>
  <c r="G30" i="6"/>
  <c r="H29" i="6"/>
  <c r="B30" i="6"/>
  <c r="C29" i="6"/>
  <c r="D29" i="6" s="1"/>
  <c r="I28" i="6"/>
  <c r="J28" i="6" s="1"/>
  <c r="C29" i="1"/>
  <c r="D29" i="1" s="1"/>
  <c r="K112" i="14" l="1"/>
  <c r="D112" i="14"/>
  <c r="E112" i="14" s="1"/>
  <c r="F112" i="14" s="1"/>
  <c r="G112" i="14" s="1"/>
  <c r="B113" i="14" s="1"/>
  <c r="K111" i="14"/>
  <c r="I112" i="14" s="1"/>
  <c r="I113" i="14" s="1"/>
  <c r="K28" i="6"/>
  <c r="L28" i="6"/>
  <c r="M28" i="6" s="1"/>
  <c r="I29" i="6"/>
  <c r="J29" i="6" s="1"/>
  <c r="H30" i="6"/>
  <c r="G31" i="6"/>
  <c r="C30" i="6"/>
  <c r="D30" i="6" s="1"/>
  <c r="B31" i="6"/>
  <c r="C30" i="1"/>
  <c r="D30" i="1" s="1"/>
  <c r="D113" i="14" l="1"/>
  <c r="E113" i="14" s="1"/>
  <c r="F113" i="14" s="1"/>
  <c r="H112" i="14"/>
  <c r="C113" i="14" s="1"/>
  <c r="L113" i="14" s="1"/>
  <c r="J114" i="14" s="1"/>
  <c r="K29" i="6"/>
  <c r="L29" i="6"/>
  <c r="M29" i="6" s="1"/>
  <c r="I30" i="6"/>
  <c r="J30" i="6" s="1"/>
  <c r="B32" i="6"/>
  <c r="C31" i="6"/>
  <c r="D31" i="6" s="1"/>
  <c r="H31" i="6"/>
  <c r="G32" i="6"/>
  <c r="C31" i="1"/>
  <c r="D31" i="1" s="1"/>
  <c r="H113" i="14" l="1"/>
  <c r="C114" i="14" s="1"/>
  <c r="K113" i="14"/>
  <c r="I114" i="14" s="1"/>
  <c r="G113" i="14"/>
  <c r="B114" i="14" s="1"/>
  <c r="K30" i="6"/>
  <c r="L30" i="6"/>
  <c r="M30" i="6" s="1"/>
  <c r="I31" i="6"/>
  <c r="J31" i="6" s="1"/>
  <c r="B33" i="6"/>
  <c r="C32" i="6"/>
  <c r="D32" i="6" s="1"/>
  <c r="G33" i="6"/>
  <c r="H32" i="6"/>
  <c r="C32" i="1"/>
  <c r="D32" i="1" s="1"/>
  <c r="D114" i="14" l="1"/>
  <c r="E114" i="14" s="1"/>
  <c r="F114" i="14" s="1"/>
  <c r="G114" i="14" s="1"/>
  <c r="B115" i="14" s="1"/>
  <c r="K114" i="14"/>
  <c r="I115" i="14" s="1"/>
  <c r="H114" i="14"/>
  <c r="C115" i="14" s="1"/>
  <c r="L115" i="14" s="1"/>
  <c r="L114" i="14"/>
  <c r="J115" i="14" s="1"/>
  <c r="K31" i="6"/>
  <c r="L31" i="6"/>
  <c r="M31" i="6" s="1"/>
  <c r="I32" i="6"/>
  <c r="J32" i="6" s="1"/>
  <c r="H33" i="6"/>
  <c r="G34" i="6"/>
  <c r="B34" i="6"/>
  <c r="C33" i="6"/>
  <c r="D33" i="6" s="1"/>
  <c r="C33" i="1"/>
  <c r="D33" i="1" s="1"/>
  <c r="J116" i="14" l="1"/>
  <c r="K115" i="14"/>
  <c r="I116" i="14" s="1"/>
  <c r="D115" i="14"/>
  <c r="E115" i="14" s="1"/>
  <c r="F115" i="14" s="1"/>
  <c r="G115" i="14" s="1"/>
  <c r="B116" i="14" s="1"/>
  <c r="K32" i="6"/>
  <c r="L32" i="6"/>
  <c r="M32" i="6" s="1"/>
  <c r="B35" i="6"/>
  <c r="C34" i="6"/>
  <c r="D34" i="6" s="1"/>
  <c r="G35" i="6"/>
  <c r="H34" i="6"/>
  <c r="I33" i="6"/>
  <c r="J33" i="6" s="1"/>
  <c r="C34" i="1"/>
  <c r="D34" i="1" s="1"/>
  <c r="D116" i="14" l="1"/>
  <c r="E116" i="14" s="1"/>
  <c r="F116" i="14" s="1"/>
  <c r="H115" i="14"/>
  <c r="C116" i="14" s="1"/>
  <c r="L116" i="14" s="1"/>
  <c r="J117" i="14" s="1"/>
  <c r="K33" i="6"/>
  <c r="L33" i="6"/>
  <c r="M33" i="6" s="1"/>
  <c r="I34" i="6"/>
  <c r="J34" i="6" s="1"/>
  <c r="H35" i="6"/>
  <c r="G36" i="6"/>
  <c r="B36" i="6"/>
  <c r="C36" i="6" s="1"/>
  <c r="D36" i="6" s="1"/>
  <c r="C35" i="6"/>
  <c r="D35" i="6" s="1"/>
  <c r="C35" i="1"/>
  <c r="D35" i="1" s="1"/>
  <c r="H116" i="14" l="1"/>
  <c r="C117" i="14" s="1"/>
  <c r="G116" i="14"/>
  <c r="B117" i="14" s="1"/>
  <c r="H117" i="14" s="1"/>
  <c r="C118" i="14" s="1"/>
  <c r="L118" i="14" s="1"/>
  <c r="D117" i="14"/>
  <c r="E117" i="14" s="1"/>
  <c r="F117" i="14" s="1"/>
  <c r="G117" i="14" s="1"/>
  <c r="B118" i="14" s="1"/>
  <c r="K117" i="14"/>
  <c r="K116" i="14"/>
  <c r="I117" i="14" s="1"/>
  <c r="K34" i="6"/>
  <c r="L34" i="6"/>
  <c r="M34" i="6" s="1"/>
  <c r="G37" i="6"/>
  <c r="H36" i="6"/>
  <c r="I35" i="6"/>
  <c r="J35" i="6" s="1"/>
  <c r="C36" i="1"/>
  <c r="D36" i="1" s="1"/>
  <c r="I118" i="14" l="1"/>
  <c r="L117" i="14"/>
  <c r="J118" i="14" s="1"/>
  <c r="J119" i="14" s="1"/>
  <c r="K118" i="14"/>
  <c r="I119" i="14" s="1"/>
  <c r="D118" i="14"/>
  <c r="E118" i="14" s="1"/>
  <c r="F118" i="14" s="1"/>
  <c r="G118" i="14" s="1"/>
  <c r="B119" i="14" s="1"/>
  <c r="K35" i="6"/>
  <c r="L35" i="6"/>
  <c r="M35" i="6" s="1"/>
  <c r="I36" i="6"/>
  <c r="J36" i="6" s="1"/>
  <c r="H37" i="6"/>
  <c r="G38" i="6"/>
  <c r="C37" i="1"/>
  <c r="D37" i="1" s="1"/>
  <c r="H118" i="14" l="1"/>
  <c r="C119" i="14" s="1"/>
  <c r="L119" i="14" s="1"/>
  <c r="J120" i="14" s="1"/>
  <c r="K119" i="14"/>
  <c r="I120" i="14" s="1"/>
  <c r="D119" i="14"/>
  <c r="E119" i="14" s="1"/>
  <c r="F119" i="14" s="1"/>
  <c r="G119" i="14" s="1"/>
  <c r="B120" i="14" s="1"/>
  <c r="K36" i="6"/>
  <c r="L36" i="6"/>
  <c r="M36" i="6" s="1"/>
  <c r="G39" i="6"/>
  <c r="H38" i="6"/>
  <c r="I37" i="6"/>
  <c r="J37" i="6" s="1"/>
  <c r="C38" i="1"/>
  <c r="D38" i="1" s="1"/>
  <c r="D120" i="14" l="1"/>
  <c r="E120" i="14" s="1"/>
  <c r="F120" i="14" s="1"/>
  <c r="H119" i="14"/>
  <c r="C120" i="14" s="1"/>
  <c r="L120" i="14" s="1"/>
  <c r="J121" i="14" s="1"/>
  <c r="K37" i="6"/>
  <c r="L37" i="6"/>
  <c r="M37" i="6" s="1"/>
  <c r="I38" i="6"/>
  <c r="J38" i="6" s="1"/>
  <c r="H39" i="6"/>
  <c r="G40" i="6"/>
  <c r="C39" i="1"/>
  <c r="D39" i="1" s="1"/>
  <c r="H120" i="14" l="1"/>
  <c r="C121" i="14" s="1"/>
  <c r="G120" i="14"/>
  <c r="B121" i="14" s="1"/>
  <c r="K121" i="14" s="1"/>
  <c r="D121" i="14"/>
  <c r="E121" i="14" s="1"/>
  <c r="F121" i="14" s="1"/>
  <c r="G121" i="14" s="1"/>
  <c r="B122" i="14" s="1"/>
  <c r="K120" i="14"/>
  <c r="I121" i="14" s="1"/>
  <c r="K38" i="6"/>
  <c r="L38" i="6"/>
  <c r="M38" i="6" s="1"/>
  <c r="H40" i="6"/>
  <c r="G41" i="6"/>
  <c r="I39" i="6"/>
  <c r="J39" i="6" s="1"/>
  <c r="C40" i="1"/>
  <c r="D40" i="1" s="1"/>
  <c r="I122" i="14" l="1"/>
  <c r="L121" i="14"/>
  <c r="J122" i="14" s="1"/>
  <c r="D122" i="14"/>
  <c r="E122" i="14" s="1"/>
  <c r="F122" i="14" s="1"/>
  <c r="H122" i="14"/>
  <c r="C123" i="14" s="1"/>
  <c r="H121" i="14"/>
  <c r="C122" i="14" s="1"/>
  <c r="L122" i="14" s="1"/>
  <c r="J123" i="14" s="1"/>
  <c r="K39" i="6"/>
  <c r="L39" i="6"/>
  <c r="M39" i="6" s="1"/>
  <c r="G42" i="6"/>
  <c r="H42" i="6" s="1"/>
  <c r="H41" i="6"/>
  <c r="I40" i="6"/>
  <c r="J40" i="6" s="1"/>
  <c r="C41" i="1"/>
  <c r="D41" i="1" s="1"/>
  <c r="K122" i="14" l="1"/>
  <c r="I123" i="14" s="1"/>
  <c r="G122" i="14"/>
  <c r="B123" i="14" s="1"/>
  <c r="L123" i="14" s="1"/>
  <c r="J124" i="14" s="1"/>
  <c r="K40" i="6"/>
  <c r="L40" i="6"/>
  <c r="M40" i="6" s="1"/>
  <c r="I41" i="6"/>
  <c r="J41" i="6" s="1"/>
  <c r="I42" i="6"/>
  <c r="J42" i="6" s="1"/>
  <c r="C42" i="1"/>
  <c r="D42" i="1" s="1"/>
  <c r="D123" i="14" l="1"/>
  <c r="E123" i="14" s="1"/>
  <c r="F123" i="14" s="1"/>
  <c r="G123" i="14" s="1"/>
  <c r="B124" i="14" s="1"/>
  <c r="K123" i="14"/>
  <c r="I124" i="14" s="1"/>
  <c r="H123" i="14"/>
  <c r="C124" i="14" s="1"/>
  <c r="K42" i="6"/>
  <c r="L42" i="6"/>
  <c r="M42" i="6" s="1"/>
  <c r="K41" i="6"/>
  <c r="L41" i="6"/>
  <c r="M41" i="6" s="1"/>
  <c r="C43" i="1"/>
  <c r="D43" i="1" s="1"/>
  <c r="D124" i="14" l="1"/>
  <c r="E124" i="14" s="1"/>
  <c r="F124" i="14" s="1"/>
  <c r="G124" i="14" s="1"/>
  <c r="B125" i="14" s="1"/>
  <c r="K124" i="14"/>
  <c r="I125" i="14" s="1"/>
  <c r="L124" i="14"/>
  <c r="J125" i="14" s="1"/>
  <c r="C44" i="1"/>
  <c r="D44" i="1" s="1"/>
  <c r="D125" i="14" l="1"/>
  <c r="E125" i="14" s="1"/>
  <c r="F125" i="14" s="1"/>
  <c r="H124" i="14"/>
  <c r="C125" i="14" s="1"/>
  <c r="L125" i="14" s="1"/>
  <c r="J126" i="14" s="1"/>
  <c r="C45" i="1"/>
  <c r="D45" i="1" s="1"/>
  <c r="H125" i="14" l="1"/>
  <c r="C126" i="14" s="1"/>
  <c r="K125" i="14"/>
  <c r="I126" i="14" s="1"/>
  <c r="G125" i="14"/>
  <c r="B126" i="14" s="1"/>
  <c r="D126" i="14" s="1"/>
  <c r="E126" i="14" s="1"/>
  <c r="F126" i="14" s="1"/>
  <c r="G126" i="14" s="1"/>
  <c r="B127" i="14" s="1"/>
  <c r="C46" i="1"/>
  <c r="D46" i="1" s="1"/>
  <c r="H126" i="14" l="1"/>
  <c r="C127" i="14" s="1"/>
  <c r="K126" i="14"/>
  <c r="I127" i="14" s="1"/>
  <c r="L126" i="14"/>
  <c r="J127" i="14" s="1"/>
  <c r="L127" i="14"/>
  <c r="J128" i="14" s="1"/>
  <c r="D127" i="14"/>
  <c r="E127" i="14" s="1"/>
  <c r="F127" i="14" s="1"/>
  <c r="G127" i="14" s="1"/>
  <c r="B128" i="14" s="1"/>
  <c r="K127" i="14"/>
  <c r="I128" i="14" s="1"/>
  <c r="B48" i="1"/>
  <c r="C47" i="1"/>
  <c r="D47" i="1" s="1"/>
  <c r="D128" i="14" l="1"/>
  <c r="E128" i="14" s="1"/>
  <c r="F128" i="14" s="1"/>
  <c r="H127" i="14"/>
  <c r="C128" i="14" s="1"/>
  <c r="L128" i="14" s="1"/>
  <c r="J129" i="14" s="1"/>
  <c r="B49" i="1"/>
  <c r="C48" i="1"/>
  <c r="D48" i="1" s="1"/>
  <c r="G128" i="14" l="1"/>
  <c r="B129" i="14" s="1"/>
  <c r="D129" i="14" s="1"/>
  <c r="E129" i="14" s="1"/>
  <c r="F129" i="14" s="1"/>
  <c r="G129" i="14" s="1"/>
  <c r="B130" i="14" s="1"/>
  <c r="K128" i="14"/>
  <c r="I129" i="14" s="1"/>
  <c r="H128" i="14"/>
  <c r="C129" i="14" s="1"/>
  <c r="L129" i="14" s="1"/>
  <c r="J130" i="14" s="1"/>
  <c r="B50" i="1"/>
  <c r="C49" i="1"/>
  <c r="D49" i="1" s="1"/>
  <c r="D130" i="14" l="1"/>
  <c r="E130" i="14" s="1"/>
  <c r="F130" i="14" s="1"/>
  <c r="K129" i="14"/>
  <c r="I130" i="14"/>
  <c r="H129" i="14"/>
  <c r="C130" i="14" s="1"/>
  <c r="L130" i="14" s="1"/>
  <c r="J131" i="14" s="1"/>
  <c r="B51" i="1"/>
  <c r="B52" i="1" s="1"/>
  <c r="C50" i="1"/>
  <c r="D50" i="1" s="1"/>
  <c r="G130" i="14" l="1"/>
  <c r="B131" i="14" s="1"/>
  <c r="H130" i="14"/>
  <c r="C131" i="14" s="1"/>
  <c r="L131" i="14" s="1"/>
  <c r="J132" i="14" s="1"/>
  <c r="K130" i="14"/>
  <c r="I131" i="14" s="1"/>
  <c r="B53" i="1"/>
  <c r="C52" i="1"/>
  <c r="D52" i="1" s="1"/>
  <c r="C51" i="1"/>
  <c r="D51" i="1" s="1"/>
  <c r="D131" i="14" l="1"/>
  <c r="E131" i="14" s="1"/>
  <c r="F131" i="14" s="1"/>
  <c r="G131" i="14" s="1"/>
  <c r="B132" i="14" s="1"/>
  <c r="K131" i="14"/>
  <c r="I132" i="14" s="1"/>
  <c r="B54" i="1"/>
  <c r="C53" i="1"/>
  <c r="D53" i="1" s="1"/>
  <c r="D132" i="14" l="1"/>
  <c r="E132" i="14" s="1"/>
  <c r="F132" i="14" s="1"/>
  <c r="H131" i="14"/>
  <c r="C132" i="14" s="1"/>
  <c r="L132" i="14" s="1"/>
  <c r="J133" i="14" s="1"/>
  <c r="B55" i="1"/>
  <c r="C54" i="1"/>
  <c r="D54" i="1" s="1"/>
  <c r="K132" i="14" l="1"/>
  <c r="I133" i="14" s="1"/>
  <c r="H132" i="14"/>
  <c r="C133" i="14" s="1"/>
  <c r="G132" i="14"/>
  <c r="B133" i="14" s="1"/>
  <c r="L133" i="14" s="1"/>
  <c r="J134" i="14" s="1"/>
  <c r="B56" i="1"/>
  <c r="C55" i="1"/>
  <c r="D55" i="1" s="1"/>
  <c r="K133" i="14" l="1"/>
  <c r="I134" i="14" s="1"/>
  <c r="D133" i="14"/>
  <c r="E133" i="14" s="1"/>
  <c r="F133" i="14" s="1"/>
  <c r="G133" i="14" s="1"/>
  <c r="B134" i="14" s="1"/>
  <c r="H133" i="14"/>
  <c r="C134" i="14" s="1"/>
  <c r="L134" i="14" s="1"/>
  <c r="J135" i="14" s="1"/>
  <c r="B57" i="1"/>
  <c r="C56" i="1"/>
  <c r="D56" i="1" s="1"/>
  <c r="D134" i="14" l="1"/>
  <c r="E134" i="14" s="1"/>
  <c r="F134" i="14" s="1"/>
  <c r="G134" i="14" s="1"/>
  <c r="B135" i="14" s="1"/>
  <c r="K134" i="14"/>
  <c r="H134" i="14"/>
  <c r="C135" i="14" s="1"/>
  <c r="L135" i="14" s="1"/>
  <c r="J136" i="14" s="1"/>
  <c r="I135" i="14"/>
  <c r="B58" i="1"/>
  <c r="C57" i="1"/>
  <c r="D57" i="1" s="1"/>
  <c r="D135" i="14" l="1"/>
  <c r="E135" i="14" s="1"/>
  <c r="F135" i="14" s="1"/>
  <c r="G135" i="14" s="1"/>
  <c r="B136" i="14" s="1"/>
  <c r="K135" i="14"/>
  <c r="I136" i="14" s="1"/>
  <c r="H135" i="14"/>
  <c r="C136" i="14" s="1"/>
  <c r="L136" i="14" s="1"/>
  <c r="J137" i="14" s="1"/>
  <c r="B59" i="1"/>
  <c r="C58" i="1"/>
  <c r="D58" i="1" s="1"/>
  <c r="K136" i="14" l="1"/>
  <c r="I137" i="14" s="1"/>
  <c r="D136" i="14"/>
  <c r="E136" i="14" s="1"/>
  <c r="F136" i="14" s="1"/>
  <c r="G136" i="14" s="1"/>
  <c r="B137" i="14" s="1"/>
  <c r="H136" i="14"/>
  <c r="C137" i="14" s="1"/>
  <c r="L137" i="14" s="1"/>
  <c r="J138" i="14" s="1"/>
  <c r="B60" i="1"/>
  <c r="C59" i="1"/>
  <c r="D59" i="1" s="1"/>
  <c r="D137" i="14" l="1"/>
  <c r="E137" i="14" s="1"/>
  <c r="F137" i="14" s="1"/>
  <c r="G137" i="14" s="1"/>
  <c r="B138" i="14" s="1"/>
  <c r="H137" i="14"/>
  <c r="C138" i="14" s="1"/>
  <c r="K137" i="14"/>
  <c r="I138" i="14" s="1"/>
  <c r="B61" i="1"/>
  <c r="C60" i="1"/>
  <c r="D60" i="1" s="1"/>
  <c r="L138" i="14" l="1"/>
  <c r="J139" i="14" s="1"/>
  <c r="K138" i="14"/>
  <c r="I139" i="14" s="1"/>
  <c r="D138" i="14"/>
  <c r="E138" i="14" s="1"/>
  <c r="F138" i="14" s="1"/>
  <c r="G138" i="14" s="1"/>
  <c r="B139" i="14" s="1"/>
  <c r="B62" i="1"/>
  <c r="C61" i="1"/>
  <c r="D61" i="1" s="1"/>
  <c r="D139" i="14" l="1"/>
  <c r="E139" i="14" s="1"/>
  <c r="F139" i="14" s="1"/>
  <c r="H138" i="14"/>
  <c r="C139" i="14" s="1"/>
  <c r="L139" i="14" s="1"/>
  <c r="J140" i="14" s="1"/>
  <c r="B63" i="1"/>
  <c r="C62" i="1"/>
  <c r="D62" i="1" s="1"/>
  <c r="G139" i="14" l="1"/>
  <c r="B140" i="14" s="1"/>
  <c r="K139" i="14"/>
  <c r="I140" i="14" s="1"/>
  <c r="D140" i="14"/>
  <c r="E140" i="14" s="1"/>
  <c r="F140" i="14" s="1"/>
  <c r="H139" i="14"/>
  <c r="C140" i="14" s="1"/>
  <c r="K140" i="14" s="1"/>
  <c r="I141" i="14" s="1"/>
  <c r="B64" i="1"/>
  <c r="C63" i="1"/>
  <c r="D63" i="1" s="1"/>
  <c r="H140" i="14" l="1"/>
  <c r="C141" i="14" s="1"/>
  <c r="L140" i="14"/>
  <c r="J141" i="14" s="1"/>
  <c r="G140" i="14"/>
  <c r="B141" i="14" s="1"/>
  <c r="B65" i="1"/>
  <c r="C64" i="1"/>
  <c r="D64" i="1" s="1"/>
  <c r="L141" i="14" l="1"/>
  <c r="J142" i="14" s="1"/>
  <c r="K141" i="14"/>
  <c r="I142" i="14" s="1"/>
  <c r="D141" i="14"/>
  <c r="E141" i="14" s="1"/>
  <c r="F141" i="14" s="1"/>
  <c r="G141" i="14" s="1"/>
  <c r="B142" i="14" s="1"/>
  <c r="B66" i="1"/>
  <c r="C65" i="1"/>
  <c r="D65" i="1" s="1"/>
  <c r="H141" i="14" l="1"/>
  <c r="C142" i="14" s="1"/>
  <c r="K142" i="14"/>
  <c r="I143" i="14" s="1"/>
  <c r="L142" i="14"/>
  <c r="J143" i="14" s="1"/>
  <c r="D142" i="14"/>
  <c r="E142" i="14" s="1"/>
  <c r="F142" i="14" s="1"/>
  <c r="G142" i="14" s="1"/>
  <c r="B143" i="14" s="1"/>
  <c r="B67" i="1"/>
  <c r="C66" i="1"/>
  <c r="D66" i="1" s="1"/>
  <c r="D143" i="14" l="1"/>
  <c r="E143" i="14" s="1"/>
  <c r="F143" i="14" s="1"/>
  <c r="H142" i="14"/>
  <c r="C143" i="14" s="1"/>
  <c r="K143" i="14" s="1"/>
  <c r="I144" i="14" s="1"/>
  <c r="B68" i="1"/>
  <c r="C67" i="1"/>
  <c r="D67" i="1" s="1"/>
  <c r="H143" i="14" l="1"/>
  <c r="C144" i="14" s="1"/>
  <c r="L143" i="14"/>
  <c r="J144" i="14" s="1"/>
  <c r="G143" i="14"/>
  <c r="B144" i="14" s="1"/>
  <c r="B69" i="1"/>
  <c r="C68" i="1"/>
  <c r="D68" i="1" s="1"/>
  <c r="K144" i="14" l="1"/>
  <c r="I145" i="14" s="1"/>
  <c r="D144" i="14"/>
  <c r="E144" i="14" s="1"/>
  <c r="F144" i="14" s="1"/>
  <c r="G144" i="14" s="1"/>
  <c r="B145" i="14" s="1"/>
  <c r="L144" i="14"/>
  <c r="J145" i="14" s="1"/>
  <c r="H144" i="14"/>
  <c r="C145" i="14" s="1"/>
  <c r="B70" i="1"/>
  <c r="C69" i="1"/>
  <c r="D69" i="1" s="1"/>
  <c r="D145" i="14" l="1"/>
  <c r="E145" i="14" s="1"/>
  <c r="F145" i="14" s="1"/>
  <c r="G145" i="14" s="1"/>
  <c r="B146" i="14" s="1"/>
  <c r="H145" i="14"/>
  <c r="C146" i="14" s="1"/>
  <c r="K145" i="14"/>
  <c r="I146" i="14" s="1"/>
  <c r="L145" i="14"/>
  <c r="J146" i="14" s="1"/>
  <c r="B71" i="1"/>
  <c r="C70" i="1"/>
  <c r="D70" i="1" s="1"/>
  <c r="K146" i="14" l="1"/>
  <c r="I147" i="14" s="1"/>
  <c r="D146" i="14"/>
  <c r="E146" i="14" s="1"/>
  <c r="F146" i="14" s="1"/>
  <c r="G146" i="14" s="1"/>
  <c r="B147" i="14" s="1"/>
  <c r="L146" i="14"/>
  <c r="J147" i="14" s="1"/>
  <c r="B72" i="1"/>
  <c r="C71" i="1"/>
  <c r="D71" i="1" s="1"/>
  <c r="D147" i="14" l="1"/>
  <c r="E147" i="14" s="1"/>
  <c r="F147" i="14" s="1"/>
  <c r="H146" i="14"/>
  <c r="C147" i="14" s="1"/>
  <c r="K147" i="14" s="1"/>
  <c r="I148" i="14" s="1"/>
  <c r="B73" i="1"/>
  <c r="C72" i="1"/>
  <c r="D72" i="1" s="1"/>
  <c r="L147" i="14" l="1"/>
  <c r="J148" i="14" s="1"/>
  <c r="G147" i="14"/>
  <c r="B148" i="14" s="1"/>
  <c r="H147" i="14"/>
  <c r="C148" i="14" s="1"/>
  <c r="K148" i="14" s="1"/>
  <c r="I149" i="14" s="1"/>
  <c r="D148" i="14"/>
  <c r="E148" i="14" s="1"/>
  <c r="F148" i="14" s="1"/>
  <c r="B74" i="1"/>
  <c r="C73" i="1"/>
  <c r="D73" i="1" s="1"/>
  <c r="L148" i="14" l="1"/>
  <c r="J149" i="14" s="1"/>
  <c r="H148" i="14"/>
  <c r="C149" i="14" s="1"/>
  <c r="G148" i="14"/>
  <c r="B149" i="14" s="1"/>
  <c r="B75" i="1"/>
  <c r="C74" i="1"/>
  <c r="D74" i="1" s="1"/>
  <c r="D149" i="14" l="1"/>
  <c r="E149" i="14" s="1"/>
  <c r="F149" i="14" s="1"/>
  <c r="G149" i="14" s="1"/>
  <c r="B150" i="14" s="1"/>
  <c r="K149" i="14"/>
  <c r="I150" i="14" s="1"/>
  <c r="L149" i="14"/>
  <c r="J150" i="14" s="1"/>
  <c r="H149" i="14"/>
  <c r="C150" i="14" s="1"/>
  <c r="B76" i="1"/>
  <c r="C75" i="1"/>
  <c r="D75" i="1" s="1"/>
  <c r="K150" i="14" l="1"/>
  <c r="I151" i="14" s="1"/>
  <c r="D150" i="14"/>
  <c r="E150" i="14" s="1"/>
  <c r="F150" i="14" s="1"/>
  <c r="G150" i="14" s="1"/>
  <c r="B151" i="14" s="1"/>
  <c r="H150" i="14"/>
  <c r="C151" i="14" s="1"/>
  <c r="L150" i="14"/>
  <c r="J151" i="14" s="1"/>
  <c r="B77" i="1"/>
  <c r="C77" i="1" s="1"/>
  <c r="D77" i="1" s="1"/>
  <c r="C76" i="1"/>
  <c r="D76" i="1" s="1"/>
  <c r="K151" i="14" l="1"/>
  <c r="I152" i="14" s="1"/>
  <c r="D151" i="14"/>
  <c r="E151" i="14" s="1"/>
  <c r="F151" i="14" s="1"/>
  <c r="G151" i="14" s="1"/>
  <c r="B152" i="14" s="1"/>
  <c r="L151" i="14"/>
  <c r="J152" i="14" s="1"/>
  <c r="D152" i="14" l="1"/>
  <c r="E152" i="14" s="1"/>
  <c r="F152" i="14" s="1"/>
  <c r="G152" i="14" s="1"/>
  <c r="B153" i="14" s="1"/>
  <c r="H151" i="14"/>
  <c r="C152" i="14" s="1"/>
  <c r="L152" i="14" s="1"/>
  <c r="J153" i="14" s="1"/>
  <c r="D153" i="14" l="1"/>
  <c r="E153" i="14" s="1"/>
  <c r="F153" i="14" s="1"/>
  <c r="K152" i="14"/>
  <c r="I153" i="14" s="1"/>
  <c r="H152" i="14"/>
  <c r="C153" i="14" s="1"/>
  <c r="L153" i="14" s="1"/>
  <c r="J154" i="14" s="1"/>
  <c r="H153" i="14" l="1"/>
  <c r="C154" i="14" s="1"/>
  <c r="G153" i="14"/>
  <c r="B154" i="14" s="1"/>
  <c r="D154" i="14" s="1"/>
  <c r="E154" i="14" s="1"/>
  <c r="F154" i="14" s="1"/>
  <c r="G154" i="14" s="1"/>
  <c r="B155" i="14" s="1"/>
  <c r="K153" i="14"/>
  <c r="K154" i="14"/>
  <c r="I154" i="14"/>
  <c r="L154" i="14" l="1"/>
  <c r="J155" i="14" s="1"/>
  <c r="H154" i="14"/>
  <c r="C155" i="14" s="1"/>
  <c r="L155" i="14" s="1"/>
  <c r="J156" i="14" s="1"/>
  <c r="K155" i="14"/>
  <c r="D155" i="14"/>
  <c r="E155" i="14" s="1"/>
  <c r="F155" i="14" s="1"/>
  <c r="G155" i="14" s="1"/>
  <c r="B156" i="14" s="1"/>
  <c r="I155" i="14"/>
  <c r="D156" i="14" l="1"/>
  <c r="E156" i="14" s="1"/>
  <c r="F156" i="14" s="1"/>
  <c r="I156" i="14"/>
  <c r="H155" i="14"/>
  <c r="C156" i="14" s="1"/>
  <c r="L156" i="14" s="1"/>
  <c r="J157" i="14" s="1"/>
  <c r="G156" i="14" l="1"/>
  <c r="B157" i="14" s="1"/>
  <c r="D157" i="14" s="1"/>
  <c r="E157" i="14" s="1"/>
  <c r="F157" i="14" s="1"/>
  <c r="G157" i="14" s="1"/>
  <c r="B158" i="14" s="1"/>
  <c r="K156" i="14"/>
  <c r="I157" i="14" s="1"/>
  <c r="H156" i="14"/>
  <c r="C157" i="14" s="1"/>
  <c r="K157" i="14" s="1"/>
  <c r="L157" i="14" l="1"/>
  <c r="J158" i="14" s="1"/>
  <c r="D158" i="14"/>
  <c r="E158" i="14" s="1"/>
  <c r="F158" i="14" s="1"/>
  <c r="I158" i="14"/>
  <c r="H157" i="14"/>
  <c r="C158" i="14" s="1"/>
  <c r="K158" i="14" s="1"/>
  <c r="G158" i="14" l="1"/>
  <c r="B159" i="14" s="1"/>
  <c r="D159" i="14" s="1"/>
  <c r="E159" i="14" s="1"/>
  <c r="F159" i="14" s="1"/>
  <c r="G159" i="14" s="1"/>
  <c r="B160" i="14" s="1"/>
  <c r="I159" i="14"/>
  <c r="L158" i="14"/>
  <c r="J159" i="14" s="1"/>
  <c r="H158" i="14"/>
  <c r="C159" i="14" s="1"/>
  <c r="K159" i="14" s="1"/>
  <c r="H159" i="14" l="1"/>
  <c r="C160" i="14" s="1"/>
  <c r="K160" i="14" s="1"/>
  <c r="D160" i="14"/>
  <c r="E160" i="14" s="1"/>
  <c r="F160" i="14" s="1"/>
  <c r="G160" i="14" s="1"/>
  <c r="B161" i="14" s="1"/>
  <c r="L160" i="14"/>
  <c r="L159" i="14"/>
  <c r="J160" i="14" s="1"/>
  <c r="I160" i="14"/>
  <c r="I161" i="14" l="1"/>
  <c r="J161" i="14"/>
  <c r="D161" i="14"/>
  <c r="E161" i="14" s="1"/>
  <c r="F161" i="14" s="1"/>
  <c r="H160" i="14"/>
  <c r="C161" i="14" s="1"/>
  <c r="K161" i="14" s="1"/>
  <c r="I162" i="14" s="1"/>
  <c r="L161" i="14" l="1"/>
  <c r="J162" i="14" s="1"/>
  <c r="H161" i="14"/>
  <c r="C162" i="14" s="1"/>
  <c r="G161" i="14"/>
  <c r="B162" i="14" s="1"/>
  <c r="L162" i="14" l="1"/>
  <c r="J163" i="14" s="1"/>
  <c r="D162" i="14"/>
  <c r="E162" i="14" s="1"/>
  <c r="F162" i="14" s="1"/>
  <c r="G162" i="14" s="1"/>
  <c r="B163" i="14" s="1"/>
  <c r="K162" i="14"/>
  <c r="I163" i="14" s="1"/>
  <c r="H162" i="14"/>
  <c r="C163" i="14" s="1"/>
  <c r="L163" i="14" s="1"/>
  <c r="J164" i="14" s="1"/>
  <c r="D163" i="14" l="1"/>
  <c r="E163" i="14" s="1"/>
  <c r="F163" i="14" s="1"/>
  <c r="G163" i="14" s="1"/>
  <c r="B164" i="14" s="1"/>
  <c r="K163" i="14"/>
  <c r="I164" i="14" s="1"/>
  <c r="H163" i="14" l="1"/>
  <c r="C164" i="14" s="1"/>
  <c r="L164" i="14" s="1"/>
  <c r="J165" i="14" s="1"/>
  <c r="D164" i="14"/>
  <c r="E164" i="14" s="1"/>
  <c r="F164" i="14" s="1"/>
  <c r="G164" i="14" s="1"/>
  <c r="B165" i="14" s="1"/>
  <c r="H164" i="14"/>
  <c r="C165" i="14" s="1"/>
  <c r="K164" i="14"/>
  <c r="I165" i="14" s="1"/>
  <c r="L165" i="14" l="1"/>
  <c r="K165" i="14"/>
  <c r="I166" i="14" s="1"/>
  <c r="D165" i="14"/>
  <c r="E165" i="14" s="1"/>
  <c r="F165" i="14" s="1"/>
  <c r="G165" i="14" s="1"/>
  <c r="B166" i="14" s="1"/>
  <c r="J166" i="14"/>
  <c r="H165" i="14" l="1"/>
  <c r="C166" i="14" s="1"/>
  <c r="L166" i="14" s="1"/>
  <c r="J167" i="14" s="1"/>
  <c r="D166" i="14"/>
  <c r="E166" i="14" s="1"/>
  <c r="F166" i="14" s="1"/>
  <c r="K166" i="14" l="1"/>
  <c r="I167" i="14" s="1"/>
  <c r="G166" i="14"/>
  <c r="B167" i="14" s="1"/>
  <c r="H166" i="14"/>
  <c r="C167" i="14" s="1"/>
  <c r="L167" i="14" s="1"/>
  <c r="J168" i="14" s="1"/>
  <c r="K167" i="14" l="1"/>
  <c r="D167" i="14"/>
  <c r="E167" i="14" s="1"/>
  <c r="F167" i="14" s="1"/>
  <c r="G167" i="14" s="1"/>
  <c r="B168" i="14" s="1"/>
  <c r="I168" i="14"/>
  <c r="H167" i="14" l="1"/>
  <c r="C168" i="14" s="1"/>
  <c r="D168" i="14"/>
  <c r="E168" i="14" s="1"/>
  <c r="F168" i="14" s="1"/>
  <c r="G168" i="14" s="1"/>
  <c r="B169" i="14" s="1"/>
  <c r="H168" i="14"/>
  <c r="C169" i="14" s="1"/>
  <c r="K168" i="14"/>
  <c r="I169" i="14" s="1"/>
  <c r="L168" i="14"/>
  <c r="J169" i="14" s="1"/>
  <c r="K169" i="14" l="1"/>
  <c r="I170" i="14" s="1"/>
  <c r="D169" i="14"/>
  <c r="E169" i="14" s="1"/>
  <c r="F169" i="14" s="1"/>
  <c r="G169" i="14" s="1"/>
  <c r="B170" i="14" s="1"/>
  <c r="L169" i="14"/>
  <c r="J170" i="14" s="1"/>
  <c r="D170" i="14" l="1"/>
  <c r="E170" i="14" s="1"/>
  <c r="F170" i="14" s="1"/>
  <c r="H169" i="14"/>
  <c r="C170" i="14" s="1"/>
  <c r="L170" i="14" s="1"/>
  <c r="J171" i="14" s="1"/>
  <c r="G170" i="14" l="1"/>
  <c r="B171" i="14" s="1"/>
  <c r="H170" i="14"/>
  <c r="C171" i="14" s="1"/>
  <c r="L171" i="14" s="1"/>
  <c r="J172" i="14" s="1"/>
  <c r="D171" i="14"/>
  <c r="E171" i="14" s="1"/>
  <c r="F171" i="14" s="1"/>
  <c r="G171" i="14" s="1"/>
  <c r="B172" i="14" s="1"/>
  <c r="K170" i="14"/>
  <c r="I171" i="14" s="1"/>
  <c r="H171" i="14" l="1"/>
  <c r="C172" i="14" s="1"/>
  <c r="L172" i="14" s="1"/>
  <c r="J173" i="14" s="1"/>
  <c r="D172" i="14"/>
  <c r="E172" i="14" s="1"/>
  <c r="F172" i="14" s="1"/>
  <c r="G172" i="14" s="1"/>
  <c r="B173" i="14" s="1"/>
  <c r="H172" i="14"/>
  <c r="C173" i="14" s="1"/>
  <c r="K171" i="14"/>
  <c r="I172" i="14" s="1"/>
  <c r="L173" i="14" l="1"/>
  <c r="J174" i="14" s="1"/>
  <c r="K172" i="14"/>
  <c r="I173" i="14"/>
  <c r="K173" i="14"/>
  <c r="I174" i="14" s="1"/>
  <c r="D173" i="14"/>
  <c r="E173" i="14" s="1"/>
  <c r="F173" i="14" s="1"/>
  <c r="G173" i="14" s="1"/>
  <c r="B174" i="14" s="1"/>
  <c r="D174" i="14" l="1"/>
  <c r="E174" i="14" s="1"/>
  <c r="F174" i="14" s="1"/>
  <c r="H173" i="14"/>
  <c r="C174" i="14" s="1"/>
  <c r="L174" i="14" s="1"/>
  <c r="J175" i="14" s="1"/>
  <c r="G174" i="14" l="1"/>
  <c r="B175" i="14" s="1"/>
  <c r="D175" i="14" s="1"/>
  <c r="E175" i="14" s="1"/>
  <c r="F175" i="14" s="1"/>
  <c r="G175" i="14" s="1"/>
  <c r="B176" i="14" s="1"/>
  <c r="K174" i="14"/>
  <c r="I175" i="14" s="1"/>
  <c r="H174" i="14"/>
  <c r="C175" i="14" s="1"/>
  <c r="K175" i="14" s="1"/>
  <c r="I176" i="14" s="1"/>
  <c r="L175" i="14" l="1"/>
  <c r="J176" i="14" s="1"/>
  <c r="D176" i="14"/>
  <c r="E176" i="14" s="1"/>
  <c r="F176" i="14" s="1"/>
  <c r="H175" i="14"/>
  <c r="C176" i="14" s="1"/>
  <c r="L176" i="14" s="1"/>
  <c r="J177" i="14" s="1"/>
  <c r="G176" i="14" l="1"/>
  <c r="B177" i="14" s="1"/>
  <c r="K176" i="14"/>
  <c r="I177" i="14" s="1"/>
  <c r="D177" i="14"/>
  <c r="E177" i="14" s="1"/>
  <c r="F177" i="14" s="1"/>
  <c r="H176" i="14"/>
  <c r="C177" i="14" s="1"/>
  <c r="L177" i="14" s="1"/>
  <c r="J178" i="14" s="1"/>
  <c r="H177" i="14" l="1"/>
  <c r="C178" i="14" s="1"/>
  <c r="K177" i="14"/>
  <c r="I178" i="14" s="1"/>
  <c r="G177" i="14"/>
  <c r="B178" i="14" s="1"/>
  <c r="D178" i="14" l="1"/>
  <c r="E178" i="14" s="1"/>
  <c r="F178" i="14" s="1"/>
  <c r="G178" i="14" s="1"/>
  <c r="B179" i="14" s="1"/>
  <c r="K178" i="14"/>
  <c r="I179" i="14" s="1"/>
  <c r="L178" i="14"/>
  <c r="J179" i="14" s="1"/>
  <c r="D179" i="14" l="1"/>
  <c r="E179" i="14" s="1"/>
  <c r="F179" i="14" s="1"/>
  <c r="H178" i="14"/>
  <c r="C179" i="14" s="1"/>
  <c r="H179" i="14" s="1"/>
  <c r="C180" i="14" s="1"/>
  <c r="K179" i="14" l="1"/>
  <c r="I180" i="14" s="1"/>
  <c r="L179" i="14"/>
  <c r="J180" i="14" s="1"/>
  <c r="G179" i="14"/>
  <c r="B180" i="14" s="1"/>
  <c r="K180" i="14" l="1"/>
  <c r="D180" i="14"/>
  <c r="E180" i="14" s="1"/>
  <c r="F180" i="14" s="1"/>
  <c r="G180" i="14" s="1"/>
  <c r="B181" i="14" s="1"/>
  <c r="H180" i="14"/>
  <c r="C181" i="14" s="1"/>
  <c r="I181" i="14"/>
  <c r="L180" i="14"/>
  <c r="J181" i="14" s="1"/>
  <c r="K181" i="14" l="1"/>
  <c r="I182" i="14" s="1"/>
  <c r="D181" i="14"/>
  <c r="E181" i="14" s="1"/>
  <c r="F181" i="14" s="1"/>
  <c r="G181" i="14" s="1"/>
  <c r="B182" i="14" s="1"/>
  <c r="L181" i="14"/>
  <c r="J182" i="14" s="1"/>
  <c r="D182" i="14" l="1"/>
  <c r="E182" i="14" s="1"/>
  <c r="F182" i="14" s="1"/>
  <c r="H181" i="14"/>
  <c r="C182" i="14" s="1"/>
  <c r="L182" i="14" s="1"/>
  <c r="J183" i="14" s="1"/>
  <c r="K182" i="14" l="1"/>
  <c r="I183" i="14" s="1"/>
  <c r="G182" i="14"/>
  <c r="B183" i="14" s="1"/>
  <c r="D183" i="14" s="1"/>
  <c r="E183" i="14" s="1"/>
  <c r="F183" i="14" s="1"/>
  <c r="G183" i="14" s="1"/>
  <c r="B184" i="14" s="1"/>
  <c r="H182" i="14"/>
  <c r="C183" i="14" s="1"/>
  <c r="L183" i="14" s="1"/>
  <c r="J184" i="14" s="1"/>
  <c r="D184" i="14" l="1"/>
  <c r="E184" i="14" s="1"/>
  <c r="F184" i="14" s="1"/>
  <c r="K183" i="14"/>
  <c r="I184" i="14" s="1"/>
  <c r="H183" i="14"/>
  <c r="C184" i="14" s="1"/>
  <c r="L184" i="14" s="1"/>
  <c r="J185" i="14" s="1"/>
  <c r="G184" i="14" l="1"/>
  <c r="B185" i="14" s="1"/>
  <c r="K185" i="14" s="1"/>
  <c r="D185" i="14"/>
  <c r="E185" i="14" s="1"/>
  <c r="F185" i="14" s="1"/>
  <c r="G185" i="14" s="1"/>
  <c r="I185" i="14"/>
  <c r="H184" i="14"/>
  <c r="C185" i="14" s="1"/>
  <c r="L185" i="14" s="1"/>
  <c r="K184" i="14"/>
  <c r="H185" i="14" l="1"/>
</calcChain>
</file>

<file path=xl/sharedStrings.xml><?xml version="1.0" encoding="utf-8"?>
<sst xmlns="http://schemas.openxmlformats.org/spreadsheetml/2006/main" count="1017" uniqueCount="311">
  <si>
    <t>V</t>
  </si>
  <si>
    <t>m/sec</t>
  </si>
  <si>
    <t>rho</t>
  </si>
  <si>
    <t>kg/m^3</t>
  </si>
  <si>
    <t>AR</t>
  </si>
  <si>
    <t>e</t>
  </si>
  <si>
    <t>Cdo</t>
  </si>
  <si>
    <t xml:space="preserve">Criuse Speed </t>
  </si>
  <si>
    <t>W</t>
  </si>
  <si>
    <t>N</t>
  </si>
  <si>
    <t>area</t>
  </si>
  <si>
    <t>m^2</t>
  </si>
  <si>
    <t>CL</t>
  </si>
  <si>
    <t>CD</t>
  </si>
  <si>
    <t>Clmax</t>
  </si>
  <si>
    <t>q</t>
  </si>
  <si>
    <t>W/S</t>
  </si>
  <si>
    <t>N/m^2</t>
  </si>
  <si>
    <t>P/W</t>
  </si>
  <si>
    <t>T/W</t>
  </si>
  <si>
    <t>N/m^3</t>
  </si>
  <si>
    <t>Vlaunch</t>
  </si>
  <si>
    <t>q launch</t>
  </si>
  <si>
    <t>mph</t>
  </si>
  <si>
    <t>W/N</t>
  </si>
  <si>
    <t>Kbatt</t>
  </si>
  <si>
    <t>J/N</t>
  </si>
  <si>
    <t>Wb/W</t>
  </si>
  <si>
    <t>Wpayload</t>
  </si>
  <si>
    <t>kg</t>
  </si>
  <si>
    <t>We/W</t>
  </si>
  <si>
    <t>Wto</t>
  </si>
  <si>
    <t>lb</t>
  </si>
  <si>
    <t>Wbatt</t>
  </si>
  <si>
    <t>P</t>
  </si>
  <si>
    <t>watts</t>
  </si>
  <si>
    <t>T</t>
  </si>
  <si>
    <t>S</t>
  </si>
  <si>
    <t>b</t>
  </si>
  <si>
    <t>m</t>
  </si>
  <si>
    <t>c</t>
  </si>
  <si>
    <t>Xc</t>
  </si>
  <si>
    <t>From UIUC Web site</t>
  </si>
  <si>
    <t>http://m-selig.ae.illinois.edu/props/propDB.html</t>
  </si>
  <si>
    <t>Dia</t>
  </si>
  <si>
    <t>in</t>
  </si>
  <si>
    <t>J</t>
  </si>
  <si>
    <t>Guess near Maximum efficiency</t>
  </si>
  <si>
    <t>n</t>
  </si>
  <si>
    <t>rev/sec</t>
  </si>
  <si>
    <t>RPM</t>
  </si>
  <si>
    <t>rad/sec</t>
  </si>
  <si>
    <t>Ct</t>
  </si>
  <si>
    <t>From data graph</t>
  </si>
  <si>
    <t>Thrust</t>
  </si>
  <si>
    <t>iterate until thrust = drag</t>
  </si>
  <si>
    <t>Cp</t>
  </si>
  <si>
    <t>1 - PM412018 AXI Gold 4120/18 Outrunner Motor</t>
  </si>
  <si>
    <t>Efficency</t>
  </si>
  <si>
    <t>P  prop</t>
  </si>
  <si>
    <t>Torque</t>
  </si>
  <si>
    <t>N-m</t>
  </si>
  <si>
    <t>Battery</t>
  </si>
  <si>
    <t>Technical Specifications:</t>
  </si>
  <si>
    <t xml:space="preserve">Length: </t>
  </si>
  <si>
    <t>Specification</t>
  </si>
  <si>
    <t>viscosity -nu</t>
  </si>
  <si>
    <t>m^2/sec</t>
  </si>
  <si>
    <t>No. of cells</t>
  </si>
  <si>
    <t>16 - 20</t>
  </si>
  <si>
    <t>lbs</t>
  </si>
  <si>
    <t>5 - 7 Li-Poly</t>
  </si>
  <si>
    <t>RPM/V</t>
  </si>
  <si>
    <t>515 RMP/V</t>
  </si>
  <si>
    <t>Kv</t>
  </si>
  <si>
    <t>(rad/sec)/volt</t>
  </si>
  <si>
    <t>Max. efficiency</t>
  </si>
  <si>
    <t>Kt</t>
  </si>
  <si>
    <t>N-m/Amp</t>
  </si>
  <si>
    <t>Max. efficiency current</t>
  </si>
  <si>
    <t>15 - 40 A (&gt;82%)</t>
  </si>
  <si>
    <t>No load current / 10 V</t>
  </si>
  <si>
    <t>1,5 A</t>
  </si>
  <si>
    <t>Io</t>
  </si>
  <si>
    <t>degrees</t>
  </si>
  <si>
    <t>Current capacity</t>
  </si>
  <si>
    <t>55 A/60 s</t>
  </si>
  <si>
    <t>Internal Resistance</t>
  </si>
  <si>
    <t>70 mohm</t>
  </si>
  <si>
    <t>Rm</t>
  </si>
  <si>
    <t>x</t>
  </si>
  <si>
    <t>Dimensions (diameter. x lenght)</t>
  </si>
  <si>
    <t>49,8x55,5 mm</t>
  </si>
  <si>
    <t>Shaft diameter</t>
  </si>
  <si>
    <t>6 mm</t>
  </si>
  <si>
    <t>Weight with cables</t>
  </si>
  <si>
    <t>320 g</t>
  </si>
  <si>
    <t>Voltage</t>
  </si>
  <si>
    <t>volts</t>
  </si>
  <si>
    <t>Current</t>
  </si>
  <si>
    <t>amps</t>
  </si>
  <si>
    <t xml:space="preserve">Re </t>
  </si>
  <si>
    <t>eff</t>
  </si>
  <si>
    <t>Cdi</t>
  </si>
  <si>
    <t>Induced drag</t>
  </si>
  <si>
    <t>Historical estimate</t>
  </si>
  <si>
    <t>Cd</t>
  </si>
  <si>
    <t xml:space="preserve"> total drag coefficient( parasitic plus induced)</t>
  </si>
  <si>
    <t>Drag</t>
  </si>
  <si>
    <t>L/D</t>
  </si>
  <si>
    <t>P mech</t>
  </si>
  <si>
    <t>4500mAh 4S 14.8V 20C LiPo Battery w/ Deans</t>
  </si>
  <si>
    <t>hours</t>
  </si>
  <si>
    <t>minutes</t>
  </si>
  <si>
    <t>6"</t>
  </si>
  <si>
    <t xml:space="preserve">Width: </t>
  </si>
  <si>
    <t>1-3/4"</t>
  </si>
  <si>
    <t xml:space="preserve">Height: </t>
  </si>
  <si>
    <t>1-1/4"</t>
  </si>
  <si>
    <t xml:space="preserve">C Rating: </t>
  </si>
  <si>
    <t>20C</t>
  </si>
  <si>
    <t xml:space="preserve">Weight: </t>
  </si>
  <si>
    <t>16.5 oz.</t>
  </si>
  <si>
    <t>km</t>
  </si>
  <si>
    <t>Stall Speed</t>
  </si>
  <si>
    <t>CL max L/D</t>
  </si>
  <si>
    <t>V at L/D max</t>
  </si>
  <si>
    <t>D</t>
  </si>
  <si>
    <t>Power (W)</t>
  </si>
  <si>
    <t>D  (N)</t>
  </si>
  <si>
    <t>q (N/m^2)</t>
  </si>
  <si>
    <t>V(m/sec)</t>
  </si>
  <si>
    <t>speed max L/D</t>
  </si>
  <si>
    <t>Power</t>
  </si>
  <si>
    <t>drag</t>
  </si>
  <si>
    <t>stall speed</t>
  </si>
  <si>
    <t xml:space="preserve">Static Thrust </t>
  </si>
  <si>
    <t>Cto</t>
  </si>
  <si>
    <t>Cpo</t>
  </si>
  <si>
    <t>RPS</t>
  </si>
  <si>
    <t>(T/W)static</t>
  </si>
  <si>
    <t>time</t>
  </si>
  <si>
    <t>secs</t>
  </si>
  <si>
    <t>Energy</t>
  </si>
  <si>
    <t>Wbatt launch</t>
  </si>
  <si>
    <t>t</t>
  </si>
  <si>
    <t>E</t>
  </si>
  <si>
    <t>sec</t>
  </si>
  <si>
    <t>Cruise Only</t>
  </si>
  <si>
    <t xml:space="preserve">Hand Launch </t>
  </si>
  <si>
    <t xml:space="preserve">Historical Tail Sizing </t>
  </si>
  <si>
    <t xml:space="preserve">Horizontial Tail </t>
  </si>
  <si>
    <t>From Weight Analysis</t>
  </si>
  <si>
    <t>Vh</t>
  </si>
  <si>
    <t>Historical data</t>
  </si>
  <si>
    <t>Lh</t>
  </si>
  <si>
    <t>40% ofspan</t>
  </si>
  <si>
    <t>Sh</t>
  </si>
  <si>
    <t>Bh</t>
  </si>
  <si>
    <t>Ch</t>
  </si>
  <si>
    <t xml:space="preserve">Vertical Tail </t>
  </si>
  <si>
    <t>Vv</t>
  </si>
  <si>
    <t>tail volume</t>
  </si>
  <si>
    <t>Initial estimates to begin stbility analysis</t>
  </si>
  <si>
    <t>Electric Motor</t>
  </si>
  <si>
    <t xml:space="preserve">At Cruise </t>
  </si>
  <si>
    <t xml:space="preserve">Propeller - First Try </t>
  </si>
  <si>
    <t>Capacity</t>
  </si>
  <si>
    <t>Amp hours</t>
  </si>
  <si>
    <t>C rating</t>
  </si>
  <si>
    <t>Cruise</t>
  </si>
  <si>
    <t>Haand Launch</t>
  </si>
  <si>
    <t>Exceeded maximum motor current</t>
  </si>
  <si>
    <t>First Choice - 4S battery</t>
  </si>
  <si>
    <t>m/s</t>
  </si>
  <si>
    <t>Cd o</t>
  </si>
  <si>
    <t>Cd i</t>
  </si>
  <si>
    <t>L=W</t>
  </si>
  <si>
    <t>Current in cruise</t>
  </si>
  <si>
    <t>time (75% 0f battery)</t>
  </si>
  <si>
    <t xml:space="preserve">distance </t>
  </si>
  <si>
    <t>fly Cruise</t>
  </si>
  <si>
    <t>Need a Parallel Battery</t>
  </si>
  <si>
    <t>L</t>
  </si>
  <si>
    <t xml:space="preserve">An electric UAV is needed to survey 10 km of roadway to detect surface damage. The UAV will fly at 20 m/sec at an altitude of 100 m carrying a 2 kg camera package. The UAV must be hand launched. </t>
  </si>
  <si>
    <t>Two Constraints</t>
  </si>
  <si>
    <r>
      <t>•</t>
    </r>
    <r>
      <rPr>
        <sz val="20"/>
        <color rgb="FF000000"/>
        <rFont val="Calibri"/>
        <family val="2"/>
        <scheme val="minor"/>
      </rPr>
      <t>Cruise at 20 m/sec</t>
    </r>
  </si>
  <si>
    <r>
      <t>•</t>
    </r>
    <r>
      <rPr>
        <sz val="20"/>
        <color rgb="FF000000"/>
        <rFont val="Calibri"/>
        <family val="2"/>
        <scheme val="minor"/>
      </rPr>
      <t xml:space="preserve">Hand Launch </t>
    </r>
  </si>
  <si>
    <t>Max L/D</t>
  </si>
  <si>
    <t>CL max</t>
  </si>
  <si>
    <t>Small angle approximation</t>
  </si>
  <si>
    <t>lb/N</t>
  </si>
  <si>
    <t>ft^/m^2</t>
  </si>
  <si>
    <t>Example VT</t>
  </si>
  <si>
    <t xml:space="preserve">constant T/W, L/D </t>
  </si>
  <si>
    <t>Input parameters</t>
  </si>
  <si>
    <t>lb/ft^2</t>
  </si>
  <si>
    <t>slope</t>
  </si>
  <si>
    <t>radians</t>
  </si>
  <si>
    <t>lift</t>
  </si>
  <si>
    <t>velocity</t>
  </si>
  <si>
    <t>ft/sec</t>
  </si>
  <si>
    <t>V launch</t>
  </si>
  <si>
    <t>g</t>
  </si>
  <si>
    <t>m/sec^2</t>
  </si>
  <si>
    <t>Gamma launch</t>
  </si>
  <si>
    <t>radian</t>
  </si>
  <si>
    <t>h launch</t>
  </si>
  <si>
    <t>delta t</t>
  </si>
  <si>
    <t>Case #1</t>
  </si>
  <si>
    <t>Examole VT</t>
  </si>
  <si>
    <t>t (sec)</t>
  </si>
  <si>
    <t>V (m/sec)</t>
  </si>
  <si>
    <t>Gamma(radians)</t>
  </si>
  <si>
    <t>Q (Pa)</t>
  </si>
  <si>
    <t>Lift (N)</t>
  </si>
  <si>
    <t>Drag(N)</t>
  </si>
  <si>
    <t>dV/dt</t>
  </si>
  <si>
    <t>dGamma/dt</t>
  </si>
  <si>
    <t>x (m)</t>
  </si>
  <si>
    <t>h (m)</t>
  </si>
  <si>
    <t>dx/dt</t>
  </si>
  <si>
    <t>dh/dt</t>
  </si>
  <si>
    <t>Robert Stengel, Aircraft Flight Dynamics,</t>
  </si>
  <si>
    <t>eta motor</t>
  </si>
  <si>
    <t>eta prop</t>
  </si>
  <si>
    <t>http://www.hobbyexpress.com/ready_built_senior_telemaster_red_white_airplane_2270_prd1.htm</t>
  </si>
  <si>
    <t>Radio</t>
  </si>
  <si>
    <t>1 - SPM6610 DX6i 6 Ch Full Range w/o Servo MD2</t>
  </si>
  <si>
    <t>4 - HTS0322S Hitec HS-322 Servo</t>
  </si>
  <si>
    <t>2 - HT0097 Hitec 12" Servo Extension</t>
  </si>
  <si>
    <t>Motor/Prop</t>
  </si>
  <si>
    <t>1 - PM41002 Radial Mount Set for 41 Series AXI</t>
  </si>
  <si>
    <t>1 - APC14010E 14x10E Thin Electric Prop</t>
  </si>
  <si>
    <t>Use 14 x12  since we have data</t>
  </si>
  <si>
    <t>Motor Controller</t>
  </si>
  <si>
    <t>1 - ERCE085SB eRC 85A Brushless Programmable ESC w/SBEC</t>
  </si>
  <si>
    <t>1 - YTB45004 4-Cell 14.8V 4500mAh 20C LiPo</t>
  </si>
  <si>
    <t>Charger</t>
  </si>
  <si>
    <t>1 - DYN4105 Passport UltraForce 200WAC/DCCharger</t>
  </si>
  <si>
    <t>64"</t>
  </si>
  <si>
    <t xml:space="preserve">Wingspan: </t>
  </si>
  <si>
    <t>94"</t>
  </si>
  <si>
    <t xml:space="preserve">Flying Weight: </t>
  </si>
  <si>
    <t>10-1/2 lbs.</t>
  </si>
  <si>
    <t xml:space="preserve">Controls: </t>
  </si>
  <si>
    <t>Ailerons, Elevator, Rudder, Throttle</t>
  </si>
  <si>
    <t xml:space="preserve">Wing Area: </t>
  </si>
  <si>
    <t>1330 sq. in.</t>
  </si>
  <si>
    <t>air density</t>
  </si>
  <si>
    <t>Wing</t>
  </si>
  <si>
    <t>Area</t>
  </si>
  <si>
    <t>in^2</t>
  </si>
  <si>
    <t>span</t>
  </si>
  <si>
    <t>chord</t>
  </si>
  <si>
    <t>oz/ft^3</t>
  </si>
  <si>
    <t>Dihedral</t>
  </si>
  <si>
    <t>Horizontal</t>
  </si>
  <si>
    <t>Tail</t>
  </si>
  <si>
    <t>X location</t>
  </si>
  <si>
    <t xml:space="preserve"> Wing LE to Tail LE</t>
  </si>
  <si>
    <t>Vertical tail</t>
  </si>
  <si>
    <t>root chord</t>
  </si>
  <si>
    <t>tip chord</t>
  </si>
  <si>
    <t>Tip offset</t>
  </si>
  <si>
    <t xml:space="preserve">Cruise </t>
  </si>
  <si>
    <t>P elec</t>
  </si>
  <si>
    <t>amp-hours</t>
  </si>
  <si>
    <t xml:space="preserve">Time </t>
  </si>
  <si>
    <t>Wb/Wto</t>
  </si>
  <si>
    <t>Max cruise time</t>
  </si>
  <si>
    <t>Range</t>
  </si>
  <si>
    <t>miles</t>
  </si>
  <si>
    <t>W/Lb</t>
  </si>
  <si>
    <t>Max Speed</t>
  </si>
  <si>
    <t>Fully charged battery</t>
  </si>
  <si>
    <t>voltage</t>
  </si>
  <si>
    <t>Efficiency</t>
  </si>
  <si>
    <t>Use 17 x12  since we have data</t>
  </si>
  <si>
    <t>&lt;--D/2</t>
  </si>
  <si>
    <t>Theoretical Calculation</t>
  </si>
  <si>
    <t>https://sunnyskyusa.com/products/sunnysky-x3520-brushless-motor</t>
  </si>
  <si>
    <t>SunnySky X3520 Brushless Motor - KV520</t>
  </si>
  <si>
    <t>A</t>
  </si>
  <si>
    <t>70 A/30s</t>
  </si>
  <si>
    <t>30 mohm</t>
  </si>
  <si>
    <t>42.5x45mm</t>
  </si>
  <si>
    <t>5 mm</t>
  </si>
  <si>
    <t>207 g</t>
  </si>
  <si>
    <t>Total CD</t>
  </si>
  <si>
    <t>Solved through iter.</t>
  </si>
  <si>
    <t>10C</t>
  </si>
  <si>
    <t>CD0wing</t>
  </si>
  <si>
    <t>CD0glider</t>
  </si>
  <si>
    <t>CD0f</t>
  </si>
  <si>
    <t>https://www.horizonhobby.com/power-25-bl-outrunner-motor--1250kv-eflm4025b</t>
  </si>
  <si>
    <t>.</t>
  </si>
  <si>
    <t>Brads Calculations</t>
  </si>
  <si>
    <t>Total Energy Needed:</t>
  </si>
  <si>
    <t>Battery Voltage</t>
  </si>
  <si>
    <t>Number of Cells</t>
  </si>
  <si>
    <t>Required mAh</t>
  </si>
  <si>
    <t>mAh</t>
  </si>
  <si>
    <t>Required C Rating</t>
  </si>
  <si>
    <t>Max Voltage</t>
  </si>
  <si>
    <t>Smallest Max Current</t>
  </si>
  <si>
    <t>h^-1</t>
  </si>
  <si>
    <t>Recommendation:</t>
  </si>
  <si>
    <t>APC 12x6</t>
  </si>
  <si>
    <t>https://www.getfpv.com/tattu-7000mah-4s-25c-lipo-battery.html</t>
  </si>
  <si>
    <t>https://hobbyking.com/en_us/turnigy-l5055b-600-brushless-outrunner-600kv.html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</si>
</sst>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rgb="FF414141"/>
      <name val="Verdana"/>
      <family val="2"/>
    </font>
    <font>
      <sz val="9"/>
      <color rgb="FF414141"/>
      <name val="Verdana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1F497D"/>
      <name val="Times New Roman"/>
      <family val="1"/>
    </font>
    <font>
      <sz val="20"/>
      <color rgb="FF000000"/>
      <name val="Calibri"/>
      <family val="2"/>
      <scheme val="minor"/>
    </font>
    <font>
      <sz val="20"/>
      <color theme="1"/>
      <name val="Arial"/>
      <family val="2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4E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/>
    <xf numFmtId="0" fontId="3" fillId="0" borderId="0" xfId="1" applyAlignment="1">
      <alignment vertical="center"/>
    </xf>
    <xf numFmtId="0" fontId="0" fillId="0" borderId="0" xfId="0" applyFill="1"/>
    <xf numFmtId="0" fontId="6" fillId="3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9" fontId="8" fillId="2" borderId="1" xfId="0" applyNumberFormat="1" applyFont="1" applyFill="1" applyBorder="1" applyAlignment="1">
      <alignment horizontal="right" vertical="center" wrapText="1"/>
    </xf>
    <xf numFmtId="9" fontId="8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4" fillId="4" borderId="4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0" fontId="0" fillId="0" borderId="5" xfId="0" applyBorder="1"/>
    <xf numFmtId="166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0" fillId="0" borderId="0" xfId="0" applyFont="1"/>
    <xf numFmtId="0" fontId="0" fillId="5" borderId="0" xfId="0" applyFill="1"/>
    <xf numFmtId="0" fontId="11" fillId="0" borderId="0" xfId="0" applyFont="1"/>
    <xf numFmtId="167" fontId="0" fillId="0" borderId="0" xfId="0" applyNumberFormat="1"/>
    <xf numFmtId="0" fontId="12" fillId="0" borderId="0" xfId="0" applyFont="1"/>
    <xf numFmtId="11" fontId="0" fillId="5" borderId="0" xfId="0" applyNumberFormat="1" applyFill="1"/>
    <xf numFmtId="0" fontId="11" fillId="0" borderId="0" xfId="0" applyFont="1" applyFill="1"/>
    <xf numFmtId="0" fontId="13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center" wrapText="1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indent="5" readingOrder="1"/>
    </xf>
    <xf numFmtId="0" fontId="0" fillId="7" borderId="0" xfId="0" applyFill="1"/>
    <xf numFmtId="2" fontId="0" fillId="5" borderId="0" xfId="0" applyNumberFormat="1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1" applyFont="1" applyAlignment="1">
      <alignment vertical="center"/>
    </xf>
    <xf numFmtId="0" fontId="1" fillId="0" borderId="0" xfId="0" applyFont="1"/>
    <xf numFmtId="0" fontId="4" fillId="8" borderId="0" xfId="0" applyFont="1" applyFill="1" applyAlignment="1">
      <alignment horizontal="right" vertical="center" wrapText="1"/>
    </xf>
    <xf numFmtId="0" fontId="6" fillId="8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Fill="1" applyAlignment="1">
      <alignment horizontal="right"/>
    </xf>
    <xf numFmtId="0" fontId="19" fillId="0" borderId="0" xfId="0" applyFont="1" applyFill="1"/>
    <xf numFmtId="0" fontId="6" fillId="0" borderId="0" xfId="0" applyFont="1"/>
    <xf numFmtId="165" fontId="0" fillId="0" borderId="0" xfId="0" applyNumberFormat="1" applyFill="1"/>
    <xf numFmtId="0" fontId="0" fillId="5" borderId="1" xfId="0" applyFill="1" applyBorder="1"/>
    <xf numFmtId="2" fontId="0" fillId="0" borderId="1" xfId="0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8" xfId="0" applyFont="1" applyBorder="1"/>
    <xf numFmtId="0" fontId="0" fillId="9" borderId="0" xfId="0" applyFill="1" applyBorder="1"/>
    <xf numFmtId="2" fontId="0" fillId="9" borderId="0" xfId="0" applyNumberFormat="1" applyFill="1" applyBorder="1"/>
    <xf numFmtId="0" fontId="0" fillId="0" borderId="0" xfId="0" applyFill="1" applyBorder="1"/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8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DAD6"/>
      <color rgb="FFFDB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constraint!$B$13:$B$51</c:f>
              <c:numCache>
                <c:formatCode>General</c:formatCode>
                <c:ptCount val="39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98</c:v>
                </c:pt>
                <c:pt idx="36">
                  <c:v>108</c:v>
                </c:pt>
                <c:pt idx="37">
                  <c:v>118</c:v>
                </c:pt>
                <c:pt idx="38">
                  <c:v>128</c:v>
                </c:pt>
              </c:numCache>
            </c:numRef>
          </c:xVal>
          <c:yVal>
            <c:numRef>
              <c:f>constraint!$D$13:$D$51</c:f>
              <c:numCache>
                <c:formatCode>General</c:formatCode>
                <c:ptCount val="39"/>
                <c:pt idx="0">
                  <c:v>17.771064906181849</c:v>
                </c:pt>
                <c:pt idx="1">
                  <c:v>16.189283158022679</c:v>
                </c:pt>
                <c:pt idx="2">
                  <c:v>14.874079841512511</c:v>
                </c:pt>
                <c:pt idx="3">
                  <c:v>13.763936857040026</c:v>
                </c:pt>
                <c:pt idx="4">
                  <c:v>12.814912704882875</c:v>
                </c:pt>
                <c:pt idx="5">
                  <c:v>11.994783618577982</c:v>
                </c:pt>
                <c:pt idx="6">
                  <c:v>11.279381773278052</c:v>
                </c:pt>
                <c:pt idx="7">
                  <c:v>10.65022589115868</c:v>
                </c:pt>
                <c:pt idx="8">
                  <c:v>10.092941645023108</c:v>
                </c:pt>
                <c:pt idx="9">
                  <c:v>9.5961808818212582</c:v>
                </c:pt>
                <c:pt idx="10">
                  <c:v>9.1508650791130748</c:v>
                </c:pt>
                <c:pt idx="11">
                  <c:v>8.7496449568280337</c:v>
                </c:pt>
                <c:pt idx="12">
                  <c:v>8.3865074676357061</c:v>
                </c:pt>
                <c:pt idx="13">
                  <c:v>8.0564853115674779</c:v>
                </c:pt>
                <c:pt idx="14">
                  <c:v>7.7554390719828374</c:v>
                </c:pt>
                <c:pt idx="15">
                  <c:v>7.4798916389037506</c:v>
                </c:pt>
                <c:pt idx="16">
                  <c:v>7.2269008423488108</c:v>
                </c:pt>
                <c:pt idx="17">
                  <c:v>6.9939603893708897</c:v>
                </c:pt>
                <c:pt idx="18">
                  <c:v>6.7789220288724499</c:v>
                </c:pt>
                <c:pt idx="19">
                  <c:v>6.5799338202521644</c:v>
                </c:pt>
                <c:pt idx="20">
                  <c:v>6.3953907483222183</c:v>
                </c:pt>
                <c:pt idx="21">
                  <c:v>6.2238948966287087</c:v>
                </c:pt>
                <c:pt idx="22">
                  <c:v>6.0642230882744697</c:v>
                </c:pt>
                <c:pt idx="23">
                  <c:v>5.9153004102286566</c:v>
                </c:pt>
                <c:pt idx="24">
                  <c:v>5.7761784098169988</c:v>
                </c:pt>
                <c:pt idx="25">
                  <c:v>5.6460170289565665</c:v>
                </c:pt>
                <c:pt idx="26">
                  <c:v>5.5240695493514274</c:v>
                </c:pt>
                <c:pt idx="27">
                  <c:v>5.4096699790079059</c:v>
                </c:pt>
                <c:pt idx="28">
                  <c:v>5.3022224303527175</c:v>
                </c:pt>
                <c:pt idx="29">
                  <c:v>5.20119213248676</c:v>
                </c:pt>
                <c:pt idx="30">
                  <c:v>5.106097791600841</c:v>
                </c:pt>
                <c:pt idx="31">
                  <c:v>5.016505069379348</c:v>
                </c:pt>
                <c:pt idx="32">
                  <c:v>4.9320209930605357</c:v>
                </c:pt>
                <c:pt idx="33">
                  <c:v>4.8522891454884034</c:v>
                </c:pt>
                <c:pt idx="34">
                  <c:v>4.7769855110665871</c:v>
                </c:pt>
                <c:pt idx="35">
                  <c:v>4.4574015080329916</c:v>
                </c:pt>
                <c:pt idx="36">
                  <c:v>4.2133782849452546</c:v>
                </c:pt>
                <c:pt idx="37">
                  <c:v>4.0257054740205334</c:v>
                </c:pt>
                <c:pt idx="38">
                  <c:v>3.8811759474081207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F-4A55-82A3-C4F37AF7A1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6F-4A55-82A3-C4F37AF7A11E}"/>
              </c:ext>
            </c:extLst>
          </c:dPt>
          <c:xVal>
            <c:numRef>
              <c:f>constraint!$G$5:$G$6</c:f>
              <c:numCache>
                <c:formatCode>0.00</c:formatCode>
                <c:ptCount val="2"/>
                <c:pt idx="0">
                  <c:v>54.573750000000011</c:v>
                </c:pt>
                <c:pt idx="1">
                  <c:v>54.573750000000011</c:v>
                </c:pt>
              </c:numCache>
            </c:numRef>
          </c:xVal>
          <c:yVal>
            <c:numRef>
              <c:f>constraint!$I$5:$I$6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F-4A55-82A3-C4F37AF7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2072"/>
        <c:axId val="245090504"/>
      </c:scatterChart>
      <c:valAx>
        <c:axId val="24509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Wing Loading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504"/>
        <c:crosses val="autoZero"/>
        <c:crossBetween val="midCat"/>
        <c:majorUnit val="5"/>
      </c:valAx>
      <c:valAx>
        <c:axId val="2450905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 Loading (W/N)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2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polar'!$J$13:$J$42</c:f>
              <c:numCache>
                <c:formatCode>General</c:formatCode>
                <c:ptCount val="30"/>
                <c:pt idx="0">
                  <c:v>131.02469123345233</c:v>
                </c:pt>
                <c:pt idx="1">
                  <c:v>73.844825121551324</c:v>
                </c:pt>
                <c:pt idx="2">
                  <c:v>47.454253319242838</c:v>
                </c:pt>
                <c:pt idx="3">
                  <c:v>33.198776256800585</c:v>
                </c:pt>
                <c:pt idx="4">
                  <c:v>24.686675714307576</c:v>
                </c:pt>
                <c:pt idx="5">
                  <c:v>19.24805685538783</c:v>
                </c:pt>
                <c:pt idx="6">
                  <c:v>15.607433125939146</c:v>
                </c:pt>
                <c:pt idx="7">
                  <c:v>13.093017353248209</c:v>
                </c:pt>
                <c:pt idx="8">
                  <c:v>11.323674605793975</c:v>
                </c:pt>
                <c:pt idx="9">
                  <c:v>10.070107857950147</c:v>
                </c:pt>
                <c:pt idx="10">
                  <c:v>9.1876565721956869</c:v>
                </c:pt>
                <c:pt idx="11">
                  <c:v>8.5813988145143938</c:v>
                </c:pt>
                <c:pt idx="12">
                  <c:v>8.1869562021380933</c:v>
                </c:pt>
                <c:pt idx="13">
                  <c:v>7.9594165138469579</c:v>
                </c:pt>
                <c:pt idx="14">
                  <c:v>7.8666750429102814</c:v>
                </c:pt>
                <c:pt idx="15">
                  <c:v>7.885289317422286</c:v>
                </c:pt>
                <c:pt idx="16">
                  <c:v>7.9978186590057367</c:v>
                </c:pt>
                <c:pt idx="17">
                  <c:v>8.1910704320620535</c:v>
                </c:pt>
                <c:pt idx="18">
                  <c:v>8.4549162904786197</c:v>
                </c:pt>
                <c:pt idx="19">
                  <c:v>8.7814761248859945</c:v>
                </c:pt>
                <c:pt idx="20">
                  <c:v>9.1645447425351065</c:v>
                </c:pt>
                <c:pt idx="21">
                  <c:v>9.599182139487537</c:v>
                </c:pt>
                <c:pt idx="22">
                  <c:v>10.081416112769714</c:v>
                </c:pt>
                <c:pt idx="23">
                  <c:v>10.608023341486422</c:v>
                </c:pt>
                <c:pt idx="24">
                  <c:v>11.176366136215462</c:v>
                </c:pt>
                <c:pt idx="25">
                  <c:v>11.784269247378601</c:v>
                </c:pt>
                <c:pt idx="26">
                  <c:v>12.429925880025056</c:v>
                </c:pt>
                <c:pt idx="27">
                  <c:v>13.111825261472024</c:v>
                </c:pt>
                <c:pt idx="28">
                  <c:v>13.828696292821096</c:v>
                </c:pt>
                <c:pt idx="29">
                  <c:v>14.57946332846174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DBB-B0ED-375D8CA5E409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13.864981398245332</c:v>
                </c:pt>
                <c:pt idx="1">
                  <c:v>13.864981398245332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DBB-B0ED-375D8CA5E409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17.312740199436032</c:v>
                </c:pt>
                <c:pt idx="1">
                  <c:v>17.312740199436032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DBB-B0ED-375D8CA5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7648"/>
        <c:axId val="478311960"/>
      </c:scatterChart>
      <c:valAx>
        <c:axId val="478307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11960"/>
        <c:crosses val="autoZero"/>
        <c:crossBetween val="midCat"/>
      </c:valAx>
      <c:valAx>
        <c:axId val="47831196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Drag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polar'!$K$13:$K$42</c:f>
              <c:numCache>
                <c:formatCode>General</c:formatCode>
                <c:ptCount val="30"/>
                <c:pt idx="0">
                  <c:v>393.07407370035696</c:v>
                </c:pt>
                <c:pt idx="1">
                  <c:v>295.3793004862053</c:v>
                </c:pt>
                <c:pt idx="2">
                  <c:v>237.27126659621419</c:v>
                </c:pt>
                <c:pt idx="3">
                  <c:v>199.19265754080351</c:v>
                </c:pt>
                <c:pt idx="4">
                  <c:v>172.80673000015304</c:v>
                </c:pt>
                <c:pt idx="5">
                  <c:v>153.98445484310264</c:v>
                </c:pt>
                <c:pt idx="6">
                  <c:v>140.4668981334523</c:v>
                </c:pt>
                <c:pt idx="7">
                  <c:v>130.93017353248209</c:v>
                </c:pt>
                <c:pt idx="8">
                  <c:v>124.56042066373374</c:v>
                </c:pt>
                <c:pt idx="9">
                  <c:v>120.84129429540175</c:v>
                </c:pt>
                <c:pt idx="10">
                  <c:v>119.43953543854393</c:v>
                </c:pt>
                <c:pt idx="11">
                  <c:v>120.13958340320151</c:v>
                </c:pt>
                <c:pt idx="12">
                  <c:v>122.8043430320714</c:v>
                </c:pt>
                <c:pt idx="13">
                  <c:v>127.35066422155133</c:v>
                </c:pt>
                <c:pt idx="14">
                  <c:v>133.73347572947478</c:v>
                </c:pt>
                <c:pt idx="15">
                  <c:v>141.93520771360116</c:v>
                </c:pt>
                <c:pt idx="16">
                  <c:v>151.95855452110899</c:v>
                </c:pt>
                <c:pt idx="17">
                  <c:v>163.82140864124108</c:v>
                </c:pt>
                <c:pt idx="18">
                  <c:v>177.55324210005102</c:v>
                </c:pt>
                <c:pt idx="19">
                  <c:v>193.19247474749187</c:v>
                </c:pt>
                <c:pt idx="20">
                  <c:v>210.78452907830746</c:v>
                </c:pt>
                <c:pt idx="21">
                  <c:v>230.38037134770087</c:v>
                </c:pt>
                <c:pt idx="22">
                  <c:v>252.03540281924285</c:v>
                </c:pt>
                <c:pt idx="23">
                  <c:v>275.80860687864697</c:v>
                </c:pt>
                <c:pt idx="24">
                  <c:v>301.76188567781747</c:v>
                </c:pt>
                <c:pt idx="25">
                  <c:v>329.95953892660083</c:v>
                </c:pt>
                <c:pt idx="26">
                  <c:v>360.46785052072664</c:v>
                </c:pt>
                <c:pt idx="27">
                  <c:v>393.3547578441607</c:v>
                </c:pt>
                <c:pt idx="28">
                  <c:v>428.68958507745396</c:v>
                </c:pt>
                <c:pt idx="29">
                  <c:v>466.54282651077568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2-4BE1-96B9-5C4BB9DFC4A5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13.864981398245332</c:v>
                </c:pt>
                <c:pt idx="1">
                  <c:v>13.864981398245332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2-4BE1-96B9-5C4BB9DFC4A5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17.312740199436032</c:v>
                </c:pt>
                <c:pt idx="1">
                  <c:v>17.312740199436032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2-4BE1-96B9-5C4BB9DF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9608"/>
        <c:axId val="478304904"/>
      </c:scatterChart>
      <c:valAx>
        <c:axId val="478309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4904"/>
        <c:crosses val="autoZero"/>
        <c:crossBetween val="midCat"/>
      </c:valAx>
      <c:valAx>
        <c:axId val="478304904"/>
        <c:scaling>
          <c:orientation val="minMax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9608"/>
        <c:crosses val="autoZero"/>
        <c:crossBetween val="midCat"/>
      </c:valAx>
      <c:spPr>
        <a:ln>
          <a:solidFill>
            <a:srgbClr val="0070C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drag polar'!$G$12:$G$42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'Initial drag polar'!$M$11:$M$42</c:f>
              <c:numCache>
                <c:formatCode>General</c:formatCode>
                <c:ptCount val="32"/>
                <c:pt idx="0">
                  <c:v>0</c:v>
                </c:pt>
                <c:pt idx="1">
                  <c:v>0.24508978428253234</c:v>
                </c:pt>
                <c:pt idx="2">
                  <c:v>0.55105338787904734</c:v>
                </c:pt>
                <c:pt idx="3">
                  <c:v>0.97774759275485457</c:v>
                </c:pt>
                <c:pt idx="4">
                  <c:v>1.5214990216845758</c:v>
                </c:pt>
                <c:pt idx="5">
                  <c:v>2.1748271515041133</c:v>
                </c:pt>
                <c:pt idx="6">
                  <c:v>2.9247194249873982</c:v>
                </c:pt>
                <c:pt idx="7">
                  <c:v>3.7511111143559237</c:v>
                </c:pt>
                <c:pt idx="8">
                  <c:v>4.626103435292177</c:v>
                </c:pt>
                <c:pt idx="9">
                  <c:v>5.5145118998935514</c:v>
                </c:pt>
                <c:pt idx="10">
                  <c:v>6.3761634375343741</c:v>
                </c:pt>
                <c:pt idx="11">
                  <c:v>7.1698934131076166</c:v>
                </c:pt>
                <c:pt idx="12">
                  <c:v>7.8585436267286504</c:v>
                </c:pt>
                <c:pt idx="13">
                  <c:v>8.4137331874006112</c:v>
                </c:pt>
                <c:pt idx="14">
                  <c:v>8.8191017781607215</c:v>
                </c:pt>
                <c:pt idx="15">
                  <c:v>9.0712177047640683</c:v>
                </c:pt>
                <c:pt idx="16">
                  <c:v>9.178159718834527</c:v>
                </c:pt>
                <c:pt idx="17">
                  <c:v>9.1564934517333381</c:v>
                </c:pt>
                <c:pt idx="18">
                  <c:v>9.0276615510279505</c:v>
                </c:pt>
                <c:pt idx="19">
                  <c:v>8.8146720991903003</c:v>
                </c:pt>
                <c:pt idx="20">
                  <c:v>8.5395996269423495</c:v>
                </c:pt>
                <c:pt idx="21">
                  <c:v>8.2220345387475913</c:v>
                </c:pt>
                <c:pt idx="22">
                  <c:v>7.8783618857675544</c:v>
                </c:pt>
                <c:pt idx="23">
                  <c:v>7.5216407971871835</c:v>
                </c:pt>
                <c:pt idx="24">
                  <c:v>7.1618509931898577</c:v>
                </c:pt>
                <c:pt idx="25">
                  <c:v>6.8063198652316457</c:v>
                </c:pt>
                <c:pt idx="26">
                  <c:v>6.4602035330643615</c:v>
                </c:pt>
                <c:pt idx="27">
                  <c:v>6.1269475844725116</c:v>
                </c:pt>
                <c:pt idx="28">
                  <c:v>5.8086911134384396</c:v>
                </c:pt>
                <c:pt idx="29">
                  <c:v>5.5066017552993349</c:v>
                </c:pt>
                <c:pt idx="30">
                  <c:v>5.2211429386501242</c:v>
                </c:pt>
                <c:pt idx="31">
                  <c:v>4.9522810526948193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42A-ACE7-D298B23D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7816"/>
        <c:axId val="489861152"/>
      </c:scatterChart>
      <c:valAx>
        <c:axId val="4898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1152"/>
        <c:crosses val="autoZero"/>
        <c:crossBetween val="midCat"/>
      </c:valAx>
      <c:valAx>
        <c:axId val="4898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'Launch '!$I$28:$I$185</c:f>
              <c:numCache>
                <c:formatCode>General</c:formatCode>
                <c:ptCount val="158"/>
                <c:pt idx="0">
                  <c:v>0</c:v>
                </c:pt>
                <c:pt idx="1">
                  <c:v>7.0000000000000007E-2</c:v>
                </c:pt>
                <c:pt idx="2">
                  <c:v>0.14048013624019018</c:v>
                </c:pt>
                <c:pt idx="3">
                  <c:v>0.21144230670285491</c:v>
                </c:pt>
                <c:pt idx="4">
                  <c:v>0.28288837249206866</c:v>
                </c:pt>
                <c:pt idx="5">
                  <c:v>0.35482015728695104</c:v>
                </c:pt>
                <c:pt idx="6">
                  <c:v>0.42723944667935893</c:v>
                </c:pt>
                <c:pt idx="7">
                  <c:v>0.5001479873962118</c:v>
                </c:pt>
                <c:pt idx="8">
                  <c:v>0.57354748640701936</c:v>
                </c:pt>
                <c:pt idx="9">
                  <c:v>0.64743960991753735</c:v>
                </c:pt>
                <c:pt idx="10">
                  <c:v>0.72182598225082217</c:v>
                </c:pt>
                <c:pt idx="11">
                  <c:v>0.79670818461727977</c:v>
                </c:pt>
                <c:pt idx="12">
                  <c:v>0.8720877537756182</c:v>
                </c:pt>
                <c:pt idx="13">
                  <c:v>0.94796618058690874</c:v>
                </c:pt>
                <c:pt idx="14">
                  <c:v>1.0243449084642391</c:v>
                </c:pt>
                <c:pt idx="15">
                  <c:v>1.101225331720709</c:v>
                </c:pt>
                <c:pt idx="16">
                  <c:v>1.1786087938187639</c:v>
                </c:pt>
                <c:pt idx="17">
                  <c:v>1.2564965855240984</c:v>
                </c:pt>
                <c:pt idx="18">
                  <c:v>1.3348899429675753</c:v>
                </c:pt>
                <c:pt idx="19">
                  <c:v>1.4137900456188128</c:v>
                </c:pt>
                <c:pt idx="20">
                  <c:v>1.4931980141752734</c:v>
                </c:pt>
                <c:pt idx="21">
                  <c:v>1.5731149083708706</c:v>
                </c:pt>
                <c:pt idx="22">
                  <c:v>1.6535417247082589</c:v>
                </c:pt>
                <c:pt idx="23">
                  <c:v>1.7344793941191261</c:v>
                </c:pt>
                <c:pt idx="24">
                  <c:v>1.815928779556935</c:v>
                </c:pt>
                <c:pt idx="25">
                  <c:v>1.8978906735266827</c:v>
                </c:pt>
                <c:pt idx="26">
                  <c:v>1.9803657955563534</c:v>
                </c:pt>
                <c:pt idx="27">
                  <c:v>2.0633547896148348</c:v>
                </c:pt>
                <c:pt idx="28">
                  <c:v>2.146858221481156</c:v>
                </c:pt>
                <c:pt idx="29">
                  <c:v>2.2308765760699711</c:v>
                </c:pt>
                <c:pt idx="30">
                  <c:v>2.3154102547182815</c:v>
                </c:pt>
                <c:pt idx="31">
                  <c:v>2.400459572438439</c:v>
                </c:pt>
                <c:pt idx="32">
                  <c:v>2.4860247551425152</c:v>
                </c:pt>
                <c:pt idx="33">
                  <c:v>2.5721059368431516</c:v>
                </c:pt>
                <c:pt idx="34">
                  <c:v>2.6587031568360371</c:v>
                </c:pt>
                <c:pt idx="35">
                  <c:v>2.7458163568691614</c:v>
                </c:pt>
                <c:pt idx="36">
                  <c:v>2.8334453783040137</c:v>
                </c:pt>
                <c:pt idx="37">
                  <c:v>2.9215899592738821</c:v>
                </c:pt>
                <c:pt idx="38">
                  <c:v>3.0102497318444077</c:v>
                </c:pt>
                <c:pt idx="39">
                  <c:v>3.0994242191815218</c:v>
                </c:pt>
                <c:pt idx="40">
                  <c:v>3.1891128327318801</c:v>
                </c:pt>
                <c:pt idx="41">
                  <c:v>3.2793148694208685</c:v>
                </c:pt>
                <c:pt idx="42">
                  <c:v>3.3700295088732171</c:v>
                </c:pt>
                <c:pt idx="43">
                  <c:v>3.4612558106612172</c:v>
                </c:pt>
                <c:pt idx="44">
                  <c:v>3.5529927115854845</c:v>
                </c:pt>
                <c:pt idx="45">
                  <c:v>3.6452390229931448</c:v>
                </c:pt>
                <c:pt idx="46">
                  <c:v>3.7379934281382718</c:v>
                </c:pt>
                <c:pt idx="47">
                  <c:v>3.8312544795893193</c:v>
                </c:pt>
                <c:pt idx="48">
                  <c:v>3.9250205966882237</c:v>
                </c:pt>
                <c:pt idx="49">
                  <c:v>4.0192900630657737</c:v>
                </c:pt>
                <c:pt idx="50">
                  <c:v>4.1140610242177518</c:v>
                </c:pt>
                <c:pt idx="51">
                  <c:v>4.2093314851462642</c:v>
                </c:pt>
                <c:pt idx="52">
                  <c:v>4.3050993080705764</c:v>
                </c:pt>
                <c:pt idx="53">
                  <c:v>4.4013622102116807</c:v>
                </c:pt>
                <c:pt idx="54">
                  <c:v>4.4981177616546981</c:v>
                </c:pt>
                <c:pt idx="55">
                  <c:v>4.5953633832931216</c:v>
                </c:pt>
                <c:pt idx="56">
                  <c:v>4.6930963448587892</c:v>
                </c:pt>
                <c:pt idx="57">
                  <c:v>4.7913137630413498</c:v>
                </c:pt>
                <c:pt idx="58">
                  <c:v>4.890012599700869</c:v>
                </c:pt>
                <c:pt idx="59">
                  <c:v>4.9891896601770895</c:v>
                </c:pt>
                <c:pt idx="60">
                  <c:v>5.0888415916987331</c:v>
                </c:pt>
                <c:pt idx="61">
                  <c:v>5.1889648818960934</c:v>
                </c:pt>
                <c:pt idx="62">
                  <c:v>5.2895558574200292</c:v>
                </c:pt>
                <c:pt idx="63">
                  <c:v>5.3906106826703333</c:v>
                </c:pt>
                <c:pt idx="64">
                  <c:v>5.4921253586362919</c:v>
                </c:pt>
                <c:pt idx="65">
                  <c:v>5.5940957218521215</c:v>
                </c:pt>
                <c:pt idx="66">
                  <c:v>5.6965174434698014</c:v>
                </c:pt>
                <c:pt idx="67">
                  <c:v>5.7993860284516723</c:v>
                </c:pt>
                <c:pt idx="68">
                  <c:v>5.9026968148850179</c:v>
                </c:pt>
                <c:pt idx="69">
                  <c:v>6.0064449734206846</c:v>
                </c:pt>
                <c:pt idx="70">
                  <c:v>6.1106255068376338</c:v>
                </c:pt>
                <c:pt idx="71">
                  <c:v>6.2152332497351566</c:v>
                </c:pt>
                <c:pt idx="72">
                  <c:v>6.3202628683543161</c:v>
                </c:pt>
                <c:pt idx="73">
                  <c:v>6.4257088605300252</c:v>
                </c:pt>
                <c:pt idx="74">
                  <c:v>6.5315655557749794</c:v>
                </c:pt>
                <c:pt idx="75">
                  <c:v>6.6378271154965143</c:v>
                </c:pt>
                <c:pt idx="76">
                  <c:v>6.7444875333472849</c:v>
                </c:pt>
                <c:pt idx="77">
                  <c:v>6.851540635710478</c:v>
                </c:pt>
                <c:pt idx="78">
                  <c:v>6.9589800823201156</c:v>
                </c:pt>
                <c:pt idx="79">
                  <c:v>7.0667993670168237</c:v>
                </c:pt>
                <c:pt idx="80">
                  <c:v>7.1749918186392749</c:v>
                </c:pt>
                <c:pt idx="81">
                  <c:v>7.283550602051343</c:v>
                </c:pt>
                <c:pt idx="82">
                  <c:v>7.392468719304822</c:v>
                </c:pt>
                <c:pt idx="83">
                  <c:v>7.5017390109374125</c:v>
                </c:pt>
                <c:pt idx="84">
                  <c:v>7.6113541574054944</c:v>
                </c:pt>
                <c:pt idx="85">
                  <c:v>7.7213066806510362</c:v>
                </c:pt>
                <c:pt idx="86">
                  <c:v>7.8315889458018297</c:v>
                </c:pt>
                <c:pt idx="87">
                  <c:v>7.942193163004065</c:v>
                </c:pt>
                <c:pt idx="88">
                  <c:v>8.0531113893861068</c:v>
                </c:pt>
                <c:pt idx="89">
                  <c:v>8.1643355311521564</c:v>
                </c:pt>
                <c:pt idx="90">
                  <c:v>8.2758573458043383</c:v>
                </c:pt>
                <c:pt idx="91">
                  <c:v>8.3876684444915703</c:v>
                </c:pt>
                <c:pt idx="92">
                  <c:v>8.4997602944834618</c:v>
                </c:pt>
                <c:pt idx="93">
                  <c:v>8.6121242217672744</c:v>
                </c:pt>
                <c:pt idx="94">
                  <c:v>8.7247514137658833</c:v>
                </c:pt>
                <c:pt idx="95">
                  <c:v>8.8376329221745014</c:v>
                </c:pt>
                <c:pt idx="96">
                  <c:v>8.9507596659137914</c:v>
                </c:pt>
                <c:pt idx="97">
                  <c:v>9.0641224341968645</c:v>
                </c:pt>
                <c:pt idx="98">
                  <c:v>9.1777118897075027</c:v>
                </c:pt>
                <c:pt idx="99">
                  <c:v>9.2915185718868436</c:v>
                </c:pt>
                <c:pt idx="100">
                  <c:v>9.4055329003256176</c:v>
                </c:pt>
                <c:pt idx="101">
                  <c:v>9.5197451782589084</c:v>
                </c:pt>
                <c:pt idx="102">
                  <c:v>9.6341455961602911</c:v>
                </c:pt>
                <c:pt idx="103">
                  <c:v>9.7487242354321122</c:v>
                </c:pt>
                <c:pt idx="104">
                  <c:v>9.863471072188517</c:v>
                </c:pt>
                <c:pt idx="105">
                  <c:v>9.9783759811277779</c:v>
                </c:pt>
                <c:pt idx="106">
                  <c:v>10.093428739490358</c:v>
                </c:pt>
                <c:pt idx="107">
                  <c:v>10.208619031099051</c:v>
                </c:pt>
                <c:pt idx="108">
                  <c:v>10.323936450477447</c:v>
                </c:pt>
                <c:pt idx="109">
                  <c:v>10.43937050704292</c:v>
                </c:pt>
                <c:pt idx="110">
                  <c:v>10.554910629370216</c:v>
                </c:pt>
                <c:pt idx="111">
                  <c:v>10.670546169521691</c:v>
                </c:pt>
                <c:pt idx="112">
                  <c:v>10.786266407440156</c:v>
                </c:pt>
                <c:pt idx="113">
                  <c:v>10.902060555400251</c:v>
                </c:pt>
                <c:pt idx="114">
                  <c:v>11.017917762514184</c:v>
                </c:pt>
                <c:pt idx="115">
                  <c:v>11.133827119287673</c:v>
                </c:pt>
                <c:pt idx="116">
                  <c:v>11.249777662221854</c:v>
                </c:pt>
                <c:pt idx="117">
                  <c:v>11.365758378456881</c:v>
                </c:pt>
                <c:pt idx="118">
                  <c:v>11.481758210452952</c:v>
                </c:pt>
                <c:pt idx="119">
                  <c:v>11.597766060704435</c:v>
                </c:pt>
                <c:pt idx="120">
                  <c:v>11.713770796482773</c:v>
                </c:pt>
                <c:pt idx="121">
                  <c:v>11.829761254603836</c:v>
                </c:pt>
                <c:pt idx="122">
                  <c:v>11.945726246215367</c:v>
                </c:pt>
                <c:pt idx="123">
                  <c:v>12.061654561600212</c:v>
                </c:pt>
                <c:pt idx="124">
                  <c:v>12.177534974990982</c:v>
                </c:pt>
                <c:pt idx="125">
                  <c:v>12.293356249391834</c:v>
                </c:pt>
                <c:pt idx="126">
                  <c:v>12.409107141403103</c:v>
                </c:pt>
                <c:pt idx="127">
                  <c:v>12.524776406044479</c:v>
                </c:pt>
                <c:pt idx="128">
                  <c:v>12.640352801572524</c:v>
                </c:pt>
                <c:pt idx="129">
                  <c:v>12.75582509428831</c:v>
                </c:pt>
                <c:pt idx="130">
                  <c:v>12.871182063331027</c:v>
                </c:pt>
                <c:pt idx="131">
                  <c:v>12.986412505453442</c:v>
                </c:pt>
                <c:pt idx="132">
                  <c:v>13.101505239775166</c:v>
                </c:pt>
                <c:pt idx="133">
                  <c:v>13.216449112509702</c:v>
                </c:pt>
                <c:pt idx="134">
                  <c:v>13.33123300166136</c:v>
                </c:pt>
                <c:pt idx="135">
                  <c:v>13.445845821688151</c:v>
                </c:pt>
                <c:pt idx="136">
                  <c:v>13.560276528126852</c:v>
                </c:pt>
                <c:pt idx="137">
                  <c:v>13.674514122176548</c:v>
                </c:pt>
                <c:pt idx="138">
                  <c:v>13.78854765523695</c:v>
                </c:pt>
                <c:pt idx="139">
                  <c:v>13.902366233397982</c:v>
                </c:pt>
                <c:pt idx="140">
                  <c:v>14.015959021877123</c:v>
                </c:pt>
                <c:pt idx="141">
                  <c:v>14.129315249401136</c:v>
                </c:pt>
                <c:pt idx="142">
                  <c:v>14.242424212528894</c:v>
                </c:pt>
                <c:pt idx="143">
                  <c:v>14.355275279912094</c:v>
                </c:pt>
                <c:pt idx="144">
                  <c:v>14.467857896490795</c:v>
                </c:pt>
                <c:pt idx="145">
                  <c:v>14.580161587620763</c:v>
                </c:pt>
                <c:pt idx="146">
                  <c:v>14.69217596312976</c:v>
                </c:pt>
                <c:pt idx="147">
                  <c:v>14.803890721299993</c:v>
                </c:pt>
                <c:pt idx="148">
                  <c:v>14.915295652774068</c:v>
                </c:pt>
                <c:pt idx="149">
                  <c:v>15.026380644381883</c:v>
                </c:pt>
                <c:pt idx="150">
                  <c:v>15.13713568288604</c:v>
                </c:pt>
                <c:pt idx="151">
                  <c:v>15.247550858643452</c:v>
                </c:pt>
                <c:pt idx="152">
                  <c:v>15.357616369180931</c:v>
                </c:pt>
                <c:pt idx="153">
                  <c:v>15.467322522682688</c:v>
                </c:pt>
                <c:pt idx="154">
                  <c:v>15.576659741387765</c:v>
                </c:pt>
                <c:pt idx="155">
                  <c:v>15.68561856489557</c:v>
                </c:pt>
                <c:pt idx="156">
                  <c:v>15.794189653377776</c:v>
                </c:pt>
                <c:pt idx="157">
                  <c:v>15.902363790694986</c:v>
                </c:pt>
              </c:numCache>
            </c:numRef>
          </c:xVal>
          <c:yVal>
            <c:numRef>
              <c:f>'Launch '!$J$28:$J$185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0.99960444710120144</c:v>
                </c:pt>
                <c:pt idx="3">
                  <c:v>0.99881879800303752</c:v>
                </c:pt>
                <c:pt idx="4">
                  <c:v>0.99764870711528886</c:v>
                </c:pt>
                <c:pt idx="5">
                  <c:v>0.99610002561298405</c:v>
                </c:pt>
                <c:pt idx="6">
                  <c:v>0.9941788003504306</c:v>
                </c:pt>
                <c:pt idx="7">
                  <c:v>0.99189127263778487</c:v>
                </c:pt>
                <c:pt idx="8">
                  <c:v>0.98924387688353277</c:v>
                </c:pt>
                <c:pt idx="9">
                  <c:v>0.98624323910620193</c:v>
                </c:pt>
                <c:pt idx="10">
                  <c:v>0.98289617531856432</c:v>
                </c:pt>
                <c:pt idx="11">
                  <c:v>0.97920968978751532</c:v>
                </c:pt>
                <c:pt idx="12">
                  <c:v>0.97519097317273551</c:v>
                </c:pt>
                <c:pt idx="13">
                  <c:v>0.97084740054715468</c:v>
                </c:pt>
                <c:pt idx="14">
                  <c:v>0.96618652930214521</c:v>
                </c:pt>
                <c:pt idx="15">
                  <c:v>0.96121609694027677</c:v>
                </c:pt>
                <c:pt idx="16">
                  <c:v>0.9559440187583661</c:v>
                </c:pt>
                <c:pt idx="17">
                  <c:v>0.95037838542345621</c:v>
                </c:pt>
                <c:pt idx="18">
                  <c:v>0.94452746044425939</c:v>
                </c:pt>
                <c:pt idx="19">
                  <c:v>0.93839967754050235</c:v>
                </c:pt>
                <c:pt idx="20">
                  <c:v>0.93200363791251128</c:v>
                </c:pt>
                <c:pt idx="21">
                  <c:v>0.92534810741328477</c:v>
                </c:pt>
                <c:pt idx="22">
                  <c:v>0.91844201362520916</c:v>
                </c:pt>
                <c:pt idx="23">
                  <c:v>0.91129444284348549</c:v>
                </c:pt>
                <c:pt idx="24">
                  <c:v>0.90391463696825602</c:v>
                </c:pt>
                <c:pt idx="25">
                  <c:v>0.89631199030734077</c:v>
                </c:pt>
                <c:pt idx="26">
                  <c:v>0.88849604629142287</c:v>
                </c:pt>
                <c:pt idx="27">
                  <c:v>0.88047649410345952</c:v>
                </c:pt>
                <c:pt idx="28">
                  <c:v>0.8722631652240318</c:v>
                </c:pt>
                <c:pt idx="29">
                  <c:v>0.86386602989429817</c:v>
                </c:pt>
                <c:pt idx="30">
                  <c:v>0.85529519349816885</c:v>
                </c:pt>
                <c:pt idx="31">
                  <c:v>0.84656089286527914</c:v>
                </c:pt>
                <c:pt idx="32">
                  <c:v>0.8376734924963074</c:v>
                </c:pt>
                <c:pt idx="33">
                  <c:v>0.82864348071215965</c:v>
                </c:pt>
                <c:pt idx="34">
                  <c:v>0.81948146572852054</c:v>
                </c:pt>
                <c:pt idx="35">
                  <c:v>0.81019817165726205</c:v>
                </c:pt>
                <c:pt idx="36">
                  <c:v>0.80080443443619376</c:v>
                </c:pt>
                <c:pt idx="37">
                  <c:v>0.79131119768864</c:v>
                </c:pt>
                <c:pt idx="38">
                  <c:v>0.78172950851433709</c:v>
                </c:pt>
                <c:pt idx="39">
                  <c:v>0.77207051321315678</c:v>
                </c:pt>
                <c:pt idx="40">
                  <c:v>0.76234545294318223</c:v>
                </c:pt>
                <c:pt idx="41">
                  <c:v>0.75256565931468677</c:v>
                </c:pt>
                <c:pt idx="42">
                  <c:v>0.74274254992159772</c:v>
                </c:pt>
                <c:pt idx="43">
                  <c:v>0.73288762381206285</c:v>
                </c:pt>
                <c:pt idx="44">
                  <c:v>0.72301245689977645</c:v>
                </c:pt>
                <c:pt idx="45">
                  <c:v>0.71312869731776896</c:v>
                </c:pt>
                <c:pt idx="46">
                  <c:v>0.70324806071641266</c:v>
                </c:pt>
                <c:pt idx="47">
                  <c:v>0.69338232550744994</c:v>
                </c:pt>
                <c:pt idx="48">
                  <c:v>0.68354332805590623</c:v>
                </c:pt>
                <c:pt idx="49">
                  <c:v>0.67374295782181248</c:v>
                </c:pt>
                <c:pt idx="50">
                  <c:v>0.66399315245372359</c:v>
                </c:pt>
                <c:pt idx="51">
                  <c:v>0.65430589283608576</c:v>
                </c:pt>
                <c:pt idx="52">
                  <c:v>0.64469319809257408</c:v>
                </c:pt>
                <c:pt idx="53">
                  <c:v>0.63516712054759239</c:v>
                </c:pt>
                <c:pt idx="54">
                  <c:v>0.62573974064819771</c:v>
                </c:pt>
                <c:pt idx="55">
                  <c:v>0.61642316184878732</c:v>
                </c:pt>
                <c:pt idx="56">
                  <c:v>0.60722950546095822</c:v>
                </c:pt>
                <c:pt idx="57">
                  <c:v>0.59817090547102425</c:v>
                </c:pt>
                <c:pt idx="58">
                  <c:v>0.58925950332775168</c:v>
                </c:pt>
                <c:pt idx="59">
                  <c:v>0.58050744270294852</c:v>
                </c:pt>
                <c:pt idx="60">
                  <c:v>0.57192686422761663</c:v>
                </c:pt>
                <c:pt idx="61">
                  <c:v>0.56352990020645088</c:v>
                </c:pt>
                <c:pt idx="62">
                  <c:v>0.55532866931354141</c:v>
                </c:pt>
                <c:pt idx="63">
                  <c:v>0.5473352712722066</c:v>
                </c:pt>
                <c:pt idx="64">
                  <c:v>0.53956178152195511</c:v>
                </c:pt>
                <c:pt idx="65">
                  <c:v>0.53202024587564167</c:v>
                </c:pt>
                <c:pt idx="66">
                  <c:v>0.52472267516994953</c:v>
                </c:pt>
                <c:pt idx="67">
                  <c:v>0.517681039912393</c:v>
                </c:pt>
                <c:pt idx="68">
                  <c:v>0.51090726492809635</c:v>
                </c:pt>
                <c:pt idx="69">
                  <c:v>0.50441322400966204</c:v>
                </c:pt>
                <c:pt idx="70">
                  <c:v>0.49821073457349591</c:v>
                </c:pt>
                <c:pt idx="71">
                  <c:v>0.49231155232600798</c:v>
                </c:pt>
                <c:pt idx="72">
                  <c:v>0.48672736594315491</c:v>
                </c:pt>
                <c:pt idx="73">
                  <c:v>0.48146979176683341</c:v>
                </c:pt>
                <c:pt idx="74">
                  <c:v>0.47655036852167415</c:v>
                </c:pt>
                <c:pt idx="75">
                  <c:v>0.4719805520558199</c:v>
                </c:pt>
                <c:pt idx="76">
                  <c:v>0.46777171010930307</c:v>
                </c:pt>
                <c:pt idx="77">
                  <c:v>0.46393511711366409</c:v>
                </c:pt>
                <c:pt idx="78">
                  <c:v>0.46048194902647288</c:v>
                </c:pt>
                <c:pt idx="79">
                  <c:v>0.45742327820443368</c:v>
                </c:pt>
                <c:pt idx="80">
                  <c:v>0.45477006831876349</c:v>
                </c:pt>
                <c:pt idx="81">
                  <c:v>0.45253316931654225</c:v>
                </c:pt>
                <c:pt idx="82">
                  <c:v>0.45072331243173397</c:v>
                </c:pt>
                <c:pt idx="83">
                  <c:v>0.449351105249574</c:v>
                </c:pt>
                <c:pt idx="84">
                  <c:v>0.44842702682800878</c:v>
                </c:pt>
                <c:pt idx="85">
                  <c:v>0.44796142287985952</c:v>
                </c:pt>
                <c:pt idx="86">
                  <c:v>0.44796450101936197</c:v>
                </c:pt>
                <c:pt idx="87">
                  <c:v>0.44844632607670865</c:v>
                </c:pt>
                <c:pt idx="88">
                  <c:v>0.44941681548418888</c:v>
                </c:pt>
                <c:pt idx="89">
                  <c:v>0.45088573473748667</c:v>
                </c:pt>
                <c:pt idx="90">
                  <c:v>0.45286269293565379</c:v>
                </c:pt>
                <c:pt idx="91">
                  <c:v>0.45535713840322906</c:v>
                </c:pt>
                <c:pt idx="92">
                  <c:v>0.45837835439792202</c:v>
                </c:pt>
                <c:pt idx="93">
                  <c:v>0.46193545490722193</c:v>
                </c:pt>
                <c:pt idx="94">
                  <c:v>0.46603738053722943</c:v>
                </c:pt>
                <c:pt idx="95">
                  <c:v>0.47069289449694091</c:v>
                </c:pt>
                <c:pt idx="96">
                  <c:v>0.47591057868114189</c:v>
                </c:pt>
                <c:pt idx="97">
                  <c:v>0.48169882985498774</c:v>
                </c:pt>
                <c:pt idx="98">
                  <c:v>0.48806585594326718</c:v>
                </c:pt>
                <c:pt idx="99">
                  <c:v>0.4950196724272567</c:v>
                </c:pt>
                <c:pt idx="100">
                  <c:v>0.50256809885198095</c:v>
                </c:pt>
                <c:pt idx="101">
                  <c:v>0.51071875544659828</c:v>
                </c:pt>
                <c:pt idx="102">
                  <c:v>0.51947905986052956</c:v>
                </c:pt>
                <c:pt idx="103">
                  <c:v>0.52885622401784249</c:v>
                </c:pt>
                <c:pt idx="104">
                  <c:v>0.53885725109229643</c:v>
                </c:pt>
                <c:pt idx="105">
                  <c:v>0.54948893260533771</c:v>
                </c:pt>
                <c:pt idx="106">
                  <c:v>0.56075784564922193</c:v>
                </c:pt>
                <c:pt idx="107">
                  <c:v>0.57267035023731683</c:v>
                </c:pt>
                <c:pt idx="108">
                  <c:v>0.58523258678351997</c:v>
                </c:pt>
                <c:pt idx="109">
                  <c:v>0.5984504737125973</c:v>
                </c:pt>
                <c:pt idx="110">
                  <c:v>0.61232970520312113</c:v>
                </c:pt>
                <c:pt idx="111">
                  <c:v>0.62687574906455523</c:v>
                </c:pt>
                <c:pt idx="112">
                  <c:v>0.64209384474990217</c:v>
                </c:pt>
                <c:pt idx="113">
                  <c:v>0.65798900150519113</c:v>
                </c:pt>
                <c:pt idx="114">
                  <c:v>0.67456599665694927</c:v>
                </c:pt>
                <c:pt idx="115">
                  <c:v>0.69182937403866052</c:v>
                </c:pt>
                <c:pt idx="116">
                  <c:v>0.70978344255707593</c:v>
                </c:pt>
                <c:pt idx="117">
                  <c:v>0.72843227489909812</c:v>
                </c:pt>
                <c:pt idx="118">
                  <c:v>0.74777970637982172</c:v>
                </c:pt>
                <c:pt idx="119">
                  <c:v>0.76782933393216946</c:v>
                </c:pt>
                <c:pt idx="120">
                  <c:v>0.78858451523841999</c:v>
                </c:pt>
                <c:pt idx="121">
                  <c:v>0.81004836800378088</c:v>
                </c:pt>
                <c:pt idx="122">
                  <c:v>0.83222376937201925</c:v>
                </c:pt>
                <c:pt idx="123">
                  <c:v>0.85511335548301859</c:v>
                </c:pt>
                <c:pt idx="124">
                  <c:v>0.87871952117198915</c:v>
                </c:pt>
                <c:pt idx="125">
                  <c:v>0.90304441980991979</c:v>
                </c:pt>
                <c:pt idx="126">
                  <c:v>0.92808996328471793</c:v>
                </c:pt>
                <c:pt idx="127">
                  <c:v>0.95385782212234738</c:v>
                </c:pt>
                <c:pt idx="128">
                  <c:v>0.98034942574713613</c:v>
                </c:pt>
                <c:pt idx="129">
                  <c:v>1.0075659628802924</c:v>
                </c:pt>
                <c:pt idx="130">
                  <c:v>1.0355083820755326</c:v>
                </c:pt>
                <c:pt idx="131">
                  <c:v>1.0641773923905966</c:v>
                </c:pt>
                <c:pt idx="132">
                  <c:v>1.0935734641932937</c:v>
                </c:pt>
                <c:pt idx="133">
                  <c:v>1.1236968301006018</c:v>
                </c:pt>
                <c:pt idx="134">
                  <c:v>1.1545474860492131</c:v>
                </c:pt>
                <c:pt idx="135">
                  <c:v>1.1861251924958063</c:v>
                </c:pt>
                <c:pt idx="136">
                  <c:v>1.2184294757452017</c:v>
                </c:pt>
                <c:pt idx="137">
                  <c:v>1.2514596294044475</c:v>
                </c:pt>
                <c:pt idx="138">
                  <c:v>1.2852147159607712</c:v>
                </c:pt>
                <c:pt idx="139">
                  <c:v>1.3196935684812252</c:v>
                </c:pt>
                <c:pt idx="140">
                  <c:v>1.3548947924317529</c:v>
                </c:pt>
                <c:pt idx="141">
                  <c:v>1.3908167676133005</c:v>
                </c:pt>
                <c:pt idx="142">
                  <c:v>1.4274576502125071</c:v>
                </c:pt>
                <c:pt idx="143">
                  <c:v>1.4648153749644128</c:v>
                </c:pt>
                <c:pt idx="144">
                  <c:v>1.5028876574245364</c:v>
                </c:pt>
                <c:pt idx="145">
                  <c:v>1.5416719963475956</c:v>
                </c:pt>
                <c:pt idx="146">
                  <c:v>1.5811656761700583</c:v>
                </c:pt>
                <c:pt idx="147">
                  <c:v>1.6213657695936461</c:v>
                </c:pt>
                <c:pt idx="148">
                  <c:v>1.6622691402668353</c:v>
                </c:pt>
                <c:pt idx="149">
                  <c:v>1.7038724455613399</c:v>
                </c:pt>
                <c:pt idx="150">
                  <c:v>1.7461721394404992</c:v>
                </c:pt>
                <c:pt idx="151">
                  <c:v>1.7891644754164369</c:v>
                </c:pt>
                <c:pt idx="152">
                  <c:v>1.8328455095928053</c:v>
                </c:pt>
                <c:pt idx="153">
                  <c:v>1.8772111037898869</c:v>
                </c:pt>
                <c:pt idx="154">
                  <c:v>1.9222569287487759</c:v>
                </c:pt>
                <c:pt idx="155">
                  <c:v>1.9679784674113325</c:v>
                </c:pt>
                <c:pt idx="156">
                  <c:v>2.0143710182725649</c:v>
                </c:pt>
                <c:pt idx="157">
                  <c:v>2.0614296988020673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4-411A-839F-E2E9B16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248"/>
        <c:axId val="367106992"/>
      </c:scatterChart>
      <c:valAx>
        <c:axId val="367104248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7106992"/>
        <c:crosses val="autoZero"/>
        <c:crossBetween val="midCat"/>
        <c:majorUnit val="2"/>
      </c:valAx>
      <c:valAx>
        <c:axId val="367106992"/>
        <c:scaling>
          <c:orientation val="minMax"/>
          <c:max val="2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0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18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17.jpeg"/><Relationship Id="rId16" Type="http://schemas.openxmlformats.org/officeDocument/2006/relationships/image" Target="../media/image29.png"/><Relationship Id="rId1" Type="http://schemas.openxmlformats.org/officeDocument/2006/relationships/image" Target="../media/image16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9.pn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32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31.png"/><Relationship Id="rId16" Type="http://schemas.openxmlformats.org/officeDocument/2006/relationships/image" Target="../media/image29.png"/><Relationship Id="rId1" Type="http://schemas.openxmlformats.org/officeDocument/2006/relationships/image" Target="../media/image30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7.jpe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12</xdr:row>
          <xdr:rowOff>95250</xdr:rowOff>
        </xdr:from>
        <xdr:to>
          <xdr:col>6</xdr:col>
          <xdr:colOff>457200</xdr:colOff>
          <xdr:row>16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66675</xdr:colOff>
      <xdr:row>4</xdr:row>
      <xdr:rowOff>19049</xdr:rowOff>
    </xdr:from>
    <xdr:to>
      <xdr:col>22</xdr:col>
      <xdr:colOff>314325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19050</xdr:rowOff>
        </xdr:from>
        <xdr:to>
          <xdr:col>8</xdr:col>
          <xdr:colOff>142875</xdr:colOff>
          <xdr:row>9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18</xdr:row>
          <xdr:rowOff>38100</xdr:rowOff>
        </xdr:from>
        <xdr:to>
          <xdr:col>6</xdr:col>
          <xdr:colOff>247650</xdr:colOff>
          <xdr:row>21</xdr:row>
          <xdr:rowOff>104775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36</xdr:row>
      <xdr:rowOff>135255</xdr:rowOff>
    </xdr:from>
    <xdr:to>
      <xdr:col>15</xdr:col>
      <xdr:colOff>144146</xdr:colOff>
      <xdr:row>46</xdr:row>
      <xdr:rowOff>157480</xdr:rowOff>
    </xdr:to>
    <xdr:pic>
      <xdr:nvPicPr>
        <xdr:cNvPr id="2" name="Picture 1" descr="http://m-selig.ae.illinois.edu/props/plots/apce_14x12_cp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940" y="6993255"/>
          <a:ext cx="3957956" cy="2555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3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57150</xdr:colOff>
      <xdr:row>22</xdr:row>
      <xdr:rowOff>180975</xdr:rowOff>
    </xdr:from>
    <xdr:to>
      <xdr:col>15</xdr:col>
      <xdr:colOff>102871</xdr:colOff>
      <xdr:row>37</xdr:row>
      <xdr:rowOff>49530</xdr:rowOff>
    </xdr:to>
    <xdr:pic>
      <xdr:nvPicPr>
        <xdr:cNvPr id="4" name="Picture 3" descr="http://m-selig.ae.illinois.edu/props/plots/apce_14x12_ct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4371975"/>
          <a:ext cx="3874771" cy="2726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28576</xdr:colOff>
      <xdr:row>3</xdr:row>
      <xdr:rowOff>161925</xdr:rowOff>
    </xdr:from>
    <xdr:to>
      <xdr:col>15</xdr:col>
      <xdr:colOff>104777</xdr:colOff>
      <xdr:row>25</xdr:row>
      <xdr:rowOff>76200</xdr:rowOff>
    </xdr:to>
    <xdr:pic>
      <xdr:nvPicPr>
        <xdr:cNvPr id="5" name="Picture 4" descr="http://m-selig.ae.illinois.edu/props/plots/apce_14x12_eta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6" y="733425"/>
          <a:ext cx="3905251" cy="410527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8433" name="Object 15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8434" name="Object 14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8435" name="Object 4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87312</xdr:colOff>
      <xdr:row>37</xdr:row>
      <xdr:rowOff>58290</xdr:rowOff>
    </xdr:from>
    <xdr:to>
      <xdr:col>15</xdr:col>
      <xdr:colOff>85723</xdr:colOff>
      <xdr:row>48</xdr:row>
      <xdr:rowOff>28575</xdr:rowOff>
    </xdr:to>
    <xdr:pic>
      <xdr:nvPicPr>
        <xdr:cNvPr id="2" name="Picture 1" descr="http://m-selig.ae.illinois.edu/props/volume-1/plots/apce_17x12_cp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2" y="7106790"/>
          <a:ext cx="3827461" cy="26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166688</xdr:colOff>
      <xdr:row>24</xdr:row>
      <xdr:rowOff>60217</xdr:rowOff>
    </xdr:from>
    <xdr:to>
      <xdr:col>15</xdr:col>
      <xdr:colOff>38100</xdr:colOff>
      <xdr:row>37</xdr:row>
      <xdr:rowOff>187325</xdr:rowOff>
    </xdr:to>
    <xdr:pic>
      <xdr:nvPicPr>
        <xdr:cNvPr id="3" name="Picture 2" descr="http://m-selig.ae.illinois.edu/props/volume-1/plots/apce_17x12_ct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4388" y="4632217"/>
          <a:ext cx="3700462" cy="260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87313</xdr:colOff>
      <xdr:row>6</xdr:row>
      <xdr:rowOff>70895</xdr:rowOff>
    </xdr:from>
    <xdr:to>
      <xdr:col>15</xdr:col>
      <xdr:colOff>30161</xdr:colOff>
      <xdr:row>25</xdr:row>
      <xdr:rowOff>187325</xdr:rowOff>
    </xdr:to>
    <xdr:pic>
      <xdr:nvPicPr>
        <xdr:cNvPr id="4" name="Picture 3" descr="http://m-selig.ae.illinois.edu/props/volume-1/plots/apce_17x12_eta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3" y="1213895"/>
          <a:ext cx="3771898" cy="373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5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9457" name="Object 15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C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9458" name="Object 14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C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9459" name="Object 4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C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114300</xdr:rowOff>
        </xdr:from>
        <xdr:to>
          <xdr:col>10</xdr:col>
          <xdr:colOff>180975</xdr:colOff>
          <xdr:row>12</xdr:row>
          <xdr:rowOff>38100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0</xdr:row>
          <xdr:rowOff>9525</xdr:rowOff>
        </xdr:from>
        <xdr:to>
          <xdr:col>10</xdr:col>
          <xdr:colOff>438150</xdr:colOff>
          <xdr:row>3</xdr:row>
          <xdr:rowOff>123825</xdr:rowOff>
        </xdr:to>
        <xdr:sp macro="" textlink="">
          <xdr:nvSpPr>
            <xdr:cNvPr id="6145" name="Object 4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223837</xdr:colOff>
      <xdr:row>6</xdr:row>
      <xdr:rowOff>171450</xdr:rowOff>
    </xdr:from>
    <xdr:to>
      <xdr:col>22</xdr:col>
      <xdr:colOff>438151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27</xdr:row>
      <xdr:rowOff>166687</xdr:rowOff>
    </xdr:from>
    <xdr:to>
      <xdr:col>22</xdr:col>
      <xdr:colOff>533400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6</xdr:row>
      <xdr:rowOff>147637</xdr:rowOff>
    </xdr:from>
    <xdr:to>
      <xdr:col>30</xdr:col>
      <xdr:colOff>219075</xdr:colOff>
      <xdr:row>21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0</xdr:row>
          <xdr:rowOff>76200</xdr:rowOff>
        </xdr:from>
        <xdr:to>
          <xdr:col>13</xdr:col>
          <xdr:colOff>47625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0.27498</cdr:x>
      <cdr:y>0.06225</cdr:y>
    </cdr:from>
    <cdr:to>
      <cdr:x>0.39194</cdr:x>
      <cdr:y>0.14007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1846" y="228590"/>
          <a:ext cx="706861" cy="2857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0.3765</cdr:x>
      <cdr:y>0.06053</cdr:y>
    </cdr:from>
    <cdr:to>
      <cdr:x>0.49346</cdr:x>
      <cdr:y>0.13835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6300" y="22225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0.22315</cdr:x>
      <cdr:y>0.08802</cdr:y>
    </cdr:from>
    <cdr:to>
      <cdr:x>0.34031</cdr:x>
      <cdr:y>0.15691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0000" y="365125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0.39024</cdr:x>
      <cdr:y>0.08879</cdr:y>
    </cdr:from>
    <cdr:to>
      <cdr:x>0.50739</cdr:x>
      <cdr:y>0.15767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20912" y="36830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133351</xdr:colOff>
      <xdr:row>11</xdr:row>
      <xdr:rowOff>9526</xdr:rowOff>
    </xdr:from>
    <xdr:to>
      <xdr:col>4</xdr:col>
      <xdr:colOff>390525</xdr:colOff>
      <xdr:row>14</xdr:row>
      <xdr:rowOff>136060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1" y="1924051"/>
          <a:ext cx="1476374" cy="698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428626</xdr:colOff>
      <xdr:row>11</xdr:row>
      <xdr:rowOff>76200</xdr:rowOff>
    </xdr:from>
    <xdr:to>
      <xdr:col>13</xdr:col>
      <xdr:colOff>161926</xdr:colOff>
      <xdr:row>14</xdr:row>
      <xdr:rowOff>107828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6" y="1990725"/>
          <a:ext cx="1562100" cy="60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9526</xdr:colOff>
      <xdr:row>9</xdr:row>
      <xdr:rowOff>171450</xdr:rowOff>
    </xdr:from>
    <xdr:to>
      <xdr:col>17</xdr:col>
      <xdr:colOff>314326</xdr:colOff>
      <xdr:row>12</xdr:row>
      <xdr:rowOff>108451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1657350"/>
          <a:ext cx="2133600" cy="55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371476</xdr:colOff>
      <xdr:row>11</xdr:row>
      <xdr:rowOff>171450</xdr:rowOff>
    </xdr:from>
    <xdr:to>
      <xdr:col>7</xdr:col>
      <xdr:colOff>323850</xdr:colOff>
      <xdr:row>14</xdr:row>
      <xdr:rowOff>59899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6" y="2085975"/>
          <a:ext cx="1781174" cy="459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714375</xdr:colOff>
          <xdr:row>30</xdr:row>
          <xdr:rowOff>114300</xdr:rowOff>
        </xdr:from>
        <xdr:to>
          <xdr:col>2</xdr:col>
          <xdr:colOff>228600</xdr:colOff>
          <xdr:row>32</xdr:row>
          <xdr:rowOff>38100</xdr:rowOff>
        </xdr:to>
        <xdr:sp macro="" textlink="">
          <xdr:nvSpPr>
            <xdr:cNvPr id="8196" name="Object 15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5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28</xdr:row>
          <xdr:rowOff>57150</xdr:rowOff>
        </xdr:from>
        <xdr:to>
          <xdr:col>2</xdr:col>
          <xdr:colOff>257175</xdr:colOff>
          <xdr:row>29</xdr:row>
          <xdr:rowOff>161925</xdr:rowOff>
        </xdr:to>
        <xdr:sp macro="" textlink="">
          <xdr:nvSpPr>
            <xdr:cNvPr id="8197" name="Object 1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5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33</xdr:row>
          <xdr:rowOff>9525</xdr:rowOff>
        </xdr:from>
        <xdr:to>
          <xdr:col>3</xdr:col>
          <xdr:colOff>333375</xdr:colOff>
          <xdr:row>36</xdr:row>
          <xdr:rowOff>161925</xdr:rowOff>
        </xdr:to>
        <xdr:sp macro="" textlink="">
          <xdr:nvSpPr>
            <xdr:cNvPr id="8198" name="Object 4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5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0</xdr:rowOff>
    </xdr:from>
    <xdr:to>
      <xdr:col>4</xdr:col>
      <xdr:colOff>209551</xdr:colOff>
      <xdr:row>27</xdr:row>
      <xdr:rowOff>29663</xdr:rowOff>
    </xdr:to>
    <xdr:pic>
      <xdr:nvPicPr>
        <xdr:cNvPr id="2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600450"/>
          <a:ext cx="2647950" cy="16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9</xdr:row>
          <xdr:rowOff>104775</xdr:rowOff>
        </xdr:from>
        <xdr:to>
          <xdr:col>11</xdr:col>
          <xdr:colOff>269875</xdr:colOff>
          <xdr:row>17</xdr:row>
          <xdr:rowOff>19050</xdr:rowOff>
        </xdr:to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GrpSpPr/>
          </xdr:nvGrpSpPr>
          <xdr:grpSpPr>
            <a:xfrm>
              <a:off x="3724275" y="2190750"/>
              <a:ext cx="4203700" cy="1628775"/>
              <a:chOff x="6313487" y="13181013"/>
              <a:chExt cx="3251200" cy="1628775"/>
            </a:xfrm>
          </xdr:grpSpPr>
          <xdr:sp macro="" textlink="">
            <xdr:nvSpPr>
              <xdr:cNvPr id="14337" name="Object 15" hidden="1">
                <a:extLst>
                  <a:ext uri="{63B3BB69-23CF-44E3-9099-C40C66FF867C}">
                    <a14:compatExt spid="_x0000_s14337"/>
                  </a:ext>
                  <a:ext uri="{FF2B5EF4-FFF2-40B4-BE49-F238E27FC236}">
                    <a16:creationId xmlns:a16="http://schemas.microsoft.com/office/drawing/2014/main" id="{00000000-0008-0000-0800-000001380000}"/>
                  </a:ext>
                </a:extLst>
              </xdr:cNvPr>
              <xdr:cNvSpPr/>
            </xdr:nvSpPr>
            <xdr:spPr bwMode="auto">
              <a:xfrm>
                <a:off x="6551613" y="13619163"/>
                <a:ext cx="2298700" cy="3048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8" name="Object 14" hidden="1">
                <a:extLst>
                  <a:ext uri="{63B3BB69-23CF-44E3-9099-C40C66FF867C}">
                    <a14:compatExt spid="_x0000_s14338"/>
                  </a:ext>
                  <a:ext uri="{FF2B5EF4-FFF2-40B4-BE49-F238E27FC236}">
                    <a16:creationId xmlns:a16="http://schemas.microsoft.com/office/drawing/2014/main" id="{00000000-0008-0000-0800-000002380000}"/>
                  </a:ext>
                </a:extLst>
              </xdr:cNvPr>
              <xdr:cNvSpPr/>
            </xdr:nvSpPr>
            <xdr:spPr bwMode="auto">
              <a:xfrm>
                <a:off x="6465888" y="13181013"/>
                <a:ext cx="2413000" cy="29527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9" name="Object 4" hidden="1">
                <a:extLst>
                  <a:ext uri="{63B3BB69-23CF-44E3-9099-C40C66FF867C}">
                    <a14:compatExt spid="_x0000_s14339"/>
                  </a:ext>
                  <a:ext uri="{FF2B5EF4-FFF2-40B4-BE49-F238E27FC236}">
                    <a16:creationId xmlns:a16="http://schemas.microsoft.com/office/drawing/2014/main" id="{00000000-0008-0000-0800-000003380000}"/>
                  </a:ext>
                </a:extLst>
              </xdr:cNvPr>
              <xdr:cNvSpPr/>
            </xdr:nvSpPr>
            <xdr:spPr bwMode="auto">
              <a:xfrm>
                <a:off x="6313487" y="14085888"/>
                <a:ext cx="3251200" cy="7239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104775</xdr:rowOff>
    </xdr:from>
    <xdr:to>
      <xdr:col>13</xdr:col>
      <xdr:colOff>800100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1009444</xdr:colOff>
      <xdr:row>2</xdr:row>
      <xdr:rowOff>180975</xdr:rowOff>
    </xdr:from>
    <xdr:to>
      <xdr:col>22</xdr:col>
      <xdr:colOff>133350</xdr:colOff>
      <xdr:row>23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169" y="561975"/>
          <a:ext cx="5172281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g%20plane%20summer%202015\Tele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AE%20415%20Fall%202017\Examples%20Telemaster\UAV%20Design%20Example%201%20preliminary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ior telemaster"/>
      <sheetName val="drag polar"/>
      <sheetName val="Sheet3"/>
    </sheetNames>
    <sheetDataSet>
      <sheetData sheetId="0">
        <row r="46">
          <cell r="E46">
            <v>1.2250000000000001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 &amp; Constraints"/>
      <sheetName val="constraint"/>
      <sheetName val="weight analysis"/>
      <sheetName val="drag polar"/>
      <sheetName val="senior telemaster"/>
      <sheetName val="senior telemaster 17x12"/>
      <sheetName val="Sheet4"/>
    </sheetNames>
    <sheetDataSet>
      <sheetData sheetId="0"/>
      <sheetData sheetId="1"/>
      <sheetData sheetId="2">
        <row r="16">
          <cell r="C16">
            <v>56000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7.bin"/><Relationship Id="rId18" Type="http://schemas.openxmlformats.org/officeDocument/2006/relationships/oleObject" Target="../embeddings/oleObject14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5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8.bin"/><Relationship Id="rId18" Type="http://schemas.openxmlformats.org/officeDocument/2006/relationships/oleObject" Target="../embeddings/oleObject17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drawing" Target="../drawings/drawing7.xml"/><Relationship Id="rId7" Type="http://schemas.openxmlformats.org/officeDocument/2006/relationships/oleObject" Target="../embeddings/oleObject8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nnyskyusa.com/products/sunnysky-x3520-brushless-motor" TargetMode="Externa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7.bin"/><Relationship Id="rId10" Type="http://schemas.openxmlformats.org/officeDocument/2006/relationships/image" Target="../media/image13.emf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printerSettings" Target="../printerSettings/printerSettings6.bin"/><Relationship Id="rId7" Type="http://schemas.openxmlformats.org/officeDocument/2006/relationships/image" Target="../media/image11.emf"/><Relationship Id="rId2" Type="http://schemas.openxmlformats.org/officeDocument/2006/relationships/hyperlink" Target="https://hobbyking.com/en_us/turnigy-l5055b-600-brushless-outrunner-600kv.html" TargetMode="External"/><Relationship Id="rId1" Type="http://schemas.openxmlformats.org/officeDocument/2006/relationships/hyperlink" Target="https://www.getfpv.com/tattu-7000mah-4s-25c-lipo-battery.html" TargetMode="External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13.emf"/><Relationship Id="rId5" Type="http://schemas.openxmlformats.org/officeDocument/2006/relationships/vmlDrawing" Target="../drawings/vmlDrawing5.vml"/><Relationship Id="rId10" Type="http://schemas.openxmlformats.org/officeDocument/2006/relationships/oleObject" Target="../embeddings/oleObject12.bin"/><Relationship Id="rId4" Type="http://schemas.openxmlformats.org/officeDocument/2006/relationships/drawing" Target="../drawings/drawing8.xml"/><Relationship Id="rId9" Type="http://schemas.openxmlformats.org/officeDocument/2006/relationships/image" Target="../media/image1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10"/>
  <sheetViews>
    <sheetView workbookViewId="0">
      <selection activeCell="B16" sqref="B16"/>
    </sheetView>
  </sheetViews>
  <sheetFormatPr defaultRowHeight="15" x14ac:dyDescent="0.25"/>
  <cols>
    <col min="2" max="2" width="156.28515625" customWidth="1"/>
  </cols>
  <sheetData>
    <row r="5" spans="2:2" ht="46.5" x14ac:dyDescent="0.25">
      <c r="B5" s="40" t="s">
        <v>184</v>
      </c>
    </row>
    <row r="8" spans="2:2" s="33" customFormat="1" ht="26.25" x14ac:dyDescent="0.4">
      <c r="B8" s="41" t="s">
        <v>185</v>
      </c>
    </row>
    <row r="9" spans="2:2" s="33" customFormat="1" ht="26.25" x14ac:dyDescent="0.4">
      <c r="B9" s="42" t="s">
        <v>186</v>
      </c>
    </row>
    <row r="10" spans="2:2" s="33" customFormat="1" ht="26.25" x14ac:dyDescent="0.4">
      <c r="B10" s="42" t="s">
        <v>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Y185"/>
  <sheetViews>
    <sheetView topLeftCell="A22" workbookViewId="0">
      <selection activeCell="C13" sqref="C13"/>
    </sheetView>
  </sheetViews>
  <sheetFormatPr defaultRowHeight="15" x14ac:dyDescent="0.25"/>
  <cols>
    <col min="2" max="2" width="17.140625" customWidth="1"/>
    <col min="3" max="3" width="16.42578125" customWidth="1"/>
    <col min="8" max="8" width="13.42578125" customWidth="1"/>
    <col min="14" max="14" width="17.5703125" customWidth="1"/>
  </cols>
  <sheetData>
    <row r="2" spans="2:25" x14ac:dyDescent="0.25">
      <c r="B2" t="s">
        <v>190</v>
      </c>
      <c r="O2" t="s">
        <v>223</v>
      </c>
    </row>
    <row r="4" spans="2:25" x14ac:dyDescent="0.25">
      <c r="I4">
        <v>0.22480900000000001</v>
      </c>
      <c r="J4" t="s">
        <v>191</v>
      </c>
    </row>
    <row r="5" spans="2:25" x14ac:dyDescent="0.25">
      <c r="I5">
        <v>10.7639</v>
      </c>
      <c r="J5" t="s">
        <v>192</v>
      </c>
    </row>
    <row r="7" spans="2:25" x14ac:dyDescent="0.25">
      <c r="U7" s="43"/>
      <c r="V7" s="43" t="s">
        <v>193</v>
      </c>
      <c r="W7" s="43"/>
      <c r="X7" s="43"/>
      <c r="Y7" s="43"/>
    </row>
    <row r="8" spans="2:25" x14ac:dyDescent="0.25">
      <c r="U8" s="43" t="s">
        <v>106</v>
      </c>
      <c r="V8" s="43">
        <v>0.04</v>
      </c>
      <c r="W8" s="43"/>
      <c r="X8" s="43"/>
      <c r="Y8" s="43"/>
    </row>
    <row r="9" spans="2:25" x14ac:dyDescent="0.25">
      <c r="U9" s="43" t="s">
        <v>109</v>
      </c>
      <c r="V9" s="43">
        <v>29.2</v>
      </c>
      <c r="W9" s="43"/>
      <c r="X9" s="43"/>
      <c r="Y9" s="43"/>
    </row>
    <row r="10" spans="2:25" x14ac:dyDescent="0.25">
      <c r="B10" t="s">
        <v>194</v>
      </c>
      <c r="C10" s="30" t="s">
        <v>195</v>
      </c>
      <c r="U10" s="43" t="s">
        <v>16</v>
      </c>
      <c r="V10" s="43">
        <v>600</v>
      </c>
      <c r="W10" s="43" t="s">
        <v>17</v>
      </c>
      <c r="X10" s="43">
        <f>V10*I4/I5</f>
        <v>12.531275838683007</v>
      </c>
      <c r="Y10" s="43" t="s">
        <v>196</v>
      </c>
    </row>
    <row r="11" spans="2:25" x14ac:dyDescent="0.25">
      <c r="U11" s="43" t="s">
        <v>197</v>
      </c>
      <c r="V11" s="43">
        <f>ATAN(1/V9)</f>
        <v>3.4233196309380702E-2</v>
      </c>
      <c r="W11" s="43" t="s">
        <v>198</v>
      </c>
      <c r="X11" s="43">
        <f>V11*180/PI()</f>
        <v>1.9614176677703403</v>
      </c>
      <c r="Y11" s="43" t="s">
        <v>84</v>
      </c>
    </row>
    <row r="12" spans="2:25" x14ac:dyDescent="0.25">
      <c r="B12" t="s">
        <v>2</v>
      </c>
      <c r="C12" s="30">
        <v>1.22</v>
      </c>
      <c r="U12" s="43" t="s">
        <v>199</v>
      </c>
      <c r="V12" s="43">
        <v>45</v>
      </c>
      <c r="W12" s="43"/>
      <c r="X12" s="43">
        <f>V12/(X14*C15)</f>
        <v>0.57656939716991895</v>
      </c>
      <c r="Y12" s="43" t="s">
        <v>12</v>
      </c>
    </row>
    <row r="13" spans="2:25" x14ac:dyDescent="0.25">
      <c r="B13" t="s">
        <v>8</v>
      </c>
      <c r="C13" s="30">
        <v>45</v>
      </c>
      <c r="D13" t="s">
        <v>9</v>
      </c>
      <c r="E13">
        <f>C13*0.224809</f>
        <v>10.116405</v>
      </c>
      <c r="F13" t="s">
        <v>70</v>
      </c>
      <c r="U13" s="43" t="s">
        <v>134</v>
      </c>
      <c r="V13" s="43">
        <f>V12/V9</f>
        <v>1.5410958904109588</v>
      </c>
      <c r="W13" s="43"/>
      <c r="X13" s="43"/>
      <c r="Y13" s="43"/>
    </row>
    <row r="14" spans="2:25" x14ac:dyDescent="0.25">
      <c r="B14" t="s">
        <v>16</v>
      </c>
      <c r="C14" s="44">
        <f>C13/C15</f>
        <v>54.878048780487809</v>
      </c>
      <c r="D14" t="s">
        <v>17</v>
      </c>
      <c r="E14">
        <f>C14*I4/I5</f>
        <v>1.1461532779283239</v>
      </c>
      <c r="F14" t="s">
        <v>196</v>
      </c>
      <c r="U14" s="43" t="s">
        <v>200</v>
      </c>
      <c r="V14" s="43">
        <f>SQRT(2*V10*SIN(V11)/(C12*V8))</f>
        <v>29.010954821982434</v>
      </c>
      <c r="W14" s="43" t="s">
        <v>1</v>
      </c>
      <c r="X14" s="43">
        <f>3.28084*V14</f>
        <v>95.180301018152846</v>
      </c>
      <c r="Y14" s="43" t="s">
        <v>201</v>
      </c>
    </row>
    <row r="15" spans="2:25" x14ac:dyDescent="0.25">
      <c r="B15" t="s">
        <v>37</v>
      </c>
      <c r="C15" s="30">
        <v>0.82</v>
      </c>
      <c r="D15" t="s">
        <v>11</v>
      </c>
      <c r="U15" s="43" t="s">
        <v>90</v>
      </c>
      <c r="V15" s="43">
        <f>C22/TAN(V11)</f>
        <v>29.200000000000003</v>
      </c>
      <c r="W15" s="43"/>
      <c r="X15" s="43"/>
      <c r="Y15" s="43"/>
    </row>
    <row r="16" spans="2:25" x14ac:dyDescent="0.25">
      <c r="B16" t="s">
        <v>202</v>
      </c>
      <c r="C16" s="30">
        <v>7</v>
      </c>
      <c r="D16" t="s">
        <v>1</v>
      </c>
      <c r="E16">
        <f>2.23694*C16</f>
        <v>15.658580000000001</v>
      </c>
      <c r="F16" t="s">
        <v>23</v>
      </c>
      <c r="U16" s="43" t="s">
        <v>145</v>
      </c>
      <c r="V16" s="43">
        <f>V15/V14</f>
        <v>1.0065163376792523</v>
      </c>
      <c r="W16" s="43" t="s">
        <v>147</v>
      </c>
      <c r="X16" s="43"/>
      <c r="Y16" s="43"/>
    </row>
    <row r="17" spans="1:21" x14ac:dyDescent="0.25">
      <c r="B17" t="s">
        <v>203</v>
      </c>
      <c r="C17" s="30">
        <f>9.8</f>
        <v>9.8000000000000007</v>
      </c>
      <c r="D17" t="s">
        <v>204</v>
      </c>
    </row>
    <row r="18" spans="1:21" x14ac:dyDescent="0.25">
      <c r="B18" t="s">
        <v>19</v>
      </c>
      <c r="C18" s="30">
        <v>0.6</v>
      </c>
    </row>
    <row r="19" spans="1:21" x14ac:dyDescent="0.25">
      <c r="B19" t="s">
        <v>109</v>
      </c>
      <c r="C19" s="30">
        <v>5.5</v>
      </c>
    </row>
    <row r="20" spans="1:21" x14ac:dyDescent="0.25">
      <c r="B20" t="s">
        <v>12</v>
      </c>
      <c r="C20">
        <v>1.1000000000000001</v>
      </c>
      <c r="E20" t="s">
        <v>13</v>
      </c>
      <c r="F20" s="30">
        <v>0.04</v>
      </c>
    </row>
    <row r="21" spans="1:21" x14ac:dyDescent="0.25">
      <c r="B21" t="s">
        <v>205</v>
      </c>
      <c r="C21" s="30">
        <v>0</v>
      </c>
      <c r="D21" t="s">
        <v>206</v>
      </c>
    </row>
    <row r="22" spans="1:21" x14ac:dyDescent="0.25">
      <c r="B22" t="s">
        <v>207</v>
      </c>
      <c r="C22" s="30">
        <v>1</v>
      </c>
      <c r="D22" t="s">
        <v>39</v>
      </c>
    </row>
    <row r="24" spans="1:21" x14ac:dyDescent="0.25">
      <c r="A24" t="s">
        <v>208</v>
      </c>
    </row>
    <row r="25" spans="1:21" x14ac:dyDescent="0.25">
      <c r="A25">
        <v>0.01</v>
      </c>
    </row>
    <row r="26" spans="1:21" x14ac:dyDescent="0.25">
      <c r="S26" t="s">
        <v>209</v>
      </c>
      <c r="U26" t="s">
        <v>210</v>
      </c>
    </row>
    <row r="27" spans="1:21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t="s">
        <v>218</v>
      </c>
      <c r="I27" t="s">
        <v>219</v>
      </c>
      <c r="J27" t="s">
        <v>220</v>
      </c>
      <c r="K27" t="s">
        <v>221</v>
      </c>
      <c r="L27" t="s">
        <v>222</v>
      </c>
      <c r="R27" t="s">
        <v>2</v>
      </c>
      <c r="S27">
        <v>1.22</v>
      </c>
      <c r="U27">
        <v>1.22</v>
      </c>
    </row>
    <row r="28" spans="1:21" x14ac:dyDescent="0.25">
      <c r="A28">
        <v>0</v>
      </c>
      <c r="B28">
        <f>C16</f>
        <v>7</v>
      </c>
      <c r="C28">
        <f>C21</f>
        <v>0</v>
      </c>
      <c r="D28">
        <f>1/2*$C$12*B28^2</f>
        <v>29.89</v>
      </c>
      <c r="E28">
        <f>D28*$C$15*$C$20</f>
        <v>26.96078</v>
      </c>
      <c r="F28">
        <f>E28/$C$19</f>
        <v>4.9019599999999999</v>
      </c>
      <c r="G28">
        <f>$C$17*($C$18-F28/$C$13-SIN(C28))</f>
        <v>4.8124620444444446</v>
      </c>
      <c r="H28">
        <f>$C$17/B28*(E28/$C$13-COS(C28))</f>
        <v>-0.56122017777777777</v>
      </c>
      <c r="I28">
        <v>0</v>
      </c>
      <c r="J28">
        <f>C22</f>
        <v>1</v>
      </c>
      <c r="K28">
        <f>B28*COS(C28)</f>
        <v>7</v>
      </c>
      <c r="L28">
        <f>B28*SIN(C28)</f>
        <v>0</v>
      </c>
      <c r="R28" t="s">
        <v>8</v>
      </c>
      <c r="S28">
        <v>45</v>
      </c>
      <c r="U28">
        <v>45</v>
      </c>
    </row>
    <row r="29" spans="1:21" x14ac:dyDescent="0.25">
      <c r="A29">
        <f>A28+$A$25</f>
        <v>0.01</v>
      </c>
      <c r="B29">
        <f>B28+G28*$A$25</f>
        <v>7.0481246204444448</v>
      </c>
      <c r="C29">
        <f>C28+H28*$A$25</f>
        <v>-5.6122017777777778E-3</v>
      </c>
      <c r="D29">
        <f>1/2*$C$12*B29^2</f>
        <v>30.302397005842241</v>
      </c>
      <c r="E29">
        <f>D29*$C$15*$C$20</f>
        <v>27.332762099269701</v>
      </c>
      <c r="F29">
        <f>E29/$C$19</f>
        <v>4.9695931089581276</v>
      </c>
      <c r="G29">
        <f>$C$17*($C$18-F29/$C$13-SIN(C29))</f>
        <v>4.8527323449754887</v>
      </c>
      <c r="H29">
        <f t="shared" ref="H29:H92" si="0">$C$17/B29*(E29/$C$13-COS(C29))</f>
        <v>-0.5458725097417132</v>
      </c>
      <c r="I29">
        <f>I28+K28*$A$25</f>
        <v>7.0000000000000007E-2</v>
      </c>
      <c r="J29">
        <f>J28+L28*$A$25</f>
        <v>1</v>
      </c>
      <c r="K29">
        <f>B29*COS(C29)</f>
        <v>7.0480136240190161</v>
      </c>
      <c r="L29">
        <f>B29*SIN(C29)</f>
        <v>-3.9555289879860928E-2</v>
      </c>
      <c r="R29" t="s">
        <v>16</v>
      </c>
      <c r="S29">
        <v>300</v>
      </c>
      <c r="U29">
        <v>600</v>
      </c>
    </row>
    <row r="30" spans="1:21" x14ac:dyDescent="0.25">
      <c r="A30">
        <f t="shared" ref="A30:A93" si="1">A29+$A$25</f>
        <v>0.02</v>
      </c>
      <c r="B30">
        <f t="shared" ref="B30:C45" si="2">B29+G29*$A$25</f>
        <v>7.0966519438941997</v>
      </c>
      <c r="C30">
        <f t="shared" si="2"/>
        <v>-1.107092687519491E-2</v>
      </c>
      <c r="D30">
        <f t="shared" ref="D30:D93" si="3">1/2*$C$12*B30^2</f>
        <v>30.721105975794167</v>
      </c>
      <c r="E30">
        <f t="shared" ref="E30:E93" si="4">D30*$C$15*$C$20</f>
        <v>27.71043759016634</v>
      </c>
      <c r="F30">
        <f t="shared" ref="F30:F93" si="5">E30/$C$19</f>
        <v>5.0382613800302432</v>
      </c>
      <c r="G30">
        <f t="shared" ref="G30:G93" si="6">$C$17*($C$18-F30/$C$13-SIN(C30))</f>
        <v>4.8912714998929614</v>
      </c>
      <c r="H30">
        <f t="shared" si="0"/>
        <v>-0.53048704455200235</v>
      </c>
      <c r="I30">
        <f t="shared" ref="I30:J45" si="7">I29+K29*$A$25</f>
        <v>0.14048013624019018</v>
      </c>
      <c r="J30">
        <f t="shared" si="7"/>
        <v>0.99960444710120144</v>
      </c>
      <c r="K30">
        <f t="shared" ref="K30:K93" si="8">B30*COS(C30)</f>
        <v>7.0962170462664727</v>
      </c>
      <c r="L30">
        <f t="shared" ref="L30:L93" si="9">B30*SIN(C30)</f>
        <v>-7.856490981639401E-2</v>
      </c>
      <c r="R30" t="s">
        <v>37</v>
      </c>
      <c r="S30">
        <v>0.15</v>
      </c>
      <c r="U30">
        <v>7.4999999999999997E-2</v>
      </c>
    </row>
    <row r="31" spans="1:21" x14ac:dyDescent="0.25">
      <c r="A31">
        <f t="shared" si="1"/>
        <v>0.03</v>
      </c>
      <c r="B31">
        <f t="shared" si="2"/>
        <v>7.1455646588931296</v>
      </c>
      <c r="C31">
        <f t="shared" si="2"/>
        <v>-1.6375797320714931E-2</v>
      </c>
      <c r="D31">
        <f t="shared" si="3"/>
        <v>31.146047519597715</v>
      </c>
      <c r="E31">
        <f t="shared" si="4"/>
        <v>28.093734862677138</v>
      </c>
      <c r="F31">
        <f t="shared" si="5"/>
        <v>5.107951793214025</v>
      </c>
      <c r="G31">
        <f t="shared" si="6"/>
        <v>4.9280772506249058</v>
      </c>
      <c r="H31">
        <f t="shared" si="0"/>
        <v>-0.51507404105513044</v>
      </c>
      <c r="I31">
        <f t="shared" si="7"/>
        <v>0.21144230670285491</v>
      </c>
      <c r="J31">
        <f t="shared" si="7"/>
        <v>0.99881879800303752</v>
      </c>
      <c r="K31">
        <f t="shared" si="8"/>
        <v>7.1446065789213735</v>
      </c>
      <c r="L31">
        <f t="shared" si="9"/>
        <v>-0.11700908877487042</v>
      </c>
      <c r="R31" t="s">
        <v>202</v>
      </c>
      <c r="S31">
        <v>10</v>
      </c>
      <c r="U31">
        <v>29</v>
      </c>
    </row>
    <row r="32" spans="1:21" x14ac:dyDescent="0.25">
      <c r="A32">
        <f t="shared" si="1"/>
        <v>0.04</v>
      </c>
      <c r="B32">
        <f t="shared" si="2"/>
        <v>7.1948454313993784</v>
      </c>
      <c r="C32">
        <f t="shared" si="2"/>
        <v>-2.1526537731266237E-2</v>
      </c>
      <c r="D32">
        <f t="shared" si="3"/>
        <v>31.57713847685439</v>
      </c>
      <c r="E32">
        <f t="shared" si="4"/>
        <v>28.482578906122662</v>
      </c>
      <c r="F32">
        <f t="shared" si="5"/>
        <v>5.1786507102041206</v>
      </c>
      <c r="G32">
        <f t="shared" si="6"/>
        <v>4.9631487337263254</v>
      </c>
      <c r="H32">
        <f t="shared" si="0"/>
        <v>-0.49964335751897782</v>
      </c>
      <c r="I32">
        <f t="shared" si="7"/>
        <v>0.28288837249206866</v>
      </c>
      <c r="J32">
        <f t="shared" si="7"/>
        <v>0.99764870711528886</v>
      </c>
      <c r="K32">
        <f t="shared" si="8"/>
        <v>7.1931784794882363</v>
      </c>
      <c r="L32">
        <f t="shared" si="9"/>
        <v>-0.15486815023048242</v>
      </c>
      <c r="R32" t="s">
        <v>203</v>
      </c>
      <c r="S32">
        <v>9.8000000000000007</v>
      </c>
      <c r="U32">
        <v>9.8000000000000007</v>
      </c>
    </row>
    <row r="33" spans="1:21" x14ac:dyDescent="0.25">
      <c r="A33">
        <f t="shared" si="1"/>
        <v>0.05</v>
      </c>
      <c r="B33">
        <f t="shared" si="2"/>
        <v>7.244476918736642</v>
      </c>
      <c r="C33">
        <f t="shared" si="2"/>
        <v>-2.6522971306456016E-2</v>
      </c>
      <c r="D33">
        <f t="shared" si="3"/>
        <v>32.014291953925849</v>
      </c>
      <c r="E33">
        <f t="shared" si="4"/>
        <v>28.876891342441116</v>
      </c>
      <c r="F33">
        <f t="shared" si="5"/>
        <v>5.2503438804438396</v>
      </c>
      <c r="G33">
        <f t="shared" si="6"/>
        <v>4.9964864221887284</v>
      </c>
      <c r="H33">
        <f t="shared" si="0"/>
        <v>-0.48420445292227876</v>
      </c>
      <c r="I33">
        <f t="shared" si="7"/>
        <v>0.35482015728695104</v>
      </c>
      <c r="J33">
        <f t="shared" si="7"/>
        <v>0.99610002561298405</v>
      </c>
      <c r="K33">
        <f t="shared" si="8"/>
        <v>7.2419289392407888</v>
      </c>
      <c r="L33">
        <f t="shared" si="9"/>
        <v>-0.19212252625534271</v>
      </c>
      <c r="R33" t="s">
        <v>19</v>
      </c>
      <c r="S33">
        <v>0.75</v>
      </c>
      <c r="U33">
        <v>0</v>
      </c>
    </row>
    <row r="34" spans="1:21" x14ac:dyDescent="0.25">
      <c r="A34">
        <f t="shared" si="1"/>
        <v>6.0000000000000005E-2</v>
      </c>
      <c r="B34">
        <f t="shared" si="2"/>
        <v>7.2944417829585291</v>
      </c>
      <c r="C34">
        <f t="shared" si="2"/>
        <v>-3.13650158356788E-2</v>
      </c>
      <c r="D34">
        <f t="shared" si="3"/>
        <v>32.457417364232434</v>
      </c>
      <c r="E34">
        <f t="shared" si="4"/>
        <v>29.276590462537659</v>
      </c>
      <c r="F34">
        <f t="shared" si="5"/>
        <v>5.32301644773412</v>
      </c>
      <c r="G34">
        <f t="shared" si="6"/>
        <v>5.0280920668320039</v>
      </c>
      <c r="H34">
        <f t="shared" si="0"/>
        <v>-0.46876638958798733</v>
      </c>
      <c r="I34">
        <f t="shared" si="7"/>
        <v>0.42723944667935893</v>
      </c>
      <c r="J34">
        <f t="shared" si="7"/>
        <v>0.9941788003504306</v>
      </c>
      <c r="K34">
        <f t="shared" si="8"/>
        <v>7.290854071685291</v>
      </c>
      <c r="L34">
        <f t="shared" si="9"/>
        <v>-0.22875277126457039</v>
      </c>
      <c r="R34" t="s">
        <v>109</v>
      </c>
      <c r="S34">
        <v>20</v>
      </c>
      <c r="U34">
        <v>29.2</v>
      </c>
    </row>
    <row r="35" spans="1:21" x14ac:dyDescent="0.25">
      <c r="A35">
        <f t="shared" si="1"/>
        <v>7.0000000000000007E-2</v>
      </c>
      <c r="B35">
        <f t="shared" si="2"/>
        <v>7.3447227036268492</v>
      </c>
      <c r="C35">
        <f t="shared" si="2"/>
        <v>-3.6052679731558672E-2</v>
      </c>
      <c r="D35">
        <f t="shared" si="3"/>
        <v>32.906420471834736</v>
      </c>
      <c r="E35">
        <f t="shared" si="4"/>
        <v>29.681591265594932</v>
      </c>
      <c r="F35">
        <f t="shared" si="5"/>
        <v>5.3966529573808968</v>
      </c>
      <c r="G35">
        <f t="shared" si="6"/>
        <v>5.0579686380200002</v>
      </c>
      <c r="H35">
        <f t="shared" si="0"/>
        <v>-0.45333783703709885</v>
      </c>
      <c r="I35">
        <f t="shared" si="7"/>
        <v>0.5001479873962118</v>
      </c>
      <c r="J35">
        <f t="shared" si="7"/>
        <v>0.99189127263778487</v>
      </c>
      <c r="K35">
        <f t="shared" si="8"/>
        <v>7.3399499010807547</v>
      </c>
      <c r="L35">
        <f t="shared" si="9"/>
        <v>-0.26473957542521381</v>
      </c>
      <c r="R35" t="s">
        <v>12</v>
      </c>
      <c r="S35">
        <v>0.8</v>
      </c>
      <c r="U35">
        <v>1.1679999999999999</v>
      </c>
    </row>
    <row r="36" spans="1:21" x14ac:dyDescent="0.25">
      <c r="A36">
        <f t="shared" si="1"/>
        <v>0.08</v>
      </c>
      <c r="B36">
        <f t="shared" si="2"/>
        <v>7.3953023900070489</v>
      </c>
      <c r="C36">
        <f t="shared" si="2"/>
        <v>-4.058605810192966E-2</v>
      </c>
      <c r="D36">
        <f t="shared" si="3"/>
        <v>33.36120343818282</v>
      </c>
      <c r="E36">
        <f t="shared" si="4"/>
        <v>30.091805501240906</v>
      </c>
      <c r="F36">
        <f t="shared" si="5"/>
        <v>5.4712373638619827</v>
      </c>
      <c r="G36">
        <f t="shared" si="6"/>
        <v>5.0861202679188677</v>
      </c>
      <c r="H36">
        <f t="shared" si="0"/>
        <v>-0.43792707694271904</v>
      </c>
      <c r="I36">
        <f t="shared" si="7"/>
        <v>0.57354748640701936</v>
      </c>
      <c r="J36">
        <f t="shared" si="7"/>
        <v>0.98924387688353277</v>
      </c>
      <c r="K36">
        <f t="shared" si="8"/>
        <v>7.3892123510518033</v>
      </c>
      <c r="L36">
        <f t="shared" si="9"/>
        <v>-0.30006377773308918</v>
      </c>
      <c r="R36" t="s">
        <v>205</v>
      </c>
      <c r="S36">
        <v>0.1</v>
      </c>
      <c r="U36">
        <v>-3.4000000000000002E-2</v>
      </c>
    </row>
    <row r="37" spans="1:21" x14ac:dyDescent="0.25">
      <c r="A37">
        <f t="shared" si="1"/>
        <v>0.09</v>
      </c>
      <c r="B37">
        <f t="shared" si="2"/>
        <v>7.4461635926862373</v>
      </c>
      <c r="C37">
        <f t="shared" si="2"/>
        <v>-4.4965328871356854E-2</v>
      </c>
      <c r="D37">
        <f t="shared" si="3"/>
        <v>33.821664871918067</v>
      </c>
      <c r="E37">
        <f t="shared" si="4"/>
        <v>30.507141714470098</v>
      </c>
      <c r="F37">
        <f t="shared" si="5"/>
        <v>5.546753038994563</v>
      </c>
      <c r="G37">
        <f t="shared" si="6"/>
        <v>5.1125521934953166</v>
      </c>
      <c r="H37">
        <f t="shared" si="0"/>
        <v>-0.42254200906810691</v>
      </c>
      <c r="I37">
        <f t="shared" si="7"/>
        <v>0.64743960991753735</v>
      </c>
      <c r="J37">
        <f t="shared" si="7"/>
        <v>0.98624323910620193</v>
      </c>
      <c r="K37">
        <f t="shared" si="8"/>
        <v>7.4386372333284854</v>
      </c>
      <c r="L37">
        <f t="shared" si="9"/>
        <v>-0.3347063787637648</v>
      </c>
      <c r="R37" t="s">
        <v>207</v>
      </c>
      <c r="S37">
        <v>1</v>
      </c>
      <c r="U37">
        <v>1</v>
      </c>
    </row>
    <row r="38" spans="1:21" x14ac:dyDescent="0.25">
      <c r="A38">
        <f t="shared" si="1"/>
        <v>9.9999999999999992E-2</v>
      </c>
      <c r="B38">
        <f t="shared" si="2"/>
        <v>7.4972891146211902</v>
      </c>
      <c r="C38">
        <f t="shared" si="2"/>
        <v>-4.9190748962037921E-2</v>
      </c>
      <c r="D38">
        <f t="shared" si="3"/>
        <v>34.28769988161261</v>
      </c>
      <c r="E38">
        <f t="shared" si="4"/>
        <v>30.927505293214576</v>
      </c>
      <c r="F38">
        <f t="shared" si="5"/>
        <v>5.6231827805844681</v>
      </c>
      <c r="G38">
        <f t="shared" si="6"/>
        <v>5.1372707004307916</v>
      </c>
      <c r="H38">
        <f t="shared" si="0"/>
        <v>-0.40719015807690734</v>
      </c>
      <c r="I38">
        <f t="shared" si="7"/>
        <v>0.72182598225082217</v>
      </c>
      <c r="J38">
        <f t="shared" si="7"/>
        <v>0.98289617531856432</v>
      </c>
      <c r="K38">
        <f t="shared" si="8"/>
        <v>7.4882202366457582</v>
      </c>
      <c r="L38">
        <f t="shared" si="9"/>
        <v>-0.36864855310490263</v>
      </c>
    </row>
    <row r="39" spans="1:21" x14ac:dyDescent="0.25">
      <c r="A39">
        <f t="shared" si="1"/>
        <v>0.10999999999999999</v>
      </c>
      <c r="B39">
        <f t="shared" si="2"/>
        <v>7.5486618216254984</v>
      </c>
      <c r="C39">
        <f t="shared" si="2"/>
        <v>-5.3262650542806995E-2</v>
      </c>
      <c r="D39">
        <f t="shared" si="3"/>
        <v>34.759200131332499</v>
      </c>
      <c r="E39">
        <f t="shared" si="4"/>
        <v>31.352798518461913</v>
      </c>
      <c r="F39">
        <f t="shared" si="5"/>
        <v>5.7005088215385298</v>
      </c>
      <c r="G39">
        <f t="shared" si="6"/>
        <v>5.1602830681070895</v>
      </c>
      <c r="H39">
        <f t="shared" si="0"/>
        <v>-0.39187868110875745</v>
      </c>
      <c r="I39">
        <f t="shared" si="7"/>
        <v>0.79670818461727977</v>
      </c>
      <c r="J39">
        <f t="shared" si="7"/>
        <v>0.97920968978751532</v>
      </c>
      <c r="K39">
        <f t="shared" si="8"/>
        <v>7.5379569158338464</v>
      </c>
      <c r="L39">
        <f t="shared" si="9"/>
        <v>-0.40187166147798142</v>
      </c>
    </row>
    <row r="40" spans="1:21" x14ac:dyDescent="0.25">
      <c r="A40">
        <f t="shared" si="1"/>
        <v>0.11999999999999998</v>
      </c>
      <c r="B40">
        <f t="shared" si="2"/>
        <v>7.6002646523065689</v>
      </c>
      <c r="C40">
        <f t="shared" si="2"/>
        <v>-5.7181437353894568E-2</v>
      </c>
      <c r="D40">
        <f t="shared" si="3"/>
        <v>35.236053898911422</v>
      </c>
      <c r="E40">
        <f t="shared" si="4"/>
        <v>31.782920616818103</v>
      </c>
      <c r="F40">
        <f t="shared" si="5"/>
        <v>5.7787128394214733</v>
      </c>
      <c r="G40">
        <f t="shared" si="6"/>
        <v>5.1815975157994068</v>
      </c>
      <c r="H40">
        <f t="shared" si="0"/>
        <v>-0.37661437601874342</v>
      </c>
      <c r="I40">
        <f t="shared" si="7"/>
        <v>0.8720877537756182</v>
      </c>
      <c r="J40">
        <f t="shared" si="7"/>
        <v>0.97519097317273551</v>
      </c>
      <c r="K40">
        <f t="shared" si="8"/>
        <v>7.5878426811290529</v>
      </c>
      <c r="L40">
        <f t="shared" si="9"/>
        <v>-0.4343572625580851</v>
      </c>
    </row>
    <row r="41" spans="1:21" x14ac:dyDescent="0.25">
      <c r="A41">
        <f t="shared" si="1"/>
        <v>0.12999999999999998</v>
      </c>
      <c r="B41">
        <f t="shared" si="2"/>
        <v>7.6520806274645627</v>
      </c>
      <c r="C41">
        <f t="shared" si="2"/>
        <v>-6.0947581114082001E-2</v>
      </c>
      <c r="D41">
        <f t="shared" si="3"/>
        <v>35.718146136823258</v>
      </c>
      <c r="E41">
        <f t="shared" si="4"/>
        <v>32.217767815414575</v>
      </c>
      <c r="F41">
        <f t="shared" si="5"/>
        <v>5.8577759664390134</v>
      </c>
      <c r="G41">
        <f t="shared" si="6"/>
        <v>5.2012231501941857</v>
      </c>
      <c r="H41">
        <f t="shared" si="0"/>
        <v>-0.36140369018475654</v>
      </c>
      <c r="I41">
        <f t="shared" si="7"/>
        <v>0.94796618058690874</v>
      </c>
      <c r="J41">
        <f t="shared" si="7"/>
        <v>0.97084740054715468</v>
      </c>
      <c r="K41">
        <f t="shared" si="8"/>
        <v>7.6378727877330403</v>
      </c>
      <c r="L41">
        <f t="shared" si="9"/>
        <v>-0.46608712450095158</v>
      </c>
    </row>
    <row r="42" spans="1:21" x14ac:dyDescent="0.25">
      <c r="A42">
        <f t="shared" si="1"/>
        <v>0.13999999999999999</v>
      </c>
      <c r="B42">
        <f t="shared" si="2"/>
        <v>7.7040928589665043</v>
      </c>
      <c r="C42">
        <f t="shared" si="2"/>
        <v>-6.4561618015929564E-2</v>
      </c>
      <c r="D42">
        <f t="shared" si="3"/>
        <v>36.205358535542999</v>
      </c>
      <c r="E42">
        <f t="shared" si="4"/>
        <v>32.657233399059784</v>
      </c>
      <c r="F42">
        <f t="shared" si="5"/>
        <v>5.9376787998290519</v>
      </c>
      <c r="G42">
        <f t="shared" si="6"/>
        <v>5.2191699143315633</v>
      </c>
      <c r="H42">
        <f t="shared" si="0"/>
        <v>-0.34625272979253585</v>
      </c>
      <c r="I42">
        <f t="shared" si="7"/>
        <v>1.0243449084642391</v>
      </c>
      <c r="J42">
        <f t="shared" si="7"/>
        <v>0.96618652930214521</v>
      </c>
      <c r="K42">
        <f t="shared" si="8"/>
        <v>7.6880423256469914</v>
      </c>
      <c r="L42">
        <f t="shared" si="9"/>
        <v>-0.49704323618684548</v>
      </c>
    </row>
    <row r="43" spans="1:21" x14ac:dyDescent="0.25">
      <c r="A43">
        <f t="shared" si="1"/>
        <v>0.15</v>
      </c>
      <c r="B43">
        <f t="shared" si="2"/>
        <v>7.7562845581098196</v>
      </c>
      <c r="C43">
        <f t="shared" si="2"/>
        <v>-6.8024145313854922E-2</v>
      </c>
      <c r="D43">
        <f t="shared" si="3"/>
        <v>36.697569589287433</v>
      </c>
      <c r="E43">
        <f t="shared" si="4"/>
        <v>33.101207769537268</v>
      </c>
      <c r="F43">
        <f t="shared" si="5"/>
        <v>6.01840141264314</v>
      </c>
      <c r="G43">
        <f t="shared" si="6"/>
        <v>5.2354485380556692</v>
      </c>
      <c r="H43">
        <f t="shared" si="0"/>
        <v>-0.33116726951400577</v>
      </c>
      <c r="I43">
        <f t="shared" si="7"/>
        <v>1.101225331720709</v>
      </c>
      <c r="J43">
        <f t="shared" si="7"/>
        <v>0.96121609694027677</v>
      </c>
      <c r="K43">
        <f t="shared" si="8"/>
        <v>7.7383462098054938</v>
      </c>
      <c r="L43">
        <f t="shared" si="9"/>
        <v>-0.52720781819106255</v>
      </c>
    </row>
    <row r="44" spans="1:21" x14ac:dyDescent="0.25">
      <c r="A44">
        <f t="shared" si="1"/>
        <v>0.16</v>
      </c>
      <c r="B44">
        <f t="shared" si="2"/>
        <v>7.8086390434903761</v>
      </c>
      <c r="C44">
        <f t="shared" si="2"/>
        <v>-7.1335818008994981E-2</v>
      </c>
      <c r="D44">
        <f t="shared" si="3"/>
        <v>37.194654664028597</v>
      </c>
      <c r="E44">
        <f t="shared" si="4"/>
        <v>33.549578506953793</v>
      </c>
      <c r="F44">
        <f t="shared" si="5"/>
        <v>6.0999233649006896</v>
      </c>
      <c r="G44">
        <f t="shared" si="6"/>
        <v>5.2500704900406037</v>
      </c>
      <c r="H44">
        <f t="shared" si="0"/>
        <v>-0.31615276250038299</v>
      </c>
      <c r="I44">
        <f t="shared" si="7"/>
        <v>1.1786087938187639</v>
      </c>
      <c r="J44">
        <f t="shared" si="7"/>
        <v>0.9559440187583661</v>
      </c>
      <c r="K44">
        <f t="shared" si="8"/>
        <v>7.7887791705334468</v>
      </c>
      <c r="L44">
        <f t="shared" si="9"/>
        <v>-0.55656333349099263</v>
      </c>
    </row>
    <row r="45" spans="1:21" x14ac:dyDescent="0.25">
      <c r="A45">
        <f t="shared" si="1"/>
        <v>0.17</v>
      </c>
      <c r="B45">
        <f t="shared" si="2"/>
        <v>7.8611397483907819</v>
      </c>
      <c r="C45">
        <f t="shared" si="2"/>
        <v>-7.4497345633998804E-2</v>
      </c>
      <c r="D45">
        <f t="shared" si="3"/>
        <v>37.696486067674982</v>
      </c>
      <c r="E45">
        <f t="shared" si="4"/>
        <v>34.002230433042833</v>
      </c>
      <c r="F45">
        <f t="shared" si="5"/>
        <v>6.1822237150986972</v>
      </c>
      <c r="G45">
        <f t="shared" si="6"/>
        <v>5.2630479314455281</v>
      </c>
      <c r="H45">
        <f t="shared" si="0"/>
        <v>-0.30121435061734136</v>
      </c>
      <c r="I45">
        <f t="shared" si="7"/>
        <v>1.2564965855240984</v>
      </c>
      <c r="J45">
        <f t="shared" si="7"/>
        <v>0.95037838542345621</v>
      </c>
      <c r="K45">
        <f t="shared" si="8"/>
        <v>7.8393357443477054</v>
      </c>
      <c r="L45">
        <f t="shared" si="9"/>
        <v>-0.5850924979196761</v>
      </c>
    </row>
    <row r="46" spans="1:21" x14ac:dyDescent="0.25">
      <c r="A46">
        <f t="shared" si="1"/>
        <v>0.18000000000000002</v>
      </c>
      <c r="B46">
        <f t="shared" ref="B46:C61" si="10">B45+G45*$A$25</f>
        <v>7.9137702277052373</v>
      </c>
      <c r="C46">
        <f t="shared" si="10"/>
        <v>-7.7509489140172222E-2</v>
      </c>
      <c r="D46">
        <f t="shared" si="3"/>
        <v>38.202933122317418</v>
      </c>
      <c r="E46">
        <f t="shared" si="4"/>
        <v>34.459045676330312</v>
      </c>
      <c r="F46">
        <f t="shared" si="5"/>
        <v>6.2652810320600567</v>
      </c>
      <c r="G46">
        <f t="shared" si="6"/>
        <v>5.2743936712391051</v>
      </c>
      <c r="H46">
        <f t="shared" si="0"/>
        <v>-0.28635687485527694</v>
      </c>
      <c r="I46">
        <f t="shared" ref="I46:J61" si="11">I45+K45*$A$25</f>
        <v>1.3348899429675753</v>
      </c>
      <c r="J46">
        <f t="shared" si="11"/>
        <v>0.94452746044425939</v>
      </c>
      <c r="K46">
        <f t="shared" si="8"/>
        <v>7.8900102651237427</v>
      </c>
      <c r="L46">
        <f t="shared" si="9"/>
        <v>-0.61277829037570208</v>
      </c>
    </row>
    <row r="47" spans="1:21" x14ac:dyDescent="0.25">
      <c r="A47">
        <f t="shared" si="1"/>
        <v>0.19000000000000003</v>
      </c>
      <c r="B47">
        <f t="shared" si="10"/>
        <v>7.9665141644176281</v>
      </c>
      <c r="C47">
        <f t="shared" si="10"/>
        <v>-8.0373057888724994E-2</v>
      </c>
      <c r="D47">
        <f t="shared" si="3"/>
        <v>38.713862238438686</v>
      </c>
      <c r="E47">
        <f t="shared" si="4"/>
        <v>34.919903739071692</v>
      </c>
      <c r="F47">
        <f t="shared" si="5"/>
        <v>6.3490734071039441</v>
      </c>
      <c r="G47">
        <f t="shared" si="6"/>
        <v>5.2841211232212588</v>
      </c>
      <c r="H47">
        <f t="shared" si="0"/>
        <v>-0.27158488585331036</v>
      </c>
      <c r="I47">
        <f t="shared" si="11"/>
        <v>1.4137900456188128</v>
      </c>
      <c r="J47">
        <f t="shared" si="11"/>
        <v>0.93839967754050235</v>
      </c>
      <c r="K47">
        <f t="shared" si="8"/>
        <v>7.9407968556460622</v>
      </c>
      <c r="L47">
        <f t="shared" si="9"/>
        <v>-0.63960396279910325</v>
      </c>
    </row>
    <row r="48" spans="1:21" x14ac:dyDescent="0.25">
      <c r="A48">
        <f t="shared" si="1"/>
        <v>0.20000000000000004</v>
      </c>
      <c r="B48">
        <f t="shared" si="10"/>
        <v>8.019355375649841</v>
      </c>
      <c r="C48">
        <f t="shared" si="10"/>
        <v>-8.3088906747258093E-2</v>
      </c>
      <c r="D48">
        <f t="shared" si="3"/>
        <v>39.229136990988039</v>
      </c>
      <c r="E48">
        <f t="shared" si="4"/>
        <v>35.384681565871212</v>
      </c>
      <c r="F48">
        <f t="shared" si="5"/>
        <v>6.4335784665220386</v>
      </c>
      <c r="G48">
        <f t="shared" si="6"/>
        <v>5.292244264759173</v>
      </c>
      <c r="H48">
        <f t="shared" si="0"/>
        <v>-0.25690265448112093</v>
      </c>
      <c r="I48">
        <f t="shared" si="11"/>
        <v>1.4931980141752734</v>
      </c>
      <c r="J48">
        <f t="shared" si="11"/>
        <v>0.93200363791251128</v>
      </c>
      <c r="K48">
        <f t="shared" si="8"/>
        <v>7.9916894195597132</v>
      </c>
      <c r="L48">
        <f t="shared" si="9"/>
        <v>-0.66555304992264641</v>
      </c>
    </row>
    <row r="49" spans="1:12" x14ac:dyDescent="0.25">
      <c r="A49">
        <f t="shared" si="1"/>
        <v>0.21000000000000005</v>
      </c>
      <c r="B49">
        <f t="shared" si="10"/>
        <v>8.0722778182974331</v>
      </c>
      <c r="C49">
        <f t="shared" si="10"/>
        <v>-8.5657933292069305E-2</v>
      </c>
      <c r="D49">
        <f t="shared" si="3"/>
        <v>39.748618197223827</v>
      </c>
      <c r="E49">
        <f t="shared" si="4"/>
        <v>35.853253613895895</v>
      </c>
      <c r="F49">
        <f t="shared" si="5"/>
        <v>6.5187733843447084</v>
      </c>
      <c r="G49">
        <f t="shared" si="6"/>
        <v>5.2987775972442961</v>
      </c>
      <c r="H49">
        <f t="shared" si="0"/>
        <v>-0.24231418242795985</v>
      </c>
      <c r="I49">
        <f t="shared" si="11"/>
        <v>1.5731149083708706</v>
      </c>
      <c r="J49">
        <f t="shared" si="11"/>
        <v>0.92534810741328477</v>
      </c>
      <c r="K49">
        <f t="shared" si="8"/>
        <v>8.0426816337388232</v>
      </c>
      <c r="L49">
        <f t="shared" si="9"/>
        <v>-0.69060937880756346</v>
      </c>
    </row>
    <row r="50" spans="1:12" x14ac:dyDescent="0.25">
      <c r="A50">
        <f t="shared" si="1"/>
        <v>0.22000000000000006</v>
      </c>
      <c r="B50">
        <f t="shared" si="10"/>
        <v>8.1252655942698766</v>
      </c>
      <c r="C50">
        <f t="shared" si="10"/>
        <v>-8.8081075116348898E-2</v>
      </c>
      <c r="D50">
        <f t="shared" si="3"/>
        <v>40.272163996229743</v>
      </c>
      <c r="E50">
        <f t="shared" si="4"/>
        <v>36.325491924599227</v>
      </c>
      <c r="F50">
        <f t="shared" si="5"/>
        <v>6.604634895381678</v>
      </c>
      <c r="G50">
        <f t="shared" si="6"/>
        <v>5.303736108268029</v>
      </c>
      <c r="H50">
        <f t="shared" si="0"/>
        <v>-0.2278232127532186</v>
      </c>
      <c r="I50">
        <f t="shared" si="11"/>
        <v>1.6535417247082589</v>
      </c>
      <c r="J50">
        <f t="shared" si="11"/>
        <v>0.91844201362520916</v>
      </c>
      <c r="K50">
        <f t="shared" si="8"/>
        <v>8.0937669410867219</v>
      </c>
      <c r="L50">
        <f t="shared" si="9"/>
        <v>-0.71475707817236922</v>
      </c>
    </row>
    <row r="51" spans="1:12" x14ac:dyDescent="0.25">
      <c r="A51">
        <f t="shared" si="1"/>
        <v>0.23000000000000007</v>
      </c>
      <c r="B51">
        <f t="shared" si="10"/>
        <v>8.1783029553525566</v>
      </c>
      <c r="C51">
        <f t="shared" si="10"/>
        <v>-9.0359307243881082E-2</v>
      </c>
      <c r="D51">
        <f t="shared" si="3"/>
        <v>40.799629930012301</v>
      </c>
      <c r="E51">
        <f t="shared" si="4"/>
        <v>36.801266196871097</v>
      </c>
      <c r="F51">
        <f t="shared" si="5"/>
        <v>6.6911393085220174</v>
      </c>
      <c r="G51">
        <f t="shared" si="6"/>
        <v>5.3071352355056076</v>
      </c>
      <c r="H51">
        <f t="shared" si="0"/>
        <v>-0.21343324035773081</v>
      </c>
      <c r="I51">
        <f t="shared" si="11"/>
        <v>1.7344793941191261</v>
      </c>
      <c r="J51">
        <f t="shared" si="11"/>
        <v>0.91129444284348549</v>
      </c>
      <c r="K51">
        <f t="shared" si="8"/>
        <v>8.1449385437808957</v>
      </c>
      <c r="L51">
        <f t="shared" si="9"/>
        <v>-0.73798058752294249</v>
      </c>
    </row>
    <row r="52" spans="1:12" x14ac:dyDescent="0.25">
      <c r="A52">
        <f t="shared" si="1"/>
        <v>0.24000000000000007</v>
      </c>
      <c r="B52">
        <f t="shared" si="10"/>
        <v>8.2313743077076129</v>
      </c>
      <c r="C52">
        <f t="shared" si="10"/>
        <v>-9.2493639647458395E-2</v>
      </c>
      <c r="D52">
        <f t="shared" si="3"/>
        <v>41.330869026089282</v>
      </c>
      <c r="E52">
        <f t="shared" si="4"/>
        <v>37.280443861532532</v>
      </c>
      <c r="F52">
        <f t="shared" si="5"/>
        <v>6.7782625202786422</v>
      </c>
      <c r="G52">
        <f t="shared" si="6"/>
        <v>5.308990832290406</v>
      </c>
      <c r="H52">
        <f t="shared" si="0"/>
        <v>-0.199147522339538</v>
      </c>
      <c r="I52">
        <f t="shared" si="11"/>
        <v>1.815928779556935</v>
      </c>
      <c r="J52">
        <f t="shared" si="11"/>
        <v>0.90391463696825602</v>
      </c>
      <c r="K52">
        <f t="shared" si="8"/>
        <v>8.1961893969747752</v>
      </c>
      <c r="L52">
        <f t="shared" si="9"/>
        <v>-0.76026466609153109</v>
      </c>
    </row>
    <row r="53" spans="1:12" x14ac:dyDescent="0.25">
      <c r="A53">
        <f t="shared" si="1"/>
        <v>0.25000000000000006</v>
      </c>
      <c r="B53">
        <f t="shared" si="10"/>
        <v>8.2844642160305177</v>
      </c>
      <c r="C53">
        <f t="shared" si="10"/>
        <v>-9.4485114870853773E-2</v>
      </c>
      <c r="D53">
        <f t="shared" si="3"/>
        <v>41.865731881480983</v>
      </c>
      <c r="E53">
        <f t="shared" si="4"/>
        <v>37.762890157095846</v>
      </c>
      <c r="F53">
        <f t="shared" si="5"/>
        <v>6.8659800285628814</v>
      </c>
      <c r="G53">
        <f t="shared" si="6"/>
        <v>5.3093191348545297</v>
      </c>
      <c r="H53">
        <f t="shared" si="0"/>
        <v>-0.18496908820213473</v>
      </c>
      <c r="I53">
        <f t="shared" si="11"/>
        <v>1.8978906735266827</v>
      </c>
      <c r="J53">
        <f t="shared" si="11"/>
        <v>0.89631199030734077</v>
      </c>
      <c r="K53">
        <f t="shared" si="8"/>
        <v>8.2475122029670569</v>
      </c>
      <c r="L53">
        <f t="shared" si="9"/>
        <v>-0.78159440159178528</v>
      </c>
    </row>
    <row r="54" spans="1:12" x14ac:dyDescent="0.25">
      <c r="A54">
        <f t="shared" si="1"/>
        <v>0.26000000000000006</v>
      </c>
      <c r="B54">
        <f t="shared" si="10"/>
        <v>8.3375574073790624</v>
      </c>
      <c r="C54">
        <f t="shared" si="10"/>
        <v>-9.6334805752875119E-2</v>
      </c>
      <c r="D54">
        <f t="shared" si="3"/>
        <v>42.404066748018295</v>
      </c>
      <c r="E54">
        <f t="shared" si="4"/>
        <v>38.248468206712502</v>
      </c>
      <c r="F54">
        <f t="shared" si="5"/>
        <v>6.9542669466750002</v>
      </c>
      <c r="G54">
        <f t="shared" si="6"/>
        <v>5.3081367312058916</v>
      </c>
      <c r="H54">
        <f t="shared" si="0"/>
        <v>-0.17090074988724593</v>
      </c>
      <c r="I54">
        <f t="shared" si="11"/>
        <v>1.9803657955563534</v>
      </c>
      <c r="J54">
        <f t="shared" si="11"/>
        <v>0.88849604629142287</v>
      </c>
      <c r="K54">
        <f t="shared" si="8"/>
        <v>8.298899405848152</v>
      </c>
      <c r="L54">
        <f t="shared" si="9"/>
        <v>-0.80195521879633103</v>
      </c>
    </row>
    <row r="55" spans="1:12" x14ac:dyDescent="0.25">
      <c r="A55">
        <f t="shared" si="1"/>
        <v>0.27000000000000007</v>
      </c>
      <c r="B55">
        <f t="shared" si="10"/>
        <v>8.3906387746911211</v>
      </c>
      <c r="C55">
        <f t="shared" si="10"/>
        <v>-9.8043813251747575E-2</v>
      </c>
      <c r="D55">
        <f t="shared" si="3"/>
        <v>42.945719618883572</v>
      </c>
      <c r="E55">
        <f t="shared" si="4"/>
        <v>38.737039096232984</v>
      </c>
      <c r="F55">
        <f t="shared" si="5"/>
        <v>7.0430980174969058</v>
      </c>
      <c r="G55">
        <f t="shared" si="6"/>
        <v>5.3054605316071859</v>
      </c>
      <c r="H55">
        <f t="shared" si="0"/>
        <v>-0.15694511160794142</v>
      </c>
      <c r="I55">
        <f t="shared" si="11"/>
        <v>2.0633547896148348</v>
      </c>
      <c r="J55">
        <f t="shared" si="11"/>
        <v>0.88047649410345952</v>
      </c>
      <c r="K55">
        <f t="shared" si="8"/>
        <v>8.3503431866321343</v>
      </c>
      <c r="L55">
        <f t="shared" si="9"/>
        <v>-0.82133288794277182</v>
      </c>
    </row>
    <row r="56" spans="1:12" x14ac:dyDescent="0.25">
      <c r="A56">
        <f t="shared" si="1"/>
        <v>0.28000000000000008</v>
      </c>
      <c r="B56">
        <f t="shared" si="10"/>
        <v>8.4436933800071934</v>
      </c>
      <c r="C56">
        <f t="shared" si="10"/>
        <v>-9.9613264367826984E-2</v>
      </c>
      <c r="D56">
        <f t="shared" si="3"/>
        <v>43.490534316302153</v>
      </c>
      <c r="E56">
        <f t="shared" si="4"/>
        <v>39.228461953304546</v>
      </c>
      <c r="F56">
        <f t="shared" si="5"/>
        <v>7.132447627873554</v>
      </c>
      <c r="G56">
        <f t="shared" si="6"/>
        <v>5.3013077406179772</v>
      </c>
      <c r="H56">
        <f t="shared" si="0"/>
        <v>-0.14310457946141075</v>
      </c>
      <c r="I56">
        <f t="shared" si="11"/>
        <v>2.146858221481156</v>
      </c>
      <c r="J56">
        <f t="shared" si="11"/>
        <v>0.8722631652240318</v>
      </c>
      <c r="K56">
        <f t="shared" si="8"/>
        <v>8.4018354588815125</v>
      </c>
      <c r="L56">
        <f t="shared" si="9"/>
        <v>-0.83971353297336027</v>
      </c>
    </row>
    <row r="57" spans="1:12" x14ac:dyDescent="0.25">
      <c r="A57">
        <f t="shared" si="1"/>
        <v>0.29000000000000009</v>
      </c>
      <c r="B57">
        <f t="shared" si="10"/>
        <v>8.4967064574133726</v>
      </c>
      <c r="C57">
        <f t="shared" si="10"/>
        <v>-0.10104431016244109</v>
      </c>
      <c r="D57">
        <f t="shared" si="3"/>
        <v>44.038352580304561</v>
      </c>
      <c r="E57">
        <f t="shared" si="4"/>
        <v>39.722594027434717</v>
      </c>
      <c r="F57">
        <f t="shared" si="5"/>
        <v>7.2222898231699482</v>
      </c>
      <c r="G57">
        <f t="shared" si="6"/>
        <v>5.2956958306576256</v>
      </c>
      <c r="H57">
        <f t="shared" si="0"/>
        <v>-0.12938137080394574</v>
      </c>
      <c r="I57">
        <f t="shared" si="11"/>
        <v>2.2308765760699711</v>
      </c>
      <c r="J57">
        <f t="shared" si="11"/>
        <v>0.86386602989429817</v>
      </c>
      <c r="K57">
        <f t="shared" si="8"/>
        <v>8.4533678648310318</v>
      </c>
      <c r="L57">
        <f t="shared" si="9"/>
        <v>-0.85708363961292722</v>
      </c>
    </row>
    <row r="58" spans="1:12" x14ac:dyDescent="0.25">
      <c r="A58">
        <f t="shared" si="1"/>
        <v>0.3000000000000001</v>
      </c>
      <c r="B58">
        <f t="shared" si="10"/>
        <v>8.549663415719948</v>
      </c>
      <c r="C58">
        <f t="shared" si="10"/>
        <v>-0.10233812387048054</v>
      </c>
      <c r="D58">
        <f t="shared" si="3"/>
        <v>44.589014158481056</v>
      </c>
      <c r="E58">
        <f t="shared" si="4"/>
        <v>40.219290770949918</v>
      </c>
      <c r="F58">
        <f t="shared" si="5"/>
        <v>7.3125983219908939</v>
      </c>
      <c r="G58">
        <f t="shared" si="6"/>
        <v>5.2886425170438951</v>
      </c>
      <c r="H58">
        <f t="shared" si="0"/>
        <v>-0.11577752337368077</v>
      </c>
      <c r="I58">
        <f t="shared" si="11"/>
        <v>2.3154102547182815</v>
      </c>
      <c r="J58">
        <f t="shared" si="11"/>
        <v>0.85529519349816885</v>
      </c>
      <c r="K58">
        <f t="shared" si="8"/>
        <v>8.5049317720157589</v>
      </c>
      <c r="L58">
        <f t="shared" si="9"/>
        <v>-0.87343006328897521</v>
      </c>
    </row>
    <row r="59" spans="1:12" x14ac:dyDescent="0.25">
      <c r="A59">
        <f t="shared" si="1"/>
        <v>0.31000000000000011</v>
      </c>
      <c r="B59">
        <f t="shared" si="10"/>
        <v>8.6025498408903864</v>
      </c>
      <c r="C59">
        <f t="shared" si="10"/>
        <v>-0.10349589910421735</v>
      </c>
      <c r="D59">
        <f t="shared" si="3"/>
        <v>45.142356896651961</v>
      </c>
      <c r="E59">
        <f t="shared" si="4"/>
        <v>40.718405920780071</v>
      </c>
      <c r="F59">
        <f t="shared" si="5"/>
        <v>7.4033465310509223</v>
      </c>
      <c r="G59">
        <f t="shared" si="6"/>
        <v>5.2801657344597261</v>
      </c>
      <c r="H59">
        <f t="shared" si="0"/>
        <v>-0.10229490414937897</v>
      </c>
      <c r="I59">
        <f t="shared" si="11"/>
        <v>2.400459572438439</v>
      </c>
      <c r="J59">
        <f t="shared" si="11"/>
        <v>0.84656089286527914</v>
      </c>
      <c r="K59">
        <f t="shared" si="8"/>
        <v>8.5565182704076097</v>
      </c>
      <c r="L59">
        <f t="shared" si="9"/>
        <v>-0.88874003689716918</v>
      </c>
    </row>
    <row r="60" spans="1:12" x14ac:dyDescent="0.25">
      <c r="A60">
        <f t="shared" si="1"/>
        <v>0.32000000000000012</v>
      </c>
      <c r="B60">
        <f t="shared" si="10"/>
        <v>8.6553514982349835</v>
      </c>
      <c r="C60">
        <f t="shared" si="10"/>
        <v>-0.10451884814571114</v>
      </c>
      <c r="D60">
        <f t="shared" si="3"/>
        <v>45.698216830379131</v>
      </c>
      <c r="E60">
        <f t="shared" si="4"/>
        <v>41.219791581001978</v>
      </c>
      <c r="F60">
        <f t="shared" si="5"/>
        <v>7.4945075601821776</v>
      </c>
      <c r="G60">
        <f t="shared" si="6"/>
        <v>5.2702836147987941</v>
      </c>
      <c r="H60">
        <f t="shared" si="0"/>
        <v>-8.8935217936058311E-2</v>
      </c>
      <c r="I60">
        <f t="shared" si="11"/>
        <v>2.4860247551425152</v>
      </c>
      <c r="J60">
        <f t="shared" si="11"/>
        <v>0.8376734924963074</v>
      </c>
      <c r="K60">
        <f t="shared" si="8"/>
        <v>8.6081181700636584</v>
      </c>
      <c r="L60">
        <f t="shared" si="9"/>
        <v>-0.90300117841477412</v>
      </c>
    </row>
    <row r="61" spans="1:12" x14ac:dyDescent="0.25">
      <c r="A61">
        <f t="shared" si="1"/>
        <v>0.33000000000000013</v>
      </c>
      <c r="B61">
        <f t="shared" si="10"/>
        <v>8.7080543343829717</v>
      </c>
      <c r="C61">
        <f t="shared" si="10"/>
        <v>-0.10540820032507171</v>
      </c>
      <c r="D61">
        <f t="shared" si="3"/>
        <v>46.256428277245291</v>
      </c>
      <c r="E61">
        <f t="shared" si="4"/>
        <v>41.72329830607525</v>
      </c>
      <c r="F61">
        <f t="shared" si="5"/>
        <v>7.5860542374682272</v>
      </c>
      <c r="G61">
        <f t="shared" si="6"/>
        <v>5.2590144663391056</v>
      </c>
      <c r="H61">
        <f t="shared" si="0"/>
        <v>-7.5700015670535817E-2</v>
      </c>
      <c r="I61">
        <f t="shared" si="11"/>
        <v>2.5721059368431516</v>
      </c>
      <c r="J61">
        <f t="shared" si="11"/>
        <v>0.82864348071215965</v>
      </c>
      <c r="K61">
        <f t="shared" si="8"/>
        <v>8.6597219992885321</v>
      </c>
      <c r="L61">
        <f t="shared" si="9"/>
        <v>-0.91620149836391362</v>
      </c>
    </row>
    <row r="62" spans="1:12" x14ac:dyDescent="0.25">
      <c r="A62">
        <f t="shared" si="1"/>
        <v>0.34000000000000014</v>
      </c>
      <c r="B62">
        <f t="shared" ref="B62:C77" si="12">B61+G61*$A$25</f>
        <v>8.7606444790463627</v>
      </c>
      <c r="C62">
        <f t="shared" si="12"/>
        <v>-0.10616520048177708</v>
      </c>
      <c r="D62">
        <f t="shared" si="3"/>
        <v>46.816823929829766</v>
      </c>
      <c r="E62">
        <f t="shared" si="4"/>
        <v>42.22877518470645</v>
      </c>
      <c r="F62">
        <f t="shared" si="5"/>
        <v>7.677959124492082</v>
      </c>
      <c r="G62">
        <f t="shared" si="6"/>
        <v>5.2463767541929185</v>
      </c>
      <c r="H62">
        <f t="shared" si="0"/>
        <v>-6.2590702442026511E-2</v>
      </c>
      <c r="I62">
        <f t="shared" ref="I62:J77" si="13">I61+K61*$A$25</f>
        <v>2.6587031568360371</v>
      </c>
      <c r="J62">
        <f t="shared" si="13"/>
        <v>0.81948146572852054</v>
      </c>
      <c r="K62">
        <f t="shared" si="8"/>
        <v>8.711320003312407</v>
      </c>
      <c r="L62">
        <f t="shared" si="9"/>
        <v>-0.92832940712585166</v>
      </c>
    </row>
    <row r="63" spans="1:12" x14ac:dyDescent="0.25">
      <c r="A63">
        <f t="shared" si="1"/>
        <v>0.35000000000000014</v>
      </c>
      <c r="B63">
        <f t="shared" si="12"/>
        <v>8.8131082465882926</v>
      </c>
      <c r="C63">
        <f t="shared" si="12"/>
        <v>-0.10679110750619734</v>
      </c>
      <c r="D63">
        <f t="shared" si="3"/>
        <v>47.379234949310366</v>
      </c>
      <c r="E63">
        <f t="shared" si="4"/>
        <v>42.736069924277956</v>
      </c>
      <c r="F63">
        <f t="shared" si="5"/>
        <v>7.7701945316869008</v>
      </c>
      <c r="G63">
        <f t="shared" si="6"/>
        <v>5.2323890819806156</v>
      </c>
      <c r="H63">
        <f t="shared" si="0"/>
        <v>-4.9608545224801195E-2</v>
      </c>
      <c r="I63">
        <f t="shared" si="13"/>
        <v>2.7458163568691614</v>
      </c>
      <c r="J63">
        <f t="shared" si="13"/>
        <v>0.81019817165726205</v>
      </c>
      <c r="K63">
        <f t="shared" si="8"/>
        <v>8.7629021434852117</v>
      </c>
      <c r="L63">
        <f t="shared" si="9"/>
        <v>-0.93937372210683279</v>
      </c>
    </row>
    <row r="64" spans="1:12" x14ac:dyDescent="0.25">
      <c r="A64">
        <f t="shared" si="1"/>
        <v>0.36000000000000015</v>
      </c>
      <c r="B64">
        <f t="shared" si="12"/>
        <v>8.8654321374080993</v>
      </c>
      <c r="C64">
        <f t="shared" si="12"/>
        <v>-0.10728719295844535</v>
      </c>
      <c r="D64">
        <f t="shared" si="3"/>
        <v>47.943491059622893</v>
      </c>
      <c r="E64">
        <f t="shared" si="4"/>
        <v>43.24502893577985</v>
      </c>
      <c r="F64">
        <f t="shared" si="5"/>
        <v>7.8627325337781544</v>
      </c>
      <c r="G64">
        <f t="shared" si="6"/>
        <v>5.2170701746759738</v>
      </c>
      <c r="H64">
        <f t="shared" si="0"/>
        <v>-3.675468032156446E-2</v>
      </c>
      <c r="I64">
        <f t="shared" si="13"/>
        <v>2.8334453783040137</v>
      </c>
      <c r="J64">
        <f t="shared" si="13"/>
        <v>0.80080443443619376</v>
      </c>
      <c r="K64">
        <f t="shared" si="8"/>
        <v>8.8144580969868631</v>
      </c>
      <c r="L64">
        <f t="shared" si="9"/>
        <v>-0.94932367475537849</v>
      </c>
    </row>
    <row r="65" spans="1:12" x14ac:dyDescent="0.25">
      <c r="A65">
        <f t="shared" si="1"/>
        <v>0.37000000000000016</v>
      </c>
      <c r="B65">
        <f t="shared" si="12"/>
        <v>8.9176028391548599</v>
      </c>
      <c r="C65">
        <f t="shared" si="12"/>
        <v>-0.107654739761661</v>
      </c>
      <c r="D65">
        <f t="shared" si="3"/>
        <v>48.509420642110719</v>
      </c>
      <c r="E65">
        <f t="shared" si="4"/>
        <v>43.755497419183868</v>
      </c>
      <c r="F65">
        <f t="shared" si="5"/>
        <v>7.9555449853061582</v>
      </c>
      <c r="G65">
        <f t="shared" si="6"/>
        <v>5.200438862570202</v>
      </c>
      <c r="H65">
        <f t="shared" si="0"/>
        <v>-2.4030120517707265E-2</v>
      </c>
      <c r="I65">
        <f t="shared" si="13"/>
        <v>2.9215899592738821</v>
      </c>
      <c r="J65">
        <f t="shared" si="13"/>
        <v>0.79131119768864</v>
      </c>
      <c r="K65">
        <f t="shared" si="8"/>
        <v>8.8659772570525632</v>
      </c>
      <c r="L65">
        <f t="shared" si="9"/>
        <v>-0.9581689174302922</v>
      </c>
    </row>
    <row r="66" spans="1:12" x14ac:dyDescent="0.25">
      <c r="A66">
        <f t="shared" si="1"/>
        <v>0.38000000000000017</v>
      </c>
      <c r="B66">
        <f t="shared" si="12"/>
        <v>8.9696072277805623</v>
      </c>
      <c r="C66">
        <f t="shared" si="12"/>
        <v>-0.10789504096683807</v>
      </c>
      <c r="D66">
        <f t="shared" si="3"/>
        <v>49.076850830598516</v>
      </c>
      <c r="E66">
        <f t="shared" si="4"/>
        <v>44.267319449199867</v>
      </c>
      <c r="F66">
        <f t="shared" si="5"/>
        <v>8.0486035362181578</v>
      </c>
      <c r="G66">
        <f t="shared" si="6"/>
        <v>5.1825140663025007</v>
      </c>
      <c r="H66">
        <f t="shared" si="0"/>
        <v>-1.1435761947900807E-2</v>
      </c>
      <c r="I66">
        <f t="shared" si="13"/>
        <v>3.0102497318444077</v>
      </c>
      <c r="J66">
        <f t="shared" si="13"/>
        <v>0.78172950851433709</v>
      </c>
      <c r="K66">
        <f t="shared" si="8"/>
        <v>8.9174487337114012</v>
      </c>
      <c r="L66">
        <f t="shared" si="9"/>
        <v>-0.96589953011802554</v>
      </c>
    </row>
    <row r="67" spans="1:12" x14ac:dyDescent="0.25">
      <c r="A67">
        <f t="shared" si="1"/>
        <v>0.39000000000000018</v>
      </c>
      <c r="B67">
        <f t="shared" si="12"/>
        <v>9.0214323684435875</v>
      </c>
      <c r="C67">
        <f t="shared" si="12"/>
        <v>-0.10800939858631707</v>
      </c>
      <c r="D67">
        <f t="shared" si="3"/>
        <v>49.645607606825017</v>
      </c>
      <c r="E67">
        <f t="shared" si="4"/>
        <v>44.780338061356161</v>
      </c>
      <c r="F67">
        <f t="shared" si="5"/>
        <v>8.1418796475193016</v>
      </c>
      <c r="G67">
        <f t="shared" si="6"/>
        <v>5.1633147829053305</v>
      </c>
      <c r="H67">
        <f t="shared" si="0"/>
        <v>1.0276093223415045E-3</v>
      </c>
      <c r="I67">
        <f t="shared" si="13"/>
        <v>3.0994242191815218</v>
      </c>
      <c r="J67">
        <f t="shared" si="13"/>
        <v>0.77207051321315678</v>
      </c>
      <c r="K67">
        <f t="shared" si="8"/>
        <v>8.9688613550358394</v>
      </c>
      <c r="L67">
        <f t="shared" si="9"/>
        <v>-0.97250602699745381</v>
      </c>
    </row>
    <row r="68" spans="1:12" x14ac:dyDescent="0.25">
      <c r="A68">
        <f t="shared" si="1"/>
        <v>0.40000000000000019</v>
      </c>
      <c r="B68">
        <f t="shared" si="12"/>
        <v>9.0730655162726404</v>
      </c>
      <c r="C68">
        <f t="shared" si="12"/>
        <v>-0.10799912249309365</v>
      </c>
      <c r="D68">
        <f t="shared" si="3"/>
        <v>50.215515896171183</v>
      </c>
      <c r="E68">
        <f t="shared" si="4"/>
        <v>45.294395338346405</v>
      </c>
      <c r="F68">
        <f t="shared" si="5"/>
        <v>8.2353446069720739</v>
      </c>
      <c r="G68">
        <f t="shared" si="6"/>
        <v>5.142860072813348</v>
      </c>
      <c r="H68">
        <f t="shared" si="0"/>
        <v>1.3359310996502352E-2</v>
      </c>
      <c r="I68">
        <f t="shared" si="13"/>
        <v>3.1891128327318801</v>
      </c>
      <c r="J68">
        <f t="shared" si="13"/>
        <v>0.76234545294318223</v>
      </c>
      <c r="K68">
        <f t="shared" si="8"/>
        <v>9.0202036688988407</v>
      </c>
      <c r="L68">
        <f t="shared" si="9"/>
        <v>-0.97797936284955067</v>
      </c>
    </row>
    <row r="69" spans="1:12" x14ac:dyDescent="0.25">
      <c r="A69">
        <f t="shared" si="1"/>
        <v>0.4100000000000002</v>
      </c>
      <c r="B69">
        <f t="shared" si="12"/>
        <v>9.1244941170007738</v>
      </c>
      <c r="C69">
        <f t="shared" si="12"/>
        <v>-0.10786552938312863</v>
      </c>
      <c r="D69">
        <f t="shared" si="3"/>
        <v>50.786399663620855</v>
      </c>
      <c r="E69">
        <f t="shared" si="4"/>
        <v>45.809332496586009</v>
      </c>
      <c r="F69">
        <f t="shared" si="5"/>
        <v>8.3289695448338197</v>
      </c>
      <c r="G69">
        <f t="shared" si="6"/>
        <v>5.1211690477858633</v>
      </c>
      <c r="H69">
        <f t="shared" si="0"/>
        <v>2.5558758523774545E-2</v>
      </c>
      <c r="I69">
        <f t="shared" si="13"/>
        <v>3.2793148694208685</v>
      </c>
      <c r="J69">
        <f t="shared" si="13"/>
        <v>0.75256565931468677</v>
      </c>
      <c r="K69">
        <f t="shared" si="8"/>
        <v>9.0714639452348482</v>
      </c>
      <c r="L69">
        <f t="shared" si="9"/>
        <v>-0.98231093930890157</v>
      </c>
    </row>
    <row r="70" spans="1:12" x14ac:dyDescent="0.25">
      <c r="A70">
        <f t="shared" si="1"/>
        <v>0.42000000000000021</v>
      </c>
      <c r="B70">
        <f t="shared" si="12"/>
        <v>9.1757058074786322</v>
      </c>
      <c r="C70">
        <f t="shared" si="12"/>
        <v>-0.10760994179789088</v>
      </c>
      <c r="D70">
        <f t="shared" si="3"/>
        <v>51.358082009892229</v>
      </c>
      <c r="E70">
        <f t="shared" si="4"/>
        <v>46.324989972922793</v>
      </c>
      <c r="F70">
        <f t="shared" si="5"/>
        <v>8.4227254496223267</v>
      </c>
      <c r="G70">
        <f t="shared" si="6"/>
        <v>5.0982608596936343</v>
      </c>
      <c r="H70">
        <f t="shared" si="0"/>
        <v>3.76254593473958E-2</v>
      </c>
      <c r="I70">
        <f t="shared" si="13"/>
        <v>3.3700295088732171</v>
      </c>
      <c r="J70">
        <f t="shared" si="13"/>
        <v>0.74274254992159772</v>
      </c>
      <c r="K70">
        <f t="shared" si="8"/>
        <v>9.122630178800037</v>
      </c>
      <c r="L70">
        <f t="shared" si="9"/>
        <v>-0.98549261095348228</v>
      </c>
    </row>
    <row r="71" spans="1:12" x14ac:dyDescent="0.25">
      <c r="A71">
        <f t="shared" si="1"/>
        <v>0.43000000000000022</v>
      </c>
      <c r="B71">
        <f t="shared" si="12"/>
        <v>9.226688416075568</v>
      </c>
      <c r="C71">
        <f t="shared" si="12"/>
        <v>-0.10723368720441692</v>
      </c>
      <c r="D71">
        <f t="shared" si="3"/>
        <v>51.930385267679277</v>
      </c>
      <c r="E71">
        <f t="shared" si="4"/>
        <v>46.841207511446711</v>
      </c>
      <c r="F71">
        <f t="shared" si="5"/>
        <v>8.5165831838994013</v>
      </c>
      <c r="G71">
        <f t="shared" si="6"/>
        <v>5.0741546901220902</v>
      </c>
      <c r="H71">
        <f t="shared" si="0"/>
        <v>4.9559007418690466E-2</v>
      </c>
      <c r="I71">
        <f t="shared" si="13"/>
        <v>3.4612558106612172</v>
      </c>
      <c r="J71">
        <f t="shared" si="13"/>
        <v>0.73288762381206285</v>
      </c>
      <c r="K71">
        <f t="shared" si="8"/>
        <v>9.1736900924267069</v>
      </c>
      <c r="L71">
        <f t="shared" si="9"/>
        <v>-0.98751669122863917</v>
      </c>
    </row>
    <row r="72" spans="1:12" x14ac:dyDescent="0.25">
      <c r="A72">
        <f t="shared" si="1"/>
        <v>0.44000000000000022</v>
      </c>
      <c r="B72">
        <f t="shared" si="12"/>
        <v>9.2774299629767896</v>
      </c>
      <c r="C72">
        <f t="shared" si="12"/>
        <v>-0.10673809713023001</v>
      </c>
      <c r="D72">
        <f t="shared" si="3"/>
        <v>52.503131097943104</v>
      </c>
      <c r="E72">
        <f t="shared" si="4"/>
        <v>47.357824250344684</v>
      </c>
      <c r="F72">
        <f t="shared" si="5"/>
        <v>8.6105135000626696</v>
      </c>
      <c r="G72">
        <f t="shared" si="6"/>
        <v>5.0488697407442347</v>
      </c>
      <c r="H72">
        <f t="shared" si="0"/>
        <v>6.1359077970383355E-2</v>
      </c>
      <c r="I72">
        <f t="shared" si="13"/>
        <v>3.5529927115854845</v>
      </c>
      <c r="J72">
        <f t="shared" si="13"/>
        <v>0.72301245689977645</v>
      </c>
      <c r="K72">
        <f t="shared" si="8"/>
        <v>9.2246311407660233</v>
      </c>
      <c r="L72">
        <f t="shared" si="9"/>
        <v>-0.9883759582007513</v>
      </c>
    </row>
    <row r="73" spans="1:12" x14ac:dyDescent="0.25">
      <c r="A73">
        <f t="shared" si="1"/>
        <v>0.45000000000000023</v>
      </c>
      <c r="B73">
        <f t="shared" si="12"/>
        <v>9.3279186603842312</v>
      </c>
      <c r="C73">
        <f t="shared" si="12"/>
        <v>-0.10612450635052617</v>
      </c>
      <c r="D73">
        <f t="shared" si="3"/>
        <v>53.076140586194057</v>
      </c>
      <c r="E73">
        <f t="shared" si="4"/>
        <v>47.874678808747042</v>
      </c>
      <c r="F73">
        <f t="shared" si="5"/>
        <v>8.7044870561358252</v>
      </c>
      <c r="G73">
        <f t="shared" si="6"/>
        <v>5.0224252244179146</v>
      </c>
      <c r="H73">
        <f t="shared" si="0"/>
        <v>7.3025422542306206E-2</v>
      </c>
      <c r="I73">
        <f t="shared" si="13"/>
        <v>3.6452390229931448</v>
      </c>
      <c r="J73">
        <f t="shared" si="13"/>
        <v>0.71312869731776896</v>
      </c>
      <c r="K73">
        <f t="shared" si="8"/>
        <v>9.2754405145127059</v>
      </c>
      <c r="L73">
        <f t="shared" si="9"/>
        <v>-0.98806366013562452</v>
      </c>
    </row>
    <row r="74" spans="1:12" x14ac:dyDescent="0.25">
      <c r="A74">
        <f t="shared" si="1"/>
        <v>0.46000000000000024</v>
      </c>
      <c r="B74">
        <f t="shared" si="12"/>
        <v>9.3781429126284106</v>
      </c>
      <c r="C74">
        <f t="shared" si="12"/>
        <v>-0.1053942521251031</v>
      </c>
      <c r="D74">
        <f t="shared" si="3"/>
        <v>53.649234338706314</v>
      </c>
      <c r="E74">
        <f t="shared" si="4"/>
        <v>48.391609373513099</v>
      </c>
      <c r="F74">
        <f t="shared" si="5"/>
        <v>8.7984744315478363</v>
      </c>
      <c r="G74">
        <f t="shared" si="6"/>
        <v>4.9948403569634943</v>
      </c>
      <c r="H74">
        <f t="shared" si="0"/>
        <v>8.4557864252261042E-2</v>
      </c>
      <c r="I74">
        <f t="shared" si="13"/>
        <v>3.7379934281382718</v>
      </c>
      <c r="J74">
        <f t="shared" si="13"/>
        <v>0.70324806071641266</v>
      </c>
      <c r="K74">
        <f t="shared" si="8"/>
        <v>9.3261051451047248</v>
      </c>
      <c r="L74">
        <f t="shared" si="9"/>
        <v>-0.98657352089627215</v>
      </c>
    </row>
    <row r="75" spans="1:12" x14ac:dyDescent="0.25">
      <c r="A75">
        <f t="shared" si="1"/>
        <v>0.47000000000000025</v>
      </c>
      <c r="B75">
        <f t="shared" si="12"/>
        <v>9.4280913161980457</v>
      </c>
      <c r="C75">
        <f t="shared" si="12"/>
        <v>-0.1045486734825805</v>
      </c>
      <c r="D75">
        <f t="shared" si="3"/>
        <v>54.222232578607091</v>
      </c>
      <c r="E75">
        <f t="shared" si="4"/>
        <v>48.908453785903596</v>
      </c>
      <c r="F75">
        <f t="shared" si="5"/>
        <v>8.8924461428915631</v>
      </c>
      <c r="G75">
        <f t="shared" si="6"/>
        <v>4.9661343495794927</v>
      </c>
      <c r="H75">
        <f t="shared" si="0"/>
        <v>9.595629330453477E-2</v>
      </c>
      <c r="I75">
        <f t="shared" si="13"/>
        <v>3.8312544795893193</v>
      </c>
      <c r="J75">
        <f t="shared" si="13"/>
        <v>0.69338232550744994</v>
      </c>
      <c r="K75">
        <f t="shared" si="8"/>
        <v>9.3766117098904207</v>
      </c>
      <c r="L75">
        <f t="shared" si="9"/>
        <v>-0.98389974515437539</v>
      </c>
    </row>
    <row r="76" spans="1:12" x14ac:dyDescent="0.25">
      <c r="A76">
        <f t="shared" si="1"/>
        <v>0.48000000000000026</v>
      </c>
      <c r="B76">
        <f t="shared" si="12"/>
        <v>9.4777526596938415</v>
      </c>
      <c r="C76">
        <f t="shared" si="12"/>
        <v>-0.10358911054953515</v>
      </c>
      <c r="D76">
        <f t="shared" si="3"/>
        <v>54.794955241783548</v>
      </c>
      <c r="E76">
        <f t="shared" si="4"/>
        <v>49.425049628088757</v>
      </c>
      <c r="F76">
        <f t="shared" si="5"/>
        <v>8.9863726596525009</v>
      </c>
      <c r="G76">
        <f t="shared" si="6"/>
        <v>4.936326401855232</v>
      </c>
      <c r="H76">
        <f t="shared" si="0"/>
        <v>0.10722066272834647</v>
      </c>
      <c r="I76">
        <f t="shared" si="13"/>
        <v>3.9250205966882237</v>
      </c>
      <c r="J76">
        <f t="shared" si="13"/>
        <v>0.68354332805590623</v>
      </c>
      <c r="K76">
        <f t="shared" si="8"/>
        <v>9.4269466377550142</v>
      </c>
      <c r="L76">
        <f t="shared" si="9"/>
        <v>-0.98003702340937915</v>
      </c>
    </row>
    <row r="77" spans="1:12" x14ac:dyDescent="0.25">
      <c r="A77">
        <f t="shared" si="1"/>
        <v>0.49000000000000027</v>
      </c>
      <c r="B77">
        <f t="shared" si="12"/>
        <v>9.5271159237123939</v>
      </c>
      <c r="C77">
        <f t="shared" si="12"/>
        <v>-0.10251690392225168</v>
      </c>
      <c r="D77">
        <f t="shared" si="3"/>
        <v>55.367222072551094</v>
      </c>
      <c r="E77">
        <f t="shared" si="4"/>
        <v>49.941234309441086</v>
      </c>
      <c r="F77">
        <f t="shared" si="5"/>
        <v>9.0802244198983786</v>
      </c>
      <c r="G77">
        <f t="shared" si="6"/>
        <v>4.9054356953410743</v>
      </c>
      <c r="H77">
        <f t="shared" si="0"/>
        <v>0.11835098433836595</v>
      </c>
      <c r="I77">
        <f t="shared" si="13"/>
        <v>4.0192900630657737</v>
      </c>
      <c r="J77">
        <f t="shared" si="13"/>
        <v>0.67374295782181248</v>
      </c>
      <c r="K77">
        <f t="shared" si="8"/>
        <v>9.4770961151978454</v>
      </c>
      <c r="L77">
        <f t="shared" si="9"/>
        <v>-0.97498053680889241</v>
      </c>
    </row>
    <row r="78" spans="1:12" x14ac:dyDescent="0.25">
      <c r="A78">
        <f t="shared" si="1"/>
        <v>0.50000000000000022</v>
      </c>
      <c r="B78">
        <f t="shared" ref="B78:C93" si="14">B77+G77*$A$25</f>
        <v>9.5761702806658047</v>
      </c>
      <c r="C78">
        <f t="shared" si="14"/>
        <v>-0.10133339407886803</v>
      </c>
      <c r="D78">
        <f t="shared" si="3"/>
        <v>55.938852719027267</v>
      </c>
      <c r="E78">
        <f t="shared" si="4"/>
        <v>50.456845152562593</v>
      </c>
      <c r="F78">
        <f t="shared" si="5"/>
        <v>9.1739718459204713</v>
      </c>
      <c r="G78">
        <f t="shared" si="6"/>
        <v>4.8734813876383898</v>
      </c>
      <c r="H78">
        <f t="shared" si="0"/>
        <v>0.12934732490935869</v>
      </c>
      <c r="I78">
        <f t="shared" ref="I78:J93" si="15">I77+K77*$A$25</f>
        <v>4.1140610242177518</v>
      </c>
      <c r="J78">
        <f t="shared" si="15"/>
        <v>0.66399315245372359</v>
      </c>
      <c r="K78">
        <f t="shared" si="8"/>
        <v>9.5270460928512257</v>
      </c>
      <c r="L78">
        <f t="shared" si="9"/>
        <v>-0.96872596176378678</v>
      </c>
    </row>
    <row r="79" spans="1:12" x14ac:dyDescent="0.25">
      <c r="A79">
        <f t="shared" si="1"/>
        <v>0.51000000000000023</v>
      </c>
      <c r="B79">
        <f t="shared" si="14"/>
        <v>9.6249050945421892</v>
      </c>
      <c r="C79">
        <f t="shared" si="14"/>
        <v>-0.10003992082977445</v>
      </c>
      <c r="D79">
        <f t="shared" si="3"/>
        <v>56.509666828155957</v>
      </c>
      <c r="E79">
        <f t="shared" si="4"/>
        <v>50.971719478996675</v>
      </c>
      <c r="F79">
        <f t="shared" si="5"/>
        <v>9.267585359817577</v>
      </c>
      <c r="G79">
        <f t="shared" si="6"/>
        <v>4.8404826069729632</v>
      </c>
      <c r="H79">
        <f t="shared" si="0"/>
        <v>0.14020980255695986</v>
      </c>
      <c r="I79">
        <f t="shared" si="15"/>
        <v>4.2093314851462642</v>
      </c>
      <c r="J79">
        <f t="shared" si="15"/>
        <v>0.65430589283608576</v>
      </c>
      <c r="K79">
        <f t="shared" si="8"/>
        <v>9.576782292431254</v>
      </c>
      <c r="L79">
        <f t="shared" si="9"/>
        <v>-0.96126947435116528</v>
      </c>
    </row>
    <row r="80" spans="1:12" x14ac:dyDescent="0.25">
      <c r="A80">
        <f t="shared" si="1"/>
        <v>0.52000000000000024</v>
      </c>
      <c r="B80">
        <f t="shared" si="14"/>
        <v>9.6733099206119189</v>
      </c>
      <c r="C80">
        <f t="shared" si="14"/>
        <v>-9.8637822804204855E-2</v>
      </c>
      <c r="D80">
        <f t="shared" si="3"/>
        <v>57.079484140327466</v>
      </c>
      <c r="E80">
        <f t="shared" si="4"/>
        <v>51.485694694575379</v>
      </c>
      <c r="F80">
        <f t="shared" si="5"/>
        <v>9.361035399013705</v>
      </c>
      <c r="G80">
        <f t="shared" si="6"/>
        <v>4.8064584472170591</v>
      </c>
      <c r="H80">
        <f t="shared" si="0"/>
        <v>0.15093858331659893</v>
      </c>
      <c r="I80">
        <f t="shared" si="15"/>
        <v>4.3050993080705764</v>
      </c>
      <c r="J80">
        <f t="shared" si="15"/>
        <v>0.64469319809257408</v>
      </c>
      <c r="K80">
        <f t="shared" si="8"/>
        <v>9.6262902141104654</v>
      </c>
      <c r="L80">
        <f t="shared" si="9"/>
        <v>-0.95260775449817403</v>
      </c>
    </row>
    <row r="81" spans="1:12" x14ac:dyDescent="0.25">
      <c r="A81">
        <f t="shared" si="1"/>
        <v>0.53000000000000025</v>
      </c>
      <c r="B81">
        <f t="shared" si="14"/>
        <v>9.7213745050840892</v>
      </c>
      <c r="C81">
        <f t="shared" si="14"/>
        <v>-9.7128436971038873E-2</v>
      </c>
      <c r="D81">
        <f t="shared" si="3"/>
        <v>57.648124583540337</v>
      </c>
      <c r="E81">
        <f t="shared" si="4"/>
        <v>51.998608374353388</v>
      </c>
      <c r="F81">
        <f t="shared" si="5"/>
        <v>9.4542924317006154</v>
      </c>
      <c r="G81">
        <f t="shared" si="6"/>
        <v>4.7714279633269765</v>
      </c>
      <c r="H81">
        <f t="shared" si="0"/>
        <v>0.16153387791262755</v>
      </c>
      <c r="I81">
        <f t="shared" si="15"/>
        <v>4.4013622102116807</v>
      </c>
      <c r="J81">
        <f t="shared" si="15"/>
        <v>0.63516712054759239</v>
      </c>
      <c r="K81">
        <f t="shared" si="8"/>
        <v>9.675555144301736</v>
      </c>
      <c r="L81">
        <f t="shared" si="9"/>
        <v>-0.94273798993947155</v>
      </c>
    </row>
    <row r="82" spans="1:12" x14ac:dyDescent="0.25">
      <c r="A82">
        <f t="shared" si="1"/>
        <v>0.54000000000000026</v>
      </c>
      <c r="B82">
        <f t="shared" si="14"/>
        <v>9.7690887847173595</v>
      </c>
      <c r="C82">
        <f t="shared" si="14"/>
        <v>-9.5513098191912602E-2</v>
      </c>
      <c r="D82">
        <f t="shared" si="3"/>
        <v>58.215408367051197</v>
      </c>
      <c r="E82">
        <f t="shared" si="4"/>
        <v>52.51029834708018</v>
      </c>
      <c r="F82">
        <f t="shared" si="5"/>
        <v>9.5473269721963963</v>
      </c>
      <c r="G82">
        <f t="shared" si="6"/>
        <v>4.7354101671643916</v>
      </c>
      <c r="H82">
        <f t="shared" si="0"/>
        <v>0.17199593870978036</v>
      </c>
      <c r="I82">
        <f t="shared" si="15"/>
        <v>4.4981177616546981</v>
      </c>
      <c r="J82">
        <f t="shared" si="15"/>
        <v>0.62573974064819771</v>
      </c>
      <c r="K82">
        <f t="shared" si="8"/>
        <v>9.7245621638423536</v>
      </c>
      <c r="L82">
        <f t="shared" si="9"/>
        <v>-0.93165787994103666</v>
      </c>
    </row>
    <row r="83" spans="1:12" x14ac:dyDescent="0.25">
      <c r="A83">
        <f t="shared" si="1"/>
        <v>0.55000000000000027</v>
      </c>
      <c r="B83">
        <f t="shared" si="14"/>
        <v>9.8164428863890034</v>
      </c>
      <c r="C83">
        <f t="shared" si="14"/>
        <v>-9.3793138804814796E-2</v>
      </c>
      <c r="D83">
        <f t="shared" si="3"/>
        <v>58.78115607445973</v>
      </c>
      <c r="E83">
        <f t="shared" si="4"/>
        <v>53.020602779162679</v>
      </c>
      <c r="F83">
        <f t="shared" si="5"/>
        <v>9.6401095962113956</v>
      </c>
      <c r="G83">
        <f t="shared" si="6"/>
        <v>4.6984240236713335</v>
      </c>
      <c r="H83">
        <f t="shared" si="0"/>
        <v>0.18232505683920369</v>
      </c>
      <c r="I83">
        <f t="shared" si="15"/>
        <v>4.5953633832931216</v>
      </c>
      <c r="J83">
        <f t="shared" si="15"/>
        <v>0.61642316184878732</v>
      </c>
      <c r="K83">
        <f t="shared" si="8"/>
        <v>9.773296156566758</v>
      </c>
      <c r="L83">
        <f t="shared" si="9"/>
        <v>-0.91936563878291044</v>
      </c>
    </row>
    <row r="84" spans="1:12" x14ac:dyDescent="0.25">
      <c r="A84">
        <f t="shared" si="1"/>
        <v>0.56000000000000028</v>
      </c>
      <c r="B84">
        <f t="shared" si="14"/>
        <v>9.8634271266257176</v>
      </c>
      <c r="C84">
        <f t="shared" si="14"/>
        <v>-9.1969888236422756E-2</v>
      </c>
      <c r="D84">
        <f t="shared" si="3"/>
        <v>59.345188756176192</v>
      </c>
      <c r="E84">
        <f t="shared" si="4"/>
        <v>53.52936025807093</v>
      </c>
      <c r="F84">
        <f t="shared" si="5"/>
        <v>9.7326109560128966</v>
      </c>
      <c r="G84">
        <f t="shared" si="6"/>
        <v>4.6604884473700947</v>
      </c>
      <c r="H84">
        <f t="shared" si="0"/>
        <v>0.19252155949141547</v>
      </c>
      <c r="I84">
        <f t="shared" si="15"/>
        <v>4.6930963448587892</v>
      </c>
      <c r="J84">
        <f t="shared" si="15"/>
        <v>0.60722950546095822</v>
      </c>
      <c r="K84">
        <f t="shared" si="8"/>
        <v>9.8217418182560543</v>
      </c>
      <c r="L84">
        <f t="shared" si="9"/>
        <v>-0.90585999899340142</v>
      </c>
    </row>
    <row r="85" spans="1:12" x14ac:dyDescent="0.25">
      <c r="A85">
        <f t="shared" si="1"/>
        <v>0.57000000000000028</v>
      </c>
      <c r="B85">
        <f t="shared" si="14"/>
        <v>9.9100320110994193</v>
      </c>
      <c r="C85">
        <f t="shared" si="14"/>
        <v>-9.0044672641508602E-2</v>
      </c>
      <c r="D85">
        <f t="shared" si="3"/>
        <v>59.907328021219271</v>
      </c>
      <c r="E85">
        <f t="shared" si="4"/>
        <v>54.036409875139782</v>
      </c>
      <c r="F85">
        <f t="shared" si="5"/>
        <v>9.82480179547996</v>
      </c>
      <c r="G85">
        <f t="shared" si="6"/>
        <v>4.6216222991608573</v>
      </c>
      <c r="H85">
        <f t="shared" si="0"/>
        <v>0.20258580736870321</v>
      </c>
      <c r="I85">
        <f t="shared" si="15"/>
        <v>4.7913137630413498</v>
      </c>
      <c r="J85">
        <f t="shared" si="15"/>
        <v>0.59817090547102425</v>
      </c>
      <c r="K85">
        <f t="shared" si="8"/>
        <v>9.8698836659518925</v>
      </c>
      <c r="L85">
        <f t="shared" si="9"/>
        <v>-0.89114021432725732</v>
      </c>
    </row>
    <row r="86" spans="1:12" x14ac:dyDescent="0.25">
      <c r="A86">
        <f t="shared" si="1"/>
        <v>0.58000000000000029</v>
      </c>
      <c r="B86">
        <f t="shared" si="14"/>
        <v>9.9562482340910279</v>
      </c>
      <c r="C86">
        <f t="shared" si="14"/>
        <v>-8.8018814567821568E-2</v>
      </c>
      <c r="D86">
        <f t="shared" si="3"/>
        <v>60.467396128292833</v>
      </c>
      <c r="E86">
        <f t="shared" si="4"/>
        <v>54.541591307720132</v>
      </c>
      <c r="F86">
        <f t="shared" si="5"/>
        <v>9.9166529650400239</v>
      </c>
      <c r="G86">
        <f t="shared" si="6"/>
        <v>4.5818443833911857</v>
      </c>
      <c r="H86">
        <f t="shared" si="0"/>
        <v>0.21251819228964297</v>
      </c>
      <c r="I86">
        <f t="shared" si="15"/>
        <v>4.890012599700869</v>
      </c>
      <c r="J86">
        <f t="shared" si="15"/>
        <v>0.58925950332775168</v>
      </c>
      <c r="K86">
        <f t="shared" si="8"/>
        <v>9.9177060476220209</v>
      </c>
      <c r="L86">
        <f t="shared" si="9"/>
        <v>-0.87520606248031663</v>
      </c>
    </row>
    <row r="87" spans="1:12" x14ac:dyDescent="0.25">
      <c r="A87">
        <f t="shared" si="1"/>
        <v>0.5900000000000003</v>
      </c>
      <c r="B87">
        <f t="shared" si="14"/>
        <v>10.00206667792494</v>
      </c>
      <c r="C87">
        <f t="shared" si="14"/>
        <v>-8.5893632644925139E-2</v>
      </c>
      <c r="D87">
        <f t="shared" si="3"/>
        <v>61.025216076090437</v>
      </c>
      <c r="E87">
        <f t="shared" si="4"/>
        <v>55.044744900633575</v>
      </c>
      <c r="F87">
        <f t="shared" si="5"/>
        <v>10.008135436478831</v>
      </c>
      <c r="G87">
        <f t="shared" si="6"/>
        <v>4.5411734451729782</v>
      </c>
      <c r="H87">
        <f t="shared" si="0"/>
        <v>0.22231913493859021</v>
      </c>
      <c r="I87">
        <f t="shared" si="15"/>
        <v>4.9891896601770895</v>
      </c>
      <c r="J87">
        <f t="shared" si="15"/>
        <v>0.58050744270294852</v>
      </c>
      <c r="K87">
        <f t="shared" si="8"/>
        <v>9.9651931521643444</v>
      </c>
      <c r="L87">
        <f t="shared" si="9"/>
        <v>-0.85805784753318737</v>
      </c>
    </row>
    <row r="88" spans="1:12" x14ac:dyDescent="0.25">
      <c r="A88">
        <f t="shared" si="1"/>
        <v>0.60000000000000031</v>
      </c>
      <c r="B88">
        <f t="shared" si="14"/>
        <v>10.04747841237667</v>
      </c>
      <c r="C88">
        <f t="shared" si="14"/>
        <v>-8.367044129553923E-2</v>
      </c>
      <c r="D88">
        <f t="shared" si="3"/>
        <v>61.58061169277687</v>
      </c>
      <c r="E88">
        <f t="shared" si="4"/>
        <v>55.545711746884741</v>
      </c>
      <c r="F88">
        <f t="shared" si="5"/>
        <v>10.099220317615407</v>
      </c>
      <c r="G88">
        <f t="shared" si="6"/>
        <v>4.4996281679237695</v>
      </c>
      <c r="H88">
        <f t="shared" si="0"/>
        <v>0.23198908275319369</v>
      </c>
      <c r="I88">
        <f t="shared" si="15"/>
        <v>5.0888415916987331</v>
      </c>
      <c r="J88">
        <f t="shared" si="15"/>
        <v>0.57192686422761663</v>
      </c>
      <c r="K88">
        <f t="shared" si="8"/>
        <v>10.012329019736001</v>
      </c>
      <c r="L88">
        <f t="shared" si="9"/>
        <v>-0.83969640211656904</v>
      </c>
    </row>
    <row r="89" spans="1:12" x14ac:dyDescent="0.25">
      <c r="A89">
        <f t="shared" si="1"/>
        <v>0.61000000000000032</v>
      </c>
      <c r="B89">
        <f t="shared" si="14"/>
        <v>10.092474694055907</v>
      </c>
      <c r="C89">
        <f t="shared" si="14"/>
        <v>-8.1350550468007293E-2</v>
      </c>
      <c r="D89">
        <f t="shared" si="3"/>
        <v>62.133407724596914</v>
      </c>
      <c r="E89">
        <f t="shared" si="4"/>
        <v>56.044333767586423</v>
      </c>
      <c r="F89">
        <f t="shared" si="5"/>
        <v>10.189878866833896</v>
      </c>
      <c r="G89">
        <f t="shared" si="6"/>
        <v>4.4572271711105884</v>
      </c>
      <c r="H89">
        <f t="shared" si="0"/>
        <v>0.24152850794319097</v>
      </c>
      <c r="I89">
        <f t="shared" si="15"/>
        <v>5.1889648818960934</v>
      </c>
      <c r="J89">
        <f t="shared" si="15"/>
        <v>0.56352990020645088</v>
      </c>
      <c r="K89">
        <f t="shared" si="8"/>
        <v>10.059097552393592</v>
      </c>
      <c r="L89">
        <f t="shared" si="9"/>
        <v>-0.8201230892909428</v>
      </c>
    </row>
    <row r="90" spans="1:12" x14ac:dyDescent="0.25">
      <c r="A90">
        <f t="shared" si="1"/>
        <v>0.62000000000000033</v>
      </c>
      <c r="B90">
        <f t="shared" si="14"/>
        <v>10.137046965767013</v>
      </c>
      <c r="C90">
        <f t="shared" si="14"/>
        <v>-7.8935265388575385E-2</v>
      </c>
      <c r="D90">
        <f t="shared" si="3"/>
        <v>62.683429923561384</v>
      </c>
      <c r="E90">
        <f t="shared" si="4"/>
        <v>56.540453791052371</v>
      </c>
      <c r="F90">
        <f t="shared" si="5"/>
        <v>10.280082507464067</v>
      </c>
      <c r="G90">
        <f t="shared" si="6"/>
        <v>4.4139890081758493</v>
      </c>
      <c r="H90">
        <f t="shared" si="0"/>
        <v>0.25093790563393181</v>
      </c>
      <c r="I90">
        <f t="shared" si="15"/>
        <v>5.2895558574200292</v>
      </c>
      <c r="J90">
        <f t="shared" si="15"/>
        <v>0.55532866931354141</v>
      </c>
      <c r="K90">
        <f t="shared" si="8"/>
        <v>10.105482525030363</v>
      </c>
      <c r="L90">
        <f t="shared" si="9"/>
        <v>-0.7993398041334755</v>
      </c>
    </row>
    <row r="91" spans="1:12" x14ac:dyDescent="0.25">
      <c r="A91">
        <f t="shared" si="1"/>
        <v>0.63000000000000034</v>
      </c>
      <c r="B91">
        <f t="shared" si="14"/>
        <v>10.181186855848772</v>
      </c>
      <c r="C91">
        <f t="shared" si="14"/>
        <v>-7.642588633223607E-2</v>
      </c>
      <c r="D91">
        <f t="shared" si="3"/>
        <v>63.230505134161753</v>
      </c>
      <c r="E91">
        <f t="shared" si="4"/>
        <v>57.033915631013905</v>
      </c>
      <c r="F91">
        <f t="shared" si="5"/>
        <v>10.369802842002528</v>
      </c>
      <c r="G91">
        <f t="shared" si="6"/>
        <v>4.3699321646259701</v>
      </c>
      <c r="H91">
        <f t="shared" si="0"/>
        <v>0.26021779212831453</v>
      </c>
      <c r="I91">
        <f t="shared" si="15"/>
        <v>5.3906106826703333</v>
      </c>
      <c r="J91">
        <f t="shared" si="15"/>
        <v>0.5473352712722066</v>
      </c>
      <c r="K91">
        <f t="shared" si="8"/>
        <v>10.151467596595831</v>
      </c>
      <c r="L91">
        <f t="shared" si="9"/>
        <v>-0.77734897502515266</v>
      </c>
    </row>
    <row r="92" spans="1:12" x14ac:dyDescent="0.25">
      <c r="A92">
        <f t="shared" si="1"/>
        <v>0.64000000000000035</v>
      </c>
      <c r="B92">
        <f t="shared" si="14"/>
        <v>10.224886177495032</v>
      </c>
      <c r="C92">
        <f t="shared" si="14"/>
        <v>-7.3823708410952926E-2</v>
      </c>
      <c r="D92">
        <f t="shared" si="3"/>
        <v>63.774461379064661</v>
      </c>
      <c r="E92">
        <f t="shared" si="4"/>
        <v>57.524564163916331</v>
      </c>
      <c r="F92">
        <f t="shared" si="5"/>
        <v>10.459011666166605</v>
      </c>
      <c r="G92">
        <f t="shared" si="6"/>
        <v>4.3250750562645877</v>
      </c>
      <c r="H92">
        <f t="shared" si="0"/>
        <v>0.26936870328102153</v>
      </c>
      <c r="I92">
        <f t="shared" si="15"/>
        <v>5.4921253586362919</v>
      </c>
      <c r="J92">
        <f t="shared" si="15"/>
        <v>0.53956178152195511</v>
      </c>
      <c r="K92">
        <f t="shared" si="8"/>
        <v>10.197036321582992</v>
      </c>
      <c r="L92">
        <f t="shared" si="9"/>
        <v>-0.75415356463134298</v>
      </c>
    </row>
    <row r="93" spans="1:12" x14ac:dyDescent="0.25">
      <c r="A93">
        <f t="shared" si="1"/>
        <v>0.65000000000000036</v>
      </c>
      <c r="B93">
        <f t="shared" si="14"/>
        <v>10.268136928057677</v>
      </c>
      <c r="C93">
        <f t="shared" si="14"/>
        <v>-7.1130021378142713E-2</v>
      </c>
      <c r="D93">
        <f t="shared" si="3"/>
        <v>64.315127943738474</v>
      </c>
      <c r="E93">
        <f t="shared" si="4"/>
        <v>58.012245405252102</v>
      </c>
      <c r="F93">
        <f t="shared" si="5"/>
        <v>10.547680982773109</v>
      </c>
      <c r="G93">
        <f t="shared" si="6"/>
        <v>4.2794360275533787</v>
      </c>
      <c r="H93">
        <f t="shared" ref="H93:H156" si="16">$C$17/B93*(E93/$C$13-COS(C93))</f>
        <v>0.27839119297915943</v>
      </c>
      <c r="I93">
        <f t="shared" si="15"/>
        <v>5.5940957218521215</v>
      </c>
      <c r="J93">
        <f t="shared" si="15"/>
        <v>0.53202024587564167</v>
      </c>
      <c r="K93">
        <f t="shared" si="8"/>
        <v>10.24217216176803</v>
      </c>
      <c r="L93">
        <f t="shared" si="9"/>
        <v>-0.72975707056921191</v>
      </c>
    </row>
    <row r="94" spans="1:12" x14ac:dyDescent="0.25">
      <c r="A94">
        <f t="shared" ref="A94:A157" si="17">A93+$A$25</f>
        <v>0.66000000000000036</v>
      </c>
      <c r="B94">
        <f t="shared" ref="B94:C109" si="18">B93+G93*$A$25</f>
        <v>10.310931288333212</v>
      </c>
      <c r="C94">
        <f t="shared" si="18"/>
        <v>-6.8346109448351122E-2</v>
      </c>
      <c r="D94">
        <f t="shared" ref="D94:D157" si="19">1/2*$C$12*B94^2</f>
        <v>64.852335459964564</v>
      </c>
      <c r="E94">
        <f t="shared" ref="E94:E157" si="20">D94*$C$15*$C$20</f>
        <v>58.496806584888041</v>
      </c>
      <c r="F94">
        <f t="shared" ref="F94:F157" si="21">E94/$C$19</f>
        <v>10.635783015434189</v>
      </c>
      <c r="G94">
        <f t="shared" ref="G94:G157" si="22">$C$17*($C$18-F94/$C$13-SIN(C94))</f>
        <v>4.2330333500845851</v>
      </c>
      <c r="H94">
        <f t="shared" si="16"/>
        <v>0.28728583172363931</v>
      </c>
      <c r="I94">
        <f t="shared" ref="I94:J109" si="23">I93+K93*$A$25</f>
        <v>5.6965174434698014</v>
      </c>
      <c r="J94">
        <f t="shared" si="23"/>
        <v>0.52472267516994953</v>
      </c>
      <c r="K94">
        <f t="shared" ref="K94:K157" si="24">B94*COS(C94)</f>
        <v>10.286858498187099</v>
      </c>
      <c r="L94">
        <f t="shared" ref="L94:L157" si="25">B94*SIN(C94)</f>
        <v>-0.70416352575565211</v>
      </c>
    </row>
    <row r="95" spans="1:12" x14ac:dyDescent="0.25">
      <c r="A95">
        <f t="shared" si="17"/>
        <v>0.67000000000000037</v>
      </c>
      <c r="B95">
        <f t="shared" si="18"/>
        <v>10.353261621834058</v>
      </c>
      <c r="C95">
        <f t="shared" si="18"/>
        <v>-6.5473251131114726E-2</v>
      </c>
      <c r="D95">
        <f t="shared" si="19"/>
        <v>65.385915988186611</v>
      </c>
      <c r="E95">
        <f t="shared" si="20"/>
        <v>58.978096221344323</v>
      </c>
      <c r="F95">
        <f t="shared" si="21"/>
        <v>10.723290222062603</v>
      </c>
      <c r="G95">
        <f t="shared" si="22"/>
        <v>4.1858852211504223</v>
      </c>
      <c r="H95">
        <f t="shared" si="16"/>
        <v>0.29605320530583668</v>
      </c>
      <c r="I95">
        <f t="shared" si="23"/>
        <v>5.7993860284516723</v>
      </c>
      <c r="J95">
        <f t="shared" si="23"/>
        <v>0.517681039912393</v>
      </c>
      <c r="K95">
        <f t="shared" si="24"/>
        <v>10.331078643334546</v>
      </c>
      <c r="L95">
        <f t="shared" si="25"/>
        <v>-0.67737749842966599</v>
      </c>
    </row>
    <row r="96" spans="1:12" x14ac:dyDescent="0.25">
      <c r="A96">
        <f t="shared" si="17"/>
        <v>0.68000000000000038</v>
      </c>
      <c r="B96">
        <f t="shared" si="18"/>
        <v>10.395120474045562</v>
      </c>
      <c r="C96">
        <f t="shared" si="18"/>
        <v>-6.2512719078056361E-2</v>
      </c>
      <c r="D96">
        <f t="shared" si="19"/>
        <v>65.91570309865196</v>
      </c>
      <c r="E96">
        <f t="shared" si="20"/>
        <v>59.45596419498407</v>
      </c>
      <c r="F96">
        <f t="shared" si="21"/>
        <v>10.810175308178922</v>
      </c>
      <c r="G96">
        <f t="shared" si="22"/>
        <v>4.1380097623954892</v>
      </c>
      <c r="H96">
        <f t="shared" si="16"/>
        <v>0.30469391357430553</v>
      </c>
      <c r="I96">
        <f t="shared" si="23"/>
        <v>5.9026968148850179</v>
      </c>
      <c r="J96">
        <f t="shared" si="23"/>
        <v>0.51090726492809635</v>
      </c>
      <c r="K96">
        <f t="shared" si="24"/>
        <v>10.374815853566666</v>
      </c>
      <c r="L96">
        <f t="shared" si="25"/>
        <v>-0.64940409184343262</v>
      </c>
    </row>
    <row r="97" spans="1:12" x14ac:dyDescent="0.25">
      <c r="A97">
        <f t="shared" si="17"/>
        <v>0.69000000000000039</v>
      </c>
      <c r="B97">
        <f t="shared" si="18"/>
        <v>10.436500571669518</v>
      </c>
      <c r="C97">
        <f t="shared" si="18"/>
        <v>-5.9465779942313307E-2</v>
      </c>
      <c r="D97">
        <f t="shared" si="19"/>
        <v>66.441531951299481</v>
      </c>
      <c r="E97">
        <f t="shared" si="20"/>
        <v>59.930261820072133</v>
      </c>
      <c r="F97">
        <f t="shared" si="21"/>
        <v>10.896411240013116</v>
      </c>
      <c r="G97">
        <f t="shared" si="22"/>
        <v>4.0894250185393695</v>
      </c>
      <c r="H97">
        <f t="shared" si="16"/>
        <v>0.31320856928650964</v>
      </c>
      <c r="I97">
        <f t="shared" si="23"/>
        <v>6.0064449734206846</v>
      </c>
      <c r="J97">
        <f t="shared" si="23"/>
        <v>0.50441322400966204</v>
      </c>
      <c r="K97">
        <f t="shared" si="24"/>
        <v>10.418053341694918</v>
      </c>
      <c r="L97">
        <f t="shared" si="25"/>
        <v>-0.6202489436166132</v>
      </c>
    </row>
    <row r="98" spans="1:12" x14ac:dyDescent="0.25">
      <c r="A98">
        <f t="shared" si="17"/>
        <v>0.7000000000000004</v>
      </c>
      <c r="B98">
        <f t="shared" si="18"/>
        <v>10.477394821854912</v>
      </c>
      <c r="C98">
        <f t="shared" si="18"/>
        <v>-5.6333694249448209E-2</v>
      </c>
      <c r="D98">
        <f t="shared" si="19"/>
        <v>66.963239374349584</v>
      </c>
      <c r="E98">
        <f t="shared" si="20"/>
        <v>60.400841915663328</v>
      </c>
      <c r="F98">
        <f t="shared" si="21"/>
        <v>10.981971257393333</v>
      </c>
      <c r="G98">
        <f t="shared" si="22"/>
        <v>4.0401489561574513</v>
      </c>
      <c r="H98">
        <f t="shared" si="16"/>
        <v>0.3215977970407804</v>
      </c>
      <c r="I98">
        <f t="shared" si="23"/>
        <v>6.1106255068376338</v>
      </c>
      <c r="J98">
        <f t="shared" si="23"/>
        <v>0.49821073457349591</v>
      </c>
      <c r="K98">
        <f t="shared" si="24"/>
        <v>10.460774289752234</v>
      </c>
      <c r="L98">
        <f t="shared" si="25"/>
        <v>-0.58991822474879108</v>
      </c>
    </row>
    <row r="99" spans="1:12" x14ac:dyDescent="0.25">
      <c r="A99">
        <f t="shared" si="17"/>
        <v>0.71000000000000041</v>
      </c>
      <c r="B99">
        <f t="shared" si="18"/>
        <v>10.517796311416486</v>
      </c>
      <c r="C99">
        <f t="shared" si="18"/>
        <v>-5.3117716279040404E-2</v>
      </c>
      <c r="D99">
        <f t="shared" si="19"/>
        <v>67.480663941552208</v>
      </c>
      <c r="E99">
        <f t="shared" si="20"/>
        <v>60.867558875280089</v>
      </c>
      <c r="F99">
        <f t="shared" si="21"/>
        <v>11.066828886414562</v>
      </c>
      <c r="G99">
        <f t="shared" si="22"/>
        <v>3.9901994625089277</v>
      </c>
      <c r="H99">
        <f t="shared" si="16"/>
        <v>0.3298622322838809</v>
      </c>
      <c r="I99">
        <f t="shared" si="23"/>
        <v>6.2152332497351566</v>
      </c>
      <c r="J99">
        <f t="shared" si="23"/>
        <v>0.49231155232600798</v>
      </c>
      <c r="K99">
        <f t="shared" si="24"/>
        <v>10.50296186191599</v>
      </c>
      <c r="L99">
        <f t="shared" si="25"/>
        <v>-0.55841863828530869</v>
      </c>
    </row>
    <row r="100" spans="1:12" x14ac:dyDescent="0.25">
      <c r="A100">
        <f t="shared" si="17"/>
        <v>0.72000000000000042</v>
      </c>
      <c r="B100">
        <f t="shared" si="18"/>
        <v>10.557698306041575</v>
      </c>
      <c r="C100">
        <f t="shared" si="18"/>
        <v>-4.9819093956201599E-2</v>
      </c>
      <c r="D100">
        <f t="shared" si="19"/>
        <v>67.993646048049811</v>
      </c>
      <c r="E100">
        <f t="shared" si="20"/>
        <v>61.33026873534093</v>
      </c>
      <c r="F100">
        <f t="shared" si="21"/>
        <v>11.150957951880169</v>
      </c>
      <c r="G100">
        <f t="shared" si="22"/>
        <v>3.939594344401792</v>
      </c>
      <c r="H100">
        <f t="shared" si="16"/>
        <v>0.33800252038978928</v>
      </c>
      <c r="I100">
        <f t="shared" si="23"/>
        <v>6.3202628683543161</v>
      </c>
      <c r="J100">
        <f t="shared" si="23"/>
        <v>0.48672736594315491</v>
      </c>
      <c r="K100">
        <f t="shared" si="24"/>
        <v>10.544599217570951</v>
      </c>
      <c r="L100">
        <f t="shared" si="25"/>
        <v>-0.52575741763215067</v>
      </c>
    </row>
    <row r="101" spans="1:12" x14ac:dyDescent="0.25">
      <c r="A101">
        <f t="shared" si="17"/>
        <v>0.73000000000000043</v>
      </c>
      <c r="B101">
        <f t="shared" si="18"/>
        <v>10.597094249485593</v>
      </c>
      <c r="C101">
        <f t="shared" si="18"/>
        <v>-4.6439068752303705E-2</v>
      </c>
      <c r="D101">
        <f t="shared" si="19"/>
        <v>68.502027984813182</v>
      </c>
      <c r="E101">
        <f t="shared" si="20"/>
        <v>61.788829242301496</v>
      </c>
      <c r="F101">
        <f t="shared" si="21"/>
        <v>11.234332589509362</v>
      </c>
      <c r="G101">
        <f t="shared" si="22"/>
        <v>3.8883513270854242</v>
      </c>
      <c r="H101">
        <f t="shared" si="16"/>
        <v>0.34601931580549422</v>
      </c>
      <c r="I101">
        <f t="shared" si="23"/>
        <v>6.4257088605300252</v>
      </c>
      <c r="J101">
        <f t="shared" si="23"/>
        <v>0.48146979176683341</v>
      </c>
      <c r="K101">
        <f t="shared" si="24"/>
        <v>10.585669524495392</v>
      </c>
      <c r="L101">
        <f t="shared" si="25"/>
        <v>-0.4919423245159254</v>
      </c>
    </row>
    <row r="102" spans="1:12" x14ac:dyDescent="0.25">
      <c r="A102">
        <f t="shared" si="17"/>
        <v>0.74000000000000044</v>
      </c>
      <c r="B102">
        <f t="shared" si="18"/>
        <v>10.635977762756447</v>
      </c>
      <c r="C102">
        <f t="shared" si="18"/>
        <v>-4.2978875594248761E-2</v>
      </c>
      <c r="D102">
        <f t="shared" si="19"/>
        <v>69.005654011608272</v>
      </c>
      <c r="E102">
        <f t="shared" si="20"/>
        <v>62.243099918470662</v>
      </c>
      <c r="F102">
        <f t="shared" si="21"/>
        <v>11.316927257903757</v>
      </c>
      <c r="G102">
        <f t="shared" si="22"/>
        <v>3.8364880531621872</v>
      </c>
      <c r="H102">
        <f t="shared" si="16"/>
        <v>0.35391328125979221</v>
      </c>
      <c r="I102">
        <f t="shared" si="23"/>
        <v>6.5315655557749794</v>
      </c>
      <c r="J102">
        <f t="shared" si="23"/>
        <v>0.47655036852167415</v>
      </c>
      <c r="K102">
        <f t="shared" si="24"/>
        <v>10.62615597215351</v>
      </c>
      <c r="L102">
        <f t="shared" si="25"/>
        <v>-0.45698164658542428</v>
      </c>
    </row>
    <row r="103" spans="1:12" x14ac:dyDescent="0.25">
      <c r="A103">
        <f t="shared" si="17"/>
        <v>0.75000000000000044</v>
      </c>
      <c r="B103">
        <f t="shared" si="18"/>
        <v>10.674342643288069</v>
      </c>
      <c r="C103">
        <f t="shared" si="18"/>
        <v>-3.9439742781650841E-2</v>
      </c>
      <c r="D103">
        <f t="shared" si="19"/>
        <v>69.504370428454052</v>
      </c>
      <c r="E103">
        <f t="shared" si="20"/>
        <v>62.692942126465553</v>
      </c>
      <c r="F103">
        <f t="shared" si="21"/>
        <v>11.398716750266464</v>
      </c>
      <c r="G103">
        <f t="shared" si="22"/>
        <v>3.7840220815101309</v>
      </c>
      <c r="H103">
        <f t="shared" si="16"/>
        <v>0.36168508703127517</v>
      </c>
      <c r="I103">
        <f t="shared" si="23"/>
        <v>6.6378271154965143</v>
      </c>
      <c r="J103">
        <f t="shared" si="23"/>
        <v>0.4719805520558199</v>
      </c>
      <c r="K103">
        <f t="shared" si="24"/>
        <v>10.666041785077093</v>
      </c>
      <c r="L103">
        <f t="shared" si="25"/>
        <v>-0.42088419465168059</v>
      </c>
    </row>
    <row r="104" spans="1:12" x14ac:dyDescent="0.25">
      <c r="A104">
        <f t="shared" si="17"/>
        <v>0.76000000000000045</v>
      </c>
      <c r="B104">
        <f t="shared" si="18"/>
        <v>10.71218286410317</v>
      </c>
      <c r="C104">
        <f t="shared" si="18"/>
        <v>-3.5822891911338091E-2</v>
      </c>
      <c r="D104">
        <f t="shared" si="19"/>
        <v>69.9980256455312</v>
      </c>
      <c r="E104">
        <f t="shared" si="20"/>
        <v>63.138219132269143</v>
      </c>
      <c r="F104">
        <f t="shared" si="21"/>
        <v>11.479676205867117</v>
      </c>
      <c r="G104">
        <f t="shared" si="22"/>
        <v>3.7309708862096786</v>
      </c>
      <c r="H104">
        <f t="shared" si="16"/>
        <v>0.36933541027185635</v>
      </c>
      <c r="I104">
        <f t="shared" si="23"/>
        <v>6.7444875333472849</v>
      </c>
      <c r="J104">
        <f t="shared" si="23"/>
        <v>0.46777171010930307</v>
      </c>
      <c r="K104">
        <f t="shared" si="24"/>
        <v>10.705310236319344</v>
      </c>
      <c r="L104">
        <f t="shared" si="25"/>
        <v>-0.38365929956390055</v>
      </c>
    </row>
    <row r="105" spans="1:12" x14ac:dyDescent="0.25">
      <c r="A105">
        <f t="shared" si="17"/>
        <v>0.77000000000000046</v>
      </c>
      <c r="B105">
        <f t="shared" si="18"/>
        <v>10.749492572965266</v>
      </c>
      <c r="C105">
        <f t="shared" si="18"/>
        <v>-3.2129537808619525E-2</v>
      </c>
      <c r="D105">
        <f t="shared" si="19"/>
        <v>70.486470251503604</v>
      </c>
      <c r="E105">
        <f t="shared" si="20"/>
        <v>63.57879616685625</v>
      </c>
      <c r="F105">
        <f t="shared" si="21"/>
        <v>11.559781121246591</v>
      </c>
      <c r="G105">
        <f t="shared" si="22"/>
        <v>3.6773518554677689</v>
      </c>
      <c r="H105">
        <f t="shared" si="16"/>
        <v>0.3768649343823835</v>
      </c>
      <c r="I105">
        <f t="shared" si="23"/>
        <v>6.851540635710478</v>
      </c>
      <c r="J105">
        <f t="shared" si="23"/>
        <v>0.46393511711366409</v>
      </c>
      <c r="K105">
        <f t="shared" si="24"/>
        <v>10.74394466096375</v>
      </c>
      <c r="L105">
        <f t="shared" si="25"/>
        <v>-0.34531680871912007</v>
      </c>
    </row>
    <row r="106" spans="1:12" x14ac:dyDescent="0.25">
      <c r="A106">
        <f t="shared" si="17"/>
        <v>0.78000000000000047</v>
      </c>
      <c r="B106">
        <f t="shared" si="18"/>
        <v>10.786266091519945</v>
      </c>
      <c r="C106">
        <f t="shared" si="18"/>
        <v>-2.8360888464795689E-2</v>
      </c>
      <c r="D106">
        <f t="shared" si="19"/>
        <v>70.9695570802145</v>
      </c>
      <c r="E106">
        <f t="shared" si="20"/>
        <v>64.014540486353482</v>
      </c>
      <c r="F106">
        <f t="shared" si="21"/>
        <v>11.639007361155178</v>
      </c>
      <c r="G106">
        <f t="shared" si="22"/>
        <v>3.6231822905336282</v>
      </c>
      <c r="H106">
        <f t="shared" si="16"/>
        <v>0.38427434843703889</v>
      </c>
      <c r="I106">
        <f t="shared" si="23"/>
        <v>6.9589800823201156</v>
      </c>
      <c r="J106">
        <f t="shared" si="23"/>
        <v>0.46048194902647288</v>
      </c>
      <c r="K106">
        <f t="shared" si="24"/>
        <v>10.781928469670767</v>
      </c>
      <c r="L106">
        <f t="shared" si="25"/>
        <v>-0.30586708220391817</v>
      </c>
    </row>
    <row r="107" spans="1:12" x14ac:dyDescent="0.25">
      <c r="A107">
        <f t="shared" si="17"/>
        <v>0.79000000000000048</v>
      </c>
      <c r="B107">
        <f t="shared" si="18"/>
        <v>10.822497914425281</v>
      </c>
      <c r="C107">
        <f t="shared" si="18"/>
        <v>-2.4518144980425299E-2</v>
      </c>
      <c r="D107">
        <f t="shared" si="19"/>
        <v>71.447141275721123</v>
      </c>
      <c r="E107">
        <f t="shared" si="20"/>
        <v>64.44532143070046</v>
      </c>
      <c r="F107">
        <f t="shared" si="21"/>
        <v>11.717331169218266</v>
      </c>
      <c r="G107">
        <f t="shared" si="22"/>
        <v>3.568479404600915</v>
      </c>
      <c r="H107">
        <f t="shared" si="16"/>
        <v>0.39156434665340062</v>
      </c>
      <c r="I107">
        <f t="shared" si="23"/>
        <v>7.0667993670168237</v>
      </c>
      <c r="J107">
        <f t="shared" si="23"/>
        <v>0.45742327820443368</v>
      </c>
      <c r="K107">
        <f t="shared" si="24"/>
        <v>10.819245162245164</v>
      </c>
      <c r="L107">
        <f t="shared" si="25"/>
        <v>-0.26532098856701952</v>
      </c>
    </row>
    <row r="108" spans="1:12" x14ac:dyDescent="0.25">
      <c r="A108">
        <f t="shared" si="17"/>
        <v>0.80000000000000049</v>
      </c>
      <c r="B108">
        <f t="shared" si="18"/>
        <v>10.85818270847129</v>
      </c>
      <c r="C108">
        <f t="shared" si="18"/>
        <v>-2.0602501513891293E-2</v>
      </c>
      <c r="D108">
        <f t="shared" si="19"/>
        <v>71.919080355632389</v>
      </c>
      <c r="E108">
        <f t="shared" si="20"/>
        <v>64.871010480780413</v>
      </c>
      <c r="F108">
        <f t="shared" si="21"/>
        <v>11.794729178323712</v>
      </c>
      <c r="G108">
        <f t="shared" si="22"/>
        <v>3.5132603216915639</v>
      </c>
      <c r="H108">
        <f t="shared" si="16"/>
        <v>0.39873562790519707</v>
      </c>
      <c r="I108">
        <f t="shared" si="23"/>
        <v>7.1749918186392749</v>
      </c>
      <c r="J108">
        <f t="shared" si="23"/>
        <v>0.45477006831876349</v>
      </c>
      <c r="K108">
        <f t="shared" si="24"/>
        <v>10.855878341206829</v>
      </c>
      <c r="L108">
        <f t="shared" si="25"/>
        <v>-0.22368990022212537</v>
      </c>
    </row>
    <row r="109" spans="1:12" x14ac:dyDescent="0.25">
      <c r="A109">
        <f t="shared" si="17"/>
        <v>0.8100000000000005</v>
      </c>
      <c r="B109">
        <f t="shared" si="18"/>
        <v>10.893315311688205</v>
      </c>
      <c r="C109">
        <f t="shared" si="18"/>
        <v>-1.6615145234839323E-2</v>
      </c>
      <c r="D109">
        <f t="shared" si="19"/>
        <v>72.385234272715024</v>
      </c>
      <c r="E109">
        <f t="shared" si="20"/>
        <v>65.291481313988953</v>
      </c>
      <c r="F109">
        <f t="shared" si="21"/>
        <v>11.871178420725265</v>
      </c>
      <c r="G109">
        <f t="shared" si="22"/>
        <v>3.4575420755172184</v>
      </c>
      <c r="H109">
        <f t="shared" si="16"/>
        <v>0.40578889527493089</v>
      </c>
      <c r="I109">
        <f t="shared" si="23"/>
        <v>7.283550602051343</v>
      </c>
      <c r="J109">
        <f t="shared" si="23"/>
        <v>0.45253316931654225</v>
      </c>
      <c r="K109">
        <f t="shared" si="24"/>
        <v>10.891811725347893</v>
      </c>
      <c r="L109">
        <f t="shared" si="25"/>
        <v>-0.18098568848082872</v>
      </c>
    </row>
    <row r="110" spans="1:12" x14ac:dyDescent="0.25">
      <c r="A110">
        <f t="shared" si="17"/>
        <v>0.82000000000000051</v>
      </c>
      <c r="B110">
        <f t="shared" ref="B110:C125" si="26">B109+G109*$A$25</f>
        <v>10.927890732443377</v>
      </c>
      <c r="C110">
        <f t="shared" si="26"/>
        <v>-1.2557256282090014E-2</v>
      </c>
      <c r="D110">
        <f t="shared" si="19"/>
        <v>72.84546547473532</v>
      </c>
      <c r="E110">
        <f t="shared" si="20"/>
        <v>65.706609858211266</v>
      </c>
      <c r="F110">
        <f t="shared" si="21"/>
        <v>11.946656337856593</v>
      </c>
      <c r="G110">
        <f t="shared" si="22"/>
        <v>3.4013416083146586</v>
      </c>
      <c r="H110">
        <f t="shared" si="16"/>
        <v>0.41272485564370548</v>
      </c>
      <c r="I110">
        <f t="shared" ref="I110:J125" si="27">I109+K109*$A$25</f>
        <v>7.392468719304822</v>
      </c>
      <c r="J110">
        <f t="shared" si="27"/>
        <v>0.45072331243173397</v>
      </c>
      <c r="K110">
        <f t="shared" si="24"/>
        <v>10.927029163259066</v>
      </c>
      <c r="L110">
        <f t="shared" si="25"/>
        <v>-0.13722071821599499</v>
      </c>
    </row>
    <row r="111" spans="1:12" x14ac:dyDescent="0.25">
      <c r="A111">
        <f t="shared" si="17"/>
        <v>0.83000000000000052</v>
      </c>
      <c r="B111">
        <f t="shared" si="26"/>
        <v>10.961904148526523</v>
      </c>
      <c r="C111">
        <f t="shared" si="26"/>
        <v>-8.4300077256529594E-3</v>
      </c>
      <c r="D111">
        <f t="shared" si="19"/>
        <v>73.299638962504631</v>
      </c>
      <c r="E111">
        <f t="shared" si="20"/>
        <v>66.116274344179175</v>
      </c>
      <c r="F111">
        <f t="shared" si="21"/>
        <v>12.02114078985076</v>
      </c>
      <c r="G111">
        <f t="shared" si="22"/>
        <v>3.3446757696520786</v>
      </c>
      <c r="H111">
        <f t="shared" si="16"/>
        <v>0.41954421931572011</v>
      </c>
      <c r="I111">
        <f t="shared" si="27"/>
        <v>7.5017390109374125</v>
      </c>
      <c r="J111">
        <f t="shared" si="27"/>
        <v>0.449351105249574</v>
      </c>
      <c r="K111">
        <f t="shared" si="24"/>
        <v>10.961514646808212</v>
      </c>
      <c r="L111">
        <f t="shared" si="25"/>
        <v>-9.2407842156521605E-2</v>
      </c>
    </row>
    <row r="112" spans="1:12" x14ac:dyDescent="0.25">
      <c r="A112">
        <f t="shared" si="17"/>
        <v>0.84000000000000052</v>
      </c>
      <c r="B112">
        <f t="shared" si="26"/>
        <v>10.995350906223043</v>
      </c>
      <c r="C112">
        <f t="shared" si="26"/>
        <v>-4.2345655324957585E-3</v>
      </c>
      <c r="D112">
        <f t="shared" si="19"/>
        <v>73.747622346097742</v>
      </c>
      <c r="E112">
        <f t="shared" si="20"/>
        <v>66.520355356180161</v>
      </c>
      <c r="F112">
        <f t="shared" si="21"/>
        <v>12.09461006476003</v>
      </c>
      <c r="G112">
        <f t="shared" si="22"/>
        <v>3.2875613152036229</v>
      </c>
      <c r="H112">
        <f t="shared" si="16"/>
        <v>0.42624769967503984</v>
      </c>
      <c r="I112">
        <f t="shared" si="27"/>
        <v>7.6113541574054944</v>
      </c>
      <c r="J112">
        <f t="shared" si="27"/>
        <v>0.44842702682800878</v>
      </c>
      <c r="K112">
        <f t="shared" si="24"/>
        <v>10.995252324554201</v>
      </c>
      <c r="L112">
        <f t="shared" si="25"/>
        <v>-4.656039481492593E-2</v>
      </c>
    </row>
    <row r="113" spans="1:12" x14ac:dyDescent="0.25">
      <c r="A113">
        <f t="shared" si="17"/>
        <v>0.85000000000000053</v>
      </c>
      <c r="B113">
        <f t="shared" si="26"/>
        <v>11.02822651937508</v>
      </c>
      <c r="C113">
        <f t="shared" si="26"/>
        <v>2.7911464254640195E-5</v>
      </c>
      <c r="D113">
        <f t="shared" si="19"/>
        <v>74.18928589921515</v>
      </c>
      <c r="E113">
        <f t="shared" si="20"/>
        <v>66.918735881092061</v>
      </c>
      <c r="F113">
        <f t="shared" si="21"/>
        <v>12.167042887471284</v>
      </c>
      <c r="G113">
        <f t="shared" si="22"/>
        <v>3.2300149054899272</v>
      </c>
      <c r="H113">
        <f t="shared" si="16"/>
        <v>0.43283601287236756</v>
      </c>
      <c r="I113">
        <f t="shared" si="27"/>
        <v>7.7213066806510362</v>
      </c>
      <c r="J113">
        <f t="shared" si="27"/>
        <v>0.44796142287985952</v>
      </c>
      <c r="K113">
        <f t="shared" si="24"/>
        <v>11.028226515079311</v>
      </c>
      <c r="L113">
        <f t="shared" si="25"/>
        <v>3.0781395024764553E-4</v>
      </c>
    </row>
    <row r="114" spans="1:12" x14ac:dyDescent="0.25">
      <c r="A114">
        <f t="shared" si="17"/>
        <v>0.86000000000000054</v>
      </c>
      <c r="B114">
        <f t="shared" si="26"/>
        <v>11.060526668429979</v>
      </c>
      <c r="C114">
        <f t="shared" si="26"/>
        <v>4.3562715929783159E-3</v>
      </c>
      <c r="D114">
        <f t="shared" si="19"/>
        <v>74.624502611660972</v>
      </c>
      <c r="E114">
        <f t="shared" si="20"/>
        <v>67.3113013557182</v>
      </c>
      <c r="F114">
        <f t="shared" si="21"/>
        <v>12.2384184283124</v>
      </c>
      <c r="G114">
        <f t="shared" si="22"/>
        <v>3.1720531045829112</v>
      </c>
      <c r="H114">
        <f t="shared" si="16"/>
        <v>0.43930987753967804</v>
      </c>
      <c r="I114">
        <f t="shared" si="27"/>
        <v>7.8315889458018297</v>
      </c>
      <c r="J114">
        <f t="shared" si="27"/>
        <v>0.44796450101936197</v>
      </c>
      <c r="K114">
        <f t="shared" si="24"/>
        <v>11.060421720223506</v>
      </c>
      <c r="L114">
        <f t="shared" si="25"/>
        <v>4.8182505734667348E-2</v>
      </c>
    </row>
    <row r="115" spans="1:12" x14ac:dyDescent="0.25">
      <c r="A115">
        <f t="shared" si="17"/>
        <v>0.87000000000000055</v>
      </c>
      <c r="B115">
        <f t="shared" si="26"/>
        <v>11.092247199475809</v>
      </c>
      <c r="C115">
        <f t="shared" si="26"/>
        <v>8.7493703683750972E-3</v>
      </c>
      <c r="D115">
        <f t="shared" si="19"/>
        <v>75.053148239910144</v>
      </c>
      <c r="E115">
        <f t="shared" si="20"/>
        <v>67.697939712398949</v>
      </c>
      <c r="F115">
        <f t="shared" si="21"/>
        <v>12.308716311345263</v>
      </c>
      <c r="G115">
        <f t="shared" si="22"/>
        <v>3.1136923787734156</v>
      </c>
      <c r="H115">
        <f t="shared" si="16"/>
        <v>0.44567001453068789</v>
      </c>
      <c r="I115">
        <f t="shared" si="27"/>
        <v>7.942193163004065</v>
      </c>
      <c r="J115">
        <f t="shared" si="27"/>
        <v>0.44844632607670865</v>
      </c>
      <c r="K115">
        <f t="shared" si="24"/>
        <v>11.091822638204174</v>
      </c>
      <c r="L115">
        <f t="shared" si="25"/>
        <v>9.7048940748022519E-2</v>
      </c>
    </row>
    <row r="116" spans="1:12" x14ac:dyDescent="0.25">
      <c r="A116">
        <f t="shared" si="17"/>
        <v>0.88000000000000056</v>
      </c>
      <c r="B116">
        <f t="shared" si="26"/>
        <v>11.123384123263543</v>
      </c>
      <c r="C116">
        <f t="shared" si="26"/>
        <v>1.3206070513681976E-2</v>
      </c>
      <c r="D116">
        <f t="shared" si="19"/>
        <v>75.475101355739582</v>
      </c>
      <c r="E116">
        <f t="shared" si="20"/>
        <v>68.078541422877095</v>
      </c>
      <c r="F116">
        <f t="shared" si="21"/>
        <v>12.37791662234129</v>
      </c>
      <c r="G116">
        <f t="shared" si="22"/>
        <v>3.0549490952006533</v>
      </c>
      <c r="H116">
        <f t="shared" si="16"/>
        <v>0.45191714668524463</v>
      </c>
      <c r="I116">
        <f t="shared" si="27"/>
        <v>8.0531113893861068</v>
      </c>
      <c r="J116">
        <f t="shared" si="27"/>
        <v>0.44941681548418888</v>
      </c>
      <c r="K116">
        <f t="shared" si="24"/>
        <v>11.122414176605021</v>
      </c>
      <c r="L116">
        <f t="shared" si="25"/>
        <v>0.14689192532977838</v>
      </c>
    </row>
    <row r="117" spans="1:12" x14ac:dyDescent="0.25">
      <c r="A117">
        <f t="shared" si="17"/>
        <v>0.89000000000000057</v>
      </c>
      <c r="B117">
        <f t="shared" si="26"/>
        <v>11.15393361421555</v>
      </c>
      <c r="C117">
        <f t="shared" si="26"/>
        <v>1.772524198053442E-2</v>
      </c>
      <c r="D117">
        <f t="shared" si="19"/>
        <v>75.890243392899805</v>
      </c>
      <c r="E117">
        <f t="shared" si="20"/>
        <v>68.452999540395624</v>
      </c>
      <c r="F117">
        <f t="shared" si="21"/>
        <v>12.445999916435568</v>
      </c>
      <c r="G117">
        <f t="shared" si="22"/>
        <v>2.9958395204428077</v>
      </c>
      <c r="H117">
        <f t="shared" si="16"/>
        <v>0.45805199861583334</v>
      </c>
      <c r="I117">
        <f t="shared" si="27"/>
        <v>8.1643355311521564</v>
      </c>
      <c r="J117">
        <f t="shared" si="27"/>
        <v>0.45088573473748667</v>
      </c>
      <c r="K117">
        <f t="shared" si="24"/>
        <v>11.152181465218119</v>
      </c>
      <c r="L117">
        <f t="shared" si="25"/>
        <v>0.19769581981671222</v>
      </c>
    </row>
    <row r="118" spans="1:12" x14ac:dyDescent="0.25">
      <c r="A118">
        <f t="shared" si="17"/>
        <v>0.90000000000000058</v>
      </c>
      <c r="B118">
        <f t="shared" si="26"/>
        <v>11.183892009419978</v>
      </c>
      <c r="C118">
        <f t="shared" si="26"/>
        <v>2.2305761966692754E-2</v>
      </c>
      <c r="D118">
        <f t="shared" si="19"/>
        <v>76.298458691804498</v>
      </c>
      <c r="E118">
        <f t="shared" si="20"/>
        <v>68.82120974000766</v>
      </c>
      <c r="F118">
        <f t="shared" si="21"/>
        <v>12.512947225455939</v>
      </c>
      <c r="G118">
        <f t="shared" si="22"/>
        <v>2.9363798190684269</v>
      </c>
      <c r="H118">
        <f t="shared" si="16"/>
        <v>0.46407529651449136</v>
      </c>
      <c r="I118">
        <f t="shared" si="27"/>
        <v>8.2758573458043383</v>
      </c>
      <c r="J118">
        <f t="shared" si="27"/>
        <v>0.45286269293565379</v>
      </c>
      <c r="K118">
        <f t="shared" si="24"/>
        <v>11.181109868723274</v>
      </c>
      <c r="L118">
        <f t="shared" si="25"/>
        <v>0.24944454675752623</v>
      </c>
    </row>
    <row r="119" spans="1:12" x14ac:dyDescent="0.25">
      <c r="A119">
        <f t="shared" si="17"/>
        <v>0.91000000000000059</v>
      </c>
      <c r="B119">
        <f t="shared" si="26"/>
        <v>11.213255807610663</v>
      </c>
      <c r="C119">
        <f t="shared" si="26"/>
        <v>2.6946514931837667E-2</v>
      </c>
      <c r="D119">
        <f t="shared" si="19"/>
        <v>76.699634542217694</v>
      </c>
      <c r="E119">
        <f t="shared" si="20"/>
        <v>69.183070357080368</v>
      </c>
      <c r="F119">
        <f t="shared" si="21"/>
        <v>12.578740064923704</v>
      </c>
      <c r="G119">
        <f t="shared" si="22"/>
        <v>2.876586052148562</v>
      </c>
      <c r="H119">
        <f t="shared" si="16"/>
        <v>0.46998776797853625</v>
      </c>
      <c r="I119">
        <f t="shared" si="27"/>
        <v>8.3876684444915703</v>
      </c>
      <c r="J119">
        <f t="shared" si="27"/>
        <v>0.45535713840322906</v>
      </c>
      <c r="K119">
        <f t="shared" si="24"/>
        <v>11.209184999189208</v>
      </c>
      <c r="L119">
        <f t="shared" si="25"/>
        <v>0.30212159946929662</v>
      </c>
    </row>
    <row r="120" spans="1:12" x14ac:dyDescent="0.25">
      <c r="A120">
        <f t="shared" si="17"/>
        <v>0.9200000000000006</v>
      </c>
      <c r="B120">
        <f t="shared" si="26"/>
        <v>11.242021668132148</v>
      </c>
      <c r="C120">
        <f t="shared" si="26"/>
        <v>3.1646392611623032E-2</v>
      </c>
      <c r="D120">
        <f t="shared" si="19"/>
        <v>77.093661223919156</v>
      </c>
      <c r="E120">
        <f t="shared" si="20"/>
        <v>69.538482423975083</v>
      </c>
      <c r="F120">
        <f t="shared" si="21"/>
        <v>12.643360440722743</v>
      </c>
      <c r="G120">
        <f t="shared" si="22"/>
        <v>2.8164741757299128</v>
      </c>
      <c r="H120">
        <f t="shared" si="16"/>
        <v>0.47579014185358359</v>
      </c>
      <c r="I120">
        <f t="shared" si="27"/>
        <v>8.4997602944834618</v>
      </c>
      <c r="J120">
        <f t="shared" si="27"/>
        <v>0.45837835439792202</v>
      </c>
      <c r="K120">
        <f t="shared" si="24"/>
        <v>11.236392728381299</v>
      </c>
      <c r="L120">
        <f t="shared" si="25"/>
        <v>0.35571005092998925</v>
      </c>
    </row>
    <row r="121" spans="1:12" x14ac:dyDescent="0.25">
      <c r="A121">
        <f t="shared" si="17"/>
        <v>0.9300000000000006</v>
      </c>
      <c r="B121">
        <f t="shared" si="26"/>
        <v>11.270186409889448</v>
      </c>
      <c r="C121">
        <f t="shared" si="26"/>
        <v>3.6404294030158865E-2</v>
      </c>
      <c r="D121">
        <f t="shared" si="19"/>
        <v>77.480432045330645</v>
      </c>
      <c r="E121">
        <f t="shared" si="20"/>
        <v>69.887349704888251</v>
      </c>
      <c r="F121">
        <f t="shared" si="21"/>
        <v>12.706790855434228</v>
      </c>
      <c r="G121">
        <f t="shared" si="22"/>
        <v>2.7560600392694732</v>
      </c>
      <c r="H121">
        <f t="shared" si="16"/>
        <v>0.48148314809244175</v>
      </c>
      <c r="I121">
        <f t="shared" si="27"/>
        <v>8.6121242217672744</v>
      </c>
      <c r="J121">
        <f t="shared" si="27"/>
        <v>0.46193545490722193</v>
      </c>
      <c r="K121">
        <f t="shared" si="24"/>
        <v>11.262719199860914</v>
      </c>
      <c r="L121">
        <f t="shared" si="25"/>
        <v>0.41019256300074824</v>
      </c>
    </row>
    <row r="122" spans="1:12" x14ac:dyDescent="0.25">
      <c r="A122">
        <f t="shared" si="17"/>
        <v>0.94000000000000061</v>
      </c>
      <c r="B122">
        <f t="shared" si="26"/>
        <v>11.297747010282142</v>
      </c>
      <c r="C122">
        <f t="shared" si="26"/>
        <v>4.1219125511083282E-2</v>
      </c>
      <c r="D122">
        <f t="shared" si="19"/>
        <v>77.859843380086843</v>
      </c>
      <c r="E122">
        <f t="shared" si="20"/>
        <v>70.229578728838334</v>
      </c>
      <c r="F122">
        <f t="shared" si="21"/>
        <v>12.769014314334242</v>
      </c>
      <c r="G122">
        <f t="shared" si="22"/>
        <v>2.6953593840314718</v>
      </c>
      <c r="H122">
        <f t="shared" si="16"/>
        <v>0.48706751762853479</v>
      </c>
      <c r="I122">
        <f t="shared" si="27"/>
        <v>8.7247514137658833</v>
      </c>
      <c r="J122">
        <f t="shared" si="27"/>
        <v>0.46603738053722943</v>
      </c>
      <c r="K122">
        <f t="shared" si="24"/>
        <v>11.288150840861775</v>
      </c>
      <c r="L122">
        <f t="shared" si="25"/>
        <v>0.46555139597114881</v>
      </c>
    </row>
    <row r="123" spans="1:12" x14ac:dyDescent="0.25">
      <c r="A123">
        <f t="shared" si="17"/>
        <v>0.95000000000000062</v>
      </c>
      <c r="B123">
        <f t="shared" si="26"/>
        <v>11.324700604122457</v>
      </c>
      <c r="C123">
        <f t="shared" si="26"/>
        <v>4.6089800687368628E-2</v>
      </c>
      <c r="D123">
        <f t="shared" si="19"/>
        <v>78.231794701537041</v>
      </c>
      <c r="E123">
        <f t="shared" si="20"/>
        <v>70.565078820786425</v>
      </c>
      <c r="F123">
        <f t="shared" si="21"/>
        <v>12.830014331052077</v>
      </c>
      <c r="G123">
        <f t="shared" si="22"/>
        <v>2.6343878414475745</v>
      </c>
      <c r="H123">
        <f t="shared" si="16"/>
        <v>0.49254398226260787</v>
      </c>
      <c r="I123">
        <f t="shared" si="27"/>
        <v>8.8376329221745014</v>
      </c>
      <c r="J123">
        <f t="shared" si="27"/>
        <v>0.47069289449694091</v>
      </c>
      <c r="K123">
        <f t="shared" si="24"/>
        <v>11.312674373929045</v>
      </c>
      <c r="L123">
        <f t="shared" si="25"/>
        <v>0.52176841842009913</v>
      </c>
    </row>
    <row r="124" spans="1:12" x14ac:dyDescent="0.25">
      <c r="A124">
        <f t="shared" si="17"/>
        <v>0.96000000000000063</v>
      </c>
      <c r="B124">
        <f t="shared" si="26"/>
        <v>11.351044482536933</v>
      </c>
      <c r="C124">
        <f t="shared" si="26"/>
        <v>5.1015240509994703E-2</v>
      </c>
      <c r="D124">
        <f t="shared" si="19"/>
        <v>78.596188615164607</v>
      </c>
      <c r="E124">
        <f t="shared" si="20"/>
        <v>70.893762130878471</v>
      </c>
      <c r="F124">
        <f t="shared" si="21"/>
        <v>12.889774932886995</v>
      </c>
      <c r="G124">
        <f t="shared" si="22"/>
        <v>2.5731609314416035</v>
      </c>
      <c r="H124">
        <f t="shared" si="16"/>
        <v>0.49791327456151951</v>
      </c>
      <c r="I124">
        <f t="shared" si="27"/>
        <v>8.9507596659137914</v>
      </c>
      <c r="J124">
        <f t="shared" si="27"/>
        <v>0.47591057868114189</v>
      </c>
      <c r="K124">
        <f t="shared" si="24"/>
        <v>11.336276828307293</v>
      </c>
      <c r="L124">
        <f t="shared" si="25"/>
        <v>0.57882511738458242</v>
      </c>
    </row>
    <row r="125" spans="1:12" x14ac:dyDescent="0.25">
      <c r="A125">
        <f t="shared" si="17"/>
        <v>0.97000000000000064</v>
      </c>
      <c r="B125">
        <f t="shared" si="26"/>
        <v>11.376776091851349</v>
      </c>
      <c r="C125">
        <f t="shared" si="26"/>
        <v>5.5994373255609894E-2</v>
      </c>
      <c r="D125">
        <f t="shared" si="19"/>
        <v>78.952930888913485</v>
      </c>
      <c r="E125">
        <f t="shared" si="20"/>
        <v>71.21554366179997</v>
      </c>
      <c r="F125">
        <f t="shared" si="21"/>
        <v>12.948280665781812</v>
      </c>
      <c r="G125">
        <f t="shared" si="22"/>
        <v>2.5116940607201621</v>
      </c>
      <c r="H125">
        <f t="shared" si="16"/>
        <v>0.503176127768026</v>
      </c>
      <c r="I125">
        <f t="shared" si="27"/>
        <v>9.0641224341968645</v>
      </c>
      <c r="J125">
        <f t="shared" si="27"/>
        <v>0.48169882985498774</v>
      </c>
      <c r="K125">
        <f t="shared" si="24"/>
        <v>11.358945551063801</v>
      </c>
      <c r="L125">
        <f t="shared" si="25"/>
        <v>0.63670260882794272</v>
      </c>
    </row>
    <row r="126" spans="1:12" x14ac:dyDescent="0.25">
      <c r="A126">
        <f t="shared" si="17"/>
        <v>0.98000000000000065</v>
      </c>
      <c r="B126">
        <f t="shared" ref="B126:C141" si="28">B125+G125*$A$25</f>
        <v>11.401893032458551</v>
      </c>
      <c r="C126">
        <f t="shared" si="28"/>
        <v>6.1026134533290158E-2</v>
      </c>
      <c r="D126">
        <f t="shared" si="19"/>
        <v>79.30193048141237</v>
      </c>
      <c r="E126">
        <f t="shared" si="20"/>
        <v>71.530341294233949</v>
      </c>
      <c r="F126">
        <f t="shared" si="21"/>
        <v>13.005516598951628</v>
      </c>
      <c r="G126">
        <f t="shared" si="22"/>
        <v>2.4500025210307963</v>
      </c>
      <c r="H126">
        <f t="shared" si="16"/>
        <v>0.50833327572050169</v>
      </c>
      <c r="I126">
        <f t="shared" ref="I126:J141" si="29">I125+K125*$A$25</f>
        <v>9.1777118897075027</v>
      </c>
      <c r="J126">
        <f t="shared" si="29"/>
        <v>0.48806585594326718</v>
      </c>
      <c r="K126">
        <f t="shared" si="24"/>
        <v>11.380668217934165</v>
      </c>
      <c r="L126">
        <f t="shared" si="25"/>
        <v>0.69538164839895078</v>
      </c>
    </row>
    <row r="127" spans="1:12" x14ac:dyDescent="0.25">
      <c r="A127">
        <f t="shared" si="17"/>
        <v>0.99000000000000066</v>
      </c>
      <c r="B127">
        <f t="shared" si="28"/>
        <v>11.426393057668859</v>
      </c>
      <c r="C127">
        <f t="shared" si="28"/>
        <v>6.6109467290495175E-2</v>
      </c>
      <c r="D127">
        <f t="shared" si="19"/>
        <v>79.643099568089298</v>
      </c>
      <c r="E127">
        <f t="shared" si="20"/>
        <v>71.838075810416541</v>
      </c>
      <c r="F127">
        <f t="shared" si="21"/>
        <v>13.061468329166644</v>
      </c>
      <c r="G127">
        <f t="shared" si="22"/>
        <v>2.3881014873894508</v>
      </c>
      <c r="H127">
        <f t="shared" si="16"/>
        <v>0.51338545278163927</v>
      </c>
      <c r="I127">
        <f t="shared" si="29"/>
        <v>9.2915185718868436</v>
      </c>
      <c r="J127">
        <f t="shared" si="29"/>
        <v>0.4950196724272567</v>
      </c>
      <c r="K127">
        <f t="shared" si="24"/>
        <v>11.401432843877489</v>
      </c>
      <c r="L127">
        <f t="shared" si="25"/>
        <v>0.75484264247242405</v>
      </c>
    </row>
    <row r="128" spans="1:12" x14ac:dyDescent="0.25">
      <c r="A128">
        <f t="shared" si="17"/>
        <v>1.0000000000000007</v>
      </c>
      <c r="B128">
        <f t="shared" si="28"/>
        <v>11.450274072542754</v>
      </c>
      <c r="C128">
        <f t="shared" si="28"/>
        <v>7.124332181831157E-2</v>
      </c>
      <c r="D128">
        <f t="shared" si="19"/>
        <v>79.976353565170356</v>
      </c>
      <c r="E128">
        <f t="shared" si="20"/>
        <v>72.138670915783678</v>
      </c>
      <c r="F128">
        <f t="shared" si="21"/>
        <v>13.116121984687942</v>
      </c>
      <c r="G128">
        <f t="shared" si="22"/>
        <v>2.3260060162791816</v>
      </c>
      <c r="H128">
        <f t="shared" si="16"/>
        <v>0.51833339377519683</v>
      </c>
      <c r="I128">
        <f t="shared" si="29"/>
        <v>9.4055329003256176</v>
      </c>
      <c r="J128">
        <f t="shared" si="29"/>
        <v>0.50256809885198095</v>
      </c>
      <c r="K128">
        <f t="shared" si="24"/>
        <v>11.42122779332901</v>
      </c>
      <c r="L128">
        <f t="shared" si="25"/>
        <v>0.81506565946173792</v>
      </c>
    </row>
    <row r="129" spans="1:12" x14ac:dyDescent="0.25">
      <c r="A129">
        <f t="shared" si="17"/>
        <v>1.0100000000000007</v>
      </c>
      <c r="B129">
        <f t="shared" si="28"/>
        <v>11.473534132705547</v>
      </c>
      <c r="C129">
        <f t="shared" si="28"/>
        <v>7.6426655756063541E-2</v>
      </c>
      <c r="D129">
        <f t="shared" si="19"/>
        <v>80.301611151559129</v>
      </c>
      <c r="E129">
        <f t="shared" si="20"/>
        <v>72.432053258706333</v>
      </c>
      <c r="F129">
        <f t="shared" si="21"/>
        <v>13.169464228855697</v>
      </c>
      <c r="G129">
        <f t="shared" si="22"/>
        <v>2.2637310438221872</v>
      </c>
      <c r="H129">
        <f t="shared" si="16"/>
        <v>0.52317783392995398</v>
      </c>
      <c r="I129">
        <f t="shared" si="29"/>
        <v>9.5197451782589084</v>
      </c>
      <c r="J129">
        <f t="shared" si="29"/>
        <v>0.51071875544659828</v>
      </c>
      <c r="K129">
        <f t="shared" si="24"/>
        <v>11.440041790138347</v>
      </c>
      <c r="L129">
        <f t="shared" si="25"/>
        <v>0.8760304413931298</v>
      </c>
    </row>
    <row r="130" spans="1:12" x14ac:dyDescent="0.25">
      <c r="A130">
        <f t="shared" si="17"/>
        <v>1.0200000000000007</v>
      </c>
      <c r="B130">
        <f t="shared" si="28"/>
        <v>11.496171443143769</v>
      </c>
      <c r="C130">
        <f t="shared" si="28"/>
        <v>8.1658434095363081E-2</v>
      </c>
      <c r="D130">
        <f t="shared" si="19"/>
        <v>80.618794288594117</v>
      </c>
      <c r="E130">
        <f t="shared" si="20"/>
        <v>72.718152448311898</v>
      </c>
      <c r="F130">
        <f t="shared" si="21"/>
        <v>13.221482263329436</v>
      </c>
      <c r="G130">
        <f t="shared" si="22"/>
        <v>2.2012913839273587</v>
      </c>
      <c r="H130">
        <f t="shared" si="16"/>
        <v>0.52791950883007555</v>
      </c>
      <c r="I130">
        <f t="shared" si="29"/>
        <v>9.6341455961602911</v>
      </c>
      <c r="J130">
        <f t="shared" si="29"/>
        <v>0.51947905986052956</v>
      </c>
      <c r="K130">
        <f t="shared" si="24"/>
        <v>11.457863927182167</v>
      </c>
      <c r="L130">
        <f t="shared" si="25"/>
        <v>0.93771641573129783</v>
      </c>
    </row>
    <row r="131" spans="1:12" x14ac:dyDescent="0.25">
      <c r="A131">
        <f t="shared" si="17"/>
        <v>1.0300000000000007</v>
      </c>
      <c r="B131">
        <f t="shared" si="28"/>
        <v>11.518184356983042</v>
      </c>
      <c r="C131">
        <f t="shared" si="28"/>
        <v>8.6937629183663837E-2</v>
      </c>
      <c r="D131">
        <f t="shared" si="19"/>
        <v>80.927828237683798</v>
      </c>
      <c r="E131">
        <f t="shared" si="20"/>
        <v>72.996901070390791</v>
      </c>
      <c r="F131">
        <f t="shared" si="21"/>
        <v>13.272163830980144</v>
      </c>
      <c r="G131">
        <f t="shared" si="22"/>
        <v>2.1387017264157269</v>
      </c>
      <c r="H131">
        <f t="shared" si="16"/>
        <v>0.53255915437112655</v>
      </c>
      <c r="I131">
        <f t="shared" si="29"/>
        <v>9.7487242354321122</v>
      </c>
      <c r="J131">
        <f t="shared" si="29"/>
        <v>0.52885622401784249</v>
      </c>
      <c r="K131">
        <f t="shared" si="24"/>
        <v>11.474683675640442</v>
      </c>
      <c r="L131">
        <f t="shared" si="25"/>
        <v>1.0001027074453919</v>
      </c>
    </row>
    <row r="132" spans="1:12" x14ac:dyDescent="0.25">
      <c r="A132">
        <f t="shared" si="17"/>
        <v>1.0400000000000007</v>
      </c>
      <c r="B132">
        <f t="shared" si="28"/>
        <v>11.539571374247199</v>
      </c>
      <c r="C132">
        <f t="shared" si="28"/>
        <v>9.2263220727375098E-2</v>
      </c>
      <c r="D132">
        <f t="shared" si="19"/>
        <v>81.228641575820674</v>
      </c>
      <c r="E132">
        <f t="shared" si="20"/>
        <v>73.268234701390256</v>
      </c>
      <c r="F132">
        <f t="shared" si="21"/>
        <v>13.321497218434592</v>
      </c>
      <c r="G132">
        <f t="shared" si="22"/>
        <v>2.0759766351261808</v>
      </c>
      <c r="H132">
        <f t="shared" si="16"/>
        <v>0.53709750672106049</v>
      </c>
      <c r="I132">
        <f t="shared" si="29"/>
        <v>9.863471072188517</v>
      </c>
      <c r="J132">
        <f t="shared" si="29"/>
        <v>0.53885725109229643</v>
      </c>
      <c r="K132">
        <f t="shared" si="24"/>
        <v>11.49049089392607</v>
      </c>
      <c r="L132">
        <f t="shared" si="25"/>
        <v>1.0631681513041311</v>
      </c>
    </row>
    <row r="133" spans="1:12" x14ac:dyDescent="0.25">
      <c r="A133">
        <f t="shared" si="17"/>
        <v>1.0500000000000007</v>
      </c>
      <c r="B133">
        <f t="shared" si="28"/>
        <v>11.560331140598461</v>
      </c>
      <c r="C133">
        <f t="shared" si="28"/>
        <v>9.763419579458571E-2</v>
      </c>
      <c r="D133">
        <f t="shared" si="19"/>
        <v>81.521166208977206</v>
      </c>
      <c r="E133">
        <f t="shared" si="20"/>
        <v>73.53209192049745</v>
      </c>
      <c r="F133">
        <f t="shared" si="21"/>
        <v>13.369471258272263</v>
      </c>
      <c r="G133">
        <f t="shared" si="22"/>
        <v>2.0131305460040356</v>
      </c>
      <c r="H133">
        <f t="shared" si="16"/>
        <v>0.54153530228552127</v>
      </c>
      <c r="I133">
        <f t="shared" si="29"/>
        <v>9.9783759811277779</v>
      </c>
      <c r="J133">
        <f t="shared" si="29"/>
        <v>0.54948893260533771</v>
      </c>
      <c r="K133">
        <f t="shared" si="24"/>
        <v>11.50527583625809</v>
      </c>
      <c r="L133">
        <f t="shared" si="25"/>
        <v>1.126891304388417</v>
      </c>
    </row>
    <row r="134" spans="1:12" x14ac:dyDescent="0.25">
      <c r="A134">
        <f t="shared" si="17"/>
        <v>1.0600000000000007</v>
      </c>
      <c r="B134">
        <f t="shared" si="28"/>
        <v>11.580462446058501</v>
      </c>
      <c r="C134">
        <f t="shared" si="28"/>
        <v>0.10304954881744093</v>
      </c>
      <c r="D134">
        <f t="shared" si="19"/>
        <v>81.805337383388448</v>
      </c>
      <c r="E134">
        <f t="shared" si="20"/>
        <v>73.788414319816383</v>
      </c>
      <c r="F134">
        <f t="shared" si="21"/>
        <v>13.416075330875707</v>
      </c>
      <c r="G134">
        <f t="shared" si="22"/>
        <v>1.9501777651750463</v>
      </c>
      <c r="H134">
        <f t="shared" si="16"/>
        <v>0.54587327767685789</v>
      </c>
      <c r="I134">
        <f t="shared" si="29"/>
        <v>10.093428739490358</v>
      </c>
      <c r="J134">
        <f t="shared" si="29"/>
        <v>0.56075784564922193</v>
      </c>
      <c r="K134">
        <f t="shared" si="24"/>
        <v>11.519029160869305</v>
      </c>
      <c r="L134">
        <f t="shared" si="25"/>
        <v>1.1912504588094848</v>
      </c>
    </row>
    <row r="135" spans="1:12" x14ac:dyDescent="0.25">
      <c r="A135">
        <f t="shared" si="17"/>
        <v>1.0700000000000007</v>
      </c>
      <c r="B135">
        <f t="shared" si="28"/>
        <v>11.599964223710252</v>
      </c>
      <c r="C135">
        <f t="shared" si="28"/>
        <v>0.1085082815942095</v>
      </c>
      <c r="D135">
        <f t="shared" si="19"/>
        <v>82.081093694728239</v>
      </c>
      <c r="E135">
        <f t="shared" si="20"/>
        <v>74.037146512644881</v>
      </c>
      <c r="F135">
        <f t="shared" si="21"/>
        <v>13.461299365935433</v>
      </c>
      <c r="G135">
        <f t="shared" si="22"/>
        <v>1.887132467007542</v>
      </c>
      <c r="H135">
        <f t="shared" si="16"/>
        <v>0.55011216968629895</v>
      </c>
      <c r="I135">
        <f t="shared" si="29"/>
        <v>10.208619031099051</v>
      </c>
      <c r="J135">
        <f t="shared" si="29"/>
        <v>0.57267035023731683</v>
      </c>
      <c r="K135">
        <f t="shared" si="24"/>
        <v>11.531741937839668</v>
      </c>
      <c r="L135">
        <f t="shared" si="25"/>
        <v>1.256223654620314</v>
      </c>
    </row>
    <row r="136" spans="1:12" x14ac:dyDescent="0.25">
      <c r="A136">
        <f t="shared" si="17"/>
        <v>1.0800000000000007</v>
      </c>
      <c r="B136">
        <f t="shared" si="28"/>
        <v>11.618835548380327</v>
      </c>
      <c r="C136">
        <f t="shared" si="28"/>
        <v>0.11400940329107249</v>
      </c>
      <c r="D136">
        <f t="shared" si="19"/>
        <v>82.348377095186876</v>
      </c>
      <c r="E136">
        <f t="shared" si="20"/>
        <v>74.278236139858564</v>
      </c>
      <c r="F136">
        <f t="shared" si="21"/>
        <v>13.505133843610649</v>
      </c>
      <c r="G136">
        <f t="shared" si="22"/>
        <v>1.8240086921654577</v>
      </c>
      <c r="H136">
        <f t="shared" si="16"/>
        <v>0.55425271525875364</v>
      </c>
      <c r="I136">
        <f t="shared" si="29"/>
        <v>10.323936450477447</v>
      </c>
      <c r="J136">
        <f t="shared" si="29"/>
        <v>0.58523258678351997</v>
      </c>
      <c r="K136">
        <f t="shared" si="24"/>
        <v>11.543405656547275</v>
      </c>
      <c r="L136">
        <f t="shared" si="25"/>
        <v>1.3217886929077343</v>
      </c>
    </row>
    <row r="137" spans="1:12" x14ac:dyDescent="0.25">
      <c r="A137">
        <f t="shared" si="17"/>
        <v>1.0900000000000007</v>
      </c>
      <c r="B137">
        <f t="shared" si="28"/>
        <v>11.637075635301981</v>
      </c>
      <c r="C137">
        <f t="shared" si="28"/>
        <v>0.11955193044366003</v>
      </c>
      <c r="D137">
        <f t="shared" si="19"/>
        <v>82.607132898460804</v>
      </c>
      <c r="E137">
        <f t="shared" si="20"/>
        <v>74.511633874411643</v>
      </c>
      <c r="F137">
        <f t="shared" si="21"/>
        <v>13.547569795347572</v>
      </c>
      <c r="G137">
        <f t="shared" si="22"/>
        <v>1.7608203456550353</v>
      </c>
      <c r="H137">
        <f t="shared" si="16"/>
        <v>0.55829565146977311</v>
      </c>
      <c r="I137">
        <f t="shared" si="29"/>
        <v>10.43937050704292</v>
      </c>
      <c r="J137">
        <f t="shared" si="29"/>
        <v>0.5984504737125973</v>
      </c>
      <c r="K137">
        <f t="shared" si="24"/>
        <v>11.554012232729526</v>
      </c>
      <c r="L137">
        <f t="shared" si="25"/>
        <v>1.3879231490523802</v>
      </c>
    </row>
    <row r="138" spans="1:12" x14ac:dyDescent="0.25">
      <c r="A138">
        <f t="shared" si="17"/>
        <v>1.1000000000000008</v>
      </c>
      <c r="B138">
        <f t="shared" si="28"/>
        <v>11.654683838758531</v>
      </c>
      <c r="C138">
        <f t="shared" si="28"/>
        <v>0.12513488695835775</v>
      </c>
      <c r="D138">
        <f t="shared" si="19"/>
        <v>82.857309782665766</v>
      </c>
      <c r="E138">
        <f t="shared" si="20"/>
        <v>74.737293423964516</v>
      </c>
      <c r="F138">
        <f t="shared" si="21"/>
        <v>13.588598804357185</v>
      </c>
      <c r="G138">
        <f t="shared" si="22"/>
        <v>1.6975811948680595</v>
      </c>
      <c r="H138">
        <f t="shared" si="16"/>
        <v>0.56224171550421009</v>
      </c>
      <c r="I138">
        <f t="shared" si="29"/>
        <v>10.554910629370216</v>
      </c>
      <c r="J138">
        <f t="shared" si="29"/>
        <v>0.61232970520312113</v>
      </c>
      <c r="K138">
        <f t="shared" si="24"/>
        <v>11.563554015147405</v>
      </c>
      <c r="L138">
        <f t="shared" si="25"/>
        <v>1.4546043861434146</v>
      </c>
    </row>
    <row r="139" spans="1:12" x14ac:dyDescent="0.25">
      <c r="A139">
        <f t="shared" si="17"/>
        <v>1.1100000000000008</v>
      </c>
      <c r="B139">
        <f t="shared" si="28"/>
        <v>11.671659650707213</v>
      </c>
      <c r="C139">
        <f t="shared" si="28"/>
        <v>0.13075730411339986</v>
      </c>
      <c r="D139">
        <f t="shared" si="19"/>
        <v>83.09885979118755</v>
      </c>
      <c r="E139">
        <f t="shared" si="20"/>
        <v>74.95517153165116</v>
      </c>
      <c r="F139">
        <f t="shared" si="21"/>
        <v>13.628213005754757</v>
      </c>
      <c r="G139">
        <f t="shared" si="22"/>
        <v>1.6343048676244829</v>
      </c>
      <c r="H139">
        <f t="shared" si="16"/>
        <v>0.566091644636179</v>
      </c>
      <c r="I139">
        <f t="shared" si="29"/>
        <v>10.670546169521691</v>
      </c>
      <c r="J139">
        <f t="shared" si="29"/>
        <v>0.62687574906455523</v>
      </c>
      <c r="K139">
        <f t="shared" si="24"/>
        <v>11.57202379184657</v>
      </c>
      <c r="L139">
        <f t="shared" si="25"/>
        <v>1.5218095685346977</v>
      </c>
    </row>
    <row r="140" spans="1:12" x14ac:dyDescent="0.25">
      <c r="A140">
        <f t="shared" si="17"/>
        <v>1.1200000000000008</v>
      </c>
      <c r="B140">
        <f t="shared" si="28"/>
        <v>11.688002699383457</v>
      </c>
      <c r="C140">
        <f t="shared" si="28"/>
        <v>0.13641822055976166</v>
      </c>
      <c r="D140">
        <f t="shared" si="19"/>
        <v>83.331738331484942</v>
      </c>
      <c r="E140">
        <f t="shared" si="20"/>
        <v>75.165227974999425</v>
      </c>
      <c r="F140">
        <f t="shared" si="21"/>
        <v>13.666405086363532</v>
      </c>
      <c r="G140">
        <f t="shared" si="22"/>
        <v>1.5710048502173688</v>
      </c>
      <c r="H140">
        <f t="shared" si="16"/>
        <v>0.56984617620992351</v>
      </c>
      <c r="I140">
        <f t="shared" si="29"/>
        <v>10.786266407440156</v>
      </c>
      <c r="J140">
        <f t="shared" si="29"/>
        <v>0.64209384474990217</v>
      </c>
      <c r="K140">
        <f t="shared" si="24"/>
        <v>11.579414796009464</v>
      </c>
      <c r="L140">
        <f t="shared" si="25"/>
        <v>1.5895156755288931</v>
      </c>
    </row>
    <row r="141" spans="1:12" x14ac:dyDescent="0.25">
      <c r="A141">
        <f t="shared" si="17"/>
        <v>1.1300000000000008</v>
      </c>
      <c r="B141">
        <f t="shared" si="28"/>
        <v>11.70371274788563</v>
      </c>
      <c r="C141">
        <f t="shared" si="28"/>
        <v>0.14211668232186089</v>
      </c>
      <c r="D141">
        <f t="shared" si="19"/>
        <v>83.555904171862565</v>
      </c>
      <c r="E141">
        <f t="shared" si="20"/>
        <v>75.367425563020035</v>
      </c>
      <c r="F141">
        <f t="shared" si="21"/>
        <v>13.703168284185461</v>
      </c>
      <c r="G141">
        <f t="shared" si="22"/>
        <v>1.5076944854630423</v>
      </c>
      <c r="H141">
        <f t="shared" si="16"/>
        <v>0.5735060476212499</v>
      </c>
      <c r="I141">
        <f t="shared" si="29"/>
        <v>10.902060555400251</v>
      </c>
      <c r="J141">
        <f t="shared" si="29"/>
        <v>0.65798900150519113</v>
      </c>
      <c r="K141">
        <f t="shared" si="24"/>
        <v>11.585720711393249</v>
      </c>
      <c r="L141">
        <f t="shared" si="25"/>
        <v>1.6576995151758092</v>
      </c>
    </row>
    <row r="142" spans="1:12" x14ac:dyDescent="0.25">
      <c r="A142">
        <f t="shared" si="17"/>
        <v>1.1400000000000008</v>
      </c>
      <c r="B142">
        <f t="shared" ref="B142:C157" si="30">B141+G141*$A$25</f>
        <v>11.718789692740261</v>
      </c>
      <c r="C142">
        <f t="shared" si="30"/>
        <v>0.14785174279807339</v>
      </c>
      <c r="D142">
        <f t="shared" si="19"/>
        <v>83.771319436231977</v>
      </c>
      <c r="E142">
        <f t="shared" si="20"/>
        <v>75.561730131481241</v>
      </c>
      <c r="F142">
        <f t="shared" si="21"/>
        <v>13.738496387542044</v>
      </c>
      <c r="G142">
        <f t="shared" si="22"/>
        <v>1.4443869707593784</v>
      </c>
      <c r="H142">
        <f t="shared" si="16"/>
        <v>0.57707199629920669</v>
      </c>
      <c r="I142">
        <f t="shared" ref="I142:J157" si="31">I141+K141*$A$25</f>
        <v>11.017917762514184</v>
      </c>
      <c r="J142">
        <f t="shared" si="31"/>
        <v>0.67456599665694927</v>
      </c>
      <c r="K142">
        <f t="shared" si="24"/>
        <v>11.590935677348984</v>
      </c>
      <c r="L142">
        <f t="shared" si="25"/>
        <v>1.7263377381711296</v>
      </c>
    </row>
    <row r="143" spans="1:12" x14ac:dyDescent="0.25">
      <c r="A143">
        <f t="shared" si="17"/>
        <v>1.1500000000000008</v>
      </c>
      <c r="B143">
        <f t="shared" si="30"/>
        <v>11.733233562447854</v>
      </c>
      <c r="C143">
        <f t="shared" si="30"/>
        <v>0.15362246276106545</v>
      </c>
      <c r="D143">
        <f t="shared" si="19"/>
        <v>83.977949596881174</v>
      </c>
      <c r="E143">
        <f t="shared" si="20"/>
        <v>75.748110536386818</v>
      </c>
      <c r="F143">
        <f t="shared" si="21"/>
        <v>13.772383733888512</v>
      </c>
      <c r="G143">
        <f t="shared" si="22"/>
        <v>1.3810953561551822</v>
      </c>
      <c r="H143">
        <f t="shared" si="16"/>
        <v>0.58054475968770392</v>
      </c>
      <c r="I143">
        <f t="shared" si="31"/>
        <v>11.133827119287673</v>
      </c>
      <c r="J143">
        <f t="shared" si="31"/>
        <v>0.69182937403866052</v>
      </c>
      <c r="K143">
        <f t="shared" si="24"/>
        <v>11.595054293418086</v>
      </c>
      <c r="L143">
        <f t="shared" si="25"/>
        <v>1.7954068518415465</v>
      </c>
    </row>
    <row r="144" spans="1:12" x14ac:dyDescent="0.25">
      <c r="A144">
        <f t="shared" si="17"/>
        <v>1.1600000000000008</v>
      </c>
      <c r="B144">
        <f t="shared" si="30"/>
        <v>11.747044516009407</v>
      </c>
      <c r="C144">
        <f t="shared" si="30"/>
        <v>0.15942791035794249</v>
      </c>
      <c r="D144">
        <f t="shared" si="19"/>
        <v>84.175763465275082</v>
      </c>
      <c r="E144">
        <f t="shared" si="20"/>
        <v>75.926538645678121</v>
      </c>
      <c r="F144">
        <f t="shared" si="21"/>
        <v>13.804825208305113</v>
      </c>
      <c r="G144">
        <f t="shared" si="22"/>
        <v>1.3178325424335215</v>
      </c>
      <c r="H144">
        <f t="shared" si="16"/>
        <v>0.58392507522681758</v>
      </c>
      <c r="I144">
        <f t="shared" si="31"/>
        <v>11.249777662221854</v>
      </c>
      <c r="J144">
        <f t="shared" si="31"/>
        <v>0.70978344255707593</v>
      </c>
      <c r="K144">
        <f t="shared" si="24"/>
        <v>11.598071623502683</v>
      </c>
      <c r="L144">
        <f t="shared" si="25"/>
        <v>1.8648832342022159</v>
      </c>
    </row>
    <row r="145" spans="1:12" x14ac:dyDescent="0.25">
      <c r="A145">
        <f t="shared" si="17"/>
        <v>1.1700000000000008</v>
      </c>
      <c r="B145">
        <f t="shared" si="30"/>
        <v>11.760222841433741</v>
      </c>
      <c r="C145">
        <f t="shared" si="30"/>
        <v>0.16526716111021067</v>
      </c>
      <c r="D145">
        <f t="shared" si="19"/>
        <v>84.364733180909738</v>
      </c>
      <c r="E145">
        <f t="shared" si="20"/>
        <v>76.096989329180587</v>
      </c>
      <c r="F145">
        <f t="shared" si="21"/>
        <v>13.835816241669198</v>
      </c>
      <c r="G145">
        <f t="shared" si="22"/>
        <v>1.2546112792119766</v>
      </c>
      <c r="H145">
        <f t="shared" si="16"/>
        <v>0.58721368033352273</v>
      </c>
      <c r="I145">
        <f t="shared" si="31"/>
        <v>11.365758378456881</v>
      </c>
      <c r="J145">
        <f t="shared" si="31"/>
        <v>0.72843227489909812</v>
      </c>
      <c r="K145">
        <f t="shared" si="24"/>
        <v>11.599983199607099</v>
      </c>
      <c r="L145">
        <f t="shared" si="25"/>
        <v>1.934743148072358</v>
      </c>
    </row>
    <row r="146" spans="1:12" x14ac:dyDescent="0.25">
      <c r="A146">
        <f t="shared" si="17"/>
        <v>1.1800000000000008</v>
      </c>
      <c r="B146">
        <f t="shared" si="30"/>
        <v>11.77276895422586</v>
      </c>
      <c r="C146">
        <f t="shared" si="30"/>
        <v>0.1711392979135459</v>
      </c>
      <c r="D146">
        <f t="shared" si="19"/>
        <v>84.544834198246392</v>
      </c>
      <c r="E146">
        <f t="shared" si="20"/>
        <v>76.259440446818246</v>
      </c>
      <c r="F146">
        <f t="shared" si="21"/>
        <v>13.865352808512409</v>
      </c>
      <c r="G146">
        <f t="shared" si="22"/>
        <v>1.191444163062632</v>
      </c>
      <c r="H146">
        <f t="shared" si="16"/>
        <v>0.59041131238164324</v>
      </c>
      <c r="I146">
        <f t="shared" si="31"/>
        <v>11.481758210452952</v>
      </c>
      <c r="J146">
        <f t="shared" si="31"/>
        <v>0.74777970637982172</v>
      </c>
      <c r="K146">
        <f t="shared" si="24"/>
        <v>11.600785025148324</v>
      </c>
      <c r="L146">
        <f t="shared" si="25"/>
        <v>2.0049627552347791</v>
      </c>
    </row>
    <row r="147" spans="1:12" x14ac:dyDescent="0.25">
      <c r="A147">
        <f t="shared" si="17"/>
        <v>1.1900000000000008</v>
      </c>
      <c r="B147">
        <f t="shared" si="30"/>
        <v>11.784683395856486</v>
      </c>
      <c r="C147">
        <f t="shared" si="30"/>
        <v>0.17704341103736235</v>
      </c>
      <c r="D147">
        <f t="shared" si="19"/>
        <v>84.716045271751099</v>
      </c>
      <c r="E147">
        <f t="shared" si="20"/>
        <v>76.413872835119491</v>
      </c>
      <c r="F147">
        <f t="shared" si="21"/>
        <v>13.893431424567181</v>
      </c>
      <c r="G147">
        <f t="shared" si="22"/>
        <v>1.1283436356547063</v>
      </c>
      <c r="H147">
        <f t="shared" si="16"/>
        <v>0.59351870868080536</v>
      </c>
      <c r="I147">
        <f t="shared" si="31"/>
        <v>11.597766060704435</v>
      </c>
      <c r="J147">
        <f t="shared" si="31"/>
        <v>0.76782933393216946</v>
      </c>
      <c r="K147">
        <f t="shared" si="24"/>
        <v>11.600473577833892</v>
      </c>
      <c r="L147">
        <f t="shared" si="25"/>
        <v>2.075518130625051</v>
      </c>
    </row>
    <row r="148" spans="1:12" x14ac:dyDescent="0.25">
      <c r="A148">
        <f t="shared" si="17"/>
        <v>1.2000000000000008</v>
      </c>
      <c r="B148">
        <f t="shared" si="30"/>
        <v>11.795966832213034</v>
      </c>
      <c r="C148">
        <f t="shared" si="30"/>
        <v>0.18297859812417039</v>
      </c>
      <c r="D148">
        <f t="shared" si="19"/>
        <v>84.878348439068702</v>
      </c>
      <c r="E148">
        <f t="shared" si="20"/>
        <v>76.560270292039959</v>
      </c>
      <c r="F148">
        <f t="shared" si="21"/>
        <v>13.920049144007265</v>
      </c>
      <c r="G148">
        <f t="shared" si="22"/>
        <v>1.0653219819226207</v>
      </c>
      <c r="H148">
        <f t="shared" si="16"/>
        <v>0.59653660645422235</v>
      </c>
      <c r="I148">
        <f t="shared" si="31"/>
        <v>11.713770796482773</v>
      </c>
      <c r="J148">
        <f t="shared" si="31"/>
        <v>0.78858451523841999</v>
      </c>
      <c r="K148">
        <f t="shared" si="24"/>
        <v>11.599045812106231</v>
      </c>
      <c r="L148">
        <f t="shared" si="25"/>
        <v>2.1463852765360851</v>
      </c>
    </row>
    <row r="149" spans="1:12" x14ac:dyDescent="0.25">
      <c r="A149">
        <f t="shared" si="17"/>
        <v>1.2100000000000009</v>
      </c>
      <c r="B149">
        <f t="shared" si="30"/>
        <v>11.80662005203226</v>
      </c>
      <c r="C149">
        <f t="shared" si="30"/>
        <v>0.18894396418871262</v>
      </c>
      <c r="D149">
        <f t="shared" si="19"/>
        <v>85.031729002360649</v>
      </c>
      <c r="E149">
        <f t="shared" si="20"/>
        <v>76.698619560129302</v>
      </c>
      <c r="F149">
        <f t="shared" si="21"/>
        <v>13.945203556387145</v>
      </c>
      <c r="G149">
        <f t="shared" si="22"/>
        <v>1.0023913282622707</v>
      </c>
      <c r="H149">
        <f t="shared" si="16"/>
        <v>0.59946574281514509</v>
      </c>
      <c r="I149">
        <f t="shared" si="31"/>
        <v>11.829761254603836</v>
      </c>
      <c r="J149">
        <f t="shared" si="31"/>
        <v>0.81004836800378088</v>
      </c>
      <c r="K149">
        <f t="shared" si="24"/>
        <v>11.596499161153144</v>
      </c>
      <c r="L149">
        <f t="shared" si="25"/>
        <v>2.2175401368238363</v>
      </c>
    </row>
    <row r="150" spans="1:12" x14ac:dyDescent="0.25">
      <c r="A150">
        <f t="shared" si="17"/>
        <v>1.2200000000000009</v>
      </c>
      <c r="B150">
        <f t="shared" si="30"/>
        <v>11.816643965314883</v>
      </c>
      <c r="C150">
        <f t="shared" si="30"/>
        <v>0.19493862161686407</v>
      </c>
      <c r="D150">
        <f t="shared" si="19"/>
        <v>85.176175507837726</v>
      </c>
      <c r="E150">
        <f t="shared" si="20"/>
        <v>76.828910308069638</v>
      </c>
      <c r="F150">
        <f t="shared" si="21"/>
        <v>13.968892783285389</v>
      </c>
      <c r="G150">
        <f t="shared" si="22"/>
        <v>0.93956364075827192</v>
      </c>
      <c r="H150">
        <f t="shared" si="16"/>
        <v>0.60230685474183365</v>
      </c>
      <c r="I150">
        <f t="shared" si="31"/>
        <v>11.945726246215367</v>
      </c>
      <c r="J150">
        <f t="shared" si="31"/>
        <v>0.83222376937201925</v>
      </c>
      <c r="K150">
        <f t="shared" si="24"/>
        <v>11.59283153848464</v>
      </c>
      <c r="L150">
        <f t="shared" si="25"/>
        <v>2.2889586110999294</v>
      </c>
    </row>
    <row r="151" spans="1:12" x14ac:dyDescent="0.25">
      <c r="A151">
        <f t="shared" si="17"/>
        <v>1.2300000000000009</v>
      </c>
      <c r="B151">
        <f t="shared" si="30"/>
        <v>11.826039601722465</v>
      </c>
      <c r="C151">
        <f t="shared" si="30"/>
        <v>0.20096169016428239</v>
      </c>
      <c r="D151">
        <f t="shared" si="19"/>
        <v>85.311679723519902</v>
      </c>
      <c r="E151">
        <f t="shared" si="20"/>
        <v>76.951135110614956</v>
      </c>
      <c r="F151">
        <f t="shared" si="21"/>
        <v>13.991115474657265</v>
      </c>
      <c r="G151">
        <f t="shared" si="22"/>
        <v>0.87685072344482784</v>
      </c>
      <c r="H151">
        <f t="shared" si="16"/>
        <v>0.60506067905091798</v>
      </c>
      <c r="I151">
        <f t="shared" si="31"/>
        <v>12.061654561600212</v>
      </c>
      <c r="J151">
        <f t="shared" si="31"/>
        <v>0.85511335548301859</v>
      </c>
      <c r="K151">
        <f t="shared" si="24"/>
        <v>11.58804133907697</v>
      </c>
      <c r="L151">
        <f t="shared" si="25"/>
        <v>2.3606165688970546</v>
      </c>
    </row>
    <row r="152" spans="1:12" x14ac:dyDescent="0.25">
      <c r="A152">
        <f t="shared" si="17"/>
        <v>1.2400000000000009</v>
      </c>
      <c r="B152">
        <f t="shared" si="30"/>
        <v>11.834808108956913</v>
      </c>
      <c r="C152">
        <f t="shared" si="30"/>
        <v>0.20701229695479156</v>
      </c>
      <c r="D152">
        <f t="shared" si="19"/>
        <v>85.438236615257708</v>
      </c>
      <c r="E152">
        <f t="shared" si="20"/>
        <v>77.065289426962465</v>
      </c>
      <c r="F152">
        <f t="shared" si="21"/>
        <v>14.011870804902266</v>
      </c>
      <c r="G152">
        <f t="shared" si="22"/>
        <v>0.8142642166028542</v>
      </c>
      <c r="H152">
        <f t="shared" si="16"/>
        <v>0.6077279523690482</v>
      </c>
      <c r="I152">
        <f t="shared" si="31"/>
        <v>12.177534974990982</v>
      </c>
      <c r="J152">
        <f t="shared" si="31"/>
        <v>0.87871952117198915</v>
      </c>
      <c r="K152">
        <f t="shared" si="24"/>
        <v>11.582127440085277</v>
      </c>
      <c r="L152">
        <f t="shared" si="25"/>
        <v>2.4324898637930645</v>
      </c>
    </row>
    <row r="153" spans="1:12" x14ac:dyDescent="0.25">
      <c r="A153">
        <f t="shared" si="17"/>
        <v>1.2500000000000009</v>
      </c>
      <c r="B153">
        <f t="shared" si="30"/>
        <v>11.842950751122942</v>
      </c>
      <c r="C153">
        <f t="shared" si="30"/>
        <v>0.21308957647848203</v>
      </c>
      <c r="D153">
        <f t="shared" si="19"/>
        <v>85.555844321049307</v>
      </c>
      <c r="E153">
        <f t="shared" si="20"/>
        <v>77.171371577586484</v>
      </c>
      <c r="F153">
        <f t="shared" si="21"/>
        <v>14.031158468652087</v>
      </c>
      <c r="G153">
        <f t="shared" si="22"/>
        <v>0.75181559509594897</v>
      </c>
      <c r="H153">
        <f t="shared" si="16"/>
        <v>0.61030941110271453</v>
      </c>
      <c r="I153">
        <f t="shared" si="31"/>
        <v>12.293356249391834</v>
      </c>
      <c r="J153">
        <f t="shared" si="31"/>
        <v>0.90304441980991979</v>
      </c>
      <c r="K153">
        <f t="shared" si="24"/>
        <v>11.575089201126849</v>
      </c>
      <c r="L153">
        <f t="shared" si="25"/>
        <v>2.5045543474798175</v>
      </c>
    </row>
    <row r="154" spans="1:12" x14ac:dyDescent="0.25">
      <c r="A154">
        <f t="shared" si="17"/>
        <v>1.2600000000000009</v>
      </c>
      <c r="B154">
        <f t="shared" si="30"/>
        <v>11.850468907073902</v>
      </c>
      <c r="C154">
        <f t="shared" si="30"/>
        <v>0.21919267058950917</v>
      </c>
      <c r="D154">
        <f t="shared" si="19"/>
        <v>85.664504123690435</v>
      </c>
      <c r="E154">
        <f t="shared" si="20"/>
        <v>77.269382719568767</v>
      </c>
      <c r="F154">
        <f t="shared" si="21"/>
        <v>14.04897867628523</v>
      </c>
      <c r="G154">
        <f t="shared" si="22"/>
        <v>0.68951616674767291</v>
      </c>
      <c r="H154">
        <f t="shared" si="16"/>
        <v>0.61280579140617497</v>
      </c>
      <c r="I154">
        <f t="shared" si="31"/>
        <v>12.409107141403103</v>
      </c>
      <c r="J154">
        <f t="shared" si="31"/>
        <v>0.92808996328471793</v>
      </c>
      <c r="K154">
        <f t="shared" si="24"/>
        <v>11.566926464137538</v>
      </c>
      <c r="L154">
        <f t="shared" si="25"/>
        <v>2.576785883762946</v>
      </c>
    </row>
    <row r="155" spans="1:12" x14ac:dyDescent="0.25">
      <c r="A155">
        <f t="shared" si="17"/>
        <v>1.2700000000000009</v>
      </c>
      <c r="B155">
        <f t="shared" si="30"/>
        <v>11.857364068741377</v>
      </c>
      <c r="C155">
        <f t="shared" si="30"/>
        <v>0.22532072850357093</v>
      </c>
      <c r="D155">
        <f t="shared" si="19"/>
        <v>85.764220421794235</v>
      </c>
      <c r="E155">
        <f t="shared" si="20"/>
        <v>77.359326820458392</v>
      </c>
      <c r="F155">
        <f t="shared" si="21"/>
        <v>14.065332149174253</v>
      </c>
      <c r="G155">
        <f t="shared" si="22"/>
        <v>0.62737707076260318</v>
      </c>
      <c r="H155">
        <f t="shared" si="16"/>
        <v>0.61521782914740697</v>
      </c>
      <c r="I155">
        <f t="shared" si="31"/>
        <v>12.524776406044479</v>
      </c>
      <c r="J155">
        <f t="shared" si="31"/>
        <v>0.95385782212234738</v>
      </c>
      <c r="K155">
        <f t="shared" si="24"/>
        <v>11.557639552804451</v>
      </c>
      <c r="L155">
        <f t="shared" si="25"/>
        <v>2.6491603624788791</v>
      </c>
    </row>
    <row r="156" spans="1:12" x14ac:dyDescent="0.25">
      <c r="A156">
        <f t="shared" si="17"/>
        <v>1.2800000000000009</v>
      </c>
      <c r="B156">
        <f t="shared" si="30"/>
        <v>11.863637839449003</v>
      </c>
      <c r="C156">
        <f t="shared" si="30"/>
        <v>0.23147290679504501</v>
      </c>
      <c r="D156">
        <f t="shared" si="19"/>
        <v>85.855000699219786</v>
      </c>
      <c r="E156">
        <f t="shared" si="20"/>
        <v>77.441210630696247</v>
      </c>
      <c r="F156">
        <f t="shared" si="21"/>
        <v>14.080220114672045</v>
      </c>
      <c r="G156">
        <f t="shared" si="22"/>
        <v>0.56540927619350223</v>
      </c>
      <c r="H156">
        <f t="shared" si="16"/>
        <v>0.61754625987202305</v>
      </c>
      <c r="I156">
        <f t="shared" si="31"/>
        <v>12.640352801572524</v>
      </c>
      <c r="J156">
        <f t="shared" si="31"/>
        <v>0.98034942574713613</v>
      </c>
      <c r="K156">
        <f t="shared" si="24"/>
        <v>11.547229271578592</v>
      </c>
      <c r="L156">
        <f t="shared" si="25"/>
        <v>2.7216537133156256</v>
      </c>
    </row>
    <row r="157" spans="1:12" x14ac:dyDescent="0.25">
      <c r="A157">
        <f t="shared" si="17"/>
        <v>1.2900000000000009</v>
      </c>
      <c r="B157">
        <f t="shared" si="30"/>
        <v>11.869291932210938</v>
      </c>
      <c r="C157">
        <f t="shared" si="30"/>
        <v>0.23764836939376524</v>
      </c>
      <c r="D157">
        <f t="shared" si="19"/>
        <v>85.936855492949078</v>
      </c>
      <c r="E157">
        <f t="shared" si="20"/>
        <v>77.515043654640067</v>
      </c>
      <c r="F157">
        <f t="shared" si="21"/>
        <v>14.093644300843648</v>
      </c>
      <c r="G157">
        <f t="shared" si="22"/>
        <v>0.50362358045689182</v>
      </c>
      <c r="H157">
        <f t="shared" ref="H157:H185" si="32">$C$17/B157*(E157/$C$13-COS(C157))</f>
        <v>0.61979181876511091</v>
      </c>
      <c r="I157">
        <f t="shared" si="31"/>
        <v>12.75582509428831</v>
      </c>
      <c r="J157">
        <f t="shared" si="31"/>
        <v>1.0075659628802924</v>
      </c>
      <c r="K157">
        <f t="shared" si="24"/>
        <v>11.535696904271642</v>
      </c>
      <c r="L157">
        <f t="shared" si="25"/>
        <v>2.7942419195240262</v>
      </c>
    </row>
    <row r="158" spans="1:12" x14ac:dyDescent="0.25">
      <c r="A158">
        <f t="shared" ref="A158:A185" si="33">A157+$A$25</f>
        <v>1.3000000000000009</v>
      </c>
      <c r="B158">
        <f t="shared" ref="B158:C173" si="34">B157+G157*$A$25</f>
        <v>11.874328168015508</v>
      </c>
      <c r="C158">
        <f t="shared" si="34"/>
        <v>0.24384628758141635</v>
      </c>
      <c r="D158">
        <f t="shared" ref="D158:D185" si="35">1/2*$C$12*B158^2</f>
        <v>86.009798359453171</v>
      </c>
      <c r="E158">
        <f t="shared" ref="E158:E185" si="36">D158*$C$15*$C$20</f>
        <v>77.580838120226758</v>
      </c>
      <c r="F158">
        <f t="shared" ref="F158:F185" si="37">E158/$C$19</f>
        <v>14.105606930950319</v>
      </c>
      <c r="G158">
        <f t="shared" ref="G158:G185" si="38">$C$17*($C$18-F158/$C$13-SIN(C158))</f>
        <v>0.44203060789923126</v>
      </c>
      <c r="H158">
        <f t="shared" si="32"/>
        <v>0.6219552406109512</v>
      </c>
      <c r="I158">
        <f t="shared" ref="I158:J173" si="39">I157+K157*$A$25</f>
        <v>12.871182063331027</v>
      </c>
      <c r="J158">
        <f t="shared" si="39"/>
        <v>1.0355083820755326</v>
      </c>
      <c r="K158">
        <f t="shared" ref="K158:K185" si="40">B158*COS(C158)</f>
        <v>11.523044212241576</v>
      </c>
      <c r="L158">
        <f t="shared" ref="L158:L185" si="41">B158*SIN(C158)</f>
        <v>2.8669010315063961</v>
      </c>
    </row>
    <row r="159" spans="1:12" x14ac:dyDescent="0.25">
      <c r="A159">
        <f t="shared" si="33"/>
        <v>1.3100000000000009</v>
      </c>
      <c r="B159">
        <f t="shared" si="34"/>
        <v>11.8787484740945</v>
      </c>
      <c r="C159">
        <f t="shared" si="34"/>
        <v>0.25006583998752585</v>
      </c>
      <c r="D159">
        <f t="shared" si="35"/>
        <v>86.073845839589481</v>
      </c>
      <c r="E159">
        <f t="shared" si="36"/>
        <v>77.63860894730972</v>
      </c>
      <c r="F159">
        <f t="shared" si="37"/>
        <v>14.116110717692676</v>
      </c>
      <c r="G159">
        <f t="shared" si="38"/>
        <v>0.38064080841582026</v>
      </c>
      <c r="H159">
        <f t="shared" si="32"/>
        <v>0.62403725975059232</v>
      </c>
      <c r="I159">
        <f t="shared" si="39"/>
        <v>12.986412505453442</v>
      </c>
      <c r="J159">
        <f t="shared" si="39"/>
        <v>1.0641773923905966</v>
      </c>
      <c r="K159">
        <f t="shared" si="40"/>
        <v>11.509273432172385</v>
      </c>
      <c r="L159">
        <f t="shared" si="41"/>
        <v>2.9396071802697179</v>
      </c>
    </row>
    <row r="160" spans="1:12" x14ac:dyDescent="0.25">
      <c r="A160">
        <f t="shared" si="33"/>
        <v>1.320000000000001</v>
      </c>
      <c r="B160">
        <f t="shared" si="34"/>
        <v>11.882554882178658</v>
      </c>
      <c r="C160">
        <f t="shared" si="34"/>
        <v>0.25630621258503178</v>
      </c>
      <c r="D160">
        <f t="shared" si="35"/>
        <v>86.129017422072593</v>
      </c>
      <c r="E160">
        <f t="shared" si="36"/>
        <v>77.688373714709485</v>
      </c>
      <c r="F160">
        <f t="shared" si="37"/>
        <v>14.125158857219906</v>
      </c>
      <c r="G160">
        <f t="shared" si="38"/>
        <v>0.31946445612446556</v>
      </c>
      <c r="H160">
        <f t="shared" si="32"/>
        <v>0.62603861003725669</v>
      </c>
      <c r="I160">
        <f t="shared" si="39"/>
        <v>13.101505239775166</v>
      </c>
      <c r="J160">
        <f t="shared" si="39"/>
        <v>1.0935734641932937</v>
      </c>
      <c r="K160">
        <f t="shared" si="40"/>
        <v>11.494387273453604</v>
      </c>
      <c r="L160">
        <f t="shared" si="41"/>
        <v>3.0123365907308046</v>
      </c>
    </row>
    <row r="161" spans="1:12" x14ac:dyDescent="0.25">
      <c r="A161">
        <f t="shared" si="33"/>
        <v>1.330000000000001</v>
      </c>
      <c r="B161">
        <f t="shared" si="34"/>
        <v>11.885749526739902</v>
      </c>
      <c r="C161">
        <f t="shared" si="34"/>
        <v>0.26256659868540433</v>
      </c>
      <c r="D161">
        <f t="shared" si="35"/>
        <v>86.175335505562657</v>
      </c>
      <c r="E161">
        <f t="shared" si="36"/>
        <v>77.730152626017514</v>
      </c>
      <c r="F161">
        <f t="shared" si="37"/>
        <v>14.132755022912276</v>
      </c>
      <c r="G161">
        <f t="shared" si="38"/>
        <v>0.25851164809584193</v>
      </c>
      <c r="H161">
        <f t="shared" si="32"/>
        <v>0.62796002478957769</v>
      </c>
      <c r="I161">
        <f t="shared" si="39"/>
        <v>13.216449112509702</v>
      </c>
      <c r="J161">
        <f t="shared" si="39"/>
        <v>1.1236968301006018</v>
      </c>
      <c r="K161">
        <f t="shared" si="40"/>
        <v>11.478388915165835</v>
      </c>
      <c r="L161">
        <f t="shared" si="41"/>
        <v>3.0850655948611307</v>
      </c>
    </row>
    <row r="162" spans="1:12" x14ac:dyDescent="0.25">
      <c r="A162">
        <f t="shared" si="33"/>
        <v>1.340000000000001</v>
      </c>
      <c r="B162">
        <f t="shared" si="34"/>
        <v>11.88833464322086</v>
      </c>
      <c r="C162">
        <f t="shared" si="34"/>
        <v>0.26884619893330008</v>
      </c>
      <c r="D162">
        <f t="shared" si="35"/>
        <v>86.212825359415206</v>
      </c>
      <c r="E162">
        <f t="shared" si="36"/>
        <v>77.763968474192524</v>
      </c>
      <c r="F162">
        <f t="shared" si="37"/>
        <v>14.138903358944095</v>
      </c>
      <c r="G162">
        <f t="shared" si="38"/>
        <v>0.19779230314242155</v>
      </c>
      <c r="H162">
        <f t="shared" si="32"/>
        <v>0.62980223674265456</v>
      </c>
      <c r="I162">
        <f t="shared" si="39"/>
        <v>13.33123300166136</v>
      </c>
      <c r="J162">
        <f t="shared" si="39"/>
        <v>1.1545474860492131</v>
      </c>
      <c r="K162">
        <f t="shared" si="40"/>
        <v>11.461282002678983</v>
      </c>
      <c r="L162">
        <f t="shared" si="41"/>
        <v>3.157770644659311</v>
      </c>
    </row>
    <row r="163" spans="1:12" x14ac:dyDescent="0.25">
      <c r="A163">
        <f t="shared" si="33"/>
        <v>1.350000000000001</v>
      </c>
      <c r="B163">
        <f t="shared" si="34"/>
        <v>11.890312566252284</v>
      </c>
      <c r="C163">
        <f t="shared" si="34"/>
        <v>0.27514422130072663</v>
      </c>
      <c r="D163">
        <f t="shared" si="35"/>
        <v>86.241515083137955</v>
      </c>
      <c r="E163">
        <f t="shared" si="36"/>
        <v>77.78984660499043</v>
      </c>
      <c r="F163">
        <f t="shared" si="37"/>
        <v>14.143608473634623</v>
      </c>
      <c r="G163">
        <f t="shared" si="38"/>
        <v>0.13731616066771971</v>
      </c>
      <c r="H163">
        <f t="shared" si="32"/>
        <v>0.63156597799693681</v>
      </c>
      <c r="I163">
        <f t="shared" si="39"/>
        <v>13.445845821688151</v>
      </c>
      <c r="J163">
        <f t="shared" si="39"/>
        <v>1.1861251924958063</v>
      </c>
      <c r="K163">
        <f t="shared" si="40"/>
        <v>11.443070643870261</v>
      </c>
      <c r="L163">
        <f t="shared" si="41"/>
        <v>3.2304283249395351</v>
      </c>
    </row>
    <row r="164" spans="1:12" x14ac:dyDescent="0.25">
      <c r="A164">
        <f t="shared" si="33"/>
        <v>1.360000000000001</v>
      </c>
      <c r="B164">
        <f t="shared" si="34"/>
        <v>11.891685727858961</v>
      </c>
      <c r="C164">
        <f t="shared" si="34"/>
        <v>0.28145988108069597</v>
      </c>
      <c r="D164">
        <f t="shared" si="35"/>
        <v>86.261435564600347</v>
      </c>
      <c r="E164">
        <f t="shared" si="36"/>
        <v>77.807814879269515</v>
      </c>
      <c r="F164">
        <f t="shared" si="37"/>
        <v>14.146875432594458</v>
      </c>
      <c r="G164">
        <f t="shared" si="38"/>
        <v>7.7092779577525153E-2</v>
      </c>
      <c r="H164">
        <f t="shared" si="32"/>
        <v>0.63325197996495119</v>
      </c>
      <c r="I164">
        <f t="shared" si="39"/>
        <v>13.560276528126852</v>
      </c>
      <c r="J164">
        <f t="shared" si="39"/>
        <v>1.2184294757452017</v>
      </c>
      <c r="K164">
        <f t="shared" si="40"/>
        <v>11.423759404969566</v>
      </c>
      <c r="L164">
        <f t="shared" si="41"/>
        <v>3.3030153659245807</v>
      </c>
    </row>
    <row r="165" spans="1:12" x14ac:dyDescent="0.25">
      <c r="A165">
        <f t="shared" si="33"/>
        <v>1.370000000000001</v>
      </c>
      <c r="B165">
        <f t="shared" si="34"/>
        <v>11.892456655654737</v>
      </c>
      <c r="C165">
        <f t="shared" si="34"/>
        <v>0.28779240088034547</v>
      </c>
      <c r="D165">
        <f t="shared" si="35"/>
        <v>86.272620437042249</v>
      </c>
      <c r="E165">
        <f t="shared" si="36"/>
        <v>77.817903634212115</v>
      </c>
      <c r="F165">
        <f t="shared" si="37"/>
        <v>14.148709751674931</v>
      </c>
      <c r="G165">
        <f t="shared" si="38"/>
        <v>1.7131537254693508E-2</v>
      </c>
      <c r="H165">
        <f t="shared" si="32"/>
        <v>0.63486097331588276</v>
      </c>
      <c r="I165">
        <f t="shared" si="39"/>
        <v>13.674514122176548</v>
      </c>
      <c r="J165">
        <f t="shared" si="39"/>
        <v>1.2514596294044475</v>
      </c>
      <c r="K165">
        <f t="shared" si="40"/>
        <v>11.403353306040184</v>
      </c>
      <c r="L165">
        <f t="shared" si="41"/>
        <v>3.3755086556323719</v>
      </c>
    </row>
    <row r="166" spans="1:12" x14ac:dyDescent="0.25">
      <c r="A166">
        <f t="shared" si="33"/>
        <v>1.380000000000001</v>
      </c>
      <c r="B166">
        <f t="shared" si="34"/>
        <v>11.892627971027284</v>
      </c>
      <c r="C166">
        <f t="shared" si="34"/>
        <v>0.29414101061350428</v>
      </c>
      <c r="D166">
        <f t="shared" si="35"/>
        <v>86.275106034928939</v>
      </c>
      <c r="E166">
        <f t="shared" si="36"/>
        <v>77.82014564350591</v>
      </c>
      <c r="F166">
        <f t="shared" si="37"/>
        <v>14.149117389728348</v>
      </c>
      <c r="G166">
        <f t="shared" si="38"/>
        <v>-4.2558371401034023E-2</v>
      </c>
      <c r="H166">
        <f t="shared" si="32"/>
        <v>0.63639368791804052</v>
      </c>
      <c r="I166">
        <f t="shared" si="39"/>
        <v>13.78854765523695</v>
      </c>
      <c r="J166">
        <f t="shared" si="39"/>
        <v>1.2852147159607712</v>
      </c>
      <c r="K166">
        <f t="shared" si="40"/>
        <v>11.381857816103146</v>
      </c>
      <c r="L166">
        <f t="shared" si="41"/>
        <v>3.4478852520454089</v>
      </c>
    </row>
    <row r="167" spans="1:12" x14ac:dyDescent="0.25">
      <c r="A167">
        <f t="shared" si="33"/>
        <v>1.390000000000001</v>
      </c>
      <c r="B167">
        <f t="shared" si="34"/>
        <v>11.892202387313274</v>
      </c>
      <c r="C167">
        <f t="shared" si="34"/>
        <v>0.30050494749268469</v>
      </c>
      <c r="D167">
        <f t="shared" si="35"/>
        <v>86.268931348699923</v>
      </c>
      <c r="E167">
        <f t="shared" si="36"/>
        <v>77.814576076527345</v>
      </c>
      <c r="F167">
        <f t="shared" si="37"/>
        <v>14.14810474118679</v>
      </c>
      <c r="G167">
        <f t="shared" si="38"/>
        <v>-0.10196793486680256</v>
      </c>
      <c r="H167">
        <f t="shared" si="32"/>
        <v>0.63785085277923392</v>
      </c>
      <c r="I167">
        <f t="shared" si="39"/>
        <v>13.902366233397982</v>
      </c>
      <c r="J167">
        <f t="shared" si="39"/>
        <v>1.3196935684812252</v>
      </c>
      <c r="K167">
        <f t="shared" si="40"/>
        <v>11.359278847914048</v>
      </c>
      <c r="L167">
        <f t="shared" si="41"/>
        <v>3.5201223950527711</v>
      </c>
    </row>
    <row r="168" spans="1:12" x14ac:dyDescent="0.25">
      <c r="A168">
        <f t="shared" si="33"/>
        <v>1.400000000000001</v>
      </c>
      <c r="B168">
        <f t="shared" si="34"/>
        <v>11.891182707964607</v>
      </c>
      <c r="C168">
        <f t="shared" si="34"/>
        <v>0.30688345602047701</v>
      </c>
      <c r="D168">
        <f t="shared" si="35"/>
        <v>86.254137978459852</v>
      </c>
      <c r="E168">
        <f t="shared" si="36"/>
        <v>77.801232456570787</v>
      </c>
      <c r="F168">
        <f t="shared" si="37"/>
        <v>14.145678628467415</v>
      </c>
      <c r="G168">
        <f t="shared" si="38"/>
        <v>-0.16108832582273899</v>
      </c>
      <c r="H168">
        <f t="shared" si="32"/>
        <v>0.63923319598509398</v>
      </c>
      <c r="I168">
        <f t="shared" si="39"/>
        <v>14.015959021877123</v>
      </c>
      <c r="J168">
        <f t="shared" si="39"/>
        <v>1.3548947924317529</v>
      </c>
      <c r="K168">
        <f t="shared" si="40"/>
        <v>11.335622752401356</v>
      </c>
      <c r="L168">
        <f t="shared" si="41"/>
        <v>3.5921975181547583</v>
      </c>
    </row>
    <row r="169" spans="1:12" x14ac:dyDescent="0.25">
      <c r="A169">
        <f t="shared" si="33"/>
        <v>1.410000000000001</v>
      </c>
      <c r="B169">
        <f t="shared" si="34"/>
        <v>11.88957182470638</v>
      </c>
      <c r="C169">
        <f t="shared" si="34"/>
        <v>0.31327578798032796</v>
      </c>
      <c r="D169">
        <f t="shared" si="35"/>
        <v>86.230770086659589</v>
      </c>
      <c r="E169">
        <f t="shared" si="36"/>
        <v>77.780154618166947</v>
      </c>
      <c r="F169">
        <f t="shared" si="37"/>
        <v>14.141846294212172</v>
      </c>
      <c r="G169">
        <f t="shared" si="38"/>
        <v>-0.21991090190919829</v>
      </c>
      <c r="H169">
        <f t="shared" si="32"/>
        <v>0.6405414446353791</v>
      </c>
      <c r="I169">
        <f t="shared" si="39"/>
        <v>14.129315249401136</v>
      </c>
      <c r="J169">
        <f t="shared" si="39"/>
        <v>1.3908167676133005</v>
      </c>
      <c r="K169">
        <f t="shared" si="40"/>
        <v>11.310896312775718</v>
      </c>
      <c r="L169">
        <f t="shared" si="41"/>
        <v>3.6640882599206686</v>
      </c>
    </row>
    <row r="170" spans="1:12" x14ac:dyDescent="0.25">
      <c r="A170">
        <f t="shared" si="33"/>
        <v>1.420000000000001</v>
      </c>
      <c r="B170">
        <f t="shared" si="34"/>
        <v>11.887372715687288</v>
      </c>
      <c r="C170">
        <f t="shared" si="34"/>
        <v>0.31968120242668174</v>
      </c>
      <c r="D170">
        <f t="shared" si="35"/>
        <v>86.198874349816606</v>
      </c>
      <c r="E170">
        <f t="shared" si="36"/>
        <v>77.75138466353458</v>
      </c>
      <c r="F170">
        <f t="shared" si="37"/>
        <v>14.136615393369924</v>
      </c>
      <c r="G170">
        <f t="shared" si="38"/>
        <v>-0.2784272064140762</v>
      </c>
      <c r="H170">
        <f t="shared" si="32"/>
        <v>0.64177632477830582</v>
      </c>
      <c r="I170">
        <f t="shared" si="39"/>
        <v>14.242424212528894</v>
      </c>
      <c r="J170">
        <f t="shared" si="39"/>
        <v>1.4274576502125071</v>
      </c>
      <c r="K170">
        <f t="shared" si="40"/>
        <v>11.285106738319985</v>
      </c>
      <c r="L170">
        <f t="shared" si="41"/>
        <v>3.7357724751905677</v>
      </c>
    </row>
    <row r="171" spans="1:12" x14ac:dyDescent="0.25">
      <c r="A171">
        <f t="shared" si="33"/>
        <v>1.430000000000001</v>
      </c>
      <c r="B171">
        <f t="shared" si="34"/>
        <v>11.884588443623148</v>
      </c>
      <c r="C171">
        <f t="shared" si="34"/>
        <v>0.32609896567446478</v>
      </c>
      <c r="D171">
        <f t="shared" si="35"/>
        <v>86.158499909323538</v>
      </c>
      <c r="E171">
        <f t="shared" si="36"/>
        <v>77.714966918209825</v>
      </c>
      <c r="F171">
        <f t="shared" si="37"/>
        <v>14.12999398512906</v>
      </c>
      <c r="G171">
        <f t="shared" si="38"/>
        <v>-0.33662896888922733</v>
      </c>
      <c r="H171">
        <f t="shared" si="32"/>
        <v>0.64293856134295291</v>
      </c>
      <c r="I171">
        <f t="shared" si="39"/>
        <v>14.355275279912094</v>
      </c>
      <c r="J171">
        <f t="shared" si="39"/>
        <v>1.4648153749644128</v>
      </c>
      <c r="K171">
        <f t="shared" si="40"/>
        <v>11.258261657870033</v>
      </c>
      <c r="L171">
        <f t="shared" si="41"/>
        <v>3.8072282460123641</v>
      </c>
    </row>
    <row r="172" spans="1:12" x14ac:dyDescent="0.25">
      <c r="A172">
        <f t="shared" si="33"/>
        <v>1.4400000000000011</v>
      </c>
      <c r="B172">
        <f t="shared" si="34"/>
        <v>11.881222153934255</v>
      </c>
      <c r="C172">
        <f t="shared" si="34"/>
        <v>0.33252835128789432</v>
      </c>
      <c r="D172">
        <f t="shared" si="35"/>
        <v>86.109698321394262</v>
      </c>
      <c r="E172">
        <f t="shared" si="36"/>
        <v>77.670947885897633</v>
      </c>
      <c r="F172">
        <f t="shared" si="37"/>
        <v>14.121990524708661</v>
      </c>
      <c r="G172">
        <f t="shared" si="38"/>
        <v>-0.3945081056951249</v>
      </c>
      <c r="H172">
        <f t="shared" si="32"/>
        <v>0.64402887806978693</v>
      </c>
      <c r="I172">
        <f t="shared" si="39"/>
        <v>14.467857896490795</v>
      </c>
      <c r="J172">
        <f t="shared" si="39"/>
        <v>1.5028876574245364</v>
      </c>
      <c r="K172">
        <f t="shared" si="40"/>
        <v>11.230369112996732</v>
      </c>
      <c r="L172">
        <f t="shared" si="41"/>
        <v>3.8784338923059081</v>
      </c>
    </row>
    <row r="173" spans="1:12" x14ac:dyDescent="0.25">
      <c r="A173">
        <f t="shared" si="33"/>
        <v>1.4500000000000011</v>
      </c>
      <c r="B173">
        <f t="shared" si="34"/>
        <v>11.877277072877304</v>
      </c>
      <c r="C173">
        <f t="shared" si="34"/>
        <v>0.33896864006859218</v>
      </c>
      <c r="D173">
        <f t="shared" si="35"/>
        <v>86.052523506197076</v>
      </c>
      <c r="E173">
        <f t="shared" si="36"/>
        <v>77.619376202589763</v>
      </c>
      <c r="F173">
        <f t="shared" si="37"/>
        <v>14.11261385501632</v>
      </c>
      <c r="G173">
        <f t="shared" si="38"/>
        <v>-0.4520567204729718</v>
      </c>
      <c r="H173">
        <f t="shared" si="32"/>
        <v>0.64504799743936236</v>
      </c>
      <c r="I173">
        <f t="shared" si="39"/>
        <v>14.580161587620763</v>
      </c>
      <c r="J173">
        <f t="shared" si="39"/>
        <v>1.5416719963475956</v>
      </c>
      <c r="K173">
        <f t="shared" si="40"/>
        <v>11.201437550899657</v>
      </c>
      <c r="L173">
        <f t="shared" si="41"/>
        <v>3.9493679822462684</v>
      </c>
    </row>
    <row r="174" spans="1:12" x14ac:dyDescent="0.25">
      <c r="A174">
        <f t="shared" si="33"/>
        <v>1.4600000000000011</v>
      </c>
      <c r="B174">
        <f t="shared" ref="B174:C185" si="42">B173+G173*$A$25</f>
        <v>11.872756505672573</v>
      </c>
      <c r="C174">
        <f t="shared" si="42"/>
        <v>0.34541912004298581</v>
      </c>
      <c r="D174">
        <f t="shared" si="35"/>
        <v>85.98703169622415</v>
      </c>
      <c r="E174">
        <f t="shared" si="36"/>
        <v>77.560302589994194</v>
      </c>
      <c r="F174">
        <f t="shared" si="37"/>
        <v>14.101873198180762</v>
      </c>
      <c r="G174">
        <f t="shared" si="38"/>
        <v>-0.50926710454361956</v>
      </c>
      <c r="H174">
        <f t="shared" si="32"/>
        <v>0.64599664059925177</v>
      </c>
      <c r="I174">
        <f t="shared" ref="I174:J185" si="43">I173+K173*$A$25</f>
        <v>14.69217596312976</v>
      </c>
      <c r="J174">
        <f t="shared" si="43"/>
        <v>1.5811656761700583</v>
      </c>
      <c r="K174">
        <f t="shared" si="40"/>
        <v>11.171475817023396</v>
      </c>
      <c r="L174">
        <f t="shared" si="41"/>
        <v>4.0200093423587795</v>
      </c>
    </row>
    <row r="175" spans="1:12" x14ac:dyDescent="0.25">
      <c r="A175">
        <f t="shared" si="33"/>
        <v>1.4700000000000011</v>
      </c>
      <c r="B175">
        <f t="shared" si="42"/>
        <v>11.867663834627137</v>
      </c>
      <c r="C175">
        <f t="shared" si="42"/>
        <v>0.35187908644897831</v>
      </c>
      <c r="D175">
        <f t="shared" si="35"/>
        <v>85.913281383947307</v>
      </c>
      <c r="E175">
        <f t="shared" si="36"/>
        <v>77.493779808320483</v>
      </c>
      <c r="F175">
        <f t="shared" si="37"/>
        <v>14.08977814696736</v>
      </c>
      <c r="G175">
        <f t="shared" si="38"/>
        <v>-0.5661317372327086</v>
      </c>
      <c r="H175">
        <f t="shared" si="32"/>
        <v>0.64687552728925879</v>
      </c>
      <c r="I175">
        <f t="shared" si="43"/>
        <v>14.803890721299993</v>
      </c>
      <c r="J175">
        <f t="shared" si="43"/>
        <v>1.6213657695936461</v>
      </c>
      <c r="K175">
        <f t="shared" si="40"/>
        <v>11.140493147407515</v>
      </c>
      <c r="L175">
        <f t="shared" si="41"/>
        <v>4.090337067318913</v>
      </c>
    </row>
    <row r="176" spans="1:12" x14ac:dyDescent="0.25">
      <c r="A176">
        <f t="shared" si="33"/>
        <v>1.4800000000000011</v>
      </c>
      <c r="B176">
        <f t="shared" si="42"/>
        <v>11.86200251725481</v>
      </c>
      <c r="C176">
        <f t="shared" si="42"/>
        <v>0.3583478417218709</v>
      </c>
      <c r="D176">
        <f t="shared" si="35"/>
        <v>85.83133326880926</v>
      </c>
      <c r="E176">
        <f t="shared" si="36"/>
        <v>77.419862608465962</v>
      </c>
      <c r="F176">
        <f t="shared" si="37"/>
        <v>14.076338656084721</v>
      </c>
      <c r="G176">
        <f t="shared" si="38"/>
        <v>-0.62264328612157482</v>
      </c>
      <c r="H176">
        <f t="shared" si="32"/>
        <v>0.64768537576498209</v>
      </c>
      <c r="I176">
        <f t="shared" si="43"/>
        <v>14.915295652774068</v>
      </c>
      <c r="J176">
        <f t="shared" si="43"/>
        <v>1.6622691402668353</v>
      </c>
      <c r="K176">
        <f t="shared" si="40"/>
        <v>11.108499160781442</v>
      </c>
      <c r="L176">
        <f t="shared" si="41"/>
        <v>4.1603305294504525</v>
      </c>
    </row>
    <row r="177" spans="1:12" x14ac:dyDescent="0.25">
      <c r="A177">
        <f t="shared" si="33"/>
        <v>1.4900000000000011</v>
      </c>
      <c r="B177">
        <f t="shared" si="42"/>
        <v>11.855776084393595</v>
      </c>
      <c r="C177">
        <f t="shared" si="42"/>
        <v>0.36482469547952073</v>
      </c>
      <c r="D177">
        <f t="shared" si="35"/>
        <v>85.741250203600259</v>
      </c>
      <c r="E177">
        <f t="shared" si="36"/>
        <v>77.338607683647439</v>
      </c>
      <c r="F177">
        <f t="shared" si="37"/>
        <v>14.061565033390444</v>
      </c>
      <c r="G177">
        <f t="shared" si="38"/>
        <v>-0.678794607223554</v>
      </c>
      <c r="H177">
        <f t="shared" si="32"/>
        <v>0.6484269027197832</v>
      </c>
      <c r="I177">
        <f t="shared" si="43"/>
        <v>15.026380644381883</v>
      </c>
      <c r="J177">
        <f t="shared" si="43"/>
        <v>1.7038724455613399</v>
      </c>
      <c r="K177">
        <f t="shared" si="40"/>
        <v>11.075503850415709</v>
      </c>
      <c r="L177">
        <f t="shared" si="41"/>
        <v>4.2299693879159355</v>
      </c>
    </row>
    <row r="178" spans="1:12" x14ac:dyDescent="0.25">
      <c r="A178">
        <f t="shared" si="33"/>
        <v>1.5000000000000011</v>
      </c>
      <c r="B178">
        <f t="shared" si="42"/>
        <v>11.84898813832136</v>
      </c>
      <c r="C178">
        <f t="shared" si="42"/>
        <v>0.37130896450671858</v>
      </c>
      <c r="D178">
        <f t="shared" si="35"/>
        <v>85.643097140268978</v>
      </c>
      <c r="E178">
        <f t="shared" si="36"/>
        <v>77.250073620522613</v>
      </c>
      <c r="F178">
        <f t="shared" si="37"/>
        <v>14.045467931004112</v>
      </c>
      <c r="G178">
        <f t="shared" si="38"/>
        <v>-0.73457874508540522</v>
      </c>
      <c r="H178">
        <f t="shared" si="32"/>
        <v>0.64910082320522233</v>
      </c>
      <c r="I178">
        <f t="shared" si="43"/>
        <v>15.13713568288604</v>
      </c>
      <c r="J178">
        <f t="shared" si="43"/>
        <v>1.7461721394404992</v>
      </c>
      <c r="K178">
        <f t="shared" si="40"/>
        <v>11.041517575741175</v>
      </c>
      <c r="L178">
        <f t="shared" si="41"/>
        <v>4.2992335975937648</v>
      </c>
    </row>
    <row r="179" spans="1:12" x14ac:dyDescent="0.25">
      <c r="A179">
        <f t="shared" si="33"/>
        <v>1.5100000000000011</v>
      </c>
      <c r="B179">
        <f t="shared" si="42"/>
        <v>11.841642350870506</v>
      </c>
      <c r="C179">
        <f t="shared" si="42"/>
        <v>0.37779997273877081</v>
      </c>
      <c r="D179">
        <f t="shared" si="35"/>
        <v>85.536941075217285</v>
      </c>
      <c r="E179">
        <f t="shared" si="36"/>
        <v>77.154320849845988</v>
      </c>
      <c r="F179">
        <f t="shared" si="37"/>
        <v>14.028058336335635</v>
      </c>
      <c r="G179">
        <f t="shared" si="38"/>
        <v>-0.78998893281368809</v>
      </c>
      <c r="H179">
        <f t="shared" si="32"/>
        <v>0.64970785055003011</v>
      </c>
      <c r="I179">
        <f t="shared" si="43"/>
        <v>15.247550858643452</v>
      </c>
      <c r="J179">
        <f t="shared" si="43"/>
        <v>1.7891644754164369</v>
      </c>
      <c r="K179">
        <f t="shared" si="40"/>
        <v>11.006551053747909</v>
      </c>
      <c r="L179">
        <f t="shared" si="41"/>
        <v>4.3681034176368527</v>
      </c>
    </row>
    <row r="180" spans="1:12" x14ac:dyDescent="0.25">
      <c r="A180">
        <f t="shared" si="33"/>
        <v>1.5200000000000011</v>
      </c>
      <c r="B180">
        <f t="shared" si="42"/>
        <v>11.83374246154237</v>
      </c>
      <c r="C180">
        <f t="shared" si="42"/>
        <v>0.3842970512442711</v>
      </c>
      <c r="D180">
        <f t="shared" si="35"/>
        <v>85.422850994127629</v>
      </c>
      <c r="E180">
        <f t="shared" si="36"/>
        <v>77.051411596703133</v>
      </c>
      <c r="F180">
        <f t="shared" si="37"/>
        <v>14.009347563036933</v>
      </c>
      <c r="G180">
        <f t="shared" si="38"/>
        <v>-0.84501859202601981</v>
      </c>
      <c r="H180">
        <f t="shared" si="32"/>
        <v>0.6502486962776749</v>
      </c>
      <c r="I180">
        <f t="shared" si="43"/>
        <v>15.357616369180931</v>
      </c>
      <c r="J180">
        <f t="shared" si="43"/>
        <v>1.8328455095928053</v>
      </c>
      <c r="K180">
        <f t="shared" si="40"/>
        <v>10.970615350175652</v>
      </c>
      <c r="L180">
        <f t="shared" si="41"/>
        <v>4.4365594197081606</v>
      </c>
    </row>
    <row r="181" spans="1:12" x14ac:dyDescent="0.25">
      <c r="A181">
        <f t="shared" si="33"/>
        <v>1.5300000000000011</v>
      </c>
      <c r="B181">
        <f t="shared" si="42"/>
        <v>11.825292275622109</v>
      </c>
      <c r="C181">
        <f t="shared" si="42"/>
        <v>0.39079953820704783</v>
      </c>
      <c r="D181">
        <f t="shared" si="35"/>
        <v>85.300897816371631</v>
      </c>
      <c r="E181">
        <f t="shared" si="36"/>
        <v>76.941409830367206</v>
      </c>
      <c r="F181">
        <f t="shared" si="37"/>
        <v>13.989347241884946</v>
      </c>
      <c r="G181">
        <f t="shared" si="38"/>
        <v>-0.89966133272721693</v>
      </c>
      <c r="H181">
        <f t="shared" si="32"/>
        <v>0.65072407002259181</v>
      </c>
      <c r="I181">
        <f t="shared" si="43"/>
        <v>15.467322522682688</v>
      </c>
      <c r="J181">
        <f t="shared" si="43"/>
        <v>1.8772111037898869</v>
      </c>
      <c r="K181">
        <f t="shared" si="40"/>
        <v>10.933721870507741</v>
      </c>
      <c r="L181">
        <f t="shared" si="41"/>
        <v>4.5045824958888971</v>
      </c>
    </row>
    <row r="182" spans="1:12" x14ac:dyDescent="0.25">
      <c r="A182">
        <f t="shared" si="33"/>
        <v>1.5400000000000011</v>
      </c>
      <c r="B182">
        <f t="shared" si="42"/>
        <v>11.816295662294838</v>
      </c>
      <c r="C182">
        <f t="shared" si="42"/>
        <v>0.39730677890727373</v>
      </c>
      <c r="D182">
        <f t="shared" si="35"/>
        <v>85.171154339048357</v>
      </c>
      <c r="E182">
        <f t="shared" si="36"/>
        <v>76.824381213821624</v>
      </c>
      <c r="F182">
        <f t="shared" si="37"/>
        <v>13.968069311603932</v>
      </c>
      <c r="G182">
        <f t="shared" si="38"/>
        <v>-0.95391095311045115</v>
      </c>
      <c r="H182">
        <f t="shared" si="32"/>
        <v>0.65113467944514558</v>
      </c>
      <c r="I182">
        <f t="shared" si="43"/>
        <v>15.576659741387765</v>
      </c>
      <c r="J182">
        <f t="shared" si="43"/>
        <v>1.9222569287487759</v>
      </c>
      <c r="K182">
        <f t="shared" si="40"/>
        <v>10.895882350780557</v>
      </c>
      <c r="L182">
        <f t="shared" si="41"/>
        <v>4.5721538662556576</v>
      </c>
    </row>
    <row r="183" spans="1:12" x14ac:dyDescent="0.25">
      <c r="A183">
        <f t="shared" si="33"/>
        <v>1.5500000000000012</v>
      </c>
      <c r="B183">
        <f t="shared" si="42"/>
        <v>11.806756552763733</v>
      </c>
      <c r="C183">
        <f t="shared" si="42"/>
        <v>0.40381812570172521</v>
      </c>
      <c r="D183">
        <f t="shared" si="35"/>
        <v>85.033695180699894</v>
      </c>
      <c r="E183">
        <f t="shared" si="36"/>
        <v>76.700393052991302</v>
      </c>
      <c r="F183">
        <f t="shared" si="37"/>
        <v>13.945526009634783</v>
      </c>
      <c r="G183">
        <f t="shared" si="38"/>
        <v>-1.0077614392835932</v>
      </c>
      <c r="H183">
        <f t="shared" si="32"/>
        <v>0.65148123014537818</v>
      </c>
      <c r="I183">
        <f t="shared" si="43"/>
        <v>15.68561856489557</v>
      </c>
      <c r="J183">
        <f t="shared" si="43"/>
        <v>1.9679784674113325</v>
      </c>
      <c r="K183">
        <f t="shared" si="40"/>
        <v>10.857108848220557</v>
      </c>
      <c r="L183">
        <f t="shared" si="41"/>
        <v>4.6392550861232298</v>
      </c>
    </row>
    <row r="184" spans="1:12" x14ac:dyDescent="0.25">
      <c r="A184">
        <f t="shared" si="33"/>
        <v>1.5600000000000012</v>
      </c>
      <c r="B184">
        <f t="shared" si="42"/>
        <v>11.796678938370897</v>
      </c>
      <c r="C184">
        <f t="shared" si="42"/>
        <v>0.41033293800317899</v>
      </c>
      <c r="D184">
        <f t="shared" si="35"/>
        <v>84.888596724752148</v>
      </c>
      <c r="E184">
        <f t="shared" si="36"/>
        <v>76.569514245726438</v>
      </c>
      <c r="F184">
        <f t="shared" si="37"/>
        <v>13.921729862859353</v>
      </c>
      <c r="G184">
        <f t="shared" si="38"/>
        <v>-1.0612069649210694</v>
      </c>
      <c r="H184">
        <f t="shared" si="32"/>
        <v>0.65176442557562952</v>
      </c>
      <c r="I184">
        <f t="shared" si="43"/>
        <v>15.794189653377776</v>
      </c>
      <c r="J184">
        <f t="shared" si="43"/>
        <v>2.0143710182725649</v>
      </c>
      <c r="K184">
        <f t="shared" si="40"/>
        <v>10.817413731720992</v>
      </c>
      <c r="L184">
        <f t="shared" si="41"/>
        <v>4.7058680529502377</v>
      </c>
    </row>
    <row r="185" spans="1:12" x14ac:dyDescent="0.25">
      <c r="A185">
        <f t="shared" si="33"/>
        <v>1.5700000000000012</v>
      </c>
      <c r="B185">
        <f t="shared" si="42"/>
        <v>11.786066868721687</v>
      </c>
      <c r="C185">
        <f t="shared" si="42"/>
        <v>0.41685058225893529</v>
      </c>
      <c r="D185">
        <f t="shared" si="35"/>
        <v>84.735937062727203</v>
      </c>
      <c r="E185">
        <f t="shared" si="36"/>
        <v>76.431815230579943</v>
      </c>
      <c r="F185">
        <f t="shared" si="37"/>
        <v>13.896693678287262</v>
      </c>
      <c r="G185">
        <f t="shared" si="38"/>
        <v>-1.1142418908415768</v>
      </c>
      <c r="H185">
        <f t="shared" si="32"/>
        <v>0.6519849669520732</v>
      </c>
      <c r="I185">
        <f t="shared" si="43"/>
        <v>15.902363790694986</v>
      </c>
      <c r="J185">
        <f t="shared" si="43"/>
        <v>2.0614296988020673</v>
      </c>
      <c r="K185">
        <f t="shared" si="40"/>
        <v>10.776809672170456</v>
      </c>
      <c r="L185">
        <f t="shared" si="41"/>
        <v>4.7719750129052745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>
      <selection activeCell="I24" sqref="I24"/>
    </sheetView>
  </sheetViews>
  <sheetFormatPr defaultRowHeight="15" x14ac:dyDescent="0.25"/>
  <sheetData>
    <row r="1" spans="1:12" x14ac:dyDescent="0.25">
      <c r="A1" t="s">
        <v>148</v>
      </c>
    </row>
    <row r="3" spans="1:12" ht="24" x14ac:dyDescent="0.25">
      <c r="A3" s="7" t="s">
        <v>66</v>
      </c>
      <c r="B3" s="34">
        <v>1.5E-5</v>
      </c>
      <c r="C3" t="s">
        <v>67</v>
      </c>
      <c r="F3" t="s">
        <v>181</v>
      </c>
    </row>
    <row r="4" spans="1:12" x14ac:dyDescent="0.25">
      <c r="A4" t="s">
        <v>2</v>
      </c>
      <c r="B4" s="30">
        <v>1.2250000000000001</v>
      </c>
      <c r="C4" t="s">
        <v>3</v>
      </c>
    </row>
    <row r="5" spans="1:12" x14ac:dyDescent="0.25">
      <c r="A5" t="s">
        <v>0</v>
      </c>
      <c r="B5" s="30">
        <v>20</v>
      </c>
      <c r="C5" t="s">
        <v>1</v>
      </c>
    </row>
    <row r="6" spans="1:12" x14ac:dyDescent="0.25">
      <c r="A6" t="s">
        <v>15</v>
      </c>
      <c r="B6" s="30">
        <f>1/2*B4*B5^2</f>
        <v>245.00000000000003</v>
      </c>
      <c r="C6" t="s">
        <v>17</v>
      </c>
      <c r="G6" t="s">
        <v>0</v>
      </c>
      <c r="H6">
        <v>20</v>
      </c>
      <c r="I6" t="s">
        <v>174</v>
      </c>
    </row>
    <row r="7" spans="1:12" x14ac:dyDescent="0.25">
      <c r="A7" t="s">
        <v>41</v>
      </c>
      <c r="B7" s="30">
        <v>20000</v>
      </c>
      <c r="C7" t="s">
        <v>39</v>
      </c>
      <c r="G7" t="s">
        <v>15</v>
      </c>
      <c r="H7">
        <f>1/2*B4*H6^2</f>
        <v>245.00000000000003</v>
      </c>
      <c r="I7" t="s">
        <v>17</v>
      </c>
    </row>
    <row r="8" spans="1:12" x14ac:dyDescent="0.25">
      <c r="A8" t="s">
        <v>4</v>
      </c>
      <c r="B8" s="30">
        <v>6.64</v>
      </c>
      <c r="G8" t="s">
        <v>177</v>
      </c>
      <c r="H8">
        <v>45</v>
      </c>
      <c r="I8" t="s">
        <v>17</v>
      </c>
    </row>
    <row r="9" spans="1:12" x14ac:dyDescent="0.25">
      <c r="A9" t="s">
        <v>5</v>
      </c>
      <c r="B9" s="30">
        <v>0.9</v>
      </c>
      <c r="G9" t="s">
        <v>37</v>
      </c>
      <c r="H9" s="3">
        <v>0.82</v>
      </c>
      <c r="I9" t="s">
        <v>11</v>
      </c>
    </row>
    <row r="10" spans="1:12" x14ac:dyDescent="0.25">
      <c r="A10" t="s">
        <v>6</v>
      </c>
      <c r="B10" s="30">
        <v>3.7499999999999999E-2</v>
      </c>
      <c r="G10" t="s">
        <v>12</v>
      </c>
      <c r="H10" s="3">
        <f>H8/(H7*H9)</f>
        <v>0.22399203583872573</v>
      </c>
    </row>
    <row r="11" spans="1:12" x14ac:dyDescent="0.25">
      <c r="B11" s="6"/>
      <c r="G11" t="s">
        <v>175</v>
      </c>
      <c r="H11" s="3">
        <v>3.7499999999999999E-2</v>
      </c>
    </row>
    <row r="12" spans="1:12" x14ac:dyDescent="0.25">
      <c r="B12" s="6"/>
      <c r="G12" t="s">
        <v>176</v>
      </c>
      <c r="H12" s="3">
        <f>H10^2/(PI()*B4*B5)</f>
        <v>6.5185229213955882E-4</v>
      </c>
    </row>
    <row r="13" spans="1:12" x14ac:dyDescent="0.25">
      <c r="G13" t="s">
        <v>13</v>
      </c>
      <c r="H13" s="3">
        <f>H11+H12</f>
        <v>3.8151852292139556E-2</v>
      </c>
    </row>
    <row r="14" spans="1:12" x14ac:dyDescent="0.25">
      <c r="H14" s="3"/>
    </row>
    <row r="15" spans="1:12" x14ac:dyDescent="0.25">
      <c r="G15" t="s">
        <v>127</v>
      </c>
      <c r="H15" s="3">
        <f>H13*H7*H9</f>
        <v>7.6647071254908363</v>
      </c>
      <c r="I15" t="s">
        <v>9</v>
      </c>
      <c r="L15" s="32"/>
    </row>
    <row r="17" spans="2:14" x14ac:dyDescent="0.25">
      <c r="G17" t="s">
        <v>178</v>
      </c>
      <c r="I17">
        <v>25</v>
      </c>
      <c r="J17" t="s">
        <v>100</v>
      </c>
    </row>
    <row r="18" spans="2:14" x14ac:dyDescent="0.25">
      <c r="G18" t="s">
        <v>179</v>
      </c>
      <c r="I18">
        <f>0.75*4.5/I17</f>
        <v>0.13500000000000001</v>
      </c>
      <c r="J18" t="s">
        <v>112</v>
      </c>
      <c r="K18">
        <f>I18*60</f>
        <v>8.1000000000000014</v>
      </c>
      <c r="L18" t="s">
        <v>113</v>
      </c>
      <c r="M18">
        <f>K18*30</f>
        <v>243.00000000000006</v>
      </c>
      <c r="N18" t="s">
        <v>147</v>
      </c>
    </row>
    <row r="19" spans="2:14" x14ac:dyDescent="0.25">
      <c r="B19" s="32"/>
    </row>
    <row r="20" spans="2:14" x14ac:dyDescent="0.25">
      <c r="G20" t="s">
        <v>180</v>
      </c>
      <c r="I20">
        <f>B1*M18</f>
        <v>0</v>
      </c>
      <c r="J20" t="s">
        <v>39</v>
      </c>
      <c r="K20">
        <f>I20/1000</f>
        <v>0</v>
      </c>
      <c r="L20" t="s">
        <v>123</v>
      </c>
    </row>
    <row r="21" spans="2:14" x14ac:dyDescent="0.25">
      <c r="G21" t="s">
        <v>178</v>
      </c>
      <c r="I21">
        <v>25</v>
      </c>
      <c r="J21" t="s">
        <v>100</v>
      </c>
    </row>
    <row r="22" spans="2:14" x14ac:dyDescent="0.25">
      <c r="G22" t="s">
        <v>179</v>
      </c>
      <c r="I22">
        <f>0.75*4.5/I21</f>
        <v>0.13500000000000001</v>
      </c>
      <c r="J22" t="s">
        <v>112</v>
      </c>
      <c r="K22">
        <f>I22*60</f>
        <v>8.1000000000000014</v>
      </c>
      <c r="L22" t="s">
        <v>113</v>
      </c>
      <c r="M22">
        <f>K22*30</f>
        <v>243.00000000000006</v>
      </c>
      <c r="N22" t="s">
        <v>147</v>
      </c>
    </row>
    <row r="24" spans="2:14" x14ac:dyDescent="0.25">
      <c r="G24" t="s">
        <v>180</v>
      </c>
      <c r="I24">
        <f>B5*M22</f>
        <v>4860.0000000000009</v>
      </c>
      <c r="J24" t="s">
        <v>39</v>
      </c>
      <c r="K24">
        <f>I24/1000</f>
        <v>4.8600000000000012</v>
      </c>
      <c r="L24" t="s">
        <v>123</v>
      </c>
    </row>
    <row r="26" spans="2:14" ht="21" x14ac:dyDescent="0.35">
      <c r="G26" s="39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14"/>
  <sheetViews>
    <sheetView topLeftCell="A5" zoomScale="120" zoomScaleNormal="120" workbookViewId="0">
      <selection activeCell="C99" sqref="C99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28.44860632059649</v>
      </c>
      <c r="S7" s="19" t="s">
        <v>9</v>
      </c>
      <c r="T7" s="20">
        <f>R7*0.224809</f>
        <v>6.3955027383269769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0.60909556590097758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856.74027371953923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1.0733753569275892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59.387856332401299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2570.2208211586176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4.5896800377832454E-2</v>
      </c>
      <c r="S14" s="21" t="s">
        <v>9</v>
      </c>
      <c r="T14" s="20">
        <f>R14*0.224809</f>
        <v>1.0318013796140137E-2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234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84" t="s">
        <v>63</v>
      </c>
      <c r="C42" s="84"/>
      <c r="G42" s="85"/>
      <c r="H42" s="85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86" t="s">
        <v>65</v>
      </c>
      <c r="K48" s="86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81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81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576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11.025964976465323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25.08638675783704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0.9312530492336214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276.60162177797469</v>
      </c>
      <c r="N76" t="s">
        <v>35</v>
      </c>
      <c r="O76">
        <f>C78/M76</f>
        <v>0.60996548512382043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5.9221467458674146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10">
        <v>14</v>
      </c>
      <c r="D80" t="s">
        <v>45</v>
      </c>
      <c r="E80" s="3">
        <f>C80*0.0254</f>
        <v>0.35559999999999997</v>
      </c>
      <c r="F80" t="s">
        <v>39</v>
      </c>
      <c r="J80" s="6"/>
      <c r="K80" s="6" t="s">
        <v>268</v>
      </c>
      <c r="L80" s="6">
        <f>L79/M69</f>
        <v>0.1793801571919954</v>
      </c>
      <c r="M80" t="s">
        <v>112</v>
      </c>
      <c r="N80">
        <f>L80*60</f>
        <v>10.762809431519724</v>
      </c>
      <c r="O80" t="s">
        <v>113</v>
      </c>
    </row>
    <row r="81" spans="2:15" x14ac:dyDescent="0.25">
      <c r="B81" t="s">
        <v>46</v>
      </c>
      <c r="C81" s="11">
        <v>0.6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11">
        <f>C68/(C81*E80)</f>
        <v>93.738282714660684</v>
      </c>
      <c r="D82" t="s">
        <v>49</v>
      </c>
      <c r="E82" s="16">
        <f>C82*60</f>
        <v>5624.2969628796409</v>
      </c>
      <c r="F82" t="s">
        <v>50</v>
      </c>
      <c r="G82" s="16">
        <f>C82*2*PI()</f>
        <v>588.97500067300223</v>
      </c>
      <c r="J82" s="57"/>
      <c r="L82" s="6"/>
    </row>
    <row r="83" spans="2:15" ht="16.5" thickBot="1" x14ac:dyDescent="0.3">
      <c r="B83" t="s">
        <v>52</v>
      </c>
      <c r="C83" s="11">
        <v>0.06</v>
      </c>
      <c r="D83" t="s">
        <v>53</v>
      </c>
      <c r="J83" s="82" t="s">
        <v>63</v>
      </c>
      <c r="K83" s="83"/>
    </row>
    <row r="84" spans="2:15" ht="15.75" thickBot="1" x14ac:dyDescent="0.3">
      <c r="B84" t="s">
        <v>54</v>
      </c>
      <c r="C84" s="11">
        <f>C83*C82^2*E80^4</f>
        <v>8.4300906666666666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11">
        <v>5.5E-2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11">
        <f>C83*C81/C85</f>
        <v>0.65454545454545454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11">
        <f>C85*C82^3*E80^5</f>
        <v>257.58610370370377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11">
        <f>C87/G82</f>
        <v>0.43734641268197916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0.1793801571919954</v>
      </c>
      <c r="D93" t="s">
        <v>112</v>
      </c>
      <c r="E93" s="1">
        <f>C93*60</f>
        <v>10.762809431519724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12.915371317823668</v>
      </c>
      <c r="D94" t="s">
        <v>123</v>
      </c>
      <c r="E94" s="1">
        <f>0.621371*C94</f>
        <v>8.0252371911274114</v>
      </c>
      <c r="F94" t="s">
        <v>272</v>
      </c>
    </row>
    <row r="96" spans="2:15" x14ac:dyDescent="0.25">
      <c r="B96" t="s">
        <v>18</v>
      </c>
      <c r="C96" s="1">
        <f>C87/E50</f>
        <v>5.5150172150979975</v>
      </c>
      <c r="D96" t="s">
        <v>24</v>
      </c>
      <c r="E96" s="1">
        <f>C87/C50</f>
        <v>24.532009876543217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21.831861974999999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5.5E-2</v>
      </c>
    </row>
    <row r="112" spans="2:6" x14ac:dyDescent="0.25">
      <c r="B112" t="s">
        <v>36</v>
      </c>
      <c r="C112" s="1">
        <f>C110*E48*E107^2*E80^5</f>
        <v>10.372127793254187</v>
      </c>
      <c r="D112" t="s">
        <v>9</v>
      </c>
    </row>
    <row r="113" spans="2:4" x14ac:dyDescent="0.25">
      <c r="B113" t="s">
        <v>127</v>
      </c>
      <c r="C113" s="1">
        <f>1/2*E48*C109^2*C75*E51</f>
        <v>10.051978483111425</v>
      </c>
      <c r="D113" t="s">
        <v>9</v>
      </c>
    </row>
    <row r="114" spans="2:4" x14ac:dyDescent="0.25">
      <c r="B114" t="s">
        <v>277</v>
      </c>
      <c r="C114" s="1">
        <f>C110*C108/C111</f>
        <v>0.65454545454545465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A00-000000000000}"/>
    <hyperlink ref="B26" r:id="rId2" display="http://www.hobbyexpress.com/hs-322_standard_servo_2786_prd1.htm" xr:uid="{00000000-0004-0000-0A00-000001000000}"/>
    <hyperlink ref="B27" r:id="rId3" display="http://www.hobbyexpress.com/12_aileron_extension_2025_prd1.htm" xr:uid="{00000000-0004-0000-0A00-000002000000}"/>
    <hyperlink ref="B30" r:id="rId4" display="http://www.hobbyexpress.com/axi_gold_4120_18_outrunner_motor_3039_prd1.htm" xr:uid="{00000000-0004-0000-0A00-000003000000}"/>
    <hyperlink ref="B31" r:id="rId5" display="http://www.hobbyexpress.com/radial_mount_set_for_axi_4120__4130_outrunner_motors_1366_prd1.htm" xr:uid="{00000000-0004-0000-0A00-000004000000}"/>
    <hyperlink ref="B32" r:id="rId6" display="http://www.hobbyexpress.com/14x10e_thin_electric_prop_1303_prd1.htm" xr:uid="{00000000-0004-0000-0A00-000005000000}"/>
    <hyperlink ref="B35" r:id="rId7" display="http://www.hobbyexpress.com/erc_85a_brushless_programmable_esc_w_sbec_1035811_prd1.htm" xr:uid="{00000000-0004-0000-0A00-000006000000}"/>
    <hyperlink ref="B38" r:id="rId8" display="http://www.hobbyexpress.com/4_cell_14.8v_4500mah_20c_lipo_pack_364091_prd1.htm" xr:uid="{00000000-0004-0000-0A00-000007000000}"/>
    <hyperlink ref="B41" r:id="rId9" display="http://www.hobbyexpress.com/passportultraforce200wac_dcchrgr_1041494_prd1.htm" xr:uid="{00000000-0004-0000-0A00-000008000000}"/>
    <hyperlink ref="J47" r:id="rId10" display="http://www.hobbyexpress.com/axi_gold_4120_18_outrunner_motor_3039_prd1.htm" xr:uid="{00000000-0004-0000-0A00-000009000000}"/>
    <hyperlink ref="C22" r:id="rId11" xr:uid="{00000000-0004-0000-0A00-00000A000000}"/>
    <hyperlink ref="K4" r:id="rId12" xr:uid="{00000000-0004-0000-0A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8433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8433" r:id="rId16"/>
      </mc:Fallback>
    </mc:AlternateContent>
    <mc:AlternateContent xmlns:mc="http://schemas.openxmlformats.org/markup-compatibility/2006">
      <mc:Choice Requires="x14">
        <oleObject progId="Equation.3" shapeId="18434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8434" r:id="rId18"/>
      </mc:Fallback>
    </mc:AlternateContent>
    <mc:AlternateContent xmlns:mc="http://schemas.openxmlformats.org/markup-compatibility/2006">
      <mc:Choice Requires="x14">
        <oleObject progId="Equation.3" shapeId="18435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8435" r:id="rId2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14"/>
  <sheetViews>
    <sheetView topLeftCell="A71" zoomScale="90" zoomScaleNormal="90" workbookViewId="0">
      <selection activeCell="E76" sqref="E76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61.850688476221862</v>
      </c>
      <c r="S7" s="19" t="s">
        <v>9</v>
      </c>
      <c r="T7" s="20">
        <f>R7*0.224809</f>
        <v>13.904591425650962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1.3242469481365977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2261.7969350988496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2.8337142153588091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154.32411723640877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6785.3908052965489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0.12116769295172408</v>
      </c>
      <c r="S14" s="21" t="s">
        <v>9</v>
      </c>
      <c r="T14" s="20">
        <f>R14*0.224809</f>
        <v>2.7239587884784141E-2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278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84" t="s">
        <v>63</v>
      </c>
      <c r="C42" s="84"/>
      <c r="G42" s="85"/>
      <c r="H42" s="85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86" t="s">
        <v>65</v>
      </c>
      <c r="K48" s="86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81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81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701.48571428571415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8.8086153512626861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26.667990962743669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0.93250312018345005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234.90807458175846</v>
      </c>
      <c r="N76" t="s">
        <v>35</v>
      </c>
      <c r="O76">
        <f>C78/M76</f>
        <v>0.71822751395085249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5.0294719189282659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26">
        <v>17</v>
      </c>
      <c r="D80" t="s">
        <v>45</v>
      </c>
      <c r="E80" s="3">
        <f>C80*0.0254</f>
        <v>0.43179999999999996</v>
      </c>
      <c r="F80" t="s">
        <v>39</v>
      </c>
      <c r="J80" s="6"/>
      <c r="K80" s="6" t="s">
        <v>268</v>
      </c>
      <c r="L80" s="6">
        <f>L79/M69</f>
        <v>0.16874162010504254</v>
      </c>
      <c r="M80" t="s">
        <v>112</v>
      </c>
      <c r="N80">
        <f>L80*60</f>
        <v>10.124497206302552</v>
      </c>
      <c r="O80" t="s">
        <v>113</v>
      </c>
    </row>
    <row r="81" spans="2:15" x14ac:dyDescent="0.25">
      <c r="B81" t="s">
        <v>46</v>
      </c>
      <c r="C81" s="26">
        <v>0.62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26">
        <f>C68/(C81*E80)</f>
        <v>74.706031765004724</v>
      </c>
      <c r="D82" t="s">
        <v>49</v>
      </c>
      <c r="E82" s="16">
        <f>C82*60</f>
        <v>4482.3619059002831</v>
      </c>
      <c r="F82" t="s">
        <v>50</v>
      </c>
      <c r="G82" s="16">
        <f>C82*2*PI()</f>
        <v>469.39184114356914</v>
      </c>
      <c r="J82" s="57"/>
      <c r="L82" s="6"/>
    </row>
    <row r="83" spans="2:15" ht="16.5" thickBot="1" x14ac:dyDescent="0.3">
      <c r="B83" t="s">
        <v>52</v>
      </c>
      <c r="C83" s="26">
        <v>4.4999999999999998E-2</v>
      </c>
      <c r="D83" t="s">
        <v>53</v>
      </c>
      <c r="J83" s="82" t="s">
        <v>63</v>
      </c>
      <c r="K83" s="83"/>
    </row>
    <row r="84" spans="2:15" ht="15.75" thickBot="1" x14ac:dyDescent="0.3">
      <c r="B84" t="s">
        <v>54</v>
      </c>
      <c r="C84" s="26">
        <f>C83*C82^2*E80^4</f>
        <v>8.7308072840790825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26">
        <v>3.5000000000000003E-2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26">
        <f>C83*C81/C85</f>
        <v>0.79714285714285704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26">
        <f>C85*C82^3*E80^5</f>
        <v>219.05251250377634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26">
        <f>C87/G82</f>
        <v>0.46667302944615202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0.16874162010504254</v>
      </c>
      <c r="D93" t="s">
        <v>112</v>
      </c>
      <c r="E93" s="1">
        <f>C93*60</f>
        <v>10.124497206302552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12.149396647563062</v>
      </c>
      <c r="D94" t="s">
        <v>123</v>
      </c>
      <c r="E94" s="1">
        <f>0.621371*C94</f>
        <v>7.5492827442929071</v>
      </c>
      <c r="F94" t="s">
        <v>272</v>
      </c>
    </row>
    <row r="96" spans="2:15" x14ac:dyDescent="0.25">
      <c r="B96" t="s">
        <v>18</v>
      </c>
      <c r="C96" s="1">
        <f>C87/E50</f>
        <v>4.6899982572756516</v>
      </c>
      <c r="D96" t="s">
        <v>24</v>
      </c>
      <c r="E96" s="1">
        <f>C87/C50</f>
        <v>20.862144047978699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26.510118112499999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3.5000000000000003E-2</v>
      </c>
    </row>
    <row r="112" spans="2:6" x14ac:dyDescent="0.25">
      <c r="B112" t="s">
        <v>36</v>
      </c>
      <c r="C112" s="1">
        <f>C110*E48*E107^2*E80^5</f>
        <v>27.382449002176376</v>
      </c>
      <c r="D112" t="s">
        <v>9</v>
      </c>
    </row>
    <row r="113" spans="2:4" x14ac:dyDescent="0.25">
      <c r="B113" t="s">
        <v>127</v>
      </c>
      <c r="C113" s="1">
        <f>1/2*E48*C109^2*C75*E51</f>
        <v>14.821539702138786</v>
      </c>
      <c r="D113" t="s">
        <v>9</v>
      </c>
    </row>
    <row r="114" spans="2:4" x14ac:dyDescent="0.25">
      <c r="B114" t="s">
        <v>277</v>
      </c>
      <c r="C114" s="1">
        <f>C110*C108/C111</f>
        <v>1.0285714285714287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B00-000000000000}"/>
    <hyperlink ref="B26" r:id="rId2" display="http://www.hobbyexpress.com/hs-322_standard_servo_2786_prd1.htm" xr:uid="{00000000-0004-0000-0B00-000001000000}"/>
    <hyperlink ref="B27" r:id="rId3" display="http://www.hobbyexpress.com/12_aileron_extension_2025_prd1.htm" xr:uid="{00000000-0004-0000-0B00-000002000000}"/>
    <hyperlink ref="B30" r:id="rId4" display="http://www.hobbyexpress.com/axi_gold_4120_18_outrunner_motor_3039_prd1.htm" xr:uid="{00000000-0004-0000-0B00-000003000000}"/>
    <hyperlink ref="B31" r:id="rId5" display="http://www.hobbyexpress.com/radial_mount_set_for_axi_4120__4130_outrunner_motors_1366_prd1.htm" xr:uid="{00000000-0004-0000-0B00-000004000000}"/>
    <hyperlink ref="B32" r:id="rId6" display="http://www.hobbyexpress.com/14x10e_thin_electric_prop_1303_prd1.htm" xr:uid="{00000000-0004-0000-0B00-000005000000}"/>
    <hyperlink ref="B35" r:id="rId7" display="http://www.hobbyexpress.com/erc_85a_brushless_programmable_esc_w_sbec_1035811_prd1.htm" xr:uid="{00000000-0004-0000-0B00-000006000000}"/>
    <hyperlink ref="B38" r:id="rId8" display="http://www.hobbyexpress.com/4_cell_14.8v_4500mah_20c_lipo_pack_364091_prd1.htm" xr:uid="{00000000-0004-0000-0B00-000007000000}"/>
    <hyperlink ref="B41" r:id="rId9" display="http://www.hobbyexpress.com/passportultraforce200wac_dcchrgr_1041494_prd1.htm" xr:uid="{00000000-0004-0000-0B00-000008000000}"/>
    <hyperlink ref="J47" r:id="rId10" display="http://www.hobbyexpress.com/axi_gold_4120_18_outrunner_motor_3039_prd1.htm" xr:uid="{00000000-0004-0000-0B00-000009000000}"/>
    <hyperlink ref="C22" r:id="rId11" xr:uid="{00000000-0004-0000-0B00-00000A000000}"/>
    <hyperlink ref="K4" r:id="rId12" xr:uid="{00000000-0004-0000-0B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9457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9457" r:id="rId16"/>
      </mc:Fallback>
    </mc:AlternateContent>
    <mc:AlternateContent xmlns:mc="http://schemas.openxmlformats.org/markup-compatibility/2006">
      <mc:Choice Requires="x14">
        <oleObject progId="Equation.3" shapeId="19458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9458" r:id="rId18"/>
      </mc:Fallback>
    </mc:AlternateContent>
    <mc:AlternateContent xmlns:mc="http://schemas.openxmlformats.org/markup-compatibility/2006">
      <mc:Choice Requires="x14">
        <oleObject progId="Equation.3" shapeId="19459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9459" r:id="rId2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259D-34F4-4FE0-885B-258B487980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>
      <selection activeCell="C7" sqref="C7"/>
    </sheetView>
  </sheetViews>
  <sheetFormatPr defaultRowHeight="15" x14ac:dyDescent="0.25"/>
  <sheetData>
    <row r="1" spans="1:10" ht="21" x14ac:dyDescent="0.35">
      <c r="A1" s="29" t="s">
        <v>7</v>
      </c>
      <c r="B1" s="29"/>
      <c r="C1" s="29"/>
      <c r="D1" s="29"/>
      <c r="E1" s="29"/>
      <c r="F1" s="29" t="s">
        <v>149</v>
      </c>
      <c r="G1" s="29"/>
      <c r="H1" s="29"/>
    </row>
    <row r="2" spans="1:10" x14ac:dyDescent="0.25">
      <c r="B2" t="s">
        <v>2</v>
      </c>
      <c r="C2" s="30">
        <v>1.2250000000000001</v>
      </c>
      <c r="D2" t="s">
        <v>3</v>
      </c>
      <c r="F2" t="s">
        <v>14</v>
      </c>
      <c r="G2" s="30">
        <v>1.1000000000000001</v>
      </c>
    </row>
    <row r="3" spans="1:10" x14ac:dyDescent="0.25">
      <c r="B3" t="s">
        <v>0</v>
      </c>
      <c r="C3" s="30">
        <v>21</v>
      </c>
      <c r="D3" t="s">
        <v>1</v>
      </c>
      <c r="F3" t="s">
        <v>21</v>
      </c>
      <c r="G3" s="30">
        <v>9</v>
      </c>
      <c r="H3" t="s">
        <v>1</v>
      </c>
      <c r="I3">
        <v>20</v>
      </c>
      <c r="J3" t="s">
        <v>23</v>
      </c>
    </row>
    <row r="4" spans="1:10" x14ac:dyDescent="0.25">
      <c r="B4" t="s">
        <v>15</v>
      </c>
      <c r="C4" s="30">
        <f>1/2*C2*C3^2</f>
        <v>270.11250000000001</v>
      </c>
      <c r="D4" t="s">
        <v>17</v>
      </c>
      <c r="F4" t="s">
        <v>22</v>
      </c>
      <c r="G4" s="1">
        <f>1/2*C2*G3^2</f>
        <v>49.612500000000004</v>
      </c>
      <c r="H4" t="s">
        <v>17</v>
      </c>
    </row>
    <row r="5" spans="1:10" x14ac:dyDescent="0.25">
      <c r="C5" s="30"/>
      <c r="F5" t="s">
        <v>16</v>
      </c>
      <c r="G5" s="1">
        <f>$G$2*$G$4</f>
        <v>54.573750000000011</v>
      </c>
      <c r="H5" t="s">
        <v>17</v>
      </c>
      <c r="I5">
        <v>0</v>
      </c>
    </row>
    <row r="6" spans="1:10" x14ac:dyDescent="0.25">
      <c r="B6" t="s">
        <v>4</v>
      </c>
      <c r="C6" s="30">
        <v>5.1429999999999998</v>
      </c>
      <c r="G6" s="1">
        <f>$G$2*$G$4</f>
        <v>54.573750000000011</v>
      </c>
      <c r="H6" t="s">
        <v>20</v>
      </c>
      <c r="I6">
        <v>15</v>
      </c>
    </row>
    <row r="7" spans="1:10" x14ac:dyDescent="0.25">
      <c r="B7" t="s">
        <v>5</v>
      </c>
      <c r="C7" s="30">
        <v>0.9</v>
      </c>
    </row>
    <row r="8" spans="1:10" x14ac:dyDescent="0.25">
      <c r="B8" t="s">
        <v>6</v>
      </c>
      <c r="C8" s="30">
        <v>3.7499999999999999E-2</v>
      </c>
    </row>
    <row r="9" spans="1:10" x14ac:dyDescent="0.25">
      <c r="B9" t="s">
        <v>224</v>
      </c>
      <c r="C9" s="30">
        <v>0.93</v>
      </c>
      <c r="E9" s="6"/>
    </row>
    <row r="10" spans="1:10" x14ac:dyDescent="0.25">
      <c r="B10" t="s">
        <v>225</v>
      </c>
      <c r="C10" s="30">
        <v>0.65</v>
      </c>
      <c r="E10" s="6"/>
    </row>
    <row r="12" spans="1:10" x14ac:dyDescent="0.25">
      <c r="B12" t="s">
        <v>16</v>
      </c>
      <c r="C12" t="s">
        <v>19</v>
      </c>
      <c r="D12" t="s">
        <v>18</v>
      </c>
    </row>
    <row r="13" spans="1:10" x14ac:dyDescent="0.25">
      <c r="B13">
        <v>20</v>
      </c>
      <c r="C13">
        <f>($C$4*$C$8/B13+B13/($C$4*PI()*$C$6*$C$7))</f>
        <v>0.51155279694223466</v>
      </c>
      <c r="D13">
        <f>$C$3*C13/($C$9*$C$10)</f>
        <v>17.771064906181849</v>
      </c>
    </row>
    <row r="14" spans="1:10" x14ac:dyDescent="0.25">
      <c r="B14">
        <f>B13+2</f>
        <v>22</v>
      </c>
      <c r="C14">
        <f t="shared" ref="C14:C51" si="0">($C$4*$C$8/B14+B14/($C$4*PI()*$C$6*$C$7))</f>
        <v>0.46602007947736718</v>
      </c>
      <c r="D14">
        <f t="shared" ref="D14:D77" si="1">$C$3*C14/($C$9*$C$10)</f>
        <v>16.189283158022679</v>
      </c>
    </row>
    <row r="15" spans="1:10" x14ac:dyDescent="0.25">
      <c r="B15">
        <f t="shared" ref="B15:B47" si="2">B14+2</f>
        <v>24</v>
      </c>
      <c r="C15">
        <f t="shared" si="0"/>
        <v>0.42816101258068157</v>
      </c>
      <c r="D15">
        <f t="shared" si="1"/>
        <v>14.874079841512511</v>
      </c>
    </row>
    <row r="16" spans="1:10" x14ac:dyDescent="0.25">
      <c r="B16">
        <f t="shared" si="2"/>
        <v>26</v>
      </c>
      <c r="C16">
        <f t="shared" si="0"/>
        <v>0.39620475381336651</v>
      </c>
      <c r="D16">
        <f t="shared" si="1"/>
        <v>13.763936857040026</v>
      </c>
    </row>
    <row r="17" spans="2:4" x14ac:dyDescent="0.25">
      <c r="B17">
        <f t="shared" si="2"/>
        <v>28</v>
      </c>
      <c r="C17">
        <f t="shared" si="0"/>
        <v>0.3688864157191285</v>
      </c>
      <c r="D17">
        <f t="shared" si="1"/>
        <v>12.814912704882875</v>
      </c>
    </row>
    <row r="18" spans="2:4" x14ac:dyDescent="0.25">
      <c r="B18">
        <f t="shared" si="2"/>
        <v>30</v>
      </c>
      <c r="C18">
        <f t="shared" si="0"/>
        <v>0.34527841416335192</v>
      </c>
      <c r="D18">
        <f t="shared" si="1"/>
        <v>11.994783618577982</v>
      </c>
    </row>
    <row r="19" spans="2:4" x14ac:dyDescent="0.25">
      <c r="B19">
        <f t="shared" si="2"/>
        <v>32</v>
      </c>
      <c r="C19">
        <f t="shared" si="0"/>
        <v>0.32468506104507538</v>
      </c>
      <c r="D19">
        <f t="shared" si="1"/>
        <v>11.279381773278052</v>
      </c>
    </row>
    <row r="20" spans="2:4" x14ac:dyDescent="0.25">
      <c r="B20">
        <f t="shared" si="2"/>
        <v>34</v>
      </c>
      <c r="C20">
        <f t="shared" si="0"/>
        <v>0.3065743595812106</v>
      </c>
      <c r="D20">
        <f t="shared" si="1"/>
        <v>10.65022589115868</v>
      </c>
    </row>
    <row r="21" spans="2:4" x14ac:dyDescent="0.25">
      <c r="B21">
        <f t="shared" si="2"/>
        <v>36</v>
      </c>
      <c r="C21">
        <f t="shared" si="0"/>
        <v>0.29053253449602234</v>
      </c>
      <c r="D21">
        <f t="shared" si="1"/>
        <v>10.092941645023108</v>
      </c>
    </row>
    <row r="22" spans="2:4" x14ac:dyDescent="0.25">
      <c r="B22">
        <f t="shared" si="2"/>
        <v>38</v>
      </c>
      <c r="C22">
        <f t="shared" si="0"/>
        <v>0.27623292109814052</v>
      </c>
      <c r="D22">
        <f t="shared" si="1"/>
        <v>9.5961808818212582</v>
      </c>
    </row>
    <row r="23" spans="2:4" x14ac:dyDescent="0.25">
      <c r="B23">
        <f t="shared" si="2"/>
        <v>40</v>
      </c>
      <c r="C23">
        <f t="shared" si="0"/>
        <v>0.26341418763446922</v>
      </c>
      <c r="D23">
        <f t="shared" si="1"/>
        <v>9.1508650791130748</v>
      </c>
    </row>
    <row r="24" spans="2:4" x14ac:dyDescent="0.25">
      <c r="B24">
        <f t="shared" si="2"/>
        <v>42</v>
      </c>
      <c r="C24">
        <f t="shared" si="0"/>
        <v>0.25186477982869271</v>
      </c>
      <c r="D24">
        <f t="shared" si="1"/>
        <v>8.7496449568280337</v>
      </c>
    </row>
    <row r="25" spans="2:4" x14ac:dyDescent="0.25">
      <c r="B25">
        <f t="shared" si="2"/>
        <v>44</v>
      </c>
      <c r="C25">
        <f t="shared" si="0"/>
        <v>0.2414116078183707</v>
      </c>
      <c r="D25">
        <f t="shared" si="1"/>
        <v>8.3865074676357061</v>
      </c>
    </row>
    <row r="26" spans="2:4" x14ac:dyDescent="0.25">
      <c r="B26">
        <f t="shared" si="2"/>
        <v>46</v>
      </c>
      <c r="C26">
        <f t="shared" si="0"/>
        <v>0.23191168432583528</v>
      </c>
      <c r="D26">
        <f t="shared" si="1"/>
        <v>8.0564853115674779</v>
      </c>
    </row>
    <row r="27" spans="2:4" x14ac:dyDescent="0.25">
      <c r="B27">
        <f t="shared" si="2"/>
        <v>48</v>
      </c>
      <c r="C27">
        <f t="shared" si="0"/>
        <v>0.22324585328636312</v>
      </c>
      <c r="D27">
        <f t="shared" si="1"/>
        <v>7.7554390719828374</v>
      </c>
    </row>
    <row r="28" spans="2:4" x14ac:dyDescent="0.25">
      <c r="B28">
        <f t="shared" si="2"/>
        <v>50</v>
      </c>
      <c r="C28">
        <f t="shared" si="0"/>
        <v>0.21531402360558655</v>
      </c>
      <c r="D28">
        <f t="shared" si="1"/>
        <v>7.4798916389037506</v>
      </c>
    </row>
    <row r="29" spans="2:4" x14ac:dyDescent="0.25">
      <c r="B29">
        <f t="shared" si="2"/>
        <v>52</v>
      </c>
      <c r="C29">
        <f t="shared" si="0"/>
        <v>0.20803150281904079</v>
      </c>
      <c r="D29">
        <f t="shared" si="1"/>
        <v>7.2269008423488108</v>
      </c>
    </row>
    <row r="30" spans="2:4" x14ac:dyDescent="0.25">
      <c r="B30">
        <f t="shared" si="2"/>
        <v>54</v>
      </c>
      <c r="C30">
        <f t="shared" si="0"/>
        <v>0.20132614549403349</v>
      </c>
      <c r="D30">
        <f t="shared" si="1"/>
        <v>6.9939603893708897</v>
      </c>
    </row>
    <row r="31" spans="2:4" x14ac:dyDescent="0.25">
      <c r="B31">
        <f t="shared" si="2"/>
        <v>56</v>
      </c>
      <c r="C31">
        <f t="shared" si="0"/>
        <v>0.19513611268825695</v>
      </c>
      <c r="D31">
        <f t="shared" si="1"/>
        <v>6.7789220288724499</v>
      </c>
    </row>
    <row r="32" spans="2:4" x14ac:dyDescent="0.25">
      <c r="B32">
        <f t="shared" si="2"/>
        <v>58</v>
      </c>
      <c r="C32">
        <f t="shared" si="0"/>
        <v>0.18940809496868732</v>
      </c>
      <c r="D32">
        <f t="shared" si="1"/>
        <v>6.5799338202521644</v>
      </c>
    </row>
    <row r="33" spans="2:4" x14ac:dyDescent="0.25">
      <c r="B33">
        <f t="shared" si="2"/>
        <v>60</v>
      </c>
      <c r="C33">
        <f t="shared" si="0"/>
        <v>0.18409589082670386</v>
      </c>
      <c r="D33">
        <f t="shared" si="1"/>
        <v>6.3953907483222183</v>
      </c>
    </row>
    <row r="34" spans="2:4" x14ac:dyDescent="0.25">
      <c r="B34">
        <f t="shared" si="2"/>
        <v>62</v>
      </c>
      <c r="C34">
        <f t="shared" si="0"/>
        <v>0.17915926023866927</v>
      </c>
      <c r="D34">
        <f t="shared" si="1"/>
        <v>6.2238948966287087</v>
      </c>
    </row>
    <row r="35" spans="2:4" x14ac:dyDescent="0.25">
      <c r="B35">
        <f t="shared" si="2"/>
        <v>64</v>
      </c>
      <c r="C35">
        <f t="shared" si="0"/>
        <v>0.17456299318390081</v>
      </c>
      <c r="D35">
        <f t="shared" si="1"/>
        <v>6.0642230882744697</v>
      </c>
    </row>
    <row r="36" spans="2:4" x14ac:dyDescent="0.25">
      <c r="B36">
        <f t="shared" si="2"/>
        <v>66</v>
      </c>
      <c r="C36">
        <f t="shared" si="0"/>
        <v>0.17027614752301062</v>
      </c>
      <c r="D36">
        <f t="shared" si="1"/>
        <v>5.9153004102286566</v>
      </c>
    </row>
    <row r="37" spans="2:4" x14ac:dyDescent="0.25">
      <c r="B37">
        <f t="shared" si="2"/>
        <v>68</v>
      </c>
      <c r="C37">
        <f t="shared" si="0"/>
        <v>0.16627142136830361</v>
      </c>
      <c r="D37">
        <f t="shared" si="1"/>
        <v>5.7761784098169988</v>
      </c>
    </row>
    <row r="38" spans="2:4" x14ac:dyDescent="0.25">
      <c r="B38">
        <f t="shared" si="2"/>
        <v>70</v>
      </c>
      <c r="C38">
        <f t="shared" si="0"/>
        <v>0.16252463304782119</v>
      </c>
      <c r="D38">
        <f t="shared" si="1"/>
        <v>5.6460170289565665</v>
      </c>
    </row>
    <row r="39" spans="2:4" x14ac:dyDescent="0.25">
      <c r="B39">
        <f t="shared" si="2"/>
        <v>72</v>
      </c>
      <c r="C39">
        <f t="shared" si="0"/>
        <v>0.15901428774204465</v>
      </c>
      <c r="D39">
        <f t="shared" si="1"/>
        <v>5.5240695493514274</v>
      </c>
    </row>
    <row r="40" spans="2:4" x14ac:dyDescent="0.25">
      <c r="B40">
        <f t="shared" si="2"/>
        <v>74</v>
      </c>
      <c r="C40">
        <f t="shared" si="0"/>
        <v>0.15572121439572759</v>
      </c>
      <c r="D40">
        <f t="shared" si="1"/>
        <v>5.4096699790079059</v>
      </c>
    </row>
    <row r="41" spans="2:4" x14ac:dyDescent="0.25">
      <c r="B41">
        <f t="shared" si="2"/>
        <v>76</v>
      </c>
      <c r="C41">
        <f t="shared" si="0"/>
        <v>0.15262825995943896</v>
      </c>
      <c r="D41">
        <f t="shared" si="1"/>
        <v>5.3022224303527175</v>
      </c>
    </row>
    <row r="42" spans="2:4" x14ac:dyDescent="0.25">
      <c r="B42">
        <f t="shared" si="2"/>
        <v>78</v>
      </c>
      <c r="C42">
        <f t="shared" si="0"/>
        <v>0.14972003067086889</v>
      </c>
      <c r="D42">
        <f t="shared" si="1"/>
        <v>5.20119213248676</v>
      </c>
    </row>
    <row r="43" spans="2:4" x14ac:dyDescent="0.25">
      <c r="B43">
        <f t="shared" si="2"/>
        <v>80</v>
      </c>
      <c r="C43">
        <f t="shared" si="0"/>
        <v>0.14698267214393851</v>
      </c>
      <c r="D43">
        <f t="shared" si="1"/>
        <v>5.106097791600841</v>
      </c>
    </row>
    <row r="44" spans="2:4" x14ac:dyDescent="0.25">
      <c r="B44">
        <f t="shared" si="2"/>
        <v>82</v>
      </c>
      <c r="C44">
        <f t="shared" si="0"/>
        <v>0.14440368163999123</v>
      </c>
      <c r="D44">
        <f t="shared" si="1"/>
        <v>5.016505069379348</v>
      </c>
    </row>
    <row r="45" spans="2:4" x14ac:dyDescent="0.25">
      <c r="B45">
        <f t="shared" si="2"/>
        <v>84</v>
      </c>
      <c r="C45">
        <f t="shared" si="0"/>
        <v>0.14197174715738542</v>
      </c>
      <c r="D45">
        <f t="shared" si="1"/>
        <v>4.9320209930605357</v>
      </c>
    </row>
    <row r="46" spans="2:4" x14ac:dyDescent="0.25">
      <c r="B46">
        <f t="shared" si="2"/>
        <v>86</v>
      </c>
      <c r="C46">
        <f t="shared" si="0"/>
        <v>0.1396766089737019</v>
      </c>
      <c r="D46">
        <f t="shared" si="1"/>
        <v>4.8522891454884034</v>
      </c>
    </row>
    <row r="47" spans="2:4" x14ac:dyDescent="0.25">
      <c r="B47">
        <f t="shared" si="2"/>
        <v>88</v>
      </c>
      <c r="C47">
        <f t="shared" si="0"/>
        <v>0.13750894006855963</v>
      </c>
      <c r="D47">
        <f t="shared" si="1"/>
        <v>4.7769855110665871</v>
      </c>
    </row>
    <row r="48" spans="2:4" x14ac:dyDescent="0.25">
      <c r="B48">
        <f t="shared" ref="B48:B77" si="3">B47+10</f>
        <v>98</v>
      </c>
      <c r="C48">
        <f t="shared" si="0"/>
        <v>0.12830948626694968</v>
      </c>
      <c r="D48">
        <f t="shared" si="1"/>
        <v>4.4574015080329916</v>
      </c>
    </row>
    <row r="49" spans="2:4" x14ac:dyDescent="0.25">
      <c r="B49">
        <f t="shared" si="3"/>
        <v>108</v>
      </c>
      <c r="C49">
        <f t="shared" si="0"/>
        <v>0.12128510348806698</v>
      </c>
      <c r="D49">
        <f t="shared" si="1"/>
        <v>4.2133782849452546</v>
      </c>
    </row>
    <row r="50" spans="2:4" x14ac:dyDescent="0.25">
      <c r="B50">
        <f t="shared" si="3"/>
        <v>118</v>
      </c>
      <c r="C50">
        <f t="shared" si="0"/>
        <v>0.11588280757359107</v>
      </c>
      <c r="D50">
        <f t="shared" si="1"/>
        <v>4.0257054740205334</v>
      </c>
    </row>
    <row r="51" spans="2:4" x14ac:dyDescent="0.25">
      <c r="B51">
        <f t="shared" si="3"/>
        <v>128</v>
      </c>
      <c r="C51">
        <f t="shared" si="0"/>
        <v>0.11172242191467661</v>
      </c>
      <c r="D51">
        <f t="shared" si="1"/>
        <v>3.8811759474081207</v>
      </c>
    </row>
    <row r="52" spans="2:4" x14ac:dyDescent="0.25">
      <c r="B52">
        <f t="shared" si="3"/>
        <v>138</v>
      </c>
      <c r="C52">
        <f t="shared" ref="C52:C61" si="4">($C$4*$C$8/B52+B52/($C$4*PI()*$C$6*$C$7))</f>
        <v>0.10853396602098414</v>
      </c>
      <c r="D52">
        <f t="shared" si="1"/>
        <v>3.7704107302575136</v>
      </c>
    </row>
    <row r="53" spans="2:4" x14ac:dyDescent="0.25">
      <c r="B53">
        <f t="shared" si="3"/>
        <v>148</v>
      </c>
      <c r="C53">
        <f t="shared" si="4"/>
        <v>0.10612042710226598</v>
      </c>
      <c r="D53">
        <f t="shared" si="1"/>
        <v>3.6865657057859149</v>
      </c>
    </row>
    <row r="54" spans="2:4" x14ac:dyDescent="0.25">
      <c r="B54">
        <f t="shared" si="3"/>
        <v>158</v>
      </c>
      <c r="C54">
        <f t="shared" si="4"/>
        <v>0.10433466902403329</v>
      </c>
      <c r="D54">
        <f t="shared" si="1"/>
        <v>3.6245294450036378</v>
      </c>
    </row>
    <row r="55" spans="2:4" x14ac:dyDescent="0.25">
      <c r="B55">
        <f t="shared" si="3"/>
        <v>168</v>
      </c>
      <c r="C55">
        <f t="shared" si="4"/>
        <v>0.10306458806477087</v>
      </c>
      <c r="D55">
        <f t="shared" si="1"/>
        <v>3.580407525823305</v>
      </c>
    </row>
    <row r="56" spans="2:4" x14ac:dyDescent="0.25">
      <c r="B56">
        <f t="shared" si="3"/>
        <v>178</v>
      </c>
      <c r="C56">
        <f t="shared" si="4"/>
        <v>0.10222327235049493</v>
      </c>
      <c r="D56">
        <f t="shared" si="1"/>
        <v>3.5511806771884094</v>
      </c>
    </row>
    <row r="57" spans="2:4" x14ac:dyDescent="0.25">
      <c r="B57">
        <f t="shared" si="3"/>
        <v>188</v>
      </c>
      <c r="C57">
        <f t="shared" si="4"/>
        <v>0.10174230189530337</v>
      </c>
      <c r="D57">
        <f t="shared" si="1"/>
        <v>3.534472026139571</v>
      </c>
    </row>
    <row r="58" spans="2:4" x14ac:dyDescent="0.25">
      <c r="B58">
        <f t="shared" si="3"/>
        <v>198</v>
      </c>
      <c r="C58">
        <f t="shared" si="4"/>
        <v>0.10156707893266827</v>
      </c>
      <c r="D58">
        <f t="shared" si="1"/>
        <v>3.5283848760728427</v>
      </c>
    </row>
    <row r="59" spans="2:4" x14ac:dyDescent="0.25">
      <c r="B59">
        <f t="shared" si="3"/>
        <v>208</v>
      </c>
      <c r="C59">
        <f t="shared" si="4"/>
        <v>0.10165350526654782</v>
      </c>
      <c r="D59">
        <f t="shared" si="1"/>
        <v>3.5313872797311898</v>
      </c>
    </row>
    <row r="60" spans="2:4" x14ac:dyDescent="0.25">
      <c r="B60">
        <f t="shared" si="3"/>
        <v>218</v>
      </c>
      <c r="C60">
        <f t="shared" si="4"/>
        <v>0.10196557411301799</v>
      </c>
      <c r="D60">
        <f t="shared" si="1"/>
        <v>3.5422283810973987</v>
      </c>
    </row>
    <row r="61" spans="2:4" x14ac:dyDescent="0.25">
      <c r="B61">
        <f t="shared" si="3"/>
        <v>228</v>
      </c>
      <c r="C61">
        <f t="shared" si="4"/>
        <v>0.10247359566779055</v>
      </c>
      <c r="D61">
        <f t="shared" si="1"/>
        <v>3.5598767725783316</v>
      </c>
    </row>
    <row r="62" spans="2:4" x14ac:dyDescent="0.25">
      <c r="B62">
        <f t="shared" si="3"/>
        <v>238</v>
      </c>
      <c r="C62">
        <f t="shared" ref="C62:C77" si="5">($C$4*$C$8/B62+B62/($C$4*PI()*$C$6*$C$7))</f>
        <v>0.1031528700096509</v>
      </c>
      <c r="D62">
        <f t="shared" si="1"/>
        <v>3.5834743923948196</v>
      </c>
    </row>
    <row r="63" spans="2:4" x14ac:dyDescent="0.25">
      <c r="B63">
        <f t="shared" si="3"/>
        <v>248</v>
      </c>
      <c r="C63">
        <f t="shared" si="5"/>
        <v>0.10398268107564487</v>
      </c>
      <c r="D63">
        <f t="shared" si="1"/>
        <v>3.6123015758288535</v>
      </c>
    </row>
    <row r="64" spans="2:4" x14ac:dyDescent="0.25">
      <c r="B64">
        <f t="shared" si="3"/>
        <v>258</v>
      </c>
      <c r="C64">
        <f t="shared" si="5"/>
        <v>0.10494552459552436</v>
      </c>
      <c r="D64">
        <f t="shared" si="1"/>
        <v>3.6457502340876951</v>
      </c>
    </row>
    <row r="65" spans="2:4" x14ac:dyDescent="0.25">
      <c r="B65">
        <f t="shared" si="3"/>
        <v>268</v>
      </c>
      <c r="C65">
        <f t="shared" si="5"/>
        <v>0.10602650887669028</v>
      </c>
      <c r="D65">
        <f t="shared" si="1"/>
        <v>3.6833030378999103</v>
      </c>
    </row>
    <row r="66" spans="2:4" x14ac:dyDescent="0.25">
      <c r="B66">
        <f t="shared" si="3"/>
        <v>278</v>
      </c>
      <c r="C66">
        <f t="shared" si="5"/>
        <v>0.10721288491612607</v>
      </c>
      <c r="D66">
        <f t="shared" si="1"/>
        <v>3.7245170938604586</v>
      </c>
    </row>
    <row r="67" spans="2:4" x14ac:dyDescent="0.25">
      <c r="B67">
        <f t="shared" si="3"/>
        <v>288</v>
      </c>
      <c r="C67">
        <f t="shared" si="5"/>
        <v>0.10849367440567864</v>
      </c>
      <c r="D67">
        <f t="shared" si="1"/>
        <v>3.7690110215372234</v>
      </c>
    </row>
    <row r="68" spans="2:4" x14ac:dyDescent="0.25">
      <c r="B68">
        <f t="shared" si="3"/>
        <v>298</v>
      </c>
      <c r="C68">
        <f t="shared" si="5"/>
        <v>0.10985937263560466</v>
      </c>
      <c r="D68">
        <f t="shared" si="1"/>
        <v>3.8164546325023951</v>
      </c>
    </row>
    <row r="69" spans="2:4" x14ac:dyDescent="0.25">
      <c r="B69">
        <f t="shared" si="3"/>
        <v>308</v>
      </c>
      <c r="C69">
        <f t="shared" si="5"/>
        <v>0.11130170927404963</v>
      </c>
      <c r="D69">
        <f t="shared" si="1"/>
        <v>3.8665606199421703</v>
      </c>
    </row>
    <row r="70" spans="2:4" x14ac:dyDescent="0.25">
      <c r="B70">
        <f t="shared" si="3"/>
        <v>318</v>
      </c>
      <c r="C70">
        <f t="shared" si="5"/>
        <v>0.11281345428247397</v>
      </c>
      <c r="D70">
        <f t="shared" si="1"/>
        <v>3.9190778162646045</v>
      </c>
    </row>
    <row r="71" spans="2:4" x14ac:dyDescent="0.25">
      <c r="B71">
        <f t="shared" si="3"/>
        <v>328</v>
      </c>
      <c r="C71">
        <f t="shared" si="5"/>
        <v>0.11438825933435522</v>
      </c>
      <c r="D71">
        <f t="shared" si="1"/>
        <v>3.9737856840718933</v>
      </c>
    </row>
    <row r="72" spans="2:4" x14ac:dyDescent="0.25">
      <c r="B72">
        <f t="shared" si="3"/>
        <v>338</v>
      </c>
      <c r="C72">
        <f t="shared" si="5"/>
        <v>0.11602052738441609</v>
      </c>
      <c r="D72">
        <f t="shared" si="1"/>
        <v>4.030489785066564</v>
      </c>
    </row>
    <row r="73" spans="2:4" x14ac:dyDescent="0.25">
      <c r="B73">
        <f t="shared" si="3"/>
        <v>348</v>
      </c>
      <c r="C73">
        <f t="shared" si="5"/>
        <v>0.117705304725917</v>
      </c>
      <c r="D73">
        <f t="shared" si="1"/>
        <v>4.0890180301807391</v>
      </c>
    </row>
    <row r="74" spans="2:4" x14ac:dyDescent="0.25">
      <c r="B74">
        <f t="shared" si="3"/>
        <v>358</v>
      </c>
      <c r="C74">
        <f t="shared" si="5"/>
        <v>0.11943819113890486</v>
      </c>
      <c r="D74">
        <f t="shared" si="1"/>
        <v>4.149217558175355</v>
      </c>
    </row>
    <row r="75" spans="2:4" x14ac:dyDescent="0.25">
      <c r="B75">
        <f t="shared" si="3"/>
        <v>368</v>
      </c>
      <c r="C75">
        <f t="shared" si="5"/>
        <v>0.12121526468820411</v>
      </c>
      <c r="D75">
        <f t="shared" si="1"/>
        <v>4.2109521231634179</v>
      </c>
    </row>
    <row r="76" spans="2:4" x14ac:dyDescent="0.25">
      <c r="B76">
        <f t="shared" si="3"/>
        <v>378</v>
      </c>
      <c r="C76">
        <f t="shared" si="5"/>
        <v>0.12303301845823446</v>
      </c>
      <c r="D76">
        <f t="shared" si="1"/>
        <v>4.2740998968121149</v>
      </c>
    </row>
    <row r="77" spans="2:4" x14ac:dyDescent="0.25">
      <c r="B77">
        <f t="shared" si="3"/>
        <v>388</v>
      </c>
      <c r="C77">
        <f t="shared" si="5"/>
        <v>0.12488830707110435</v>
      </c>
      <c r="D77">
        <f t="shared" si="1"/>
        <v>4.3385516104105726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4</xdr:col>
                <xdr:colOff>323850</xdr:colOff>
                <xdr:row>12</xdr:row>
                <xdr:rowOff>95250</xdr:rowOff>
              </from>
              <to>
                <xdr:col>6</xdr:col>
                <xdr:colOff>457200</xdr:colOff>
                <xdr:row>16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r:id="rId7">
            <anchor moveWithCells="1">
              <from>
                <xdr:col>5</xdr:col>
                <xdr:colOff>342900</xdr:colOff>
                <xdr:row>7</xdr:row>
                <xdr:rowOff>19050</xdr:rowOff>
              </from>
              <to>
                <xdr:col>8</xdr:col>
                <xdr:colOff>142875</xdr:colOff>
                <xdr:row>9</xdr:row>
                <xdr:rowOff>38100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6" r:id="rId8">
          <objectPr defaultSize="0" autoPict="0" r:id="rId9">
            <anchor moveWithCells="1">
              <from>
                <xdr:col>4</xdr:col>
                <xdr:colOff>514350</xdr:colOff>
                <xdr:row>18</xdr:row>
                <xdr:rowOff>38100</xdr:rowOff>
              </from>
              <to>
                <xdr:col>6</xdr:col>
                <xdr:colOff>247650</xdr:colOff>
                <xdr:row>21</xdr:row>
                <xdr:rowOff>104775</xdr:rowOff>
              </to>
            </anchor>
          </objectPr>
        </oleObject>
      </mc:Choice>
      <mc:Fallback>
        <oleObject progId="Equation.3" shapeId="2056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"/>
  <sheetViews>
    <sheetView topLeftCell="A4" workbookViewId="0">
      <selection activeCell="C18" sqref="C18"/>
    </sheetView>
  </sheetViews>
  <sheetFormatPr defaultRowHeight="15" x14ac:dyDescent="0.25"/>
  <cols>
    <col min="2" max="2" width="13.85546875" customWidth="1"/>
    <col min="3" max="3" width="10.5703125" bestFit="1" customWidth="1"/>
    <col min="7" max="7" width="12" bestFit="1" customWidth="1"/>
  </cols>
  <sheetData>
    <row r="1" spans="2:8" x14ac:dyDescent="0.25">
      <c r="B1" t="s">
        <v>148</v>
      </c>
    </row>
    <row r="3" spans="2:8" x14ac:dyDescent="0.25">
      <c r="B3" s="7" t="s">
        <v>66</v>
      </c>
      <c r="C3" s="34">
        <v>1.5E-5</v>
      </c>
      <c r="D3" t="s">
        <v>67</v>
      </c>
      <c r="G3" t="s">
        <v>292</v>
      </c>
      <c r="H3">
        <v>1.0999999999999999E-2</v>
      </c>
    </row>
    <row r="4" spans="2:8" x14ac:dyDescent="0.25">
      <c r="B4" t="s">
        <v>2</v>
      </c>
      <c r="C4" s="30">
        <v>1.2250000000000001</v>
      </c>
      <c r="D4" t="s">
        <v>3</v>
      </c>
      <c r="G4" t="s">
        <v>293</v>
      </c>
      <c r="H4">
        <v>1.49E-2</v>
      </c>
    </row>
    <row r="5" spans="2:8" x14ac:dyDescent="0.25">
      <c r="B5" t="s">
        <v>0</v>
      </c>
      <c r="C5" s="30">
        <v>21</v>
      </c>
      <c r="D5" t="s">
        <v>1</v>
      </c>
      <c r="G5" t="s">
        <v>294</v>
      </c>
      <c r="H5">
        <v>1.6E-2</v>
      </c>
    </row>
    <row r="6" spans="2:8" x14ac:dyDescent="0.25">
      <c r="B6" t="s">
        <v>15</v>
      </c>
      <c r="C6" s="30">
        <f>1/2*C4*C5^2</f>
        <v>270.11250000000001</v>
      </c>
      <c r="D6" t="s">
        <v>17</v>
      </c>
    </row>
    <row r="7" spans="2:8" x14ac:dyDescent="0.25">
      <c r="B7" t="s">
        <v>41</v>
      </c>
      <c r="C7" s="30">
        <v>20000</v>
      </c>
      <c r="D7" t="s">
        <v>39</v>
      </c>
    </row>
    <row r="8" spans="2:8" x14ac:dyDescent="0.25">
      <c r="B8" t="s">
        <v>4</v>
      </c>
      <c r="C8" s="30">
        <v>5</v>
      </c>
    </row>
    <row r="9" spans="2:8" x14ac:dyDescent="0.25">
      <c r="B9" t="s">
        <v>5</v>
      </c>
      <c r="C9" s="30">
        <v>0.9</v>
      </c>
    </row>
    <row r="10" spans="2:8" x14ac:dyDescent="0.25">
      <c r="B10" t="s">
        <v>6</v>
      </c>
      <c r="C10" s="30">
        <f>SUM(H3:H5)</f>
        <v>4.19E-2</v>
      </c>
    </row>
    <row r="11" spans="2:8" x14ac:dyDescent="0.25">
      <c r="B11" t="s">
        <v>224</v>
      </c>
      <c r="C11" s="30">
        <v>0.93</v>
      </c>
    </row>
    <row r="12" spans="2:8" x14ac:dyDescent="0.25">
      <c r="B12" t="s">
        <v>225</v>
      </c>
      <c r="C12" s="30">
        <v>0.65</v>
      </c>
    </row>
    <row r="14" spans="2:8" x14ac:dyDescent="0.25">
      <c r="B14" t="s">
        <v>16</v>
      </c>
      <c r="C14">
        <f>C25/C31</f>
        <v>141.29471624266148</v>
      </c>
      <c r="D14" t="s">
        <v>17</v>
      </c>
    </row>
    <row r="15" spans="2:8" x14ac:dyDescent="0.25">
      <c r="B15" t="s">
        <v>18</v>
      </c>
      <c r="C15">
        <v>9</v>
      </c>
      <c r="D15" t="s">
        <v>24</v>
      </c>
    </row>
    <row r="17" spans="2:18" x14ac:dyDescent="0.25">
      <c r="B17" t="s">
        <v>25</v>
      </c>
      <c r="C17" s="59">
        <v>63363</v>
      </c>
      <c r="D17" t="s">
        <v>26</v>
      </c>
    </row>
    <row r="19" spans="2:18" x14ac:dyDescent="0.25">
      <c r="B19" t="s">
        <v>27</v>
      </c>
      <c r="C19" s="32">
        <f>(C6*C10/C14+C14/(C6*PI()*C8*C9))*C7/C17</f>
        <v>3.6962109969211385E-2</v>
      </c>
      <c r="R19" s="32"/>
    </row>
    <row r="21" spans="2:18" x14ac:dyDescent="0.25">
      <c r="B21" t="s">
        <v>28</v>
      </c>
      <c r="C21">
        <f>17.7929/9.80665</f>
        <v>1.8143708605894979</v>
      </c>
      <c r="D21" t="s">
        <v>29</v>
      </c>
      <c r="E21">
        <f>9.80665*C21</f>
        <v>17.792899999999999</v>
      </c>
      <c r="F21" t="s">
        <v>9</v>
      </c>
    </row>
    <row r="23" spans="2:18" x14ac:dyDescent="0.25">
      <c r="B23" t="s">
        <v>30</v>
      </c>
      <c r="C23">
        <f>(7.36-1.81)/7.36</f>
        <v>0.75407608695652184</v>
      </c>
    </row>
    <row r="25" spans="2:18" x14ac:dyDescent="0.25">
      <c r="B25" t="s">
        <v>31</v>
      </c>
      <c r="C25" s="1">
        <f>7.36*9.81</f>
        <v>72.201600000000013</v>
      </c>
      <c r="D25" t="s">
        <v>9</v>
      </c>
      <c r="E25" s="1">
        <f>C25/9.80665</f>
        <v>7.3625142122947205</v>
      </c>
      <c r="F25" t="s">
        <v>29</v>
      </c>
      <c r="G25" s="1">
        <f>0.224809*C25</f>
        <v>16.231569494400002</v>
      </c>
      <c r="H25" t="s">
        <v>32</v>
      </c>
    </row>
    <row r="26" spans="2:18" x14ac:dyDescent="0.25">
      <c r="B26" t="s">
        <v>33</v>
      </c>
      <c r="C26" s="1">
        <v>11.66</v>
      </c>
      <c r="D26" t="s">
        <v>9</v>
      </c>
      <c r="E26" s="1">
        <f>C26/9.80665</f>
        <v>1.1889891043322645</v>
      </c>
      <c r="G26" s="1">
        <f>0.224809*C26</f>
        <v>2.6212729400000003</v>
      </c>
      <c r="H26" t="s">
        <v>32</v>
      </c>
    </row>
    <row r="27" spans="2:18" x14ac:dyDescent="0.25">
      <c r="C27" s="1"/>
      <c r="G27" s="1"/>
    </row>
    <row r="28" spans="2:18" x14ac:dyDescent="0.25">
      <c r="B28" t="s">
        <v>34</v>
      </c>
      <c r="C28" s="1">
        <f>C15*C25</f>
        <v>649.81440000000009</v>
      </c>
      <c r="D28" t="s">
        <v>35</v>
      </c>
      <c r="F28" t="s">
        <v>145</v>
      </c>
      <c r="G28">
        <v>243</v>
      </c>
      <c r="H28" t="s">
        <v>147</v>
      </c>
    </row>
    <row r="29" spans="2:18" x14ac:dyDescent="0.25">
      <c r="B29" t="s">
        <v>36</v>
      </c>
      <c r="C29" s="1">
        <f>C28/C5</f>
        <v>30.943542857142862</v>
      </c>
      <c r="D29" t="s">
        <v>9</v>
      </c>
      <c r="F29" t="s">
        <v>146</v>
      </c>
      <c r="G29">
        <f>C28*G28</f>
        <v>157904.89920000001</v>
      </c>
      <c r="H29" t="s">
        <v>46</v>
      </c>
    </row>
    <row r="30" spans="2:18" x14ac:dyDescent="0.25">
      <c r="B30" t="s">
        <v>19</v>
      </c>
      <c r="C30" s="1">
        <f>C29/C25</f>
        <v>0.42857142857142855</v>
      </c>
    </row>
    <row r="31" spans="2:18" x14ac:dyDescent="0.25">
      <c r="B31" t="s">
        <v>37</v>
      </c>
      <c r="C31" s="1">
        <v>0.51100000000000001</v>
      </c>
      <c r="D31" t="s">
        <v>11</v>
      </c>
    </row>
    <row r="32" spans="2:18" x14ac:dyDescent="0.25">
      <c r="B32" t="s">
        <v>38</v>
      </c>
      <c r="C32" s="1">
        <f>SQRT(C8*C31)</f>
        <v>1.5984367363145782</v>
      </c>
      <c r="D32" t="s">
        <v>39</v>
      </c>
    </row>
    <row r="33" spans="2:6" x14ac:dyDescent="0.25">
      <c r="B33" t="s">
        <v>40</v>
      </c>
      <c r="C33" s="1">
        <f>C31/C32</f>
        <v>0.31968734726291559</v>
      </c>
      <c r="D33" t="s">
        <v>39</v>
      </c>
    </row>
    <row r="35" spans="2:6" x14ac:dyDescent="0.25">
      <c r="B35" t="s">
        <v>12</v>
      </c>
      <c r="C35" s="2">
        <f>C25/(C6*C31)</f>
        <v>0.52309580727534444</v>
      </c>
      <c r="E35" t="s">
        <v>183</v>
      </c>
      <c r="F35">
        <f>C35*C6*C31</f>
        <v>72.201600000000013</v>
      </c>
    </row>
    <row r="36" spans="2:6" x14ac:dyDescent="0.25">
      <c r="B36" t="s">
        <v>13</v>
      </c>
      <c r="C36" s="2">
        <f>C29/(C6*C31)</f>
        <v>0.22418391740371904</v>
      </c>
    </row>
    <row r="37" spans="2:6" x14ac:dyDescent="0.25">
      <c r="B37" t="s">
        <v>109</v>
      </c>
      <c r="C37" s="2">
        <f>C35/C36</f>
        <v>2.3333333333333335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r:id="rId5">
            <anchor moveWithCells="1">
              <from>
                <xdr:col>6</xdr:col>
                <xdr:colOff>19050</xdr:colOff>
                <xdr:row>5</xdr:row>
                <xdr:rowOff>114300</xdr:rowOff>
              </from>
              <to>
                <xdr:col>10</xdr:col>
                <xdr:colOff>180975</xdr:colOff>
                <xdr:row>12</xdr:row>
                <xdr:rowOff>38100</xdr:rowOff>
              </to>
            </anchor>
          </objectPr>
        </oleObject>
      </mc:Choice>
      <mc:Fallback>
        <oleObject progId="Equation.3" shapeId="307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44"/>
  <sheetViews>
    <sheetView workbookViewId="0">
      <selection activeCell="C6" sqref="C6"/>
    </sheetView>
  </sheetViews>
  <sheetFormatPr defaultRowHeight="15" x14ac:dyDescent="0.25"/>
  <cols>
    <col min="7" max="7" width="12.140625" customWidth="1"/>
    <col min="17" max="17" width="14.28515625" customWidth="1"/>
  </cols>
  <sheetData>
    <row r="2" spans="2:19" x14ac:dyDescent="0.25">
      <c r="B2" t="s">
        <v>189</v>
      </c>
      <c r="C2">
        <v>1.2</v>
      </c>
      <c r="N2" t="s">
        <v>188</v>
      </c>
      <c r="Q2" t="s">
        <v>125</v>
      </c>
      <c r="R2" s="2">
        <f>SQRT(C9*C7*C8*PI())</f>
        <v>0.76964101686068909</v>
      </c>
    </row>
    <row r="3" spans="2:19" x14ac:dyDescent="0.25">
      <c r="B3" t="s">
        <v>8</v>
      </c>
      <c r="C3" s="1">
        <f>'weight analysis'!C25</f>
        <v>72.201600000000013</v>
      </c>
      <c r="Q3" t="s">
        <v>126</v>
      </c>
      <c r="R3" s="1">
        <f>SQRT(2*C3/(C5*C4*R2))</f>
        <v>17.312740199436032</v>
      </c>
      <c r="S3" t="s">
        <v>1</v>
      </c>
    </row>
    <row r="4" spans="2:19" x14ac:dyDescent="0.25">
      <c r="B4" t="s">
        <v>37</v>
      </c>
      <c r="C4" s="1">
        <f>'weight analysis'!C31</f>
        <v>0.51100000000000001</v>
      </c>
    </row>
    <row r="5" spans="2:19" x14ac:dyDescent="0.25">
      <c r="B5" t="s">
        <v>2</v>
      </c>
      <c r="C5">
        <f>'[1]senior telemaster'!E46</f>
        <v>1.2250000000000001</v>
      </c>
      <c r="D5" t="s">
        <v>3</v>
      </c>
      <c r="Q5" t="s">
        <v>124</v>
      </c>
      <c r="R5" s="1">
        <f>SQRT(2*C6/(C5*C4*C2))</f>
        <v>13.864981398245332</v>
      </c>
      <c r="S5" t="s">
        <v>1</v>
      </c>
    </row>
    <row r="6" spans="2:19" x14ac:dyDescent="0.25">
      <c r="B6" t="s">
        <v>8</v>
      </c>
      <c r="C6" s="1">
        <f>'weight analysis'!C25</f>
        <v>72.201600000000013</v>
      </c>
      <c r="D6" t="s">
        <v>9</v>
      </c>
    </row>
    <row r="7" spans="2:19" x14ac:dyDescent="0.25">
      <c r="B7" t="s">
        <v>4</v>
      </c>
      <c r="C7" s="1">
        <f>'weight analysis'!C8</f>
        <v>5</v>
      </c>
      <c r="G7" t="s">
        <v>135</v>
      </c>
      <c r="H7" t="s">
        <v>134</v>
      </c>
      <c r="I7" t="s">
        <v>133</v>
      </c>
      <c r="K7" t="s">
        <v>132</v>
      </c>
    </row>
    <row r="8" spans="2:19" x14ac:dyDescent="0.25">
      <c r="B8" t="s">
        <v>5</v>
      </c>
      <c r="C8">
        <f>'weight analysis'!C9</f>
        <v>0.9</v>
      </c>
      <c r="G8" s="1">
        <f>R5</f>
        <v>13.864981398245332</v>
      </c>
      <c r="H8">
        <v>0</v>
      </c>
      <c r="I8">
        <v>0</v>
      </c>
      <c r="K8" s="1">
        <f>R3</f>
        <v>17.312740199436032</v>
      </c>
    </row>
    <row r="9" spans="2:19" x14ac:dyDescent="0.25">
      <c r="B9" t="s">
        <v>6</v>
      </c>
      <c r="C9">
        <f>'weight analysis'!C10</f>
        <v>4.19E-2</v>
      </c>
      <c r="G9" s="1">
        <f>R5</f>
        <v>13.864981398245332</v>
      </c>
      <c r="H9">
        <v>30</v>
      </c>
      <c r="I9">
        <v>700</v>
      </c>
      <c r="K9" s="1">
        <f>R3</f>
        <v>17.312740199436032</v>
      </c>
    </row>
    <row r="10" spans="2:19" x14ac:dyDescent="0.25">
      <c r="B10" t="s">
        <v>10</v>
      </c>
      <c r="C10" s="1">
        <f>'weight analysis'!C31</f>
        <v>0.51100000000000001</v>
      </c>
      <c r="D10" t="s">
        <v>11</v>
      </c>
    </row>
    <row r="11" spans="2:19" x14ac:dyDescent="0.25">
      <c r="B11" t="s">
        <v>12</v>
      </c>
      <c r="C11" t="s">
        <v>13</v>
      </c>
      <c r="D11" t="s">
        <v>109</v>
      </c>
      <c r="G11" t="s">
        <v>131</v>
      </c>
      <c r="H11" t="s">
        <v>130</v>
      </c>
      <c r="I11" t="s">
        <v>12</v>
      </c>
      <c r="J11" t="s">
        <v>129</v>
      </c>
      <c r="K11" t="s">
        <v>128</v>
      </c>
      <c r="L11" t="s">
        <v>106</v>
      </c>
      <c r="M11" t="s">
        <v>109</v>
      </c>
    </row>
    <row r="12" spans="2:19" x14ac:dyDescent="0.25">
      <c r="B12">
        <v>0.05</v>
      </c>
      <c r="C12">
        <f t="shared" ref="C12:C36" si="0">$C$9+B12^2/(PI()*$C$7*$C$8)</f>
        <v>4.2076838825657659E-2</v>
      </c>
      <c r="D12">
        <f>B12/C12</f>
        <v>1.1883021965402722</v>
      </c>
      <c r="G12">
        <v>2</v>
      </c>
      <c r="H12">
        <f t="shared" ref="H12:H44" si="1">1/2*$C$5*G12^2</f>
        <v>2.4500000000000002</v>
      </c>
      <c r="I12">
        <f t="shared" ref="I12:I44" si="2">$C$6/(H12*$C$10)</f>
        <v>57.671312752106722</v>
      </c>
      <c r="J12">
        <f t="shared" ref="J12:J44" si="3">H12*$C$10*($C$9+I12^2/(PI()*$C$7*$C$8))</f>
        <v>294.59244991120528</v>
      </c>
      <c r="K12">
        <f t="shared" ref="K12:K44" si="4">J12*G12</f>
        <v>589.18489982241056</v>
      </c>
      <c r="L12">
        <f>J12/(1/2*1.225*G12^2*$C$10)</f>
        <v>235.3068811943011</v>
      </c>
      <c r="M12">
        <f>I12/L12</f>
        <v>0.24508978428253234</v>
      </c>
    </row>
    <row r="13" spans="2:19" x14ac:dyDescent="0.25">
      <c r="B13">
        <f t="shared" ref="B13:B36" si="5">B12+0.05</f>
        <v>0.1</v>
      </c>
      <c r="C13">
        <f t="shared" si="0"/>
        <v>4.2607355302630649E-2</v>
      </c>
      <c r="D13">
        <f t="shared" ref="D13:D36" si="6">B13/C13</f>
        <v>2.3470126059156233</v>
      </c>
      <c r="G13">
        <f t="shared" ref="G13:G42" si="7">G12+1</f>
        <v>3</v>
      </c>
      <c r="H13">
        <f t="shared" si="1"/>
        <v>5.5125000000000002</v>
      </c>
      <c r="I13">
        <f t="shared" si="2"/>
        <v>25.631694556491876</v>
      </c>
      <c r="J13">
        <f t="shared" si="3"/>
        <v>131.02469123345233</v>
      </c>
      <c r="K13">
        <f t="shared" si="4"/>
        <v>393.07407370035696</v>
      </c>
      <c r="L13">
        <f t="shared" ref="L13:L44" si="8">J13/(1/2*1.225*G13^2*$C$10)</f>
        <v>46.513995050726137</v>
      </c>
      <c r="M13">
        <f t="shared" ref="M13:M44" si="9">I13/L13</f>
        <v>0.55105338787904734</v>
      </c>
    </row>
    <row r="14" spans="2:19" x14ac:dyDescent="0.25">
      <c r="B14">
        <f t="shared" si="5"/>
        <v>0.15000000000000002</v>
      </c>
      <c r="C14">
        <f t="shared" si="0"/>
        <v>4.3491549430918951E-2</v>
      </c>
      <c r="D14">
        <f t="shared" si="6"/>
        <v>3.448945874836141</v>
      </c>
      <c r="G14">
        <f t="shared" si="7"/>
        <v>4</v>
      </c>
      <c r="H14">
        <f t="shared" si="1"/>
        <v>9.8000000000000007</v>
      </c>
      <c r="I14">
        <f t="shared" si="2"/>
        <v>14.417828188026681</v>
      </c>
      <c r="J14">
        <f t="shared" si="3"/>
        <v>73.844825121551324</v>
      </c>
      <c r="K14">
        <f t="shared" si="4"/>
        <v>295.3793004862053</v>
      </c>
      <c r="L14">
        <f t="shared" si="8"/>
        <v>14.745961324643819</v>
      </c>
      <c r="M14">
        <f t="shared" si="9"/>
        <v>0.97774759275485457</v>
      </c>
    </row>
    <row r="15" spans="2:19" x14ac:dyDescent="0.25">
      <c r="B15">
        <f t="shared" si="5"/>
        <v>0.2</v>
      </c>
      <c r="C15">
        <f t="shared" si="0"/>
        <v>4.4729421210522584E-2</v>
      </c>
      <c r="D15">
        <f t="shared" si="6"/>
        <v>4.4713299342435953</v>
      </c>
      <c r="G15">
        <f t="shared" si="7"/>
        <v>5</v>
      </c>
      <c r="H15">
        <f t="shared" si="1"/>
        <v>15.312500000000002</v>
      </c>
      <c r="I15">
        <f t="shared" si="2"/>
        <v>9.2274100403370749</v>
      </c>
      <c r="J15">
        <f t="shared" si="3"/>
        <v>47.454253319242838</v>
      </c>
      <c r="K15">
        <f t="shared" si="4"/>
        <v>237.27126659621419</v>
      </c>
      <c r="L15">
        <f t="shared" si="8"/>
        <v>6.0646835185741068</v>
      </c>
      <c r="M15">
        <f t="shared" si="9"/>
        <v>1.5214990216845758</v>
      </c>
    </row>
    <row r="16" spans="2:19" x14ac:dyDescent="0.25">
      <c r="B16">
        <f t="shared" si="5"/>
        <v>0.25</v>
      </c>
      <c r="C16">
        <f t="shared" si="0"/>
        <v>4.6320970641441535E-2</v>
      </c>
      <c r="D16">
        <f t="shared" si="6"/>
        <v>5.3971235174492422</v>
      </c>
      <c r="G16">
        <f t="shared" si="7"/>
        <v>6</v>
      </c>
      <c r="H16">
        <f t="shared" si="1"/>
        <v>22.05</v>
      </c>
      <c r="I16">
        <f t="shared" si="2"/>
        <v>6.407923639122969</v>
      </c>
      <c r="J16">
        <f t="shared" si="3"/>
        <v>33.198776256800585</v>
      </c>
      <c r="K16">
        <f t="shared" si="4"/>
        <v>199.19265754080351</v>
      </c>
      <c r="L16">
        <f t="shared" si="8"/>
        <v>2.9464059406703842</v>
      </c>
      <c r="M16">
        <f t="shared" si="9"/>
        <v>2.1748271515041133</v>
      </c>
    </row>
    <row r="17" spans="2:13" x14ac:dyDescent="0.25">
      <c r="B17">
        <f t="shared" si="5"/>
        <v>0.3</v>
      </c>
      <c r="C17">
        <f t="shared" si="0"/>
        <v>4.8266197723675811E-2</v>
      </c>
      <c r="D17">
        <f t="shared" si="6"/>
        <v>6.2155300012961714</v>
      </c>
      <c r="G17">
        <f t="shared" si="7"/>
        <v>7</v>
      </c>
      <c r="H17">
        <f t="shared" si="1"/>
        <v>30.012500000000003</v>
      </c>
      <c r="I17">
        <f t="shared" si="2"/>
        <v>4.7078622654780995</v>
      </c>
      <c r="J17">
        <f t="shared" si="3"/>
        <v>24.686675714307576</v>
      </c>
      <c r="K17">
        <f t="shared" si="4"/>
        <v>172.80673000015304</v>
      </c>
      <c r="L17">
        <f t="shared" si="8"/>
        <v>1.6096799663093784</v>
      </c>
      <c r="M17">
        <f t="shared" si="9"/>
        <v>2.9247194249873982</v>
      </c>
    </row>
    <row r="18" spans="2:13" x14ac:dyDescent="0.25">
      <c r="B18">
        <f t="shared" si="5"/>
        <v>0.35</v>
      </c>
      <c r="C18">
        <f t="shared" si="0"/>
        <v>5.0565102457225411E-2</v>
      </c>
      <c r="D18">
        <f t="shared" si="6"/>
        <v>6.9217698173572542</v>
      </c>
      <c r="G18">
        <f t="shared" si="7"/>
        <v>8</v>
      </c>
      <c r="H18">
        <f t="shared" si="1"/>
        <v>39.200000000000003</v>
      </c>
      <c r="I18">
        <f t="shared" si="2"/>
        <v>3.6044570470066701</v>
      </c>
      <c r="J18">
        <f t="shared" si="3"/>
        <v>19.24805685538783</v>
      </c>
      <c r="K18">
        <f t="shared" si="4"/>
        <v>153.98445484310264</v>
      </c>
      <c r="L18">
        <f t="shared" si="8"/>
        <v>0.96090383279023861</v>
      </c>
      <c r="M18">
        <f t="shared" si="9"/>
        <v>3.7511111143559237</v>
      </c>
    </row>
    <row r="19" spans="2:13" x14ac:dyDescent="0.25">
      <c r="B19">
        <f t="shared" si="5"/>
        <v>0.39999999999999997</v>
      </c>
      <c r="C19">
        <f t="shared" si="0"/>
        <v>5.3217684842090329E-2</v>
      </c>
      <c r="D19">
        <f t="shared" si="6"/>
        <v>7.5162984107049411</v>
      </c>
      <c r="G19">
        <f t="shared" si="7"/>
        <v>9</v>
      </c>
      <c r="H19">
        <f t="shared" si="1"/>
        <v>49.612500000000004</v>
      </c>
      <c r="I19">
        <f t="shared" si="2"/>
        <v>2.8479660618324303</v>
      </c>
      <c r="J19">
        <f t="shared" si="3"/>
        <v>15.607433125939146</v>
      </c>
      <c r="K19">
        <f t="shared" si="4"/>
        <v>140.4668981334523</v>
      </c>
      <c r="L19">
        <f t="shared" si="8"/>
        <v>0.61562956852748307</v>
      </c>
      <c r="M19">
        <f t="shared" si="9"/>
        <v>4.626103435292177</v>
      </c>
    </row>
    <row r="20" spans="2:13" x14ac:dyDescent="0.25">
      <c r="B20">
        <f t="shared" si="5"/>
        <v>0.44999999999999996</v>
      </c>
      <c r="C20">
        <f t="shared" si="0"/>
        <v>5.6223944878270579E-2</v>
      </c>
      <c r="D20">
        <f t="shared" si="6"/>
        <v>8.003707334558019</v>
      </c>
      <c r="G20">
        <f t="shared" si="7"/>
        <v>10</v>
      </c>
      <c r="H20">
        <f t="shared" si="1"/>
        <v>61.250000000000007</v>
      </c>
      <c r="I20">
        <f t="shared" si="2"/>
        <v>2.3068525100842687</v>
      </c>
      <c r="J20">
        <f t="shared" si="3"/>
        <v>13.093017353248209</v>
      </c>
      <c r="K20">
        <f t="shared" si="4"/>
        <v>130.93017353248209</v>
      </c>
      <c r="L20">
        <f t="shared" si="8"/>
        <v>0.41832396991088167</v>
      </c>
      <c r="M20">
        <f t="shared" si="9"/>
        <v>5.5145118998935514</v>
      </c>
    </row>
    <row r="21" spans="2:13" x14ac:dyDescent="0.25">
      <c r="B21">
        <f t="shared" si="5"/>
        <v>0.49999999999999994</v>
      </c>
      <c r="C21">
        <f t="shared" si="0"/>
        <v>5.9583882565766147E-2</v>
      </c>
      <c r="D21">
        <f t="shared" si="6"/>
        <v>8.3915310394236435</v>
      </c>
      <c r="G21">
        <f t="shared" si="7"/>
        <v>11</v>
      </c>
      <c r="H21">
        <f t="shared" si="1"/>
        <v>74.112500000000011</v>
      </c>
      <c r="I21">
        <f t="shared" si="2"/>
        <v>1.9064896777555937</v>
      </c>
      <c r="J21">
        <f t="shared" si="3"/>
        <v>11.323674605793975</v>
      </c>
      <c r="K21">
        <f t="shared" si="4"/>
        <v>124.56042066373374</v>
      </c>
      <c r="L21">
        <f t="shared" si="8"/>
        <v>0.29900263637106866</v>
      </c>
      <c r="M21">
        <f t="shared" si="9"/>
        <v>6.3761634375343741</v>
      </c>
    </row>
    <row r="22" spans="2:13" x14ac:dyDescent="0.25">
      <c r="B22">
        <f t="shared" si="5"/>
        <v>0.54999999999999993</v>
      </c>
      <c r="C22">
        <f t="shared" si="0"/>
        <v>6.3297497904577033E-2</v>
      </c>
      <c r="D22">
        <f t="shared" si="6"/>
        <v>8.6891270304103045</v>
      </c>
      <c r="G22">
        <f t="shared" si="7"/>
        <v>12</v>
      </c>
      <c r="H22">
        <f t="shared" si="1"/>
        <v>88.2</v>
      </c>
      <c r="I22">
        <f t="shared" si="2"/>
        <v>1.6019809097807423</v>
      </c>
      <c r="J22">
        <f t="shared" si="3"/>
        <v>10.070107857950147</v>
      </c>
      <c r="K22">
        <f t="shared" si="4"/>
        <v>120.84129429540175</v>
      </c>
      <c r="L22">
        <f t="shared" si="8"/>
        <v>0.223431621291899</v>
      </c>
      <c r="M22">
        <f t="shared" si="9"/>
        <v>7.1698934131076166</v>
      </c>
    </row>
    <row r="23" spans="2:13" x14ac:dyDescent="0.25">
      <c r="B23">
        <f t="shared" si="5"/>
        <v>0.6</v>
      </c>
      <c r="C23">
        <f t="shared" si="0"/>
        <v>6.736479089470325E-2</v>
      </c>
      <c r="D23">
        <f t="shared" si="6"/>
        <v>8.9067299405389626</v>
      </c>
      <c r="G23">
        <f t="shared" si="7"/>
        <v>13</v>
      </c>
      <c r="H23">
        <f t="shared" si="1"/>
        <v>103.5125</v>
      </c>
      <c r="I23">
        <f t="shared" si="2"/>
        <v>1.3650014852569639</v>
      </c>
      <c r="J23">
        <f t="shared" si="3"/>
        <v>9.1876565721956869</v>
      </c>
      <c r="K23">
        <f t="shared" si="4"/>
        <v>119.43953543854393</v>
      </c>
      <c r="L23">
        <f t="shared" si="8"/>
        <v>0.1736964951895528</v>
      </c>
      <c r="M23">
        <f t="shared" si="9"/>
        <v>7.8585436267286504</v>
      </c>
    </row>
    <row r="24" spans="2:13" x14ac:dyDescent="0.25">
      <c r="B24">
        <f t="shared" si="5"/>
        <v>0.65</v>
      </c>
      <c r="C24">
        <f t="shared" si="0"/>
        <v>7.1785761536144799E-2</v>
      </c>
      <c r="D24">
        <f t="shared" si="6"/>
        <v>9.0547204082068422</v>
      </c>
      <c r="G24">
        <f t="shared" si="7"/>
        <v>14</v>
      </c>
      <c r="H24">
        <f t="shared" si="1"/>
        <v>120.05000000000001</v>
      </c>
      <c r="I24">
        <f t="shared" si="2"/>
        <v>1.1769655663695249</v>
      </c>
      <c r="J24">
        <f t="shared" si="3"/>
        <v>8.5813988145143938</v>
      </c>
      <c r="K24">
        <f t="shared" si="4"/>
        <v>120.13958340320151</v>
      </c>
      <c r="L24">
        <f t="shared" si="8"/>
        <v>0.13988624789433615</v>
      </c>
      <c r="M24">
        <f t="shared" si="9"/>
        <v>8.4137331874006112</v>
      </c>
    </row>
    <row r="25" spans="2:13" x14ac:dyDescent="0.25">
      <c r="B25">
        <f t="shared" si="5"/>
        <v>0.70000000000000007</v>
      </c>
      <c r="C25">
        <f t="shared" si="0"/>
        <v>7.6560409828901665E-2</v>
      </c>
      <c r="D25">
        <f t="shared" si="6"/>
        <v>9.1431067514446482</v>
      </c>
      <c r="G25">
        <f t="shared" si="7"/>
        <v>15</v>
      </c>
      <c r="H25">
        <f t="shared" si="1"/>
        <v>137.8125</v>
      </c>
      <c r="I25">
        <f t="shared" si="2"/>
        <v>1.025267782259675</v>
      </c>
      <c r="J25">
        <f t="shared" si="3"/>
        <v>8.1869562021380933</v>
      </c>
      <c r="K25">
        <f t="shared" si="4"/>
        <v>122.8043430320714</v>
      </c>
      <c r="L25">
        <f t="shared" si="8"/>
        <v>0.11625535208116182</v>
      </c>
      <c r="M25">
        <f t="shared" si="9"/>
        <v>8.8191017781607215</v>
      </c>
    </row>
    <row r="26" spans="2:13" x14ac:dyDescent="0.25">
      <c r="B26">
        <f t="shared" si="5"/>
        <v>0.75000000000000011</v>
      </c>
      <c r="C26">
        <f t="shared" si="0"/>
        <v>8.168873577297385E-2</v>
      </c>
      <c r="D26">
        <f t="shared" si="6"/>
        <v>9.1811923994560392</v>
      </c>
      <c r="G26">
        <f t="shared" si="7"/>
        <v>16</v>
      </c>
      <c r="H26">
        <f t="shared" si="1"/>
        <v>156.80000000000001</v>
      </c>
      <c r="I26">
        <f t="shared" si="2"/>
        <v>0.90111426175166753</v>
      </c>
      <c r="J26">
        <f t="shared" si="3"/>
        <v>7.9594165138469579</v>
      </c>
      <c r="K26">
        <f t="shared" si="4"/>
        <v>127.35066422155133</v>
      </c>
      <c r="L26">
        <f t="shared" si="8"/>
        <v>9.9337739549389917E-2</v>
      </c>
      <c r="M26">
        <f t="shared" si="9"/>
        <v>9.0712177047640683</v>
      </c>
    </row>
    <row r="27" spans="2:13" x14ac:dyDescent="0.25">
      <c r="B27">
        <f t="shared" si="5"/>
        <v>0.80000000000000016</v>
      </c>
      <c r="C27">
        <f t="shared" si="0"/>
        <v>8.7170739368361366E-2</v>
      </c>
      <c r="D27">
        <f t="shared" si="6"/>
        <v>9.177391471000421</v>
      </c>
      <c r="G27">
        <f t="shared" si="7"/>
        <v>17</v>
      </c>
      <c r="H27">
        <f t="shared" si="1"/>
        <v>177.01250000000002</v>
      </c>
      <c r="I27">
        <f t="shared" si="2"/>
        <v>0.79821886162085431</v>
      </c>
      <c r="J27">
        <f t="shared" si="3"/>
        <v>7.8666750429102814</v>
      </c>
      <c r="K27">
        <f t="shared" si="4"/>
        <v>133.73347572947478</v>
      </c>
      <c r="L27">
        <f t="shared" si="8"/>
        <v>8.696938014521878E-2</v>
      </c>
      <c r="M27">
        <f t="shared" si="9"/>
        <v>9.178159718834527</v>
      </c>
    </row>
    <row r="28" spans="2:13" x14ac:dyDescent="0.25">
      <c r="B28">
        <f t="shared" si="5"/>
        <v>0.8500000000000002</v>
      </c>
      <c r="C28">
        <f t="shared" si="0"/>
        <v>9.30064206150642E-2</v>
      </c>
      <c r="D28">
        <f t="shared" si="6"/>
        <v>9.1391539893572276</v>
      </c>
      <c r="G28">
        <f t="shared" si="7"/>
        <v>18</v>
      </c>
      <c r="H28">
        <f t="shared" si="1"/>
        <v>198.45000000000002</v>
      </c>
      <c r="I28">
        <f t="shared" si="2"/>
        <v>0.71199151545810757</v>
      </c>
      <c r="J28">
        <f t="shared" si="3"/>
        <v>7.885289317422286</v>
      </c>
      <c r="K28">
        <f t="shared" si="4"/>
        <v>141.93520771360116</v>
      </c>
      <c r="L28">
        <f t="shared" si="8"/>
        <v>7.7758098032967682E-2</v>
      </c>
      <c r="M28">
        <f t="shared" si="9"/>
        <v>9.1564934517333381</v>
      </c>
    </row>
    <row r="29" spans="2:13" x14ac:dyDescent="0.25">
      <c r="B29">
        <f t="shared" si="5"/>
        <v>0.90000000000000024</v>
      </c>
      <c r="C29">
        <f t="shared" si="0"/>
        <v>9.9195779513082352E-2</v>
      </c>
      <c r="D29">
        <f t="shared" si="6"/>
        <v>9.0729666566237785</v>
      </c>
      <c r="G29">
        <f t="shared" si="7"/>
        <v>19</v>
      </c>
      <c r="H29">
        <f t="shared" si="1"/>
        <v>221.11250000000001</v>
      </c>
      <c r="I29">
        <f t="shared" si="2"/>
        <v>0.63901731581281684</v>
      </c>
      <c r="J29">
        <f t="shared" si="3"/>
        <v>7.9978186590057367</v>
      </c>
      <c r="K29">
        <f t="shared" si="4"/>
        <v>151.95855452110899</v>
      </c>
      <c r="L29">
        <f t="shared" si="8"/>
        <v>7.0784367823365515E-2</v>
      </c>
      <c r="M29">
        <f t="shared" si="9"/>
        <v>9.0276615510279505</v>
      </c>
    </row>
    <row r="30" spans="2:13" x14ac:dyDescent="0.25">
      <c r="B30">
        <f t="shared" si="5"/>
        <v>0.95000000000000029</v>
      </c>
      <c r="C30">
        <f t="shared" si="0"/>
        <v>0.10573881606241584</v>
      </c>
      <c r="D30">
        <f t="shared" si="6"/>
        <v>8.9844017114701877</v>
      </c>
      <c r="G30">
        <f t="shared" si="7"/>
        <v>20</v>
      </c>
      <c r="H30">
        <f t="shared" si="1"/>
        <v>245.00000000000003</v>
      </c>
      <c r="I30">
        <f t="shared" si="2"/>
        <v>0.57671312752106718</v>
      </c>
      <c r="J30">
        <f t="shared" si="3"/>
        <v>8.1910704320620535</v>
      </c>
      <c r="K30">
        <f t="shared" si="4"/>
        <v>163.82140864124108</v>
      </c>
      <c r="L30">
        <f t="shared" si="8"/>
        <v>6.5426498119430104E-2</v>
      </c>
      <c r="M30">
        <f t="shared" si="9"/>
        <v>8.8146720991903003</v>
      </c>
    </row>
    <row r="31" spans="2:13" x14ac:dyDescent="0.25">
      <c r="B31">
        <f t="shared" si="5"/>
        <v>1.0000000000000002</v>
      </c>
      <c r="C31">
        <f t="shared" si="0"/>
        <v>0.11263553026306464</v>
      </c>
      <c r="D31">
        <f t="shared" si="6"/>
        <v>8.8781932101217222</v>
      </c>
      <c r="G31">
        <f t="shared" si="7"/>
        <v>21</v>
      </c>
      <c r="H31">
        <f t="shared" si="1"/>
        <v>270.11250000000001</v>
      </c>
      <c r="I31">
        <f t="shared" si="2"/>
        <v>0.52309580727534444</v>
      </c>
      <c r="J31">
        <f t="shared" si="3"/>
        <v>8.4549162904786197</v>
      </c>
      <c r="K31">
        <f t="shared" si="4"/>
        <v>177.55324210005102</v>
      </c>
      <c r="L31">
        <f t="shared" si="8"/>
        <v>6.1255308226041708E-2</v>
      </c>
      <c r="M31">
        <f t="shared" si="9"/>
        <v>8.5395996269423495</v>
      </c>
    </row>
    <row r="32" spans="2:13" x14ac:dyDescent="0.25">
      <c r="B32">
        <f t="shared" si="5"/>
        <v>1.0500000000000003</v>
      </c>
      <c r="C32">
        <f t="shared" si="0"/>
        <v>0.11988592211502874</v>
      </c>
      <c r="D32">
        <f t="shared" si="6"/>
        <v>8.7583260943060601</v>
      </c>
      <c r="G32">
        <f t="shared" si="7"/>
        <v>22</v>
      </c>
      <c r="H32">
        <f t="shared" si="1"/>
        <v>296.45000000000005</v>
      </c>
      <c r="I32">
        <f t="shared" si="2"/>
        <v>0.47662241943889844</v>
      </c>
      <c r="J32">
        <f t="shared" si="3"/>
        <v>8.7814761248859945</v>
      </c>
      <c r="K32">
        <f t="shared" si="4"/>
        <v>193.19247474749187</v>
      </c>
      <c r="L32">
        <f t="shared" si="8"/>
        <v>5.7968914773191792E-2</v>
      </c>
      <c r="M32">
        <f t="shared" si="9"/>
        <v>8.2220345387475913</v>
      </c>
    </row>
    <row r="33" spans="2:13" x14ac:dyDescent="0.25">
      <c r="B33">
        <f t="shared" si="5"/>
        <v>1.1000000000000003</v>
      </c>
      <c r="C33">
        <f t="shared" si="0"/>
        <v>0.12748999161830821</v>
      </c>
      <c r="D33">
        <f t="shared" si="6"/>
        <v>8.6281282635368441</v>
      </c>
      <c r="G33">
        <f t="shared" si="7"/>
        <v>23</v>
      </c>
      <c r="H33">
        <f t="shared" si="1"/>
        <v>324.01250000000005</v>
      </c>
      <c r="I33">
        <f t="shared" si="2"/>
        <v>0.43607797922197888</v>
      </c>
      <c r="J33">
        <f t="shared" si="3"/>
        <v>9.1645447425351065</v>
      </c>
      <c r="K33">
        <f t="shared" si="4"/>
        <v>210.78452907830746</v>
      </c>
      <c r="L33">
        <f t="shared" si="8"/>
        <v>5.5351351657222547E-2</v>
      </c>
      <c r="M33">
        <f t="shared" si="9"/>
        <v>7.8783618857675544</v>
      </c>
    </row>
    <row r="34" spans="2:13" x14ac:dyDescent="0.25">
      <c r="B34">
        <f t="shared" si="5"/>
        <v>1.1500000000000004</v>
      </c>
      <c r="C34">
        <f t="shared" si="0"/>
        <v>0.135447738772903</v>
      </c>
      <c r="D34">
        <f t="shared" si="6"/>
        <v>8.4903595321597471</v>
      </c>
      <c r="G34">
        <f t="shared" si="7"/>
        <v>24</v>
      </c>
      <c r="H34">
        <f t="shared" si="1"/>
        <v>352.8</v>
      </c>
      <c r="I34">
        <f t="shared" si="2"/>
        <v>0.40049522744518556</v>
      </c>
      <c r="J34">
        <f t="shared" si="3"/>
        <v>9.599182139487537</v>
      </c>
      <c r="K34">
        <f t="shared" si="4"/>
        <v>230.38037134770087</v>
      </c>
      <c r="L34">
        <f t="shared" si="8"/>
        <v>5.324572633074369E-2</v>
      </c>
      <c r="M34">
        <f t="shared" si="9"/>
        <v>7.5216407971871835</v>
      </c>
    </row>
    <row r="35" spans="2:13" x14ac:dyDescent="0.25">
      <c r="B35">
        <f t="shared" si="5"/>
        <v>1.2000000000000004</v>
      </c>
      <c r="C35">
        <f t="shared" si="0"/>
        <v>0.1437591635788131</v>
      </c>
      <c r="D35">
        <f t="shared" si="6"/>
        <v>8.3472939750524091</v>
      </c>
      <c r="G35">
        <f t="shared" si="7"/>
        <v>25</v>
      </c>
      <c r="H35">
        <f t="shared" si="1"/>
        <v>382.8125</v>
      </c>
      <c r="I35">
        <f t="shared" si="2"/>
        <v>0.36909640161348306</v>
      </c>
      <c r="J35">
        <f t="shared" si="3"/>
        <v>10.081416112769714</v>
      </c>
      <c r="K35">
        <f t="shared" si="4"/>
        <v>252.03540281924285</v>
      </c>
      <c r="L35">
        <f t="shared" si="8"/>
        <v>5.1536453629718579E-2</v>
      </c>
      <c r="M35">
        <f t="shared" si="9"/>
        <v>7.1618509931898577</v>
      </c>
    </row>
    <row r="36" spans="2:13" x14ac:dyDescent="0.25">
      <c r="B36">
        <f t="shared" si="5"/>
        <v>1.2500000000000004</v>
      </c>
      <c r="C36">
        <f t="shared" si="0"/>
        <v>0.15242426603603851</v>
      </c>
      <c r="D36">
        <f t="shared" si="6"/>
        <v>8.2007939582563321</v>
      </c>
      <c r="G36">
        <f t="shared" si="7"/>
        <v>26</v>
      </c>
      <c r="H36">
        <f t="shared" si="1"/>
        <v>414.05</v>
      </c>
      <c r="I36">
        <f t="shared" si="2"/>
        <v>0.34125037131424096</v>
      </c>
      <c r="J36">
        <f t="shared" si="3"/>
        <v>10.608023341486422</v>
      </c>
      <c r="K36">
        <f t="shared" si="4"/>
        <v>275.80860687864697</v>
      </c>
      <c r="L36">
        <f t="shared" si="8"/>
        <v>5.0137280949347052E-2</v>
      </c>
      <c r="M36">
        <f t="shared" si="9"/>
        <v>6.8063198652316457</v>
      </c>
    </row>
    <row r="37" spans="2:13" x14ac:dyDescent="0.25">
      <c r="G37">
        <f t="shared" si="7"/>
        <v>27</v>
      </c>
      <c r="H37">
        <f t="shared" si="1"/>
        <v>446.51250000000005</v>
      </c>
      <c r="I37">
        <f t="shared" si="2"/>
        <v>0.31644067353693672</v>
      </c>
      <c r="J37">
        <f t="shared" si="3"/>
        <v>11.176366136215462</v>
      </c>
      <c r="K37">
        <f t="shared" si="4"/>
        <v>301.76188567781747</v>
      </c>
      <c r="L37">
        <f t="shared" si="8"/>
        <v>4.8983081092931889E-2</v>
      </c>
      <c r="M37">
        <f t="shared" si="9"/>
        <v>6.4602035330643615</v>
      </c>
    </row>
    <row r="38" spans="2:13" x14ac:dyDescent="0.25">
      <c r="G38">
        <f t="shared" si="7"/>
        <v>28</v>
      </c>
      <c r="H38">
        <f t="shared" si="1"/>
        <v>480.20000000000005</v>
      </c>
      <c r="I38">
        <f t="shared" si="2"/>
        <v>0.29424139159238122</v>
      </c>
      <c r="J38">
        <f t="shared" si="3"/>
        <v>11.784269247378601</v>
      </c>
      <c r="K38">
        <f t="shared" si="4"/>
        <v>329.95953892660083</v>
      </c>
      <c r="L38">
        <f t="shared" si="8"/>
        <v>4.8024140493396011E-2</v>
      </c>
      <c r="M38">
        <f t="shared" si="9"/>
        <v>6.1269475844725116</v>
      </c>
    </row>
    <row r="39" spans="2:13" x14ac:dyDescent="0.25">
      <c r="G39">
        <f t="shared" si="7"/>
        <v>29</v>
      </c>
      <c r="H39">
        <f t="shared" si="1"/>
        <v>515.11250000000007</v>
      </c>
      <c r="I39">
        <f t="shared" si="2"/>
        <v>0.27429875268540649</v>
      </c>
      <c r="J39">
        <f t="shared" si="3"/>
        <v>12.429925880025056</v>
      </c>
      <c r="K39">
        <f t="shared" si="4"/>
        <v>360.46785052072664</v>
      </c>
      <c r="L39">
        <f t="shared" si="8"/>
        <v>4.7222127554831551E-2</v>
      </c>
      <c r="M39">
        <f t="shared" si="9"/>
        <v>5.8086911134384396</v>
      </c>
    </row>
    <row r="40" spans="2:13" x14ac:dyDescent="0.25">
      <c r="G40">
        <f t="shared" si="7"/>
        <v>30</v>
      </c>
      <c r="H40">
        <f t="shared" si="1"/>
        <v>551.25</v>
      </c>
      <c r="I40">
        <f t="shared" si="2"/>
        <v>0.25631694556491874</v>
      </c>
      <c r="J40">
        <f t="shared" si="3"/>
        <v>13.111825261472024</v>
      </c>
      <c r="K40">
        <f t="shared" si="4"/>
        <v>393.3547578441607</v>
      </c>
      <c r="L40">
        <f t="shared" si="8"/>
        <v>4.6547209505072615E-2</v>
      </c>
      <c r="M40">
        <f t="shared" si="9"/>
        <v>5.5066017552993349</v>
      </c>
    </row>
    <row r="41" spans="2:13" x14ac:dyDescent="0.25">
      <c r="G41">
        <f t="shared" si="7"/>
        <v>31</v>
      </c>
      <c r="H41">
        <f t="shared" si="1"/>
        <v>588.61250000000007</v>
      </c>
      <c r="I41">
        <f t="shared" si="2"/>
        <v>0.24004708741771785</v>
      </c>
      <c r="J41">
        <f t="shared" si="3"/>
        <v>13.828696292821096</v>
      </c>
      <c r="K41">
        <f t="shared" si="4"/>
        <v>428.68958507745396</v>
      </c>
      <c r="L41">
        <f t="shared" si="8"/>
        <v>4.5975965461650378E-2</v>
      </c>
      <c r="M41">
        <f t="shared" si="9"/>
        <v>5.2211429386501242</v>
      </c>
    </row>
    <row r="42" spans="2:13" x14ac:dyDescent="0.25">
      <c r="G42">
        <f t="shared" si="7"/>
        <v>32</v>
      </c>
      <c r="H42">
        <f t="shared" si="1"/>
        <v>627.20000000000005</v>
      </c>
      <c r="I42">
        <f t="shared" si="2"/>
        <v>0.22527856543791688</v>
      </c>
      <c r="J42">
        <f t="shared" si="3"/>
        <v>14.57946332846174</v>
      </c>
      <c r="K42">
        <f t="shared" si="4"/>
        <v>466.54282651077568</v>
      </c>
      <c r="L42">
        <f t="shared" si="8"/>
        <v>4.5489858721836869E-2</v>
      </c>
      <c r="M42">
        <f t="shared" si="9"/>
        <v>4.9522810526948193</v>
      </c>
    </row>
    <row r="43" spans="2:13" x14ac:dyDescent="0.25">
      <c r="G43">
        <v>9.43</v>
      </c>
      <c r="H43">
        <f t="shared" si="1"/>
        <v>54.46650125</v>
      </c>
      <c r="I43">
        <f t="shared" si="2"/>
        <v>2.5941581155382454</v>
      </c>
      <c r="J43">
        <f t="shared" si="3"/>
        <v>14.415109032226988</v>
      </c>
      <c r="K43">
        <f t="shared" si="4"/>
        <v>135.93447817390049</v>
      </c>
      <c r="L43">
        <f t="shared" si="8"/>
        <v>0.51792580887847772</v>
      </c>
      <c r="M43">
        <f t="shared" si="9"/>
        <v>5.0087446330501741</v>
      </c>
    </row>
    <row r="44" spans="2:13" x14ac:dyDescent="0.25">
      <c r="G44">
        <v>8.61</v>
      </c>
      <c r="H44">
        <f t="shared" si="1"/>
        <v>45.405911250000003</v>
      </c>
      <c r="I44">
        <f t="shared" si="2"/>
        <v>3.1118132497046065</v>
      </c>
      <c r="J44">
        <f t="shared" si="3"/>
        <v>16.864891503877566</v>
      </c>
      <c r="K44">
        <f t="shared" si="4"/>
        <v>145.20671584838584</v>
      </c>
      <c r="L44">
        <f t="shared" si="8"/>
        <v>0.72685913936251889</v>
      </c>
      <c r="M44">
        <f t="shared" si="9"/>
        <v>4.2811778530208429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6</xdr:col>
                <xdr:colOff>104775</xdr:colOff>
                <xdr:row>0</xdr:row>
                <xdr:rowOff>9525</xdr:rowOff>
              </from>
              <to>
                <xdr:col>10</xdr:col>
                <xdr:colOff>438150</xdr:colOff>
                <xdr:row>3</xdr:row>
                <xdr:rowOff>123825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>
              <from>
                <xdr:col>11</xdr:col>
                <xdr:colOff>295275</xdr:colOff>
                <xdr:row>0</xdr:row>
                <xdr:rowOff>76200</xdr:rowOff>
              </from>
              <to>
                <xdr:col>13</xdr:col>
                <xdr:colOff>47625</xdr:colOff>
                <xdr:row>3</xdr:row>
                <xdr:rowOff>66675</xdr:rowOff>
              </to>
            </anchor>
          </objectPr>
        </oleObject>
      </mc:Choice>
      <mc:Fallback>
        <oleObject progId="Equation.3" shapeId="6146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K17" sqref="K17"/>
    </sheetView>
  </sheetViews>
  <sheetFormatPr defaultRowHeight="15" x14ac:dyDescent="0.25"/>
  <sheetData>
    <row r="2" spans="1:13" x14ac:dyDescent="0.25">
      <c r="B2" t="s">
        <v>163</v>
      </c>
    </row>
    <row r="4" spans="1:13" ht="21" x14ac:dyDescent="0.35">
      <c r="A4" s="29" t="s">
        <v>150</v>
      </c>
      <c r="B4" s="29"/>
    </row>
    <row r="5" spans="1:13" ht="21" x14ac:dyDescent="0.35">
      <c r="A5" s="29"/>
      <c r="B5" s="29"/>
    </row>
    <row r="6" spans="1:13" x14ac:dyDescent="0.25">
      <c r="B6" s="12" t="s">
        <v>152</v>
      </c>
      <c r="C6" s="12"/>
    </row>
    <row r="7" spans="1:13" x14ac:dyDescent="0.25">
      <c r="B7" t="str">
        <f>'weight analysis'!B31</f>
        <v>S</v>
      </c>
      <c r="C7" s="26">
        <f>'weight analysis'!C31</f>
        <v>0.51100000000000001</v>
      </c>
      <c r="D7" t="str">
        <f>'weight analysis'!D31</f>
        <v>m^2</v>
      </c>
    </row>
    <row r="8" spans="1:13" x14ac:dyDescent="0.25">
      <c r="B8" t="str">
        <f>'weight analysis'!B32</f>
        <v>b</v>
      </c>
      <c r="C8" s="26">
        <f>'weight analysis'!C32</f>
        <v>1.5984367363145782</v>
      </c>
      <c r="D8" t="str">
        <f>'weight analysis'!D32</f>
        <v>m</v>
      </c>
    </row>
    <row r="9" spans="1:13" x14ac:dyDescent="0.25">
      <c r="B9" t="str">
        <f>'weight analysis'!B33</f>
        <v>c</v>
      </c>
      <c r="C9" s="26">
        <f>'weight analysis'!C33</f>
        <v>0.31968734726291559</v>
      </c>
      <c r="D9" t="str">
        <f>'weight analysis'!D33</f>
        <v>m</v>
      </c>
    </row>
    <row r="10" spans="1:13" x14ac:dyDescent="0.25">
      <c r="C10" s="10"/>
    </row>
    <row r="11" spans="1:13" ht="18.75" x14ac:dyDescent="0.3">
      <c r="A11" s="31" t="s">
        <v>151</v>
      </c>
      <c r="B11" s="31"/>
      <c r="C11" s="10"/>
      <c r="D11" t="s">
        <v>162</v>
      </c>
      <c r="I11" s="31" t="s">
        <v>160</v>
      </c>
      <c r="L11" t="s">
        <v>162</v>
      </c>
    </row>
    <row r="12" spans="1:13" x14ac:dyDescent="0.25">
      <c r="C12" s="10"/>
    </row>
    <row r="13" spans="1:13" x14ac:dyDescent="0.25">
      <c r="C13" s="10"/>
    </row>
    <row r="14" spans="1:13" x14ac:dyDescent="0.25">
      <c r="C14" s="10"/>
    </row>
    <row r="15" spans="1:13" x14ac:dyDescent="0.25">
      <c r="C15" s="10"/>
    </row>
    <row r="16" spans="1:13" x14ac:dyDescent="0.25">
      <c r="B16" t="s">
        <v>153</v>
      </c>
      <c r="C16" s="11">
        <v>0.7</v>
      </c>
      <c r="E16" t="s">
        <v>154</v>
      </c>
      <c r="J16" t="s">
        <v>161</v>
      </c>
      <c r="K16" s="11">
        <v>0.05</v>
      </c>
      <c r="M16" t="s">
        <v>154</v>
      </c>
    </row>
    <row r="17" spans="2:15" x14ac:dyDescent="0.25">
      <c r="B17" t="s">
        <v>155</v>
      </c>
      <c r="C17" s="11">
        <f>0.4*C8</f>
        <v>0.63937469452583129</v>
      </c>
      <c r="D17" t="s">
        <v>39</v>
      </c>
      <c r="E17" t="s">
        <v>154</v>
      </c>
      <c r="G17" t="s">
        <v>156</v>
      </c>
      <c r="J17" t="s">
        <v>155</v>
      </c>
      <c r="K17" s="11">
        <f>0.4*C8</f>
        <v>0.63937469452583129</v>
      </c>
      <c r="L17" t="s">
        <v>39</v>
      </c>
      <c r="M17" t="s">
        <v>154</v>
      </c>
      <c r="O17" t="s">
        <v>156</v>
      </c>
    </row>
    <row r="18" spans="2:15" x14ac:dyDescent="0.25">
      <c r="B18" t="s">
        <v>157</v>
      </c>
      <c r="C18" s="11">
        <f>C16*C7*C9/C17</f>
        <v>0.17884999999999995</v>
      </c>
      <c r="D18" t="s">
        <v>11</v>
      </c>
      <c r="J18" t="s">
        <v>157</v>
      </c>
      <c r="K18" s="11">
        <f>K16*C7*C8/K17</f>
        <v>6.3875000000000015E-2</v>
      </c>
      <c r="L18" t="s">
        <v>11</v>
      </c>
    </row>
    <row r="19" spans="2:15" x14ac:dyDescent="0.25">
      <c r="B19" t="s">
        <v>4</v>
      </c>
      <c r="C19" s="11">
        <v>4</v>
      </c>
      <c r="D19" t="s">
        <v>39</v>
      </c>
      <c r="E19" t="s">
        <v>154</v>
      </c>
      <c r="J19" t="s">
        <v>4</v>
      </c>
      <c r="K19" s="11">
        <v>4</v>
      </c>
      <c r="L19" t="s">
        <v>39</v>
      </c>
      <c r="M19" t="s">
        <v>154</v>
      </c>
    </row>
    <row r="20" spans="2:15" x14ac:dyDescent="0.25">
      <c r="B20" t="s">
        <v>159</v>
      </c>
      <c r="C20" s="11">
        <f>SQRT(C18/C19)</f>
        <v>0.21145330453790498</v>
      </c>
      <c r="D20" t="s">
        <v>39</v>
      </c>
      <c r="J20" t="s">
        <v>159</v>
      </c>
      <c r="K20" s="11">
        <f>SQRT(K18/K19)</f>
        <v>0.12636751956100115</v>
      </c>
      <c r="L20" t="s">
        <v>39</v>
      </c>
    </row>
    <row r="21" spans="2:15" x14ac:dyDescent="0.25">
      <c r="B21" t="s">
        <v>158</v>
      </c>
      <c r="C21" s="11">
        <f>C18/C20</f>
        <v>0.84581321815161992</v>
      </c>
      <c r="D21" t="s">
        <v>39</v>
      </c>
      <c r="J21" t="s">
        <v>158</v>
      </c>
      <c r="K21" s="11">
        <f>K18/K20</f>
        <v>0.50547007824400447</v>
      </c>
      <c r="L21" t="s">
        <v>39</v>
      </c>
    </row>
    <row r="22" spans="2:15" x14ac:dyDescent="0.25">
      <c r="C22" s="11"/>
    </row>
    <row r="23" spans="2:15" x14ac:dyDescent="0.25">
      <c r="C23" s="11"/>
    </row>
    <row r="24" spans="2:15" x14ac:dyDescent="0.25">
      <c r="C24" s="11"/>
    </row>
    <row r="25" spans="2:15" x14ac:dyDescent="0.25">
      <c r="C25" s="11"/>
    </row>
    <row r="26" spans="2:15" x14ac:dyDescent="0.25">
      <c r="C26" s="11"/>
    </row>
    <row r="27" spans="2:15" x14ac:dyDescent="0.25">
      <c r="C27" s="11"/>
    </row>
    <row r="28" spans="2:15" x14ac:dyDescent="0.25">
      <c r="C28" s="11"/>
    </row>
    <row r="29" spans="2:15" x14ac:dyDescent="0.25">
      <c r="C29" s="11"/>
    </row>
    <row r="30" spans="2:15" x14ac:dyDescent="0.25">
      <c r="C30" s="11"/>
    </row>
    <row r="31" spans="2:15" x14ac:dyDescent="0.25">
      <c r="C31" s="11"/>
    </row>
    <row r="32" spans="2:15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>
      <selection activeCell="D17" sqref="D17"/>
    </sheetView>
  </sheetViews>
  <sheetFormatPr defaultRowHeight="15" x14ac:dyDescent="0.25"/>
  <cols>
    <col min="1" max="1" width="22" customWidth="1"/>
    <col min="2" max="2" width="19.7109375" customWidth="1"/>
  </cols>
  <sheetData>
    <row r="1" spans="1:7" ht="21" x14ac:dyDescent="0.35">
      <c r="A1" s="29" t="s">
        <v>164</v>
      </c>
    </row>
    <row r="2" spans="1:7" x14ac:dyDescent="0.25">
      <c r="C2" t="s">
        <v>295</v>
      </c>
    </row>
    <row r="7" spans="1:7" x14ac:dyDescent="0.25">
      <c r="A7" t="s">
        <v>282</v>
      </c>
    </row>
    <row r="9" spans="1:7" x14ac:dyDescent="0.25">
      <c r="A9" s="4" t="s">
        <v>281</v>
      </c>
    </row>
    <row r="10" spans="1:7" x14ac:dyDescent="0.25">
      <c r="A10" s="79" t="s">
        <v>65</v>
      </c>
      <c r="B10" s="80"/>
    </row>
    <row r="11" spans="1:7" x14ac:dyDescent="0.25">
      <c r="A11" s="81" t="s">
        <v>68</v>
      </c>
      <c r="B11" s="8"/>
    </row>
    <row r="12" spans="1:7" x14ac:dyDescent="0.25">
      <c r="A12" s="81"/>
      <c r="B12" s="8"/>
    </row>
    <row r="13" spans="1:7" x14ac:dyDescent="0.25">
      <c r="A13" s="27" t="s">
        <v>72</v>
      </c>
      <c r="B13" s="8"/>
      <c r="C13" s="9" t="s">
        <v>74</v>
      </c>
      <c r="D13">
        <v>600</v>
      </c>
      <c r="E13" t="s">
        <v>72</v>
      </c>
      <c r="F13">
        <f>D13*(2*PI())/60</f>
        <v>62.831853071795862</v>
      </c>
      <c r="G13" t="s">
        <v>75</v>
      </c>
    </row>
    <row r="14" spans="1:7" x14ac:dyDescent="0.25">
      <c r="A14" s="27" t="s">
        <v>76</v>
      </c>
      <c r="B14" s="13"/>
      <c r="C14" s="14" t="s">
        <v>77</v>
      </c>
      <c r="F14">
        <f>1/F13</f>
        <v>1.5915494309189534E-2</v>
      </c>
      <c r="G14" t="s">
        <v>78</v>
      </c>
    </row>
    <row r="15" spans="1:7" x14ac:dyDescent="0.25">
      <c r="A15" s="27" t="s">
        <v>79</v>
      </c>
      <c r="B15" s="8"/>
      <c r="C15" s="9" t="s">
        <v>283</v>
      </c>
    </row>
    <row r="16" spans="1:7" x14ac:dyDescent="0.25">
      <c r="A16" s="27" t="s">
        <v>81</v>
      </c>
      <c r="B16" s="8">
        <v>1.1000000000000001</v>
      </c>
      <c r="C16" s="9" t="s">
        <v>83</v>
      </c>
      <c r="D16">
        <v>2.6</v>
      </c>
    </row>
    <row r="17" spans="1:4" x14ac:dyDescent="0.25">
      <c r="A17" s="27"/>
      <c r="B17" s="8"/>
      <c r="C17" s="9"/>
    </row>
    <row r="18" spans="1:4" x14ac:dyDescent="0.25">
      <c r="A18" s="27" t="s">
        <v>85</v>
      </c>
      <c r="B18" s="8" t="s">
        <v>284</v>
      </c>
      <c r="C18" s="9"/>
    </row>
    <row r="19" spans="1:4" x14ac:dyDescent="0.25">
      <c r="A19" s="27" t="s">
        <v>87</v>
      </c>
      <c r="B19" s="8" t="s">
        <v>285</v>
      </c>
      <c r="C19" s="9" t="s">
        <v>89</v>
      </c>
      <c r="D19">
        <v>7.0000000000000007E-2</v>
      </c>
    </row>
    <row r="20" spans="1:4" x14ac:dyDescent="0.25">
      <c r="A20" s="27"/>
      <c r="B20" s="8"/>
    </row>
    <row r="21" spans="1:4" x14ac:dyDescent="0.25">
      <c r="A21" s="27"/>
      <c r="B21" s="8"/>
    </row>
    <row r="22" spans="1:4" x14ac:dyDescent="0.25">
      <c r="A22" s="27"/>
      <c r="B22" s="8"/>
    </row>
    <row r="23" spans="1:4" x14ac:dyDescent="0.25">
      <c r="A23" s="27"/>
      <c r="B23" s="8"/>
    </row>
    <row r="24" spans="1:4" x14ac:dyDescent="0.25">
      <c r="A24" s="27"/>
      <c r="B24" s="8"/>
    </row>
    <row r="25" spans="1:4" ht="22.5" x14ac:dyDescent="0.25">
      <c r="A25" s="27" t="s">
        <v>91</v>
      </c>
      <c r="B25" s="8" t="s">
        <v>286</v>
      </c>
    </row>
    <row r="26" spans="1:4" x14ac:dyDescent="0.25">
      <c r="A26" s="27" t="s">
        <v>93</v>
      </c>
      <c r="B26" s="8" t="s">
        <v>287</v>
      </c>
    </row>
    <row r="27" spans="1:4" x14ac:dyDescent="0.25">
      <c r="A27" s="27" t="s">
        <v>95</v>
      </c>
      <c r="B27" s="8" t="s">
        <v>288</v>
      </c>
    </row>
  </sheetData>
  <mergeCells count="2">
    <mergeCell ref="A10:B10"/>
    <mergeCell ref="A11:A12"/>
  </mergeCells>
  <hyperlinks>
    <hyperlink ref="A9" r:id="rId1" xr:uid="{9444AF15-C684-4614-BE3B-9D2E24C12CE1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8196" r:id="rId5">
          <objectPr defaultSize="0" autoPict="0" r:id="rId6">
            <anchor moveWithCells="1" sizeWithCells="1">
              <from>
                <xdr:col>0</xdr:col>
                <xdr:colOff>714375</xdr:colOff>
                <xdr:row>30</xdr:row>
                <xdr:rowOff>114300</xdr:rowOff>
              </from>
              <to>
                <xdr:col>2</xdr:col>
                <xdr:colOff>228600</xdr:colOff>
                <xdr:row>32</xdr:row>
                <xdr:rowOff>38100</xdr:rowOff>
              </to>
            </anchor>
          </objectPr>
        </oleObject>
      </mc:Choice>
      <mc:Fallback>
        <oleObject progId="Equation.3" shapeId="8196" r:id="rId5"/>
      </mc:Fallback>
    </mc:AlternateContent>
    <mc:AlternateContent xmlns:mc="http://schemas.openxmlformats.org/markup-compatibility/2006">
      <mc:Choice Requires="x14">
        <oleObject progId="Equation.3" shapeId="8197" r:id="rId7">
          <objectPr defaultSize="0" autoPict="0" r:id="rId8">
            <anchor moveWithCells="1" sizeWithCells="1">
              <from>
                <xdr:col>0</xdr:col>
                <xdr:colOff>628650</xdr:colOff>
                <xdr:row>28</xdr:row>
                <xdr:rowOff>57150</xdr:rowOff>
              </from>
              <to>
                <xdr:col>2</xdr:col>
                <xdr:colOff>257175</xdr:colOff>
                <xdr:row>29</xdr:row>
                <xdr:rowOff>161925</xdr:rowOff>
              </to>
            </anchor>
          </objectPr>
        </oleObject>
      </mc:Choice>
      <mc:Fallback>
        <oleObject progId="Equation.3" shapeId="8197" r:id="rId7"/>
      </mc:Fallback>
    </mc:AlternateContent>
    <mc:AlternateContent xmlns:mc="http://schemas.openxmlformats.org/markup-compatibility/2006">
      <mc:Choice Requires="x14">
        <oleObject progId="Equation.3" shapeId="8198" r:id="rId9">
          <objectPr defaultSize="0" autoPict="0" r:id="rId10">
            <anchor moveWithCells="1" sizeWithCells="1">
              <from>
                <xdr:col>0</xdr:col>
                <xdr:colOff>476250</xdr:colOff>
                <xdr:row>33</xdr:row>
                <xdr:rowOff>9525</xdr:rowOff>
              </from>
              <to>
                <xdr:col>3</xdr:col>
                <xdr:colOff>333375</xdr:colOff>
                <xdr:row>36</xdr:row>
                <xdr:rowOff>161925</xdr:rowOff>
              </to>
            </anchor>
          </objectPr>
        </oleObject>
      </mc:Choice>
      <mc:Fallback>
        <oleObject progId="Equation.3" shapeId="8198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topLeftCell="A4" workbookViewId="0">
      <selection activeCell="J20" sqref="J20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4" s="29" customFormat="1" ht="21" x14ac:dyDescent="0.35">
      <c r="A1" s="29" t="s">
        <v>166</v>
      </c>
    </row>
    <row r="5" spans="1:14" ht="18.75" x14ac:dyDescent="0.3">
      <c r="A5" s="31" t="s">
        <v>165</v>
      </c>
      <c r="B5" s="10"/>
      <c r="D5" s="11"/>
    </row>
    <row r="6" spans="1:14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4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4" x14ac:dyDescent="0.25">
      <c r="A8" s="19" t="s">
        <v>101</v>
      </c>
      <c r="B8" s="62">
        <f>B6*'weight analysis'!C33/'weight analysis'!C3</f>
        <v>447562.2861680818</v>
      </c>
      <c r="C8" s="19"/>
    </row>
    <row r="9" spans="1:14" x14ac:dyDescent="0.25">
      <c r="A9" s="19" t="s">
        <v>12</v>
      </c>
      <c r="B9" s="63">
        <f>'weight analysis'!C25/(B7*'weight analysis'!C31)</f>
        <v>0.52309580727534444</v>
      </c>
      <c r="C9" s="19"/>
    </row>
    <row r="10" spans="1:14" x14ac:dyDescent="0.25">
      <c r="A10" s="19" t="s">
        <v>5</v>
      </c>
      <c r="B10" s="61">
        <v>0.9</v>
      </c>
      <c r="C10" s="19"/>
    </row>
    <row r="11" spans="1:14" x14ac:dyDescent="0.25">
      <c r="A11" s="19" t="s">
        <v>103</v>
      </c>
      <c r="B11" s="63">
        <f>B9^2/(PI()*B10*'weight analysis'!C8)</f>
        <v>1.9355308226041711E-2</v>
      </c>
      <c r="C11" s="19" t="s">
        <v>104</v>
      </c>
      <c r="N11" t="s">
        <v>296</v>
      </c>
    </row>
    <row r="12" spans="1:14" x14ac:dyDescent="0.25">
      <c r="A12" s="19" t="s">
        <v>6</v>
      </c>
      <c r="B12" s="63">
        <f>'weight analysis'!C10</f>
        <v>4.19E-2</v>
      </c>
      <c r="C12" s="19" t="s">
        <v>280</v>
      </c>
    </row>
    <row r="13" spans="1:14" x14ac:dyDescent="0.25">
      <c r="A13" s="19" t="s">
        <v>106</v>
      </c>
      <c r="B13" s="63">
        <f>B12+B11</f>
        <v>6.1255308226041708E-2</v>
      </c>
      <c r="C13" s="19" t="s">
        <v>289</v>
      </c>
    </row>
    <row r="14" spans="1:14" x14ac:dyDescent="0.25">
      <c r="A14" s="19" t="s">
        <v>108</v>
      </c>
      <c r="B14" s="64">
        <f>B7*B13*'weight analysis'!C31</f>
        <v>8.4549162904786197</v>
      </c>
      <c r="C14" s="19" t="s">
        <v>9</v>
      </c>
      <c r="D14">
        <f>B14/2</f>
        <v>4.2274581452393099</v>
      </c>
      <c r="E14" t="s">
        <v>279</v>
      </c>
    </row>
    <row r="15" spans="1:14" x14ac:dyDescent="0.25">
      <c r="A15" s="19" t="s">
        <v>109</v>
      </c>
      <c r="B15" s="62">
        <f>'weight analysis'!C25/B14</f>
        <v>8.5395996269423495</v>
      </c>
      <c r="C15" s="19"/>
    </row>
    <row r="16" spans="1:14" x14ac:dyDescent="0.25">
      <c r="A16" s="19" t="s">
        <v>110</v>
      </c>
      <c r="B16" s="20">
        <f>B14*B6</f>
        <v>177.55324210005102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0.11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0.06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15.8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0.48</v>
      </c>
      <c r="C20" s="19" t="s">
        <v>290</v>
      </c>
      <c r="I20" s="19" t="s">
        <v>50</v>
      </c>
      <c r="J20" s="19">
        <f>J19*'Electric Motor'!D13</f>
        <v>9480</v>
      </c>
      <c r="K20" s="19" t="s">
        <v>50</v>
      </c>
      <c r="L20" s="19">
        <f>J20/60</f>
        <v>158</v>
      </c>
      <c r="M20" s="19" t="s">
        <v>139</v>
      </c>
      <c r="N20" s="19">
        <f>J20*2*PI()/60</f>
        <v>992.74327853437467</v>
      </c>
      <c r="O20" s="19" t="s">
        <v>51</v>
      </c>
    </row>
    <row r="21" spans="1:15" x14ac:dyDescent="0.25">
      <c r="A21" s="19" t="s">
        <v>48</v>
      </c>
      <c r="B21" s="62">
        <f>B6/(B20*D19)</f>
        <v>143.5367454068242</v>
      </c>
      <c r="C21" s="19" t="s">
        <v>49</v>
      </c>
      <c r="D21" s="16">
        <f>B21*60</f>
        <v>8612.204724409452</v>
      </c>
      <c r="E21" t="s">
        <v>50</v>
      </c>
      <c r="I21" s="19" t="s">
        <v>54</v>
      </c>
      <c r="J21" s="20">
        <f>J17*'weight analysis'!C4*L20^2*D19^4</f>
        <v>29.033727637477771</v>
      </c>
      <c r="K21" s="19" t="s">
        <v>9</v>
      </c>
      <c r="L21" s="20">
        <f>J21*0.224809</f>
        <v>6.5270432764537407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0.05</v>
      </c>
      <c r="C22" s="19" t="s">
        <v>53</v>
      </c>
      <c r="I22" s="21" t="s">
        <v>140</v>
      </c>
      <c r="J22" s="20">
        <f>J21/'weight analysis'!C25</f>
        <v>0.40212028040206538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8.8911112500000051</v>
      </c>
      <c r="C23" s="19" t="s">
        <v>55</v>
      </c>
      <c r="I23" s="21" t="s">
        <v>133</v>
      </c>
      <c r="J23" s="20">
        <f>J18*'weight analysis'!C4*L20^3*D19^5</f>
        <v>762.6642922127503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3.5000000000000003E-2</v>
      </c>
      <c r="C24" s="19" t="s">
        <v>53</v>
      </c>
      <c r="I24" s="21" t="s">
        <v>60</v>
      </c>
      <c r="J24" s="20">
        <f>J23/N20</f>
        <v>0.76823919003380325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0.68571428571428561</v>
      </c>
      <c r="C25" s="19"/>
      <c r="I25" s="21" t="s">
        <v>99</v>
      </c>
      <c r="J25" s="60">
        <f>J24/'Electric Motor'!F14+'Electric Motor'!D16</f>
        <v>50.869891912199385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272.29028203125017</v>
      </c>
      <c r="C26" s="19" t="s">
        <v>35</v>
      </c>
      <c r="I26" s="21" t="s">
        <v>141</v>
      </c>
      <c r="J26" s="19">
        <v>300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0.30191812011852548</v>
      </c>
      <c r="C27" s="19" t="s">
        <v>61</v>
      </c>
      <c r="I27" s="21" t="s">
        <v>143</v>
      </c>
      <c r="J27" s="24">
        <f>J23*J26</f>
        <v>228799.28766382509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3.6109288964194417</v>
      </c>
      <c r="K28" s="21" t="s">
        <v>9</v>
      </c>
      <c r="L28" s="20">
        <f>J28*0.224809</f>
        <v>0.8117693142751583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DCB1-32EA-4A83-B602-453DD5E7F414}">
  <dimension ref="A1:O31"/>
  <sheetViews>
    <sheetView workbookViewId="0">
      <selection activeCell="J20" sqref="J20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3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447562.2861680818</v>
      </c>
      <c r="C8" s="19"/>
    </row>
    <row r="9" spans="1:13" x14ac:dyDescent="0.25">
      <c r="A9" s="19" t="s">
        <v>12</v>
      </c>
      <c r="B9" s="63">
        <f>('weight analysis'!C25-'weight analysis'!E21)/(B7*'weight analysis'!C31)</f>
        <v>0.39418742589225214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1.0991150304608007E-2</v>
      </c>
      <c r="C11" s="19" t="s">
        <v>104</v>
      </c>
    </row>
    <row r="12" spans="1:13" x14ac:dyDescent="0.25">
      <c r="A12" s="19" t="s">
        <v>6</v>
      </c>
      <c r="B12" s="63">
        <f>'weight analysis'!C10-0.0149</f>
        <v>2.7E-2</v>
      </c>
      <c r="C12" s="19" t="s">
        <v>280</v>
      </c>
    </row>
    <row r="13" spans="1:13" x14ac:dyDescent="0.25">
      <c r="A13" s="19" t="s">
        <v>106</v>
      </c>
      <c r="B13" s="63">
        <f>B12+B11</f>
        <v>3.7991150304608007E-2</v>
      </c>
      <c r="C13" s="19" t="s">
        <v>289</v>
      </c>
    </row>
    <row r="14" spans="1:13" x14ac:dyDescent="0.25">
      <c r="A14" s="19" t="s">
        <v>108</v>
      </c>
      <c r="B14" s="64">
        <f>B7*B13*'weight analysis'!C31</f>
        <v>5.2438230237799033</v>
      </c>
      <c r="C14" s="19" t="s">
        <v>9</v>
      </c>
      <c r="D14">
        <f>B14/2</f>
        <v>2.6219115118899516</v>
      </c>
      <c r="E14" t="s">
        <v>279</v>
      </c>
    </row>
    <row r="15" spans="1:13" x14ac:dyDescent="0.25">
      <c r="A15" s="19" t="s">
        <v>109</v>
      </c>
      <c r="B15" s="62">
        <f>'weight analysis'!C25/B14</f>
        <v>13.768885729472036</v>
      </c>
      <c r="C15" s="19"/>
    </row>
    <row r="16" spans="1:13" x14ac:dyDescent="0.25">
      <c r="A16" s="19" t="s">
        <v>110</v>
      </c>
      <c r="B16" s="20">
        <f>B14*B6</f>
        <v>110.12028349937796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0.11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0.06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15.8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0.55000000000000004</v>
      </c>
      <c r="C20" s="19" t="s">
        <v>290</v>
      </c>
      <c r="I20" s="19" t="s">
        <v>50</v>
      </c>
      <c r="J20" s="19">
        <f>J19*'Electric Motor'!D13</f>
        <v>9480</v>
      </c>
      <c r="K20" s="19" t="s">
        <v>50</v>
      </c>
      <c r="L20" s="19">
        <f>J20/60</f>
        <v>158</v>
      </c>
      <c r="M20" s="19" t="s">
        <v>139</v>
      </c>
      <c r="N20" s="19">
        <f>J20*2*PI()/60</f>
        <v>992.74327853437467</v>
      </c>
      <c r="O20" s="19" t="s">
        <v>51</v>
      </c>
    </row>
    <row r="21" spans="1:15" x14ac:dyDescent="0.25">
      <c r="A21" s="19" t="s">
        <v>48</v>
      </c>
      <c r="B21" s="62">
        <f>B6/(B20*D19)</f>
        <v>125.26843235504654</v>
      </c>
      <c r="C21" s="19" t="s">
        <v>49</v>
      </c>
      <c r="D21" s="16">
        <f>B21*60</f>
        <v>7516.1059413027924</v>
      </c>
      <c r="E21" t="s">
        <v>50</v>
      </c>
      <c r="I21" s="19" t="s">
        <v>54</v>
      </c>
      <c r="J21" s="20">
        <f>J17*'weight analysis'!C4*L20^2*D19^4</f>
        <v>29.033727637477771</v>
      </c>
      <c r="K21" s="19" t="s">
        <v>9</v>
      </c>
      <c r="L21" s="20">
        <f>J21*0.224809</f>
        <v>6.5270432764537407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0.04</v>
      </c>
      <c r="C22" s="19" t="s">
        <v>53</v>
      </c>
      <c r="I22" s="21" t="s">
        <v>140</v>
      </c>
      <c r="J22" s="20">
        <f>J21/'weight analysis'!C25</f>
        <v>0.40212028040206538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5.4175524813223133</v>
      </c>
      <c r="C23" s="19" t="s">
        <v>55</v>
      </c>
      <c r="I23" s="21" t="s">
        <v>133</v>
      </c>
      <c r="J23" s="20">
        <f>J18*'weight analysis'!C4*L20^3*D19^5</f>
        <v>762.6642922127503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2.8000000000000001E-2</v>
      </c>
      <c r="C24" s="19" t="s">
        <v>53</v>
      </c>
      <c r="I24" s="21" t="s">
        <v>60</v>
      </c>
      <c r="J24" s="20">
        <f>J23/N20</f>
        <v>0.76823919003380325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0.78571428571428581</v>
      </c>
      <c r="C25" s="19"/>
      <c r="I25" s="21" t="s">
        <v>99</v>
      </c>
      <c r="J25" s="60">
        <f>J24/'Electric Motor'!F14+'Electric Motor'!D16</f>
        <v>50.869891912199385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144.79640268261454</v>
      </c>
      <c r="C26" s="19" t="s">
        <v>35</v>
      </c>
      <c r="I26" s="21" t="s">
        <v>141</v>
      </c>
      <c r="J26" s="19">
        <v>180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0.1839654476041209</v>
      </c>
      <c r="C27" s="19" t="s">
        <v>61</v>
      </c>
      <c r="I27" s="21" t="s">
        <v>143</v>
      </c>
      <c r="J27" s="24">
        <f>J23*J26</f>
        <v>137279.57259829505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2.1665573378516649</v>
      </c>
      <c r="K28" s="21" t="s">
        <v>9</v>
      </c>
      <c r="L28" s="20">
        <f>J28*0.224809</f>
        <v>0.48706158856509496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0"/>
  <sheetViews>
    <sheetView tabSelected="1" topLeftCell="A11" workbookViewId="0">
      <selection activeCell="I25" sqref="I25"/>
    </sheetView>
  </sheetViews>
  <sheetFormatPr defaultRowHeight="15" x14ac:dyDescent="0.25"/>
  <cols>
    <col min="8" max="8" width="20.5703125" customWidth="1"/>
    <col min="11" max="11" width="12" bestFit="1" customWidth="1"/>
    <col min="19" max="19" width="14.42578125" customWidth="1"/>
  </cols>
  <sheetData>
    <row r="1" spans="1:25" ht="21" x14ac:dyDescent="0.35">
      <c r="A1" s="29" t="s">
        <v>62</v>
      </c>
    </row>
    <row r="2" spans="1:25" ht="21" x14ac:dyDescent="0.35">
      <c r="A2" s="29"/>
    </row>
    <row r="3" spans="1:25" ht="21" x14ac:dyDescent="0.35">
      <c r="A3" s="29" t="s">
        <v>173</v>
      </c>
    </row>
    <row r="5" spans="1:25" ht="18.75" x14ac:dyDescent="0.3">
      <c r="A5" s="35" t="s">
        <v>62</v>
      </c>
    </row>
    <row r="6" spans="1:25" ht="18.75" x14ac:dyDescent="0.3">
      <c r="A6" s="35" t="s">
        <v>111</v>
      </c>
    </row>
    <row r="8" spans="1:25" ht="18.75" x14ac:dyDescent="0.3">
      <c r="B8" t="s">
        <v>167</v>
      </c>
      <c r="C8">
        <v>10</v>
      </c>
      <c r="D8" t="s">
        <v>168</v>
      </c>
      <c r="M8" s="31" t="s">
        <v>170</v>
      </c>
      <c r="S8" t="s">
        <v>171</v>
      </c>
    </row>
    <row r="9" spans="1:25" x14ac:dyDescent="0.25">
      <c r="B9" t="s">
        <v>169</v>
      </c>
      <c r="C9" t="s">
        <v>291</v>
      </c>
    </row>
    <row r="10" spans="1:25" ht="15.75" thickBot="1" x14ac:dyDescent="0.3">
      <c r="S10" s="23" t="s">
        <v>136</v>
      </c>
      <c r="T10" s="23"/>
      <c r="U10" s="23"/>
      <c r="V10" s="23"/>
      <c r="W10" s="23"/>
    </row>
    <row r="11" spans="1:25" ht="16.5" thickBot="1" x14ac:dyDescent="0.3">
      <c r="A11" s="82" t="s">
        <v>63</v>
      </c>
      <c r="B11" s="83"/>
      <c r="M11" s="37" t="s">
        <v>97</v>
      </c>
      <c r="N11" s="11">
        <f>PropWGlider!D21/'Electric Motor'!D13+'Electric Motor'!D16*'Electric Motor'!D19</f>
        <v>14.53567454068242</v>
      </c>
      <c r="O11" t="s">
        <v>98</v>
      </c>
      <c r="S11" s="19" t="s">
        <v>137</v>
      </c>
      <c r="T11" s="19">
        <v>0.09</v>
      </c>
      <c r="U11" s="19"/>
      <c r="V11" s="19"/>
      <c r="W11" s="19"/>
      <c r="X11" s="19"/>
      <c r="Y11" s="19"/>
    </row>
    <row r="12" spans="1:25" ht="15.75" thickBot="1" x14ac:dyDescent="0.3">
      <c r="A12" s="17" t="s">
        <v>64</v>
      </c>
      <c r="B12" s="18" t="s">
        <v>114</v>
      </c>
      <c r="M12" s="38"/>
      <c r="N12" s="11"/>
      <c r="S12" s="19" t="s">
        <v>138</v>
      </c>
      <c r="T12" s="19">
        <v>0.06</v>
      </c>
      <c r="U12" s="19"/>
      <c r="V12" s="19"/>
      <c r="W12" s="19"/>
      <c r="X12" s="19"/>
      <c r="Y12" s="19"/>
    </row>
    <row r="13" spans="1:25" ht="15.75" thickBot="1" x14ac:dyDescent="0.3">
      <c r="A13" s="17" t="s">
        <v>115</v>
      </c>
      <c r="B13" s="18" t="s">
        <v>116</v>
      </c>
      <c r="M13" s="38" t="s">
        <v>99</v>
      </c>
      <c r="N13" s="11">
        <f>PropWGlider!B27/'Electric Motor'!F14+'Electric Motor'!D16</f>
        <v>21.57007496300001</v>
      </c>
      <c r="O13" t="s">
        <v>100</v>
      </c>
      <c r="S13" s="19" t="s">
        <v>97</v>
      </c>
      <c r="T13" s="19">
        <v>14.8</v>
      </c>
      <c r="U13" s="19"/>
      <c r="V13" s="19"/>
      <c r="W13" s="19"/>
      <c r="X13" s="19"/>
      <c r="Y13" s="19"/>
    </row>
    <row r="14" spans="1:25" ht="15.75" thickBot="1" x14ac:dyDescent="0.3">
      <c r="A14" s="17" t="s">
        <v>117</v>
      </c>
      <c r="B14" s="18" t="s">
        <v>118</v>
      </c>
      <c r="M14" s="38"/>
      <c r="N14" s="11"/>
      <c r="S14" s="19" t="s">
        <v>50</v>
      </c>
      <c r="T14" s="19">
        <f>T13*'Electric Motor'!D13</f>
        <v>8880</v>
      </c>
      <c r="U14" s="19" t="s">
        <v>50</v>
      </c>
      <c r="V14" s="19">
        <f>T14/60</f>
        <v>148</v>
      </c>
      <c r="W14" s="19" t="s">
        <v>139</v>
      </c>
      <c r="X14" s="19">
        <f>T14*2*PI()/60</f>
        <v>929.91142546257879</v>
      </c>
      <c r="Y14" s="19" t="s">
        <v>51</v>
      </c>
    </row>
    <row r="15" spans="1:25" ht="24.75" thickBot="1" x14ac:dyDescent="0.3">
      <c r="A15" s="17" t="s">
        <v>119</v>
      </c>
      <c r="B15" s="18" t="s">
        <v>291</v>
      </c>
      <c r="M15" s="38"/>
      <c r="N15" s="11"/>
      <c r="S15" s="19" t="s">
        <v>54</v>
      </c>
      <c r="T15" s="20">
        <f>T11*'weight analysis'!C4*V14^2*PropWGlider!D19^4</f>
        <v>20.843079239711795</v>
      </c>
      <c r="U15" s="19" t="s">
        <v>9</v>
      </c>
      <c r="V15" s="20">
        <f>T15*0.224809</f>
        <v>4.6857118008003686</v>
      </c>
      <c r="W15" s="19" t="s">
        <v>70</v>
      </c>
      <c r="X15" s="19"/>
      <c r="Y15" s="19"/>
    </row>
    <row r="16" spans="1:25" ht="15.75" thickBot="1" x14ac:dyDescent="0.3">
      <c r="A16" s="17" t="s">
        <v>121</v>
      </c>
      <c r="B16" s="18" t="s">
        <v>122</v>
      </c>
      <c r="C16">
        <f>16.5/16</f>
        <v>1.03125</v>
      </c>
      <c r="D16" t="s">
        <v>70</v>
      </c>
      <c r="E16">
        <f>4.44822*C16</f>
        <v>4.5872268749999998</v>
      </c>
      <c r="F16" t="s">
        <v>9</v>
      </c>
      <c r="M16" s="38" t="s">
        <v>102</v>
      </c>
      <c r="N16" s="11">
        <f>((N13-'Electric Motor'!D16)*(N11-'Electric Motor'!D16*'Electric Motor'!D19))/(N11*N13)</f>
        <v>0.86845095474677192</v>
      </c>
      <c r="S16" s="21" t="s">
        <v>140</v>
      </c>
      <c r="T16" s="20">
        <f>T15/'weight analysis'!C25</f>
        <v>0.28867891071266827</v>
      </c>
      <c r="U16" s="19"/>
      <c r="V16" s="19"/>
      <c r="W16" s="19"/>
      <c r="X16" s="19"/>
      <c r="Y16" s="19"/>
    </row>
    <row r="17" spans="8:25" x14ac:dyDescent="0.25">
      <c r="S17" s="21" t="s">
        <v>133</v>
      </c>
      <c r="T17" s="20">
        <f>T12*'weight analysis'!C4*V14^3*PropWGlider!D19^5</f>
        <v>626.82642782339644</v>
      </c>
      <c r="U17" s="19" t="s">
        <v>8</v>
      </c>
      <c r="V17" s="19"/>
      <c r="W17" s="19"/>
      <c r="X17" s="19"/>
      <c r="Y17" s="19"/>
    </row>
    <row r="18" spans="8:25" x14ac:dyDescent="0.25">
      <c r="S18" s="21" t="s">
        <v>60</v>
      </c>
      <c r="T18" s="20">
        <f>T17/X14</f>
        <v>0.6740711111400588</v>
      </c>
      <c r="U18" s="19" t="s">
        <v>9</v>
      </c>
      <c r="V18" s="19"/>
      <c r="W18" s="19"/>
      <c r="X18" s="19"/>
      <c r="Y18" s="19"/>
    </row>
    <row r="19" spans="8:25" x14ac:dyDescent="0.25">
      <c r="S19" s="21" t="s">
        <v>99</v>
      </c>
      <c r="T19" s="22">
        <f>T18/'Electric Motor'!F14+'Electric Motor'!D16</f>
        <v>44.953137015094356</v>
      </c>
      <c r="U19" s="19" t="s">
        <v>100</v>
      </c>
      <c r="V19" s="19"/>
      <c r="W19" s="19"/>
      <c r="X19" s="19"/>
      <c r="Y19" s="19"/>
    </row>
    <row r="20" spans="8:25" ht="15.75" thickBot="1" x14ac:dyDescent="0.3">
      <c r="S20" s="21" t="s">
        <v>141</v>
      </c>
      <c r="T20" s="19">
        <v>10</v>
      </c>
      <c r="U20" s="21" t="s">
        <v>142</v>
      </c>
      <c r="V20" s="19"/>
      <c r="W20" s="19"/>
    </row>
    <row r="21" spans="8:25" x14ac:dyDescent="0.25">
      <c r="H21" s="75" t="s">
        <v>297</v>
      </c>
      <c r="I21" s="67"/>
      <c r="J21" s="67"/>
      <c r="K21" s="67"/>
      <c r="L21" s="67"/>
      <c r="M21" s="67"/>
      <c r="N21" s="67"/>
      <c r="O21" s="68"/>
      <c r="S21" s="21" t="s">
        <v>143</v>
      </c>
      <c r="T21" s="24">
        <f>T17*T20</f>
        <v>6268.2642782339644</v>
      </c>
      <c r="U21" s="21" t="s">
        <v>46</v>
      </c>
      <c r="V21" s="19"/>
      <c r="W21" s="19"/>
    </row>
    <row r="22" spans="8:25" x14ac:dyDescent="0.25">
      <c r="H22" s="69" t="s">
        <v>298</v>
      </c>
      <c r="I22" s="70">
        <f>PropWGlider!J27+PropWOGlider!J27</f>
        <v>366078.86026212014</v>
      </c>
      <c r="J22" s="70" t="s">
        <v>46</v>
      </c>
      <c r="K22" s="70"/>
      <c r="L22" s="70"/>
      <c r="M22" s="70"/>
      <c r="N22" s="70"/>
      <c r="O22" s="71"/>
      <c r="S22" s="21" t="s">
        <v>144</v>
      </c>
      <c r="T22" s="25">
        <f>T21/'weight analysis'!C17</f>
        <v>9.8926254726480187E-2</v>
      </c>
      <c r="U22" s="21" t="s">
        <v>9</v>
      </c>
      <c r="V22" s="20">
        <f>T22*0.224809</f>
        <v>2.2239512398805287E-2</v>
      </c>
      <c r="W22" s="19" t="s">
        <v>70</v>
      </c>
    </row>
    <row r="23" spans="8:25" x14ac:dyDescent="0.25">
      <c r="H23" s="69" t="s">
        <v>300</v>
      </c>
      <c r="I23" s="70">
        <v>4</v>
      </c>
      <c r="J23" s="70" t="s">
        <v>37</v>
      </c>
      <c r="K23" s="70"/>
      <c r="L23" s="70"/>
      <c r="M23" s="70"/>
      <c r="N23" s="70"/>
      <c r="O23" s="71"/>
    </row>
    <row r="24" spans="8:25" ht="18.75" x14ac:dyDescent="0.3">
      <c r="H24" s="69" t="s">
        <v>299</v>
      </c>
      <c r="I24" s="76">
        <f>3.7*I23</f>
        <v>14.8</v>
      </c>
      <c r="J24" s="70" t="s">
        <v>0</v>
      </c>
      <c r="K24" s="70" t="s">
        <v>304</v>
      </c>
      <c r="L24" s="70">
        <f>4.2*I23</f>
        <v>16.8</v>
      </c>
      <c r="M24" s="70"/>
      <c r="N24" s="70"/>
      <c r="O24" s="71"/>
      <c r="S24" s="36" t="s">
        <v>172</v>
      </c>
    </row>
    <row r="25" spans="8:25" x14ac:dyDescent="0.25">
      <c r="H25" s="69" t="s">
        <v>301</v>
      </c>
      <c r="I25" s="76">
        <f>I22/I24/3.6</f>
        <v>6870.8494793941463</v>
      </c>
      <c r="J25" s="70" t="s">
        <v>302</v>
      </c>
      <c r="K25" s="70"/>
      <c r="L25" s="70"/>
      <c r="M25" s="70"/>
      <c r="N25" s="70"/>
      <c r="O25" s="71"/>
    </row>
    <row r="26" spans="8:25" x14ac:dyDescent="0.25">
      <c r="H26" s="69" t="s">
        <v>303</v>
      </c>
      <c r="I26" s="76">
        <f>PropWGlider!J25/(Battery!I25/1000)</f>
        <v>7.4037267247317082</v>
      </c>
      <c r="J26" s="78" t="s">
        <v>306</v>
      </c>
      <c r="K26" s="70"/>
      <c r="L26" s="70"/>
      <c r="M26" s="70"/>
      <c r="N26" s="70"/>
      <c r="O26" s="71"/>
    </row>
    <row r="27" spans="8:25" x14ac:dyDescent="0.25">
      <c r="H27" s="69" t="s">
        <v>305</v>
      </c>
      <c r="I27" s="77">
        <f>PropWGlider!J25</f>
        <v>50.869891912199385</v>
      </c>
      <c r="J27" s="78" t="s">
        <v>283</v>
      </c>
      <c r="K27" s="70"/>
      <c r="L27" s="70"/>
      <c r="M27" s="70"/>
      <c r="N27" s="70"/>
      <c r="O27" s="71"/>
    </row>
    <row r="28" spans="8:25" x14ac:dyDescent="0.25">
      <c r="H28" s="69" t="s">
        <v>307</v>
      </c>
      <c r="I28" s="70" t="s">
        <v>308</v>
      </c>
      <c r="J28" s="70"/>
      <c r="K28" s="70"/>
      <c r="L28" s="70"/>
      <c r="M28" s="70"/>
      <c r="N28" s="70"/>
      <c r="O28" s="71"/>
    </row>
    <row r="29" spans="8:25" x14ac:dyDescent="0.25">
      <c r="H29" s="69"/>
      <c r="I29" s="4" t="s">
        <v>309</v>
      </c>
      <c r="J29" s="70"/>
      <c r="K29" s="70"/>
      <c r="L29" s="70"/>
      <c r="M29" s="70"/>
      <c r="N29" s="70"/>
      <c r="O29" s="71"/>
    </row>
    <row r="30" spans="8:25" ht="15.75" thickBot="1" x14ac:dyDescent="0.3">
      <c r="H30" s="72"/>
      <c r="I30" s="4" t="s">
        <v>310</v>
      </c>
      <c r="J30" s="73"/>
      <c r="K30" s="73"/>
      <c r="L30" s="73"/>
      <c r="M30" s="73"/>
      <c r="N30" s="73"/>
      <c r="O30" s="74"/>
    </row>
  </sheetData>
  <mergeCells count="1">
    <mergeCell ref="A11:B11"/>
  </mergeCells>
  <hyperlinks>
    <hyperlink ref="I29" r:id="rId1" xr:uid="{48F2A4B3-5231-4546-9842-DDE57E75DC9A}"/>
    <hyperlink ref="I30" r:id="rId2" xr:uid="{BDF4886A-889C-4EE3-9F03-12B79CCF2115}"/>
  </hyperlinks>
  <pageMargins left="0.7" right="0.7" top="0.75" bottom="0.75" header="0.3" footer="0.3"/>
  <pageSetup orientation="portrait" horizontalDpi="300" verticalDpi="300" r:id="rId3"/>
  <drawing r:id="rId4"/>
  <legacyDrawing r:id="rId5"/>
  <oleObjects>
    <mc:AlternateContent xmlns:mc="http://schemas.openxmlformats.org/markup-compatibility/2006">
      <mc:Choice Requires="x14">
        <oleObject progId="Equation.3" shapeId="14337" r:id="rId6">
          <objectPr defaultSize="0" autoPict="0" r:id="rId7">
            <anchor moveWithCells="1" sizeWithCells="1">
              <from>
                <xdr:col>6</xdr:col>
                <xdr:colOff>371475</xdr:colOff>
                <xdr:row>11</xdr:row>
                <xdr:rowOff>133350</xdr:rowOff>
              </from>
              <to>
                <xdr:col>10</xdr:col>
                <xdr:colOff>142875</xdr:colOff>
                <xdr:row>13</xdr:row>
                <xdr:rowOff>38100</xdr:rowOff>
              </to>
            </anchor>
          </objectPr>
        </oleObject>
      </mc:Choice>
      <mc:Fallback>
        <oleObject progId="Equation.3" shapeId="14337" r:id="rId6"/>
      </mc:Fallback>
    </mc:AlternateContent>
    <mc:AlternateContent xmlns:mc="http://schemas.openxmlformats.org/markup-compatibility/2006">
      <mc:Choice Requires="x14">
        <oleObject progId="Equation.3" shapeId="14338" r:id="rId8">
          <objectPr defaultSize="0" autoPict="0" r:id="rId9">
            <anchor moveWithCells="1" sizeWithCells="1">
              <from>
                <xdr:col>6</xdr:col>
                <xdr:colOff>266700</xdr:colOff>
                <xdr:row>9</xdr:row>
                <xdr:rowOff>104775</xdr:rowOff>
              </from>
              <to>
                <xdr:col>10</xdr:col>
                <xdr:colOff>180975</xdr:colOff>
                <xdr:row>10</xdr:row>
                <xdr:rowOff>200025</xdr:rowOff>
              </to>
            </anchor>
          </objectPr>
        </oleObject>
      </mc:Choice>
      <mc:Fallback>
        <oleObject progId="Equation.3" shapeId="14338" r:id="rId8"/>
      </mc:Fallback>
    </mc:AlternateContent>
    <mc:AlternateContent xmlns:mc="http://schemas.openxmlformats.org/markup-compatibility/2006">
      <mc:Choice Requires="x14">
        <oleObject progId="Equation.3" shapeId="14339" r:id="rId10">
          <objectPr defaultSize="0" autoPict="0" r:id="rId11">
            <anchor moveWithCells="1" sizeWithCells="1">
              <from>
                <xdr:col>6</xdr:col>
                <xdr:colOff>66675</xdr:colOff>
                <xdr:row>14</xdr:row>
                <xdr:rowOff>0</xdr:rowOff>
              </from>
              <to>
                <xdr:col>11</xdr:col>
                <xdr:colOff>266700</xdr:colOff>
                <xdr:row>17</xdr:row>
                <xdr:rowOff>19050</xdr:rowOff>
              </to>
            </anchor>
          </objectPr>
        </oleObject>
      </mc:Choice>
      <mc:Fallback>
        <oleObject progId="Equation.3" shapeId="14339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RFP &amp; Constraints</vt:lpstr>
      <vt:lpstr>constraint</vt:lpstr>
      <vt:lpstr>weight analysis</vt:lpstr>
      <vt:lpstr>Initial drag polar</vt:lpstr>
      <vt:lpstr>Tail Sizing</vt:lpstr>
      <vt:lpstr>Electric Motor</vt:lpstr>
      <vt:lpstr>PropWGlider</vt:lpstr>
      <vt:lpstr>PropWOGlider</vt:lpstr>
      <vt:lpstr>Battery</vt:lpstr>
      <vt:lpstr>Launch </vt:lpstr>
      <vt:lpstr>Fly</vt:lpstr>
      <vt:lpstr>senior telemaster</vt:lpstr>
      <vt:lpstr>senior telemaster 17x12</vt:lpstr>
      <vt:lpstr>Sheet2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ECN</dc:creator>
  <cp:lastModifiedBy>Brad Lock</cp:lastModifiedBy>
  <dcterms:created xsi:type="dcterms:W3CDTF">2015-09-06T18:39:11Z</dcterms:created>
  <dcterms:modified xsi:type="dcterms:W3CDTF">2019-10-31T18:28:40Z</dcterms:modified>
</cp:coreProperties>
</file>