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ures\Downloads\"/>
    </mc:Choice>
  </mc:AlternateContent>
  <xr:revisionPtr revIDLastSave="0" documentId="8_{4FDDBBDA-FA14-495B-A502-0FFDD808CC23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main" sheetId="1" r:id="rId1"/>
    <sheet name="MNT" sheetId="4" r:id="rId2"/>
    <sheet name="WNT" sheetId="2" r:id="rId3"/>
    <sheet name="ExplainerCBA details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33" i="1" l="1"/>
  <c r="AD32" i="1"/>
  <c r="AD28" i="1"/>
  <c r="AD17" i="1"/>
  <c r="AD16" i="1"/>
  <c r="AD13" i="1"/>
  <c r="N186" i="2"/>
  <c r="L186" i="2"/>
  <c r="J186" i="2"/>
  <c r="H186" i="2"/>
  <c r="N159" i="2"/>
  <c r="L159" i="2"/>
  <c r="J159" i="2"/>
  <c r="H159" i="2"/>
  <c r="N139" i="2"/>
  <c r="L139" i="2"/>
  <c r="J139" i="2"/>
  <c r="H139" i="2"/>
  <c r="N106" i="2"/>
  <c r="L106" i="2"/>
  <c r="J106" i="2"/>
  <c r="H106" i="2"/>
  <c r="N72" i="2"/>
  <c r="L72" i="2"/>
  <c r="J72" i="2"/>
  <c r="H72" i="2"/>
  <c r="N43" i="2"/>
  <c r="L43" i="2"/>
  <c r="J43" i="2"/>
  <c r="H43" i="2"/>
  <c r="P180" i="2"/>
  <c r="P172" i="2"/>
  <c r="P171" i="2"/>
  <c r="P170" i="2"/>
  <c r="P175" i="2"/>
  <c r="P174" i="2"/>
  <c r="P173" i="2"/>
  <c r="P169" i="2"/>
  <c r="P168" i="2"/>
  <c r="P167" i="2"/>
  <c r="R185" i="2"/>
  <c r="P182" i="2"/>
  <c r="P181" i="2"/>
  <c r="P179" i="2"/>
  <c r="P178" i="2"/>
  <c r="P177" i="2"/>
  <c r="P176" i="2"/>
  <c r="P166" i="2"/>
  <c r="P165" i="2"/>
  <c r="P164" i="2"/>
  <c r="P163" i="2"/>
  <c r="P162" i="2"/>
  <c r="P161" i="2"/>
  <c r="P160" i="2"/>
  <c r="P29" i="2"/>
  <c r="R42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N161" i="4"/>
  <c r="L161" i="4"/>
  <c r="J161" i="4"/>
  <c r="H161" i="4"/>
  <c r="N146" i="4"/>
  <c r="L146" i="4"/>
  <c r="J146" i="4"/>
  <c r="H146" i="4"/>
  <c r="N122" i="4"/>
  <c r="L122" i="4"/>
  <c r="J122" i="4"/>
  <c r="H122" i="4"/>
  <c r="N97" i="4"/>
  <c r="L97" i="4"/>
  <c r="J97" i="4"/>
  <c r="H97" i="4"/>
  <c r="N72" i="4"/>
  <c r="L72" i="4"/>
  <c r="J72" i="4"/>
  <c r="H72" i="4"/>
  <c r="N51" i="4"/>
  <c r="H51" i="4"/>
  <c r="N29" i="1"/>
  <c r="P24" i="4"/>
  <c r="P148" i="4"/>
  <c r="P149" i="4"/>
  <c r="P150" i="4"/>
  <c r="P151" i="4"/>
  <c r="P152" i="4"/>
  <c r="P153" i="4"/>
  <c r="P154" i="4"/>
  <c r="P155" i="4"/>
  <c r="P156" i="4"/>
  <c r="P157" i="4"/>
  <c r="P147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23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98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73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52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6" i="4"/>
  <c r="P47" i="4"/>
  <c r="P23" i="4"/>
  <c r="L3" i="4"/>
  <c r="R160" i="4"/>
  <c r="R13" i="4" l="1"/>
  <c r="Q13" i="4"/>
  <c r="P13" i="4"/>
  <c r="Q3" i="4"/>
  <c r="P3" i="4"/>
  <c r="P2" i="4"/>
  <c r="T5" i="4"/>
  <c r="T6" i="4"/>
  <c r="T7" i="4"/>
  <c r="T8" i="4"/>
  <c r="T9" i="4"/>
  <c r="T10" i="4"/>
  <c r="T11" i="4"/>
  <c r="T12" i="4"/>
  <c r="T4" i="4"/>
  <c r="R12" i="4"/>
  <c r="Q12" i="4"/>
  <c r="P12" i="4"/>
  <c r="R11" i="4"/>
  <c r="Q11" i="4"/>
  <c r="P11" i="4"/>
  <c r="R10" i="4"/>
  <c r="Q10" i="4"/>
  <c r="P10" i="4"/>
  <c r="R9" i="4"/>
  <c r="Q9" i="4"/>
  <c r="P9" i="4"/>
  <c r="R8" i="4"/>
  <c r="Q8" i="4"/>
  <c r="P8" i="4"/>
  <c r="R7" i="4"/>
  <c r="Q7" i="4"/>
  <c r="P7" i="4"/>
  <c r="R6" i="4"/>
  <c r="Q6" i="4"/>
  <c r="R62" i="4" s="1"/>
  <c r="P6" i="4"/>
  <c r="R5" i="4"/>
  <c r="Q5" i="4"/>
  <c r="P5" i="4"/>
  <c r="R4" i="4"/>
  <c r="Q4" i="4"/>
  <c r="M10" i="4"/>
  <c r="U45" i="4" s="1"/>
  <c r="L10" i="4"/>
  <c r="D11" i="4"/>
  <c r="D12" i="4"/>
  <c r="E12" i="4"/>
  <c r="D13" i="4"/>
  <c r="E13" i="4"/>
  <c r="H10" i="4"/>
  <c r="I10" i="4"/>
  <c r="J10" i="4"/>
  <c r="H11" i="4"/>
  <c r="I11" i="4"/>
  <c r="J11" i="4"/>
  <c r="G10" i="4"/>
  <c r="G11" i="4"/>
  <c r="M12" i="4"/>
  <c r="L12" i="4"/>
  <c r="L11" i="4"/>
  <c r="N10" i="4"/>
  <c r="N9" i="4"/>
  <c r="N8" i="4"/>
  <c r="N7" i="4"/>
  <c r="N5" i="4"/>
  <c r="N4" i="4"/>
  <c r="N3" i="4"/>
  <c r="N2" i="4"/>
  <c r="M9" i="4"/>
  <c r="T45" i="4" s="1"/>
  <c r="L9" i="4"/>
  <c r="M8" i="4"/>
  <c r="L8" i="4"/>
  <c r="M7" i="4"/>
  <c r="L7" i="4"/>
  <c r="M5" i="4"/>
  <c r="L5" i="4"/>
  <c r="M4" i="4"/>
  <c r="L4" i="4"/>
  <c r="M3" i="4"/>
  <c r="M2" i="4"/>
  <c r="L2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H9" i="4"/>
  <c r="R87" i="4" s="1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E9" i="4"/>
  <c r="D9" i="4"/>
  <c r="E8" i="4"/>
  <c r="D8" i="4"/>
  <c r="E7" i="4"/>
  <c r="R155" i="4" s="1"/>
  <c r="D7" i="4"/>
  <c r="E6" i="4"/>
  <c r="R151" i="4" s="1"/>
  <c r="D6" i="4"/>
  <c r="E5" i="4"/>
  <c r="R149" i="4" s="1"/>
  <c r="D5" i="4"/>
  <c r="E4" i="4"/>
  <c r="D4" i="4"/>
  <c r="E3" i="4"/>
  <c r="R153" i="4" s="1"/>
  <c r="D3" i="4"/>
  <c r="D2" i="4"/>
  <c r="B3" i="4"/>
  <c r="B4" i="4"/>
  <c r="I48" i="4" s="1"/>
  <c r="B8" i="4"/>
  <c r="B9" i="4"/>
  <c r="A3" i="4"/>
  <c r="A4" i="4"/>
  <c r="A7" i="4"/>
  <c r="A8" i="4"/>
  <c r="A9" i="4"/>
  <c r="A2" i="4"/>
  <c r="M29" i="1"/>
  <c r="M11" i="4" s="1"/>
  <c r="G13" i="2"/>
  <c r="G12" i="2"/>
  <c r="J11" i="2"/>
  <c r="H12" i="2"/>
  <c r="I12" i="2"/>
  <c r="J12" i="2"/>
  <c r="L12" i="2"/>
  <c r="M12" i="2"/>
  <c r="H13" i="2"/>
  <c r="I13" i="2"/>
  <c r="J13" i="2"/>
  <c r="L13" i="2"/>
  <c r="M13" i="2"/>
  <c r="H14" i="2"/>
  <c r="I14" i="2"/>
  <c r="J14" i="2"/>
  <c r="L14" i="2"/>
  <c r="M14" i="2"/>
  <c r="L11" i="2"/>
  <c r="M11" i="2"/>
  <c r="I11" i="2"/>
  <c r="S11" i="1"/>
  <c r="S8" i="2" s="1"/>
  <c r="S10" i="1"/>
  <c r="S7" i="2" s="1"/>
  <c r="S9" i="1"/>
  <c r="S6" i="2" s="1"/>
  <c r="S8" i="1"/>
  <c r="L16" i="1"/>
  <c r="L17" i="1"/>
  <c r="L15" i="1"/>
  <c r="H11" i="2"/>
  <c r="I17" i="1"/>
  <c r="I16" i="1"/>
  <c r="I15" i="1"/>
  <c r="R16" i="1"/>
  <c r="R13" i="2" s="1"/>
  <c r="T16" i="1"/>
  <c r="S2" i="2"/>
  <c r="Q2" i="2"/>
  <c r="P2" i="2"/>
  <c r="Q3" i="2"/>
  <c r="S3" i="2"/>
  <c r="Q4" i="2"/>
  <c r="R4" i="2"/>
  <c r="S4" i="2"/>
  <c r="T4" i="2"/>
  <c r="Q5" i="2"/>
  <c r="R5" i="2"/>
  <c r="T5" i="2"/>
  <c r="Q6" i="2"/>
  <c r="R6" i="2"/>
  <c r="T6" i="2"/>
  <c r="Q7" i="2"/>
  <c r="R7" i="2"/>
  <c r="T7" i="2"/>
  <c r="Q8" i="2"/>
  <c r="R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T13" i="2"/>
  <c r="P3" i="2"/>
  <c r="P5" i="2"/>
  <c r="P6" i="2"/>
  <c r="P7" i="2"/>
  <c r="P8" i="2"/>
  <c r="P9" i="2"/>
  <c r="P10" i="2"/>
  <c r="P11" i="2"/>
  <c r="P12" i="2"/>
  <c r="P13" i="2"/>
  <c r="P14" i="2"/>
  <c r="L3" i="2"/>
  <c r="M3" i="2"/>
  <c r="N3" i="2"/>
  <c r="L4" i="2"/>
  <c r="M4" i="2"/>
  <c r="N4" i="2"/>
  <c r="L5" i="2"/>
  <c r="M5" i="2"/>
  <c r="N5" i="2"/>
  <c r="L7" i="2"/>
  <c r="M7" i="2"/>
  <c r="N7" i="2"/>
  <c r="L8" i="2"/>
  <c r="M8" i="2"/>
  <c r="N8" i="2"/>
  <c r="L9" i="2"/>
  <c r="M9" i="2"/>
  <c r="N9" i="2"/>
  <c r="M2" i="2"/>
  <c r="N2" i="2"/>
  <c r="L2" i="2"/>
  <c r="G3" i="2"/>
  <c r="G4" i="2"/>
  <c r="G5" i="2"/>
  <c r="G6" i="2"/>
  <c r="G7" i="2"/>
  <c r="H2" i="2"/>
  <c r="I2" i="2"/>
  <c r="J2" i="2"/>
  <c r="G2" i="2"/>
  <c r="E14" i="2"/>
  <c r="D14" i="2"/>
  <c r="D3" i="2"/>
  <c r="D4" i="2"/>
  <c r="D5" i="2"/>
  <c r="D6" i="2"/>
  <c r="D7" i="2"/>
  <c r="D8" i="2"/>
  <c r="D9" i="2"/>
  <c r="D11" i="2"/>
  <c r="D12" i="2"/>
  <c r="D13" i="2"/>
  <c r="D2" i="2"/>
  <c r="B3" i="2"/>
  <c r="B4" i="2"/>
  <c r="B5" i="2"/>
  <c r="B8" i="2"/>
  <c r="B9" i="2"/>
  <c r="B10" i="2"/>
  <c r="B11" i="2"/>
  <c r="B12" i="2"/>
  <c r="B13" i="2"/>
  <c r="B14" i="2"/>
  <c r="A3" i="2"/>
  <c r="A4" i="2"/>
  <c r="A5" i="2"/>
  <c r="A7" i="2"/>
  <c r="A8" i="2"/>
  <c r="A9" i="2"/>
  <c r="A10" i="2"/>
  <c r="A11" i="2"/>
  <c r="A12" i="2"/>
  <c r="A13" i="2"/>
  <c r="A14" i="2"/>
  <c r="A2" i="2"/>
  <c r="P79" i="2"/>
  <c r="R145" i="4"/>
  <c r="R121" i="4"/>
  <c r="R96" i="4"/>
  <c r="R71" i="4"/>
  <c r="S180" i="2" l="1"/>
  <c r="I180" i="2" s="1"/>
  <c r="R180" i="2"/>
  <c r="G180" i="2" s="1"/>
  <c r="U180" i="2"/>
  <c r="M180" i="2" s="1"/>
  <c r="T180" i="2"/>
  <c r="K180" i="2" s="1"/>
  <c r="W180" i="2" s="1"/>
  <c r="R24" i="4"/>
  <c r="T24" i="4"/>
  <c r="U24" i="4"/>
  <c r="S24" i="4"/>
  <c r="V149" i="4"/>
  <c r="G149" i="4" s="1"/>
  <c r="V153" i="4"/>
  <c r="G153" i="4" s="1"/>
  <c r="V157" i="4"/>
  <c r="V102" i="4"/>
  <c r="V106" i="4"/>
  <c r="V110" i="4"/>
  <c r="V114" i="4"/>
  <c r="V118" i="4"/>
  <c r="V126" i="4"/>
  <c r="V130" i="4"/>
  <c r="V134" i="4"/>
  <c r="V138" i="4"/>
  <c r="V142" i="4"/>
  <c r="V76" i="4"/>
  <c r="V80" i="4"/>
  <c r="V84" i="4"/>
  <c r="V88" i="4"/>
  <c r="V92" i="4"/>
  <c r="V54" i="4"/>
  <c r="V58" i="4"/>
  <c r="V62" i="4"/>
  <c r="V66" i="4"/>
  <c r="V24" i="4"/>
  <c r="V28" i="4"/>
  <c r="V32" i="4"/>
  <c r="V36" i="4"/>
  <c r="V40" i="4"/>
  <c r="V44" i="4"/>
  <c r="V23" i="4"/>
  <c r="V90" i="4"/>
  <c r="V68" i="4"/>
  <c r="V30" i="4"/>
  <c r="V34" i="4"/>
  <c r="V42" i="4"/>
  <c r="V150" i="4"/>
  <c r="V154" i="4"/>
  <c r="V99" i="4"/>
  <c r="V103" i="4"/>
  <c r="V107" i="4"/>
  <c r="V111" i="4"/>
  <c r="V115" i="4"/>
  <c r="V123" i="4"/>
  <c r="V127" i="4"/>
  <c r="V131" i="4"/>
  <c r="V135" i="4"/>
  <c r="V139" i="4"/>
  <c r="V98" i="4"/>
  <c r="V77" i="4"/>
  <c r="V81" i="4"/>
  <c r="V85" i="4"/>
  <c r="V89" i="4"/>
  <c r="V93" i="4"/>
  <c r="V55" i="4"/>
  <c r="V59" i="4"/>
  <c r="V63" i="4"/>
  <c r="V67" i="4"/>
  <c r="V25" i="4"/>
  <c r="V29" i="4"/>
  <c r="V33" i="4"/>
  <c r="V37" i="4"/>
  <c r="V41" i="4"/>
  <c r="V45" i="4"/>
  <c r="M45" i="4" s="1"/>
  <c r="V147" i="4"/>
  <c r="V151" i="4"/>
  <c r="V155" i="4"/>
  <c r="G155" i="4" s="1"/>
  <c r="V100" i="4"/>
  <c r="V104" i="4"/>
  <c r="V108" i="4"/>
  <c r="V112" i="4"/>
  <c r="V116" i="4"/>
  <c r="V124" i="4"/>
  <c r="V128" i="4"/>
  <c r="V132" i="4"/>
  <c r="V136" i="4"/>
  <c r="V140" i="4"/>
  <c r="V74" i="4"/>
  <c r="V78" i="4"/>
  <c r="V82" i="4"/>
  <c r="V86" i="4"/>
  <c r="V73" i="4"/>
  <c r="V56" i="4"/>
  <c r="V60" i="4"/>
  <c r="V64" i="4"/>
  <c r="V26" i="4"/>
  <c r="V38" i="4"/>
  <c r="V46" i="4"/>
  <c r="V156" i="4"/>
  <c r="V113" i="4"/>
  <c r="V133" i="4"/>
  <c r="V79" i="4"/>
  <c r="V53" i="4"/>
  <c r="V52" i="4"/>
  <c r="V39" i="4"/>
  <c r="V101" i="4"/>
  <c r="V117" i="4"/>
  <c r="V137" i="4"/>
  <c r="V83" i="4"/>
  <c r="V57" i="4"/>
  <c r="V27" i="4"/>
  <c r="V43" i="4"/>
  <c r="V148" i="4"/>
  <c r="V105" i="4"/>
  <c r="V125" i="4"/>
  <c r="V141" i="4"/>
  <c r="V87" i="4"/>
  <c r="G87" i="4" s="1"/>
  <c r="V61" i="4"/>
  <c r="V31" i="4"/>
  <c r="V47" i="4"/>
  <c r="V152" i="4"/>
  <c r="V109" i="4"/>
  <c r="V129" i="4"/>
  <c r="V75" i="4"/>
  <c r="V91" i="4"/>
  <c r="V65" i="4"/>
  <c r="V35" i="4"/>
  <c r="G151" i="4"/>
  <c r="G90" i="4"/>
  <c r="S39" i="4"/>
  <c r="I39" i="4" s="1"/>
  <c r="R39" i="4"/>
  <c r="G39" i="4" s="1"/>
  <c r="U39" i="4"/>
  <c r="T39" i="4"/>
  <c r="K39" i="4" s="1"/>
  <c r="T175" i="2"/>
  <c r="T176" i="2"/>
  <c r="T177" i="2"/>
  <c r="T178" i="2"/>
  <c r="T179" i="2"/>
  <c r="U175" i="2"/>
  <c r="U176" i="2"/>
  <c r="U177" i="2"/>
  <c r="U178" i="2"/>
  <c r="U179" i="2"/>
  <c r="R176" i="2"/>
  <c r="R177" i="2"/>
  <c r="R178" i="2"/>
  <c r="R179" i="2"/>
  <c r="R175" i="2"/>
  <c r="S176" i="2"/>
  <c r="S177" i="2"/>
  <c r="S178" i="2"/>
  <c r="S179" i="2"/>
  <c r="S175" i="2"/>
  <c r="R113" i="2"/>
  <c r="U93" i="2"/>
  <c r="R88" i="2"/>
  <c r="O40" i="2"/>
  <c r="O42" i="2" s="1"/>
  <c r="O183" i="2"/>
  <c r="G183" i="2"/>
  <c r="I183" i="2"/>
  <c r="S64" i="2"/>
  <c r="I40" i="2"/>
  <c r="G40" i="2"/>
  <c r="R93" i="2"/>
  <c r="J49" i="4"/>
  <c r="J50" i="4"/>
  <c r="J51" i="4" s="1"/>
  <c r="J45" i="4"/>
  <c r="J48" i="4"/>
  <c r="L45" i="4"/>
  <c r="L50" i="4"/>
  <c r="L49" i="4"/>
  <c r="O48" i="4"/>
  <c r="O50" i="4" s="1"/>
  <c r="O69" i="4"/>
  <c r="O143" i="4"/>
  <c r="O145" i="4" s="1"/>
  <c r="R68" i="4"/>
  <c r="G68" i="4" s="1"/>
  <c r="R89" i="4"/>
  <c r="G89" i="4" s="1"/>
  <c r="R157" i="4"/>
  <c r="R150" i="4"/>
  <c r="R67" i="4"/>
  <c r="R75" i="4"/>
  <c r="G75" i="4" s="1"/>
  <c r="R156" i="4"/>
  <c r="R53" i="4"/>
  <c r="R73" i="4"/>
  <c r="R154" i="4"/>
  <c r="G154" i="4" s="1"/>
  <c r="R91" i="4"/>
  <c r="G91" i="4" s="1"/>
  <c r="R152" i="4"/>
  <c r="G152" i="4" s="1"/>
  <c r="R147" i="4"/>
  <c r="G147" i="4" s="1"/>
  <c r="R116" i="4"/>
  <c r="G116" i="4" s="1"/>
  <c r="R46" i="4"/>
  <c r="G46" i="4" s="1"/>
  <c r="R66" i="4"/>
  <c r="G66" i="4" s="1"/>
  <c r="R127" i="4"/>
  <c r="G127" i="4" s="1"/>
  <c r="R23" i="4"/>
  <c r="G23" i="4" s="1"/>
  <c r="R65" i="4"/>
  <c r="G65" i="4" s="1"/>
  <c r="R123" i="4"/>
  <c r="G123" i="4" s="1"/>
  <c r="G158" i="4"/>
  <c r="G48" i="4"/>
  <c r="G69" i="4"/>
  <c r="U157" i="4"/>
  <c r="U156" i="4"/>
  <c r="M156" i="4" s="1"/>
  <c r="T157" i="4"/>
  <c r="K157" i="4" s="1"/>
  <c r="T156" i="4"/>
  <c r="S157" i="4"/>
  <c r="S156" i="4"/>
  <c r="I156" i="4" s="1"/>
  <c r="U153" i="4"/>
  <c r="M153" i="4" s="1"/>
  <c r="T153" i="4"/>
  <c r="K153" i="4" s="1"/>
  <c r="T150" i="4"/>
  <c r="S153" i="4"/>
  <c r="I153" i="4" s="1"/>
  <c r="S150" i="4"/>
  <c r="I150" i="4" s="1"/>
  <c r="U150" i="4"/>
  <c r="K159" i="4"/>
  <c r="I159" i="4"/>
  <c r="G159" i="4"/>
  <c r="O158" i="4"/>
  <c r="O160" i="4" s="1"/>
  <c r="G95" i="4"/>
  <c r="I158" i="4"/>
  <c r="U154" i="4"/>
  <c r="M154" i="4" s="1"/>
  <c r="T154" i="4"/>
  <c r="T148" i="4"/>
  <c r="K148" i="4" s="1"/>
  <c r="S154" i="4"/>
  <c r="S148" i="4"/>
  <c r="I148" i="4" s="1"/>
  <c r="R148" i="4"/>
  <c r="G148" i="4" s="1"/>
  <c r="U148" i="4"/>
  <c r="M148" i="4" s="1"/>
  <c r="U151" i="4"/>
  <c r="U147" i="4"/>
  <c r="M147" i="4" s="1"/>
  <c r="T151" i="4"/>
  <c r="T147" i="4"/>
  <c r="S151" i="4"/>
  <c r="S147" i="4"/>
  <c r="I147" i="4" s="1"/>
  <c r="U155" i="4"/>
  <c r="M155" i="4" s="1"/>
  <c r="T155" i="4"/>
  <c r="K155" i="4" s="1"/>
  <c r="S155" i="4"/>
  <c r="I155" i="4" s="1"/>
  <c r="U152" i="4"/>
  <c r="M152" i="4" s="1"/>
  <c r="U149" i="4"/>
  <c r="M149" i="4" s="1"/>
  <c r="T152" i="4"/>
  <c r="K152" i="4" s="1"/>
  <c r="T149" i="4"/>
  <c r="K149" i="4" s="1"/>
  <c r="S152" i="4"/>
  <c r="I152" i="4" s="1"/>
  <c r="S149" i="4"/>
  <c r="I149" i="4" s="1"/>
  <c r="G49" i="4"/>
  <c r="K49" i="4"/>
  <c r="I49" i="4"/>
  <c r="S58" i="4"/>
  <c r="T62" i="4"/>
  <c r="K62" i="4" s="1"/>
  <c r="T58" i="4"/>
  <c r="U62" i="4"/>
  <c r="M62" i="4" s="1"/>
  <c r="G62" i="4"/>
  <c r="U58" i="4"/>
  <c r="R58" i="4"/>
  <c r="S62" i="4"/>
  <c r="I62" i="4" s="1"/>
  <c r="S77" i="4"/>
  <c r="T77" i="4"/>
  <c r="U77" i="4"/>
  <c r="R77" i="4"/>
  <c r="G77" i="4" s="1"/>
  <c r="S55" i="4"/>
  <c r="I55" i="4" s="1"/>
  <c r="T104" i="4"/>
  <c r="U99" i="4"/>
  <c r="M99" i="4" s="1"/>
  <c r="S130" i="4"/>
  <c r="I130" i="4" s="1"/>
  <c r="T80" i="4"/>
  <c r="U98" i="4"/>
  <c r="S57" i="4"/>
  <c r="I57" i="4" s="1"/>
  <c r="T74" i="4"/>
  <c r="K74" i="4" s="1"/>
  <c r="U52" i="4"/>
  <c r="S64" i="4"/>
  <c r="T102" i="4"/>
  <c r="S40" i="4"/>
  <c r="I40" i="4" s="1"/>
  <c r="R40" i="4"/>
  <c r="T55" i="4"/>
  <c r="K55" i="4" s="1"/>
  <c r="U104" i="4"/>
  <c r="M104" i="4" s="1"/>
  <c r="S103" i="4"/>
  <c r="I103" i="4" s="1"/>
  <c r="T130" i="4"/>
  <c r="K130" i="4" s="1"/>
  <c r="U80" i="4"/>
  <c r="S124" i="4"/>
  <c r="I124" i="4" s="1"/>
  <c r="T57" i="4"/>
  <c r="K57" i="4" s="1"/>
  <c r="U74" i="4"/>
  <c r="S56" i="4"/>
  <c r="I56" i="4" s="1"/>
  <c r="S115" i="4"/>
  <c r="I115" i="4" s="1"/>
  <c r="T64" i="4"/>
  <c r="K64" i="4" s="1"/>
  <c r="U102" i="4"/>
  <c r="T40" i="4"/>
  <c r="U55" i="4"/>
  <c r="M55" i="4" s="1"/>
  <c r="S99" i="4"/>
  <c r="I99" i="4" s="1"/>
  <c r="T103" i="4"/>
  <c r="K103" i="4" s="1"/>
  <c r="U130" i="4"/>
  <c r="M130" i="4" s="1"/>
  <c r="S98" i="4"/>
  <c r="I98" i="4" s="1"/>
  <c r="T124" i="4"/>
  <c r="K124" i="4" s="1"/>
  <c r="U57" i="4"/>
  <c r="M57" i="4" s="1"/>
  <c r="S52" i="4"/>
  <c r="T56" i="4"/>
  <c r="K56" i="4" s="1"/>
  <c r="T115" i="4"/>
  <c r="K115" i="4" s="1"/>
  <c r="U64" i="4"/>
  <c r="S80" i="4"/>
  <c r="T52" i="4"/>
  <c r="U115" i="4"/>
  <c r="M115" i="4" s="1"/>
  <c r="R57" i="4"/>
  <c r="G57" i="4" s="1"/>
  <c r="R130" i="4"/>
  <c r="G130" i="4" s="1"/>
  <c r="R55" i="4"/>
  <c r="G55" i="4" s="1"/>
  <c r="W55" i="4" s="1"/>
  <c r="S104" i="4"/>
  <c r="I104" i="4" s="1"/>
  <c r="T98" i="4"/>
  <c r="U56" i="4"/>
  <c r="M56" i="4" s="1"/>
  <c r="S102" i="4"/>
  <c r="R56" i="4"/>
  <c r="G56" i="4" s="1"/>
  <c r="R124" i="4"/>
  <c r="R103" i="4"/>
  <c r="G103" i="4" s="1"/>
  <c r="R102" i="4"/>
  <c r="U40" i="4"/>
  <c r="M40" i="4" s="1"/>
  <c r="T99" i="4"/>
  <c r="K99" i="4" s="1"/>
  <c r="R52" i="4"/>
  <c r="R99" i="4"/>
  <c r="G99" i="4" s="1"/>
  <c r="U103" i="4"/>
  <c r="M103" i="4" s="1"/>
  <c r="S74" i="4"/>
  <c r="R74" i="4"/>
  <c r="R80" i="4"/>
  <c r="G80" i="4" s="1"/>
  <c r="R104" i="4"/>
  <c r="G104" i="4" s="1"/>
  <c r="R115" i="4"/>
  <c r="G115" i="4" s="1"/>
  <c r="U124" i="4"/>
  <c r="R98" i="4"/>
  <c r="G98" i="4" s="1"/>
  <c r="R64" i="4"/>
  <c r="G64" i="4" s="1"/>
  <c r="U46" i="4"/>
  <c r="M46" i="4" s="1"/>
  <c r="T23" i="4"/>
  <c r="K23" i="4" s="1"/>
  <c r="S66" i="4"/>
  <c r="I66" i="4" s="1"/>
  <c r="T116" i="4"/>
  <c r="K116" i="4" s="1"/>
  <c r="U123" i="4"/>
  <c r="M123" i="4" s="1"/>
  <c r="U23" i="4"/>
  <c r="M23" i="4" s="1"/>
  <c r="S65" i="4"/>
  <c r="I65" i="4" s="1"/>
  <c r="T66" i="4"/>
  <c r="K66" i="4" s="1"/>
  <c r="U116" i="4"/>
  <c r="M116" i="4" s="1"/>
  <c r="S127" i="4"/>
  <c r="S46" i="4"/>
  <c r="I46" i="4" s="1"/>
  <c r="T65" i="4"/>
  <c r="K65" i="4" s="1"/>
  <c r="U66" i="4"/>
  <c r="M66" i="4" s="1"/>
  <c r="S123" i="4"/>
  <c r="I123" i="4" s="1"/>
  <c r="T127" i="4"/>
  <c r="K127" i="4" s="1"/>
  <c r="U127" i="4"/>
  <c r="M127" i="4" s="1"/>
  <c r="T46" i="4"/>
  <c r="K46" i="4" s="1"/>
  <c r="U65" i="4"/>
  <c r="M65" i="4" s="1"/>
  <c r="S23" i="4"/>
  <c r="I23" i="4" s="1"/>
  <c r="T123" i="4"/>
  <c r="K123" i="4" s="1"/>
  <c r="S116" i="4"/>
  <c r="I116" i="4" s="1"/>
  <c r="T47" i="4"/>
  <c r="S27" i="4"/>
  <c r="I27" i="4" s="1"/>
  <c r="U47" i="4"/>
  <c r="M47" i="4" s="1"/>
  <c r="T27" i="4"/>
  <c r="R27" i="4"/>
  <c r="U27" i="4"/>
  <c r="M27" i="4" s="1"/>
  <c r="R47" i="4"/>
  <c r="G47" i="4" s="1"/>
  <c r="S47" i="4"/>
  <c r="S86" i="4"/>
  <c r="U131" i="4"/>
  <c r="T86" i="4"/>
  <c r="K86" i="4" s="1"/>
  <c r="S83" i="4"/>
  <c r="I83" i="4" s="1"/>
  <c r="U86" i="4"/>
  <c r="S131" i="4"/>
  <c r="T83" i="4"/>
  <c r="K83" i="4" s="1"/>
  <c r="U83" i="4"/>
  <c r="M83" i="4" s="1"/>
  <c r="R86" i="4"/>
  <c r="R83" i="4"/>
  <c r="G83" i="4" s="1"/>
  <c r="T131" i="4"/>
  <c r="K131" i="4" s="1"/>
  <c r="R131" i="4"/>
  <c r="T87" i="4"/>
  <c r="K87" i="4" s="1"/>
  <c r="U87" i="4"/>
  <c r="M87" i="4" s="1"/>
  <c r="S87" i="4"/>
  <c r="I87" i="4" s="1"/>
  <c r="U108" i="4"/>
  <c r="R108" i="4"/>
  <c r="S108" i="4"/>
  <c r="T108" i="4"/>
  <c r="K108" i="4" s="1"/>
  <c r="S113" i="4"/>
  <c r="T101" i="4"/>
  <c r="K101" i="4" s="1"/>
  <c r="U92" i="4"/>
  <c r="M92" i="4" s="1"/>
  <c r="T113" i="4"/>
  <c r="K113" i="4" s="1"/>
  <c r="U101" i="4"/>
  <c r="M101" i="4" s="1"/>
  <c r="S114" i="4"/>
  <c r="U113" i="4"/>
  <c r="S92" i="4"/>
  <c r="I92" i="4" s="1"/>
  <c r="T114" i="4"/>
  <c r="R92" i="4"/>
  <c r="G92" i="4" s="1"/>
  <c r="R113" i="4"/>
  <c r="S101" i="4"/>
  <c r="I101" i="4" s="1"/>
  <c r="R101" i="4"/>
  <c r="G101" i="4" s="1"/>
  <c r="U114" i="4"/>
  <c r="R114" i="4"/>
  <c r="G114" i="4" s="1"/>
  <c r="T92" i="4"/>
  <c r="K92" i="4" s="1"/>
  <c r="U100" i="4"/>
  <c r="M100" i="4" s="1"/>
  <c r="S100" i="4"/>
  <c r="I100" i="4" s="1"/>
  <c r="R100" i="4"/>
  <c r="G100" i="4" s="1"/>
  <c r="T100" i="4"/>
  <c r="K100" i="4" s="1"/>
  <c r="R45" i="4"/>
  <c r="G45" i="4" s="1"/>
  <c r="S45" i="4"/>
  <c r="I45" i="4" s="1"/>
  <c r="T29" i="4"/>
  <c r="K29" i="4" s="1"/>
  <c r="U44" i="4"/>
  <c r="M44" i="4" s="1"/>
  <c r="S25" i="4"/>
  <c r="I25" i="4" s="1"/>
  <c r="T31" i="4"/>
  <c r="U43" i="4"/>
  <c r="R43" i="4"/>
  <c r="G43" i="4" s="1"/>
  <c r="R44" i="4"/>
  <c r="T125" i="4"/>
  <c r="U140" i="4"/>
  <c r="M140" i="4" s="1"/>
  <c r="U29" i="4"/>
  <c r="M29" i="4" s="1"/>
  <c r="S42" i="4"/>
  <c r="I42" i="4" s="1"/>
  <c r="T25" i="4"/>
  <c r="K25" i="4" s="1"/>
  <c r="U31" i="4"/>
  <c r="M31" i="4" s="1"/>
  <c r="S30" i="4"/>
  <c r="I30" i="4" s="1"/>
  <c r="R31" i="4"/>
  <c r="R29" i="4"/>
  <c r="G29" i="4" s="1"/>
  <c r="U125" i="4"/>
  <c r="M125" i="4" s="1"/>
  <c r="S128" i="4"/>
  <c r="I128" i="4" s="1"/>
  <c r="S44" i="4"/>
  <c r="T42" i="4"/>
  <c r="K42" i="4" s="1"/>
  <c r="U25" i="4"/>
  <c r="M25" i="4" s="1"/>
  <c r="S43" i="4"/>
  <c r="I43" i="4" s="1"/>
  <c r="T30" i="4"/>
  <c r="R25" i="4"/>
  <c r="G25" i="4" s="1"/>
  <c r="S140" i="4"/>
  <c r="I140" i="4" s="1"/>
  <c r="T128" i="4"/>
  <c r="K128" i="4" s="1"/>
  <c r="S29" i="4"/>
  <c r="I29" i="4" s="1"/>
  <c r="T43" i="4"/>
  <c r="T140" i="4"/>
  <c r="K140" i="4" s="1"/>
  <c r="T44" i="4"/>
  <c r="K44" i="4" s="1"/>
  <c r="U30" i="4"/>
  <c r="U128" i="4"/>
  <c r="R128" i="4"/>
  <c r="U42" i="4"/>
  <c r="M42" i="4" s="1"/>
  <c r="R30" i="4"/>
  <c r="R140" i="4"/>
  <c r="S31" i="4"/>
  <c r="I31" i="4" s="1"/>
  <c r="R42" i="4"/>
  <c r="G42" i="4" s="1"/>
  <c r="W42" i="4" s="1"/>
  <c r="S125" i="4"/>
  <c r="R125" i="4"/>
  <c r="S26" i="4"/>
  <c r="S129" i="4"/>
  <c r="I129" i="4" s="1"/>
  <c r="S126" i="4"/>
  <c r="I126" i="4" s="1"/>
  <c r="T26" i="4"/>
  <c r="T129" i="4"/>
  <c r="K129" i="4" s="1"/>
  <c r="S139" i="4"/>
  <c r="I139" i="4" s="1"/>
  <c r="T126" i="4"/>
  <c r="K126" i="4" s="1"/>
  <c r="U26" i="4"/>
  <c r="R26" i="4"/>
  <c r="U129" i="4"/>
  <c r="M129" i="4" s="1"/>
  <c r="T139" i="4"/>
  <c r="K139" i="4" s="1"/>
  <c r="U126" i="4"/>
  <c r="M126" i="4" s="1"/>
  <c r="R126" i="4"/>
  <c r="G126" i="4" s="1"/>
  <c r="R139" i="4"/>
  <c r="G139" i="4" s="1"/>
  <c r="W139" i="4" s="1"/>
  <c r="U139" i="4"/>
  <c r="M139" i="4" s="1"/>
  <c r="R129" i="4"/>
  <c r="S112" i="4"/>
  <c r="I112" i="4" s="1"/>
  <c r="T112" i="4"/>
  <c r="K112" i="4" s="1"/>
  <c r="U112" i="4"/>
  <c r="M112" i="4" s="1"/>
  <c r="R112" i="4"/>
  <c r="G112" i="4" s="1"/>
  <c r="U28" i="4"/>
  <c r="S79" i="4"/>
  <c r="I79" i="4" s="1"/>
  <c r="T78" i="4"/>
  <c r="K78" i="4" s="1"/>
  <c r="T88" i="4"/>
  <c r="K88" i="4" s="1"/>
  <c r="T79" i="4"/>
  <c r="K79" i="4" s="1"/>
  <c r="U78" i="4"/>
  <c r="M78" i="4" s="1"/>
  <c r="U88" i="4"/>
  <c r="M88" i="4" s="1"/>
  <c r="S28" i="4"/>
  <c r="R28" i="4"/>
  <c r="U79" i="4"/>
  <c r="M79" i="4" s="1"/>
  <c r="T28" i="4"/>
  <c r="S88" i="4"/>
  <c r="I88" i="4" s="1"/>
  <c r="R78" i="4"/>
  <c r="G78" i="4" s="1"/>
  <c r="R79" i="4"/>
  <c r="G79" i="4" s="1"/>
  <c r="R88" i="4"/>
  <c r="G88" i="4" s="1"/>
  <c r="S78" i="4"/>
  <c r="I78" i="4" s="1"/>
  <c r="S76" i="4"/>
  <c r="I76" i="4" s="1"/>
  <c r="S142" i="4"/>
  <c r="I142" i="4" s="1"/>
  <c r="T76" i="4"/>
  <c r="K76" i="4" s="1"/>
  <c r="S54" i="4"/>
  <c r="T142" i="4"/>
  <c r="K142" i="4" s="1"/>
  <c r="U76" i="4"/>
  <c r="M76" i="4" s="1"/>
  <c r="T54" i="4"/>
  <c r="R76" i="4"/>
  <c r="G76" i="4" s="1"/>
  <c r="R54" i="4"/>
  <c r="G54" i="4" s="1"/>
  <c r="U142" i="4"/>
  <c r="M142" i="4" s="1"/>
  <c r="U54" i="4"/>
  <c r="R142" i="4"/>
  <c r="G142" i="4" s="1"/>
  <c r="U75" i="4"/>
  <c r="T73" i="4"/>
  <c r="K73" i="4" s="1"/>
  <c r="U67" i="4"/>
  <c r="U68" i="4"/>
  <c r="U89" i="4"/>
  <c r="M89" i="4" s="1"/>
  <c r="U91" i="4"/>
  <c r="M91" i="4" s="1"/>
  <c r="U73" i="4"/>
  <c r="S53" i="4"/>
  <c r="S75" i="4"/>
  <c r="S67" i="4"/>
  <c r="I67" i="4" s="1"/>
  <c r="T53" i="4"/>
  <c r="S68" i="4"/>
  <c r="S89" i="4"/>
  <c r="I89" i="4" s="1"/>
  <c r="S91" i="4"/>
  <c r="I91" i="4" s="1"/>
  <c r="T67" i="4"/>
  <c r="T75" i="4"/>
  <c r="U53" i="4"/>
  <c r="M53" i="4" s="1"/>
  <c r="T91" i="4"/>
  <c r="K91" i="4" s="1"/>
  <c r="T89" i="4"/>
  <c r="S73" i="4"/>
  <c r="T68" i="4"/>
  <c r="K68" i="4" s="1"/>
  <c r="S33" i="4"/>
  <c r="I33" i="4" s="1"/>
  <c r="T34" i="4"/>
  <c r="K34" i="4" s="1"/>
  <c r="U32" i="4"/>
  <c r="M32" i="4" s="1"/>
  <c r="S35" i="4"/>
  <c r="I35" i="4" s="1"/>
  <c r="T37" i="4"/>
  <c r="K37" i="4" s="1"/>
  <c r="R36" i="4"/>
  <c r="G36" i="4" s="1"/>
  <c r="R38" i="4"/>
  <c r="G38" i="4" s="1"/>
  <c r="U82" i="4"/>
  <c r="M82" i="4" s="1"/>
  <c r="S132" i="4"/>
  <c r="I132" i="4" s="1"/>
  <c r="T133" i="4"/>
  <c r="K133" i="4" s="1"/>
  <c r="U84" i="4"/>
  <c r="T135" i="4"/>
  <c r="K135" i="4" s="1"/>
  <c r="T136" i="4"/>
  <c r="K136" i="4" s="1"/>
  <c r="S38" i="4"/>
  <c r="I38" i="4" s="1"/>
  <c r="T33" i="4"/>
  <c r="U34" i="4"/>
  <c r="M34" i="4" s="1"/>
  <c r="S36" i="4"/>
  <c r="I36" i="4" s="1"/>
  <c r="T35" i="4"/>
  <c r="U37" i="4"/>
  <c r="R32" i="4"/>
  <c r="G32" i="4" s="1"/>
  <c r="S81" i="4"/>
  <c r="I81" i="4" s="1"/>
  <c r="T132" i="4"/>
  <c r="K132" i="4" s="1"/>
  <c r="U133" i="4"/>
  <c r="M133" i="4" s="1"/>
  <c r="S134" i="4"/>
  <c r="I134" i="4" s="1"/>
  <c r="U135" i="4"/>
  <c r="M135" i="4" s="1"/>
  <c r="U136" i="4"/>
  <c r="M136" i="4" s="1"/>
  <c r="T38" i="4"/>
  <c r="K38" i="4" s="1"/>
  <c r="U33" i="4"/>
  <c r="M33" i="4" s="1"/>
  <c r="S32" i="4"/>
  <c r="I32" i="4" s="1"/>
  <c r="T36" i="4"/>
  <c r="K36" i="4" s="1"/>
  <c r="U35" i="4"/>
  <c r="R37" i="4"/>
  <c r="R34" i="4"/>
  <c r="G34" i="4" s="1"/>
  <c r="S82" i="4"/>
  <c r="I82" i="4" s="1"/>
  <c r="T81" i="4"/>
  <c r="K81" i="4" s="1"/>
  <c r="U132" i="4"/>
  <c r="M132" i="4" s="1"/>
  <c r="S84" i="4"/>
  <c r="I84" i="4" s="1"/>
  <c r="T134" i="4"/>
  <c r="U36" i="4"/>
  <c r="M36" i="4" s="1"/>
  <c r="R35" i="4"/>
  <c r="G35" i="4" s="1"/>
  <c r="T84" i="4"/>
  <c r="K84" i="4" s="1"/>
  <c r="R133" i="4"/>
  <c r="G133" i="4" s="1"/>
  <c r="R136" i="4"/>
  <c r="G136" i="4" s="1"/>
  <c r="U38" i="4"/>
  <c r="M38" i="4" s="1"/>
  <c r="S37" i="4"/>
  <c r="I37" i="4" s="1"/>
  <c r="R33" i="4"/>
  <c r="T82" i="4"/>
  <c r="K82" i="4" s="1"/>
  <c r="U134" i="4"/>
  <c r="M134" i="4" s="1"/>
  <c r="R135" i="4"/>
  <c r="G135" i="4" s="1"/>
  <c r="R132" i="4"/>
  <c r="G132" i="4" s="1"/>
  <c r="S135" i="4"/>
  <c r="I135" i="4" s="1"/>
  <c r="S136" i="4"/>
  <c r="I136" i="4" s="1"/>
  <c r="R134" i="4"/>
  <c r="G134" i="4" s="1"/>
  <c r="T32" i="4"/>
  <c r="K32" i="4" s="1"/>
  <c r="S133" i="4"/>
  <c r="I133" i="4" s="1"/>
  <c r="R84" i="4"/>
  <c r="R82" i="4"/>
  <c r="G82" i="4" s="1"/>
  <c r="W82" i="4" s="1"/>
  <c r="S34" i="4"/>
  <c r="I34" i="4" s="1"/>
  <c r="U81" i="4"/>
  <c r="M81" i="4" s="1"/>
  <c r="R81" i="4"/>
  <c r="G81" i="4" s="1"/>
  <c r="S85" i="4"/>
  <c r="I85" i="4" s="1"/>
  <c r="T85" i="4"/>
  <c r="K85" i="4" s="1"/>
  <c r="U85" i="4"/>
  <c r="M85" i="4" s="1"/>
  <c r="R85" i="4"/>
  <c r="G85" i="4" s="1"/>
  <c r="S137" i="4"/>
  <c r="I137" i="4" s="1"/>
  <c r="T137" i="4"/>
  <c r="U137" i="4"/>
  <c r="R137" i="4"/>
  <c r="U106" i="4"/>
  <c r="M106" i="4" s="1"/>
  <c r="S109" i="4"/>
  <c r="I109" i="4" s="1"/>
  <c r="S107" i="4"/>
  <c r="T109" i="4"/>
  <c r="K109" i="4" s="1"/>
  <c r="S106" i="4"/>
  <c r="I106" i="4" s="1"/>
  <c r="T107" i="4"/>
  <c r="U109" i="4"/>
  <c r="M109" i="4" s="1"/>
  <c r="R107" i="4"/>
  <c r="G107" i="4" s="1"/>
  <c r="R106" i="4"/>
  <c r="G106" i="4" s="1"/>
  <c r="U107" i="4"/>
  <c r="R109" i="4"/>
  <c r="G109" i="4" s="1"/>
  <c r="T106" i="4"/>
  <c r="K106" i="4" s="1"/>
  <c r="S111" i="4"/>
  <c r="I111" i="4" s="1"/>
  <c r="T105" i="4"/>
  <c r="K105" i="4" s="1"/>
  <c r="T110" i="4"/>
  <c r="K110" i="4" s="1"/>
  <c r="T111" i="4"/>
  <c r="U105" i="4"/>
  <c r="M105" i="4" s="1"/>
  <c r="U110" i="4"/>
  <c r="M110" i="4" s="1"/>
  <c r="U111" i="4"/>
  <c r="S110" i="4"/>
  <c r="I110" i="4" s="1"/>
  <c r="R111" i="4"/>
  <c r="G111" i="4" s="1"/>
  <c r="S105" i="4"/>
  <c r="I105" i="4" s="1"/>
  <c r="R110" i="4"/>
  <c r="G110" i="4" s="1"/>
  <c r="R105" i="4"/>
  <c r="G105" i="4" s="1"/>
  <c r="S93" i="4"/>
  <c r="I93" i="4" s="1"/>
  <c r="T93" i="4"/>
  <c r="U93" i="4"/>
  <c r="R93" i="4"/>
  <c r="U41" i="4"/>
  <c r="M41" i="4" s="1"/>
  <c r="T118" i="4"/>
  <c r="U141" i="4"/>
  <c r="T117" i="4"/>
  <c r="K117" i="4" s="1"/>
  <c r="U138" i="4"/>
  <c r="M138" i="4" s="1"/>
  <c r="R41" i="4"/>
  <c r="G41" i="4" s="1"/>
  <c r="U118" i="4"/>
  <c r="U117" i="4"/>
  <c r="M117" i="4" s="1"/>
  <c r="S41" i="4"/>
  <c r="I41" i="4" s="1"/>
  <c r="S141" i="4"/>
  <c r="S138" i="4"/>
  <c r="S118" i="4"/>
  <c r="T138" i="4"/>
  <c r="K138" i="4" s="1"/>
  <c r="R138" i="4"/>
  <c r="T41" i="4"/>
  <c r="K41" i="4" s="1"/>
  <c r="T141" i="4"/>
  <c r="R117" i="4"/>
  <c r="G117" i="4" s="1"/>
  <c r="S117" i="4"/>
  <c r="R118" i="4"/>
  <c r="R141" i="4"/>
  <c r="S60" i="4"/>
  <c r="I60" i="4" s="1"/>
  <c r="T61" i="4"/>
  <c r="K61" i="4" s="1"/>
  <c r="U59" i="4"/>
  <c r="M59" i="4" s="1"/>
  <c r="R61" i="4"/>
  <c r="G61" i="4" s="1"/>
  <c r="T60" i="4"/>
  <c r="K60" i="4" s="1"/>
  <c r="U61" i="4"/>
  <c r="M61" i="4" s="1"/>
  <c r="S63" i="4"/>
  <c r="R59" i="4"/>
  <c r="G59" i="4" s="1"/>
  <c r="U60" i="4"/>
  <c r="M60" i="4" s="1"/>
  <c r="S59" i="4"/>
  <c r="I59" i="4" s="1"/>
  <c r="T63" i="4"/>
  <c r="R60" i="4"/>
  <c r="G60" i="4" s="1"/>
  <c r="U63" i="4"/>
  <c r="M63" i="4" s="1"/>
  <c r="R63" i="4"/>
  <c r="S61" i="4"/>
  <c r="I61" i="4" s="1"/>
  <c r="T59" i="4"/>
  <c r="K59" i="4" s="1"/>
  <c r="T93" i="2"/>
  <c r="S113" i="2"/>
  <c r="S88" i="2"/>
  <c r="R91" i="2"/>
  <c r="R87" i="2"/>
  <c r="S93" i="2"/>
  <c r="R85" i="2"/>
  <c r="S89" i="2"/>
  <c r="R90" i="2"/>
  <c r="R86" i="2"/>
  <c r="T113" i="2"/>
  <c r="U113" i="2"/>
  <c r="S85" i="2"/>
  <c r="S90" i="2"/>
  <c r="R89" i="2"/>
  <c r="S86" i="2"/>
  <c r="S87" i="2"/>
  <c r="S91" i="2"/>
  <c r="S16" i="1"/>
  <c r="S13" i="2" s="1"/>
  <c r="S5" i="2"/>
  <c r="K70" i="4"/>
  <c r="I94" i="4"/>
  <c r="U64" i="2"/>
  <c r="R64" i="2"/>
  <c r="T64" i="2"/>
  <c r="I143" i="4"/>
  <c r="I119" i="4"/>
  <c r="I144" i="4"/>
  <c r="G144" i="4"/>
  <c r="I120" i="4"/>
  <c r="K144" i="4"/>
  <c r="K120" i="4"/>
  <c r="G120" i="4"/>
  <c r="I95" i="4"/>
  <c r="I70" i="4"/>
  <c r="G70" i="4"/>
  <c r="K95" i="4"/>
  <c r="G119" i="4"/>
  <c r="G143" i="4"/>
  <c r="G94" i="4"/>
  <c r="O119" i="4"/>
  <c r="O121" i="4" s="1"/>
  <c r="O94" i="4"/>
  <c r="O96" i="4" s="1"/>
  <c r="I69" i="4"/>
  <c r="S14" i="1"/>
  <c r="S13" i="1"/>
  <c r="S12" i="1"/>
  <c r="B17" i="1"/>
  <c r="P124" i="2"/>
  <c r="P84" i="2"/>
  <c r="P85" i="2"/>
  <c r="R158" i="2"/>
  <c r="R138" i="2"/>
  <c r="R105" i="2"/>
  <c r="R71" i="2"/>
  <c r="K63" i="4" l="1"/>
  <c r="I63" i="4"/>
  <c r="I107" i="4"/>
  <c r="M35" i="4"/>
  <c r="W35" i="4" s="1"/>
  <c r="K33" i="4"/>
  <c r="I68" i="4"/>
  <c r="I53" i="4"/>
  <c r="M68" i="4"/>
  <c r="W68" i="4" s="1"/>
  <c r="I54" i="4"/>
  <c r="G129" i="4"/>
  <c r="G125" i="4"/>
  <c r="G140" i="4"/>
  <c r="W140" i="4" s="1"/>
  <c r="K125" i="4"/>
  <c r="K31" i="4"/>
  <c r="M114" i="4"/>
  <c r="I114" i="4"/>
  <c r="G86" i="4"/>
  <c r="W86" i="4" s="1"/>
  <c r="M86" i="4"/>
  <c r="I86" i="4"/>
  <c r="G27" i="4"/>
  <c r="W27" i="4" s="1"/>
  <c r="I127" i="4"/>
  <c r="W127" i="4" s="1"/>
  <c r="M124" i="4"/>
  <c r="I80" i="4"/>
  <c r="K40" i="4"/>
  <c r="W40" i="4" s="1"/>
  <c r="M80" i="4"/>
  <c r="I64" i="4"/>
  <c r="M98" i="4"/>
  <c r="K104" i="4"/>
  <c r="W104" i="4" s="1"/>
  <c r="K147" i="4"/>
  <c r="K150" i="4"/>
  <c r="I157" i="4"/>
  <c r="M157" i="4"/>
  <c r="W157" i="4" s="1"/>
  <c r="G53" i="4"/>
  <c r="W53" i="4" s="1"/>
  <c r="G150" i="4"/>
  <c r="G63" i="4"/>
  <c r="I117" i="4"/>
  <c r="W117" i="4" s="1"/>
  <c r="M107" i="4"/>
  <c r="K107" i="4"/>
  <c r="G33" i="4"/>
  <c r="W33" i="4" s="1"/>
  <c r="K134" i="4"/>
  <c r="W134" i="4" s="1"/>
  <c r="K35" i="4"/>
  <c r="K89" i="4"/>
  <c r="W89" i="4" s="1"/>
  <c r="K53" i="4"/>
  <c r="M54" i="4"/>
  <c r="K54" i="4"/>
  <c r="I125" i="4"/>
  <c r="W125" i="4" s="1"/>
  <c r="G31" i="4"/>
  <c r="W31" i="4" s="1"/>
  <c r="K114" i="4"/>
  <c r="K27" i="4"/>
  <c r="G124" i="4"/>
  <c r="K98" i="4"/>
  <c r="W98" i="4" s="1"/>
  <c r="M64" i="4"/>
  <c r="G40" i="4"/>
  <c r="K80" i="4"/>
  <c r="W80" i="4" s="1"/>
  <c r="M150" i="4"/>
  <c r="K156" i="4"/>
  <c r="W156" i="4" s="1"/>
  <c r="G156" i="4"/>
  <c r="G157" i="4"/>
  <c r="W60" i="4"/>
  <c r="W61" i="4"/>
  <c r="G141" i="4"/>
  <c r="K141" i="4"/>
  <c r="I118" i="4"/>
  <c r="G93" i="4"/>
  <c r="W105" i="4"/>
  <c r="K111" i="4"/>
  <c r="G137" i="4"/>
  <c r="W85" i="4"/>
  <c r="W81" i="4"/>
  <c r="G84" i="4"/>
  <c r="G37" i="4"/>
  <c r="I75" i="4"/>
  <c r="M75" i="4"/>
  <c r="W78" i="4"/>
  <c r="G28" i="4"/>
  <c r="M28" i="4"/>
  <c r="W126" i="4"/>
  <c r="G26" i="4"/>
  <c r="I26" i="4"/>
  <c r="G128" i="4"/>
  <c r="M43" i="4"/>
  <c r="W100" i="4"/>
  <c r="G113" i="4"/>
  <c r="M113" i="4"/>
  <c r="I108" i="4"/>
  <c r="W83" i="4"/>
  <c r="I131" i="4"/>
  <c r="M131" i="4"/>
  <c r="W99" i="4"/>
  <c r="G102" i="4"/>
  <c r="I102" i="4"/>
  <c r="K52" i="4"/>
  <c r="K102" i="4"/>
  <c r="M77" i="4"/>
  <c r="G58" i="4"/>
  <c r="K58" i="4"/>
  <c r="I151" i="4"/>
  <c r="M151" i="4"/>
  <c r="I154" i="4"/>
  <c r="I160" i="4" s="1"/>
  <c r="I161" i="4" s="1"/>
  <c r="AC22" i="1" s="1"/>
  <c r="G73" i="4"/>
  <c r="G67" i="4"/>
  <c r="G118" i="4"/>
  <c r="I138" i="4"/>
  <c r="M118" i="4"/>
  <c r="M141" i="4"/>
  <c r="M93" i="4"/>
  <c r="M111" i="4"/>
  <c r="M137" i="4"/>
  <c r="M37" i="4"/>
  <c r="M84" i="4"/>
  <c r="I73" i="4"/>
  <c r="K75" i="4"/>
  <c r="I28" i="4"/>
  <c r="W129" i="4"/>
  <c r="M26" i="4"/>
  <c r="K26" i="4"/>
  <c r="M128" i="4"/>
  <c r="K43" i="4"/>
  <c r="W43" i="4" s="1"/>
  <c r="W92" i="4"/>
  <c r="G108" i="4"/>
  <c r="K47" i="4"/>
  <c r="G74" i="4"/>
  <c r="G52" i="4"/>
  <c r="W103" i="4"/>
  <c r="W130" i="4"/>
  <c r="I52" i="4"/>
  <c r="K77" i="4"/>
  <c r="M58" i="4"/>
  <c r="W153" i="4"/>
  <c r="W63" i="4"/>
  <c r="G138" i="4"/>
  <c r="I141" i="4"/>
  <c r="K118" i="4"/>
  <c r="K93" i="4"/>
  <c r="K137" i="4"/>
  <c r="W132" i="4"/>
  <c r="K67" i="4"/>
  <c r="M73" i="4"/>
  <c r="M67" i="4"/>
  <c r="K28" i="4"/>
  <c r="G30" i="4"/>
  <c r="M30" i="4"/>
  <c r="K30" i="4"/>
  <c r="I44" i="4"/>
  <c r="G44" i="4"/>
  <c r="W101" i="4"/>
  <c r="I113" i="4"/>
  <c r="M108" i="4"/>
  <c r="W108" i="4" s="1"/>
  <c r="G131" i="4"/>
  <c r="I47" i="4"/>
  <c r="W115" i="4"/>
  <c r="I74" i="4"/>
  <c r="W57" i="4"/>
  <c r="M102" i="4"/>
  <c r="M74" i="4"/>
  <c r="M52" i="4"/>
  <c r="I77" i="4"/>
  <c r="I58" i="4"/>
  <c r="K151" i="4"/>
  <c r="W148" i="4"/>
  <c r="K154" i="4"/>
  <c r="W87" i="4"/>
  <c r="W155" i="4"/>
  <c r="W149" i="4"/>
  <c r="W110" i="4"/>
  <c r="W109" i="4"/>
  <c r="W136" i="4"/>
  <c r="W38" i="4"/>
  <c r="W142" i="4"/>
  <c r="W76" i="4"/>
  <c r="W112" i="4"/>
  <c r="W25" i="4"/>
  <c r="W29" i="4"/>
  <c r="W123" i="4"/>
  <c r="W66" i="4"/>
  <c r="W152" i="4"/>
  <c r="R50" i="4"/>
  <c r="L51" i="4"/>
  <c r="M90" i="4"/>
  <c r="I90" i="4"/>
  <c r="K90" i="4"/>
  <c r="M24" i="4"/>
  <c r="W41" i="4"/>
  <c r="W133" i="4"/>
  <c r="W36" i="4"/>
  <c r="W88" i="4"/>
  <c r="W124" i="4"/>
  <c r="W62" i="4"/>
  <c r="W65" i="4"/>
  <c r="W46" i="4"/>
  <c r="W91" i="4"/>
  <c r="M39" i="4"/>
  <c r="W39" i="4" s="1"/>
  <c r="K24" i="4"/>
  <c r="W106" i="4"/>
  <c r="W135" i="4"/>
  <c r="W34" i="4"/>
  <c r="W79" i="4"/>
  <c r="W56" i="4"/>
  <c r="W23" i="4"/>
  <c r="W116" i="4"/>
  <c r="W48" i="4"/>
  <c r="G24" i="4"/>
  <c r="W59" i="4"/>
  <c r="W32" i="4"/>
  <c r="W147" i="4"/>
  <c r="I24" i="4"/>
  <c r="K45" i="4"/>
  <c r="W45" i="4" s="1"/>
  <c r="W183" i="2"/>
  <c r="W40" i="2"/>
  <c r="P45" i="4"/>
  <c r="G160" i="4"/>
  <c r="G161" i="4" s="1"/>
  <c r="AC21" i="1" s="1"/>
  <c r="W159" i="4"/>
  <c r="W158" i="4"/>
  <c r="W70" i="4"/>
  <c r="R128" i="2"/>
  <c r="U127" i="2"/>
  <c r="U126" i="2"/>
  <c r="R125" i="2"/>
  <c r="S128" i="2"/>
  <c r="T127" i="2"/>
  <c r="T126" i="2"/>
  <c r="S125" i="2"/>
  <c r="T128" i="2"/>
  <c r="S127" i="2"/>
  <c r="S126" i="2"/>
  <c r="T125" i="2"/>
  <c r="U128" i="2"/>
  <c r="R127" i="2"/>
  <c r="R126" i="2"/>
  <c r="U125" i="2"/>
  <c r="W95" i="4"/>
  <c r="W94" i="4"/>
  <c r="W119" i="4"/>
  <c r="W120" i="4"/>
  <c r="W144" i="4"/>
  <c r="W69" i="4"/>
  <c r="W143" i="4"/>
  <c r="O71" i="4"/>
  <c r="Q29" i="1"/>
  <c r="Q28" i="1"/>
  <c r="Q27" i="1"/>
  <c r="Q26" i="1"/>
  <c r="Q25" i="1"/>
  <c r="Q24" i="1"/>
  <c r="Q23" i="1"/>
  <c r="Q9" i="1"/>
  <c r="Q10" i="1"/>
  <c r="Q11" i="1"/>
  <c r="Q12" i="1"/>
  <c r="Q13" i="1"/>
  <c r="Q14" i="1"/>
  <c r="Q8" i="1"/>
  <c r="W73" i="4" l="1"/>
  <c r="W37" i="4"/>
  <c r="W154" i="4"/>
  <c r="W111" i="4"/>
  <c r="W150" i="4"/>
  <c r="W131" i="4"/>
  <c r="W67" i="4"/>
  <c r="W107" i="4"/>
  <c r="W64" i="4"/>
  <c r="W114" i="4"/>
  <c r="W24" i="4"/>
  <c r="W75" i="4"/>
  <c r="K160" i="4"/>
  <c r="K161" i="4" s="1"/>
  <c r="AC23" i="1" s="1"/>
  <c r="W54" i="4"/>
  <c r="I50" i="4"/>
  <c r="I51" i="4" s="1"/>
  <c r="X22" i="1" s="1"/>
  <c r="W77" i="4"/>
  <c r="W26" i="4"/>
  <c r="W90" i="4"/>
  <c r="M160" i="4"/>
  <c r="M161" i="4" s="1"/>
  <c r="AC24" i="1" s="1"/>
  <c r="W102" i="4"/>
  <c r="W141" i="4"/>
  <c r="W138" i="4"/>
  <c r="K50" i="4"/>
  <c r="K51" i="4" s="1"/>
  <c r="X23" i="1" s="1"/>
  <c r="G50" i="4"/>
  <c r="G51" i="4" s="1"/>
  <c r="X21" i="1" s="1"/>
  <c r="W47" i="4"/>
  <c r="W118" i="4"/>
  <c r="W151" i="4"/>
  <c r="W161" i="4" s="1"/>
  <c r="W137" i="4"/>
  <c r="W93" i="4"/>
  <c r="W44" i="4"/>
  <c r="W52" i="4"/>
  <c r="W128" i="4"/>
  <c r="W84" i="4"/>
  <c r="W30" i="4"/>
  <c r="W74" i="4"/>
  <c r="W58" i="4"/>
  <c r="W113" i="4"/>
  <c r="W28" i="4"/>
  <c r="R161" i="4"/>
  <c r="AC25" i="1" s="1"/>
  <c r="G71" i="4"/>
  <c r="G72" i="4" s="1"/>
  <c r="Y21" i="1" s="1"/>
  <c r="I96" i="4"/>
  <c r="I97" i="4" s="1"/>
  <c r="Z22" i="1" s="1"/>
  <c r="I71" i="4"/>
  <c r="I72" i="4" s="1"/>
  <c r="Y22" i="1" s="1"/>
  <c r="M145" i="4"/>
  <c r="M146" i="4" s="1"/>
  <c r="AB24" i="1" s="1"/>
  <c r="I121" i="4"/>
  <c r="I122" i="4" s="1"/>
  <c r="AA22" i="1" s="1"/>
  <c r="K121" i="4"/>
  <c r="K122" i="4" s="1"/>
  <c r="AA23" i="1" s="1"/>
  <c r="K96" i="4"/>
  <c r="K97" i="4" s="1"/>
  <c r="Z23" i="1" s="1"/>
  <c r="K71" i="4"/>
  <c r="K72" i="4" s="1"/>
  <c r="Y23" i="1" s="1"/>
  <c r="M71" i="4"/>
  <c r="M72" i="4" s="1"/>
  <c r="Y24" i="1" s="1"/>
  <c r="I145" i="4"/>
  <c r="I146" i="4" s="1"/>
  <c r="AB22" i="1" s="1"/>
  <c r="G121" i="4"/>
  <c r="M96" i="4"/>
  <c r="M97" i="4" s="1"/>
  <c r="Z24" i="1" s="1"/>
  <c r="G145" i="4"/>
  <c r="M121" i="4"/>
  <c r="M122" i="4" s="1"/>
  <c r="AA24" i="1" s="1"/>
  <c r="K145" i="4"/>
  <c r="K146" i="4" s="1"/>
  <c r="AB23" i="1" s="1"/>
  <c r="G96" i="4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5" i="2"/>
  <c r="P134" i="2"/>
  <c r="P133" i="2"/>
  <c r="P132" i="2"/>
  <c r="P131" i="2"/>
  <c r="P130" i="2"/>
  <c r="P129" i="2"/>
  <c r="P128" i="2"/>
  <c r="P127" i="2"/>
  <c r="P126" i="2"/>
  <c r="P125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3" i="2"/>
  <c r="P82" i="2"/>
  <c r="P81" i="2"/>
  <c r="P80" i="2"/>
  <c r="P78" i="2"/>
  <c r="P77" i="2"/>
  <c r="P76" i="2"/>
  <c r="P75" i="2"/>
  <c r="P74" i="2"/>
  <c r="P73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E13" i="2"/>
  <c r="E12" i="2"/>
  <c r="E9" i="2"/>
  <c r="E8" i="2"/>
  <c r="O156" i="2"/>
  <c r="J7" i="2"/>
  <c r="I7" i="2"/>
  <c r="H7" i="2"/>
  <c r="E7" i="2"/>
  <c r="E6" i="2"/>
  <c r="J5" i="2"/>
  <c r="H5" i="2"/>
  <c r="E5" i="2"/>
  <c r="E4" i="2"/>
  <c r="E3" i="2"/>
  <c r="R31" i="1"/>
  <c r="J6" i="2"/>
  <c r="I6" i="2"/>
  <c r="H6" i="2"/>
  <c r="I5" i="2"/>
  <c r="J4" i="2"/>
  <c r="I4" i="2"/>
  <c r="H4" i="2"/>
  <c r="J3" i="2"/>
  <c r="I3" i="2"/>
  <c r="H3" i="2"/>
  <c r="T182" i="2" l="1"/>
  <c r="R182" i="2"/>
  <c r="T171" i="2"/>
  <c r="T181" i="2"/>
  <c r="U171" i="2"/>
  <c r="R181" i="2"/>
  <c r="S171" i="2"/>
  <c r="U182" i="2"/>
  <c r="S182" i="2"/>
  <c r="U181" i="2"/>
  <c r="R171" i="2"/>
  <c r="S181" i="2"/>
  <c r="T170" i="2"/>
  <c r="R170" i="2"/>
  <c r="U170" i="2"/>
  <c r="S170" i="2"/>
  <c r="T169" i="2"/>
  <c r="R169" i="2"/>
  <c r="U169" i="2"/>
  <c r="S169" i="2"/>
  <c r="U168" i="2"/>
  <c r="S174" i="2"/>
  <c r="S166" i="2"/>
  <c r="T168" i="2"/>
  <c r="R168" i="2"/>
  <c r="U173" i="2"/>
  <c r="U167" i="2"/>
  <c r="S173" i="2"/>
  <c r="S165" i="2"/>
  <c r="T167" i="2"/>
  <c r="R173" i="2"/>
  <c r="R166" i="2"/>
  <c r="U165" i="2"/>
  <c r="U174" i="2"/>
  <c r="U166" i="2"/>
  <c r="S168" i="2"/>
  <c r="T174" i="2"/>
  <c r="T166" i="2"/>
  <c r="R174" i="2"/>
  <c r="R165" i="2"/>
  <c r="T173" i="2"/>
  <c r="T165" i="2"/>
  <c r="R167" i="2"/>
  <c r="S167" i="2"/>
  <c r="U163" i="2"/>
  <c r="T163" i="2"/>
  <c r="R161" i="2"/>
  <c r="U161" i="2"/>
  <c r="T161" i="2"/>
  <c r="S163" i="2"/>
  <c r="R163" i="2"/>
  <c r="S161" i="2"/>
  <c r="U164" i="2"/>
  <c r="T164" i="2"/>
  <c r="R164" i="2"/>
  <c r="S164" i="2"/>
  <c r="U149" i="2"/>
  <c r="T149" i="2"/>
  <c r="R149" i="2"/>
  <c r="S149" i="2"/>
  <c r="U162" i="2"/>
  <c r="T162" i="2"/>
  <c r="R162" i="2"/>
  <c r="S162" i="2"/>
  <c r="U172" i="2"/>
  <c r="T172" i="2"/>
  <c r="S172" i="2"/>
  <c r="R172" i="2"/>
  <c r="V171" i="2"/>
  <c r="M171" i="2" s="1"/>
  <c r="V170" i="2"/>
  <c r="V172" i="2"/>
  <c r="V174" i="2"/>
  <c r="V167" i="2"/>
  <c r="V173" i="2"/>
  <c r="K173" i="2" s="1"/>
  <c r="V175" i="2"/>
  <c r="I175" i="2" s="1"/>
  <c r="V168" i="2"/>
  <c r="G168" i="2" s="1"/>
  <c r="V169" i="2"/>
  <c r="V181" i="2"/>
  <c r="V176" i="2"/>
  <c r="V163" i="2"/>
  <c r="M163" i="2" s="1"/>
  <c r="V179" i="2"/>
  <c r="V166" i="2"/>
  <c r="K166" i="2" s="1"/>
  <c r="V182" i="2"/>
  <c r="V177" i="2"/>
  <c r="V164" i="2"/>
  <c r="V160" i="2"/>
  <c r="V162" i="2"/>
  <c r="V29" i="2"/>
  <c r="V178" i="2"/>
  <c r="V165" i="2"/>
  <c r="V161" i="2"/>
  <c r="U38" i="2"/>
  <c r="T38" i="2"/>
  <c r="R38" i="2"/>
  <c r="S27" i="2"/>
  <c r="T27" i="2"/>
  <c r="R27" i="2"/>
  <c r="S38" i="2"/>
  <c r="U27" i="2"/>
  <c r="U35" i="2"/>
  <c r="T35" i="2"/>
  <c r="T26" i="2"/>
  <c r="R35" i="2"/>
  <c r="R26" i="2"/>
  <c r="S37" i="2"/>
  <c r="U39" i="2"/>
  <c r="U160" i="2"/>
  <c r="T37" i="2"/>
  <c r="R160" i="2"/>
  <c r="R37" i="2"/>
  <c r="S160" i="2"/>
  <c r="S39" i="2"/>
  <c r="U34" i="2"/>
  <c r="T34" i="2"/>
  <c r="T23" i="2"/>
  <c r="R34" i="2"/>
  <c r="R23" i="2"/>
  <c r="S35" i="2"/>
  <c r="S26" i="2"/>
  <c r="U33" i="2"/>
  <c r="T160" i="2"/>
  <c r="S33" i="2"/>
  <c r="U37" i="2"/>
  <c r="U23" i="2"/>
  <c r="U26" i="2"/>
  <c r="T39" i="2"/>
  <c r="T33" i="2"/>
  <c r="R39" i="2"/>
  <c r="R33" i="2"/>
  <c r="S34" i="2"/>
  <c r="S23" i="2"/>
  <c r="S32" i="2"/>
  <c r="S28" i="2"/>
  <c r="U28" i="2"/>
  <c r="U32" i="2"/>
  <c r="T32" i="2"/>
  <c r="R32" i="2"/>
  <c r="T28" i="2"/>
  <c r="R28" i="2"/>
  <c r="U31" i="2"/>
  <c r="T31" i="2"/>
  <c r="R31" i="2"/>
  <c r="U36" i="2"/>
  <c r="T36" i="2"/>
  <c r="R36" i="2"/>
  <c r="S31" i="2"/>
  <c r="S36" i="2"/>
  <c r="T30" i="2"/>
  <c r="R30" i="2"/>
  <c r="U30" i="2"/>
  <c r="S30" i="2"/>
  <c r="T29" i="2"/>
  <c r="S29" i="2"/>
  <c r="R29" i="2"/>
  <c r="U29" i="2"/>
  <c r="G184" i="2"/>
  <c r="K184" i="2"/>
  <c r="I184" i="2"/>
  <c r="S24" i="2"/>
  <c r="R24" i="2"/>
  <c r="U25" i="2"/>
  <c r="S25" i="2"/>
  <c r="T25" i="2"/>
  <c r="R25" i="2"/>
  <c r="U24" i="2"/>
  <c r="T24" i="2"/>
  <c r="V79" i="2"/>
  <c r="V39" i="2"/>
  <c r="V35" i="2"/>
  <c r="V31" i="2"/>
  <c r="V26" i="2"/>
  <c r="V36" i="2"/>
  <c r="V32" i="2"/>
  <c r="V27" i="2"/>
  <c r="V23" i="2"/>
  <c r="V37" i="2"/>
  <c r="V33" i="2"/>
  <c r="V34" i="2"/>
  <c r="V38" i="2"/>
  <c r="V24" i="2"/>
  <c r="V30" i="2"/>
  <c r="V25" i="2"/>
  <c r="V28" i="2"/>
  <c r="R77" i="2"/>
  <c r="K41" i="2"/>
  <c r="I41" i="2"/>
  <c r="G41" i="2"/>
  <c r="R72" i="4"/>
  <c r="Y25" i="1" s="1"/>
  <c r="W72" i="4"/>
  <c r="U117" i="2"/>
  <c r="R117" i="2"/>
  <c r="T117" i="2"/>
  <c r="S117" i="2"/>
  <c r="U79" i="2"/>
  <c r="T79" i="2"/>
  <c r="S79" i="2"/>
  <c r="R79" i="2"/>
  <c r="W97" i="4"/>
  <c r="W122" i="4"/>
  <c r="W146" i="4"/>
  <c r="G97" i="4"/>
  <c r="Z21" i="1" s="1"/>
  <c r="R97" i="4"/>
  <c r="Z25" i="1" s="1"/>
  <c r="R146" i="4"/>
  <c r="AB25" i="1" s="1"/>
  <c r="G146" i="4"/>
  <c r="AB21" i="1" s="1"/>
  <c r="R122" i="4"/>
  <c r="AA25" i="1" s="1"/>
  <c r="G122" i="4"/>
  <c r="AA21" i="1" s="1"/>
  <c r="U88" i="2"/>
  <c r="T91" i="2"/>
  <c r="T88" i="2"/>
  <c r="U89" i="2"/>
  <c r="T90" i="2"/>
  <c r="U90" i="2"/>
  <c r="T89" i="2"/>
  <c r="U91" i="2"/>
  <c r="R124" i="2"/>
  <c r="U124" i="2"/>
  <c r="T124" i="2"/>
  <c r="S124" i="2"/>
  <c r="T129" i="2"/>
  <c r="R129" i="2"/>
  <c r="S129" i="2"/>
  <c r="U129" i="2"/>
  <c r="S92" i="2"/>
  <c r="T92" i="2"/>
  <c r="R92" i="2"/>
  <c r="U92" i="2"/>
  <c r="V124" i="2"/>
  <c r="V84" i="2"/>
  <c r="T84" i="2"/>
  <c r="U84" i="2"/>
  <c r="S84" i="2"/>
  <c r="R84" i="2"/>
  <c r="V85" i="2"/>
  <c r="I157" i="2"/>
  <c r="G157" i="2"/>
  <c r="K157" i="2"/>
  <c r="I136" i="2"/>
  <c r="I156" i="2"/>
  <c r="G136" i="2"/>
  <c r="G156" i="2"/>
  <c r="O103" i="2"/>
  <c r="O136" i="2"/>
  <c r="G137" i="2"/>
  <c r="K137" i="2"/>
  <c r="I137" i="2"/>
  <c r="U56" i="2"/>
  <c r="G69" i="2"/>
  <c r="G103" i="2"/>
  <c r="I69" i="2"/>
  <c r="I103" i="2"/>
  <c r="K104" i="2"/>
  <c r="I104" i="2"/>
  <c r="G104" i="2"/>
  <c r="U61" i="2"/>
  <c r="T47" i="2"/>
  <c r="U52" i="2"/>
  <c r="U66" i="2"/>
  <c r="T51" i="2"/>
  <c r="O69" i="2"/>
  <c r="U44" i="2"/>
  <c r="T55" i="2"/>
  <c r="K70" i="2"/>
  <c r="I70" i="2"/>
  <c r="G70" i="2"/>
  <c r="V141" i="2"/>
  <c r="V145" i="2"/>
  <c r="V149" i="2"/>
  <c r="V153" i="2"/>
  <c r="V140" i="2"/>
  <c r="V111" i="2"/>
  <c r="V115" i="2"/>
  <c r="V119" i="2"/>
  <c r="V123" i="2"/>
  <c r="V128" i="2"/>
  <c r="K128" i="2" s="1"/>
  <c r="V132" i="2"/>
  <c r="V76" i="2"/>
  <c r="V81" i="2"/>
  <c r="V86" i="2"/>
  <c r="V90" i="2"/>
  <c r="V94" i="2"/>
  <c r="V98" i="2"/>
  <c r="V102" i="2"/>
  <c r="V46" i="2"/>
  <c r="V50" i="2"/>
  <c r="V54" i="2"/>
  <c r="V58" i="2"/>
  <c r="V62" i="2"/>
  <c r="V66" i="2"/>
  <c r="V44" i="2"/>
  <c r="V142" i="2"/>
  <c r="V146" i="2"/>
  <c r="V150" i="2"/>
  <c r="V154" i="2"/>
  <c r="V108" i="2"/>
  <c r="V112" i="2"/>
  <c r="V116" i="2"/>
  <c r="V120" i="2"/>
  <c r="V125" i="2"/>
  <c r="V129" i="2"/>
  <c r="V133" i="2"/>
  <c r="V107" i="2"/>
  <c r="V77" i="2"/>
  <c r="V82" i="2"/>
  <c r="V87" i="2"/>
  <c r="V91" i="2"/>
  <c r="V95" i="2"/>
  <c r="V99" i="2"/>
  <c r="V47" i="2"/>
  <c r="V51" i="2"/>
  <c r="V55" i="2"/>
  <c r="V59" i="2"/>
  <c r="V63" i="2"/>
  <c r="V67" i="2"/>
  <c r="V143" i="2"/>
  <c r="V147" i="2"/>
  <c r="V151" i="2"/>
  <c r="V155" i="2"/>
  <c r="V109" i="2"/>
  <c r="V113" i="2"/>
  <c r="V117" i="2"/>
  <c r="V121" i="2"/>
  <c r="V126" i="2"/>
  <c r="V130" i="2"/>
  <c r="V134" i="2"/>
  <c r="V74" i="2"/>
  <c r="V78" i="2"/>
  <c r="V83" i="2"/>
  <c r="V88" i="2"/>
  <c r="V92" i="2"/>
  <c r="V96" i="2"/>
  <c r="V100" i="2"/>
  <c r="V73" i="2"/>
  <c r="V48" i="2"/>
  <c r="V52" i="2"/>
  <c r="V56" i="2"/>
  <c r="V60" i="2"/>
  <c r="V64" i="2"/>
  <c r="V68" i="2"/>
  <c r="V144" i="2"/>
  <c r="V148" i="2"/>
  <c r="V152" i="2"/>
  <c r="V110" i="2"/>
  <c r="V114" i="2"/>
  <c r="V118" i="2"/>
  <c r="V122" i="2"/>
  <c r="V127" i="2"/>
  <c r="V131" i="2"/>
  <c r="V135" i="2"/>
  <c r="V75" i="2"/>
  <c r="V80" i="2"/>
  <c r="V89" i="2"/>
  <c r="V93" i="2"/>
  <c r="V97" i="2"/>
  <c r="V101" i="2"/>
  <c r="V45" i="2"/>
  <c r="V49" i="2"/>
  <c r="V53" i="2"/>
  <c r="V57" i="2"/>
  <c r="V61" i="2"/>
  <c r="V65" i="2"/>
  <c r="S81" i="2"/>
  <c r="I81" i="2" s="1"/>
  <c r="S77" i="2"/>
  <c r="S98" i="2"/>
  <c r="S83" i="2"/>
  <c r="S65" i="2"/>
  <c r="S68" i="2"/>
  <c r="R49" i="2"/>
  <c r="R45" i="2"/>
  <c r="R118" i="2"/>
  <c r="R68" i="2"/>
  <c r="R65" i="2"/>
  <c r="R98" i="2"/>
  <c r="R83" i="2"/>
  <c r="U48" i="2"/>
  <c r="U58" i="2"/>
  <c r="R53" i="2"/>
  <c r="R57" i="2"/>
  <c r="Q31" i="1"/>
  <c r="Q16" i="1"/>
  <c r="S60" i="2"/>
  <c r="S63" i="2"/>
  <c r="T116" i="2"/>
  <c r="R130" i="2"/>
  <c r="S54" i="2"/>
  <c r="U152" i="2"/>
  <c r="U148" i="2"/>
  <c r="U144" i="2"/>
  <c r="U140" i="2"/>
  <c r="U135" i="2"/>
  <c r="U131" i="2"/>
  <c r="U122" i="2"/>
  <c r="U118" i="2"/>
  <c r="U153" i="2"/>
  <c r="U145" i="2"/>
  <c r="U141" i="2"/>
  <c r="U154" i="2"/>
  <c r="U150" i="2"/>
  <c r="U146" i="2"/>
  <c r="U142" i="2"/>
  <c r="U155" i="2"/>
  <c r="U151" i="2"/>
  <c r="U147" i="2"/>
  <c r="U143" i="2"/>
  <c r="U119" i="2"/>
  <c r="U115" i="2"/>
  <c r="U111" i="2"/>
  <c r="U107" i="2"/>
  <c r="U102" i="2"/>
  <c r="U98" i="2"/>
  <c r="U94" i="2"/>
  <c r="U130" i="2"/>
  <c r="U123" i="2"/>
  <c r="U112" i="2"/>
  <c r="U108" i="2"/>
  <c r="U99" i="2"/>
  <c r="U95" i="2"/>
  <c r="U134" i="2"/>
  <c r="U133" i="2"/>
  <c r="U116" i="2"/>
  <c r="U109" i="2"/>
  <c r="U100" i="2"/>
  <c r="U132" i="2"/>
  <c r="U121" i="2"/>
  <c r="U120" i="2"/>
  <c r="U110" i="2"/>
  <c r="U80" i="2"/>
  <c r="U75" i="2"/>
  <c r="U101" i="2"/>
  <c r="U81" i="2"/>
  <c r="U76" i="2"/>
  <c r="U67" i="2"/>
  <c r="U63" i="2"/>
  <c r="U59" i="2"/>
  <c r="U97" i="2"/>
  <c r="U82" i="2"/>
  <c r="U77" i="2"/>
  <c r="U73" i="2"/>
  <c r="U68" i="2"/>
  <c r="U60" i="2"/>
  <c r="R44" i="2"/>
  <c r="S45" i="2"/>
  <c r="T46" i="2"/>
  <c r="U47" i="2"/>
  <c r="R48" i="2"/>
  <c r="S49" i="2"/>
  <c r="T50" i="2"/>
  <c r="U51" i="2"/>
  <c r="R52" i="2"/>
  <c r="S53" i="2"/>
  <c r="T54" i="2"/>
  <c r="U55" i="2"/>
  <c r="R56" i="2"/>
  <c r="S57" i="2"/>
  <c r="R59" i="2"/>
  <c r="T60" i="2"/>
  <c r="R62" i="2"/>
  <c r="T65" i="2"/>
  <c r="R67" i="2"/>
  <c r="T73" i="2"/>
  <c r="U74" i="2"/>
  <c r="R75" i="2"/>
  <c r="S76" i="2"/>
  <c r="R115" i="2"/>
  <c r="S46" i="2"/>
  <c r="S50" i="2"/>
  <c r="S44" i="2"/>
  <c r="T45" i="2"/>
  <c r="U46" i="2"/>
  <c r="R47" i="2"/>
  <c r="S48" i="2"/>
  <c r="T49" i="2"/>
  <c r="U50" i="2"/>
  <c r="R51" i="2"/>
  <c r="S52" i="2"/>
  <c r="T53" i="2"/>
  <c r="U54" i="2"/>
  <c r="R55" i="2"/>
  <c r="S56" i="2"/>
  <c r="T57" i="2"/>
  <c r="R58" i="2"/>
  <c r="S59" i="2"/>
  <c r="U62" i="2"/>
  <c r="U65" i="2"/>
  <c r="S67" i="2"/>
  <c r="T77" i="2"/>
  <c r="U78" i="2"/>
  <c r="R80" i="2"/>
  <c r="U114" i="2"/>
  <c r="S154" i="2"/>
  <c r="S150" i="2"/>
  <c r="S146" i="2"/>
  <c r="S142" i="2"/>
  <c r="S133" i="2"/>
  <c r="S120" i="2"/>
  <c r="S116" i="2"/>
  <c r="S155" i="2"/>
  <c r="S151" i="2"/>
  <c r="S147" i="2"/>
  <c r="S143" i="2"/>
  <c r="S152" i="2"/>
  <c r="S148" i="2"/>
  <c r="S144" i="2"/>
  <c r="S140" i="2"/>
  <c r="S153" i="2"/>
  <c r="S145" i="2"/>
  <c r="S141" i="2"/>
  <c r="S121" i="2"/>
  <c r="S109" i="2"/>
  <c r="S100" i="2"/>
  <c r="S96" i="2"/>
  <c r="S132" i="2"/>
  <c r="S131" i="2"/>
  <c r="S114" i="2"/>
  <c r="S110" i="2"/>
  <c r="S101" i="2"/>
  <c r="S97" i="2"/>
  <c r="S135" i="2"/>
  <c r="S130" i="2"/>
  <c r="S119" i="2"/>
  <c r="S118" i="2"/>
  <c r="S115" i="2"/>
  <c r="S111" i="2"/>
  <c r="S107" i="2"/>
  <c r="S102" i="2"/>
  <c r="S134" i="2"/>
  <c r="S123" i="2"/>
  <c r="S122" i="2"/>
  <c r="S112" i="2"/>
  <c r="S82" i="2"/>
  <c r="S73" i="2"/>
  <c r="S108" i="2"/>
  <c r="S94" i="2"/>
  <c r="S78" i="2"/>
  <c r="S74" i="2"/>
  <c r="S61" i="2"/>
  <c r="S99" i="2"/>
  <c r="S80" i="2"/>
  <c r="S75" i="2"/>
  <c r="S66" i="2"/>
  <c r="S62" i="2"/>
  <c r="R153" i="2"/>
  <c r="R145" i="2"/>
  <c r="R141" i="2"/>
  <c r="R132" i="2"/>
  <c r="R123" i="2"/>
  <c r="R119" i="2"/>
  <c r="R154" i="2"/>
  <c r="R150" i="2"/>
  <c r="R146" i="2"/>
  <c r="R142" i="2"/>
  <c r="R155" i="2"/>
  <c r="R151" i="2"/>
  <c r="R147" i="2"/>
  <c r="R143" i="2"/>
  <c r="R152" i="2"/>
  <c r="R148" i="2"/>
  <c r="R144" i="2"/>
  <c r="R140" i="2"/>
  <c r="R134" i="2"/>
  <c r="R133" i="2"/>
  <c r="R122" i="2"/>
  <c r="R116" i="2"/>
  <c r="R112" i="2"/>
  <c r="R108" i="2"/>
  <c r="R99" i="2"/>
  <c r="R95" i="2"/>
  <c r="R121" i="2"/>
  <c r="R120" i="2"/>
  <c r="R109" i="2"/>
  <c r="R100" i="2"/>
  <c r="R96" i="2"/>
  <c r="R131" i="2"/>
  <c r="R114" i="2"/>
  <c r="R110" i="2"/>
  <c r="R101" i="2"/>
  <c r="R97" i="2"/>
  <c r="R135" i="2"/>
  <c r="R111" i="2"/>
  <c r="R81" i="2"/>
  <c r="R76" i="2"/>
  <c r="R107" i="2"/>
  <c r="R102" i="2"/>
  <c r="R82" i="2"/>
  <c r="R73" i="2"/>
  <c r="R60" i="2"/>
  <c r="R94" i="2"/>
  <c r="R78" i="2"/>
  <c r="R74" i="2"/>
  <c r="R61" i="2"/>
  <c r="T155" i="2"/>
  <c r="T151" i="2"/>
  <c r="T147" i="2"/>
  <c r="T143" i="2"/>
  <c r="T134" i="2"/>
  <c r="T130" i="2"/>
  <c r="T121" i="2"/>
  <c r="T152" i="2"/>
  <c r="T148" i="2"/>
  <c r="T144" i="2"/>
  <c r="T140" i="2"/>
  <c r="T153" i="2"/>
  <c r="T145" i="2"/>
  <c r="T141" i="2"/>
  <c r="T154" i="2"/>
  <c r="T150" i="2"/>
  <c r="T146" i="2"/>
  <c r="T142" i="2"/>
  <c r="T132" i="2"/>
  <c r="T131" i="2"/>
  <c r="T120" i="2"/>
  <c r="T114" i="2"/>
  <c r="T110" i="2"/>
  <c r="T101" i="2"/>
  <c r="T97" i="2"/>
  <c r="T135" i="2"/>
  <c r="T119" i="2"/>
  <c r="T118" i="2"/>
  <c r="T115" i="2"/>
  <c r="T111" i="2"/>
  <c r="T107" i="2"/>
  <c r="T102" i="2"/>
  <c r="T98" i="2"/>
  <c r="T94" i="2"/>
  <c r="T123" i="2"/>
  <c r="T122" i="2"/>
  <c r="T112" i="2"/>
  <c r="T108" i="2"/>
  <c r="T99" i="2"/>
  <c r="T133" i="2"/>
  <c r="T109" i="2"/>
  <c r="T96" i="2"/>
  <c r="T83" i="2"/>
  <c r="T78" i="2"/>
  <c r="T74" i="2"/>
  <c r="T100" i="2"/>
  <c r="T80" i="2"/>
  <c r="T75" i="2"/>
  <c r="T66" i="2"/>
  <c r="T62" i="2"/>
  <c r="T58" i="2"/>
  <c r="T95" i="2"/>
  <c r="T81" i="2"/>
  <c r="T76" i="2"/>
  <c r="T67" i="2"/>
  <c r="T63" i="2"/>
  <c r="T59" i="2"/>
  <c r="T44" i="2"/>
  <c r="U45" i="2"/>
  <c r="R46" i="2"/>
  <c r="S47" i="2"/>
  <c r="T48" i="2"/>
  <c r="U49" i="2"/>
  <c r="R50" i="2"/>
  <c r="S51" i="2"/>
  <c r="T52" i="2"/>
  <c r="U53" i="2"/>
  <c r="R54" i="2"/>
  <c r="G54" i="2" s="1"/>
  <c r="S55" i="2"/>
  <c r="T56" i="2"/>
  <c r="U57" i="2"/>
  <c r="S58" i="2"/>
  <c r="T61" i="2"/>
  <c r="R63" i="2"/>
  <c r="R66" i="2"/>
  <c r="T68" i="2"/>
  <c r="T82" i="2"/>
  <c r="U83" i="2"/>
  <c r="S95" i="2"/>
  <c r="U96" i="2"/>
  <c r="G167" i="2" l="1"/>
  <c r="M162" i="2"/>
  <c r="K161" i="2"/>
  <c r="K162" i="2"/>
  <c r="G131" i="2"/>
  <c r="M164" i="2"/>
  <c r="I178" i="2"/>
  <c r="I162" i="2"/>
  <c r="G162" i="2"/>
  <c r="G161" i="2"/>
  <c r="I174" i="2"/>
  <c r="K23" i="2"/>
  <c r="G176" i="2"/>
  <c r="K163" i="2"/>
  <c r="I115" i="2"/>
  <c r="I114" i="2"/>
  <c r="I100" i="2"/>
  <c r="G165" i="2"/>
  <c r="I166" i="2"/>
  <c r="I173" i="2"/>
  <c r="G173" i="2"/>
  <c r="G171" i="2"/>
  <c r="M166" i="2"/>
  <c r="M167" i="2"/>
  <c r="K169" i="2"/>
  <c r="K29" i="2"/>
  <c r="K172" i="2"/>
  <c r="I167" i="2"/>
  <c r="K167" i="2"/>
  <c r="M173" i="2"/>
  <c r="I177" i="2"/>
  <c r="G177" i="2"/>
  <c r="M168" i="2"/>
  <c r="M181" i="2"/>
  <c r="K160" i="2"/>
  <c r="G160" i="2"/>
  <c r="M160" i="2"/>
  <c r="M169" i="2"/>
  <c r="K171" i="2"/>
  <c r="I170" i="2"/>
  <c r="I169" i="2"/>
  <c r="K170" i="2"/>
  <c r="G140" i="2"/>
  <c r="I181" i="2"/>
  <c r="G178" i="2"/>
  <c r="G169" i="2"/>
  <c r="I171" i="2"/>
  <c r="M170" i="2"/>
  <c r="G84" i="2"/>
  <c r="G170" i="2"/>
  <c r="K79" i="2"/>
  <c r="I172" i="2"/>
  <c r="M79" i="2"/>
  <c r="I163" i="2"/>
  <c r="G174" i="2"/>
  <c r="M172" i="2"/>
  <c r="M38" i="2"/>
  <c r="M29" i="2"/>
  <c r="K174" i="2"/>
  <c r="K168" i="2"/>
  <c r="I29" i="2"/>
  <c r="G163" i="2"/>
  <c r="M177" i="2"/>
  <c r="K177" i="2"/>
  <c r="M174" i="2"/>
  <c r="I168" i="2"/>
  <c r="G172" i="2"/>
  <c r="G79" i="2"/>
  <c r="K182" i="2"/>
  <c r="I182" i="2"/>
  <c r="I161" i="2"/>
  <c r="K175" i="2"/>
  <c r="I79" i="2"/>
  <c r="G181" i="2"/>
  <c r="G166" i="2"/>
  <c r="K28" i="2"/>
  <c r="G182" i="2"/>
  <c r="M33" i="2"/>
  <c r="I176" i="2"/>
  <c r="I160" i="2"/>
  <c r="M165" i="2"/>
  <c r="G175" i="2"/>
  <c r="M161" i="2"/>
  <c r="K176" i="2"/>
  <c r="M176" i="2"/>
  <c r="K181" i="2"/>
  <c r="M182" i="2"/>
  <c r="K165" i="2"/>
  <c r="I165" i="2"/>
  <c r="M175" i="2"/>
  <c r="W184" i="2"/>
  <c r="G30" i="2"/>
  <c r="K164" i="2"/>
  <c r="I179" i="2"/>
  <c r="M178" i="2"/>
  <c r="M179" i="2"/>
  <c r="G29" i="2"/>
  <c r="G36" i="2"/>
  <c r="I164" i="2"/>
  <c r="W162" i="2"/>
  <c r="K178" i="2"/>
  <c r="G179" i="2"/>
  <c r="O71" i="2"/>
  <c r="O185" i="2"/>
  <c r="I30" i="2"/>
  <c r="I36" i="2"/>
  <c r="G164" i="2"/>
  <c r="K179" i="2"/>
  <c r="I39" i="2"/>
  <c r="G39" i="2"/>
  <c r="I38" i="2"/>
  <c r="G38" i="2"/>
  <c r="I37" i="2"/>
  <c r="G37" i="2"/>
  <c r="G35" i="2"/>
  <c r="I35" i="2"/>
  <c r="G34" i="2"/>
  <c r="I34" i="2"/>
  <c r="G33" i="2"/>
  <c r="I33" i="2"/>
  <c r="I32" i="2"/>
  <c r="G32" i="2"/>
  <c r="I31" i="2"/>
  <c r="G31" i="2"/>
  <c r="M28" i="2"/>
  <c r="G28" i="2"/>
  <c r="I28" i="2"/>
  <c r="M27" i="2"/>
  <c r="I27" i="2"/>
  <c r="G27" i="2"/>
  <c r="G25" i="2"/>
  <c r="I25" i="2"/>
  <c r="I24" i="2"/>
  <c r="G24" i="2"/>
  <c r="I23" i="2"/>
  <c r="G23" i="2"/>
  <c r="G26" i="2"/>
  <c r="I26" i="2"/>
  <c r="K35" i="2"/>
  <c r="I95" i="2"/>
  <c r="K27" i="2"/>
  <c r="K37" i="2"/>
  <c r="M37" i="2"/>
  <c r="M31" i="2"/>
  <c r="M35" i="2"/>
  <c r="K25" i="2"/>
  <c r="K45" i="2"/>
  <c r="M23" i="2"/>
  <c r="K33" i="2"/>
  <c r="K39" i="2"/>
  <c r="M39" i="2"/>
  <c r="I141" i="2"/>
  <c r="M107" i="2"/>
  <c r="M141" i="2"/>
  <c r="K26" i="2"/>
  <c r="K24" i="2"/>
  <c r="M32" i="2"/>
  <c r="I98" i="2"/>
  <c r="K124" i="2"/>
  <c r="W41" i="2"/>
  <c r="K34" i="2"/>
  <c r="K36" i="2"/>
  <c r="M25" i="2"/>
  <c r="M36" i="2"/>
  <c r="K30" i="2"/>
  <c r="I140" i="2"/>
  <c r="I54" i="2"/>
  <c r="G141" i="2"/>
  <c r="I94" i="2"/>
  <c r="I148" i="2"/>
  <c r="I151" i="2"/>
  <c r="M34" i="2"/>
  <c r="M26" i="2"/>
  <c r="M24" i="2"/>
  <c r="K31" i="2"/>
  <c r="K38" i="2"/>
  <c r="K32" i="2"/>
  <c r="M30" i="2"/>
  <c r="I135" i="2"/>
  <c r="I84" i="2"/>
  <c r="I58" i="2"/>
  <c r="K95" i="2"/>
  <c r="G111" i="2"/>
  <c r="M50" i="2"/>
  <c r="M84" i="2"/>
  <c r="K84" i="2"/>
  <c r="M127" i="2"/>
  <c r="M124" i="2"/>
  <c r="G145" i="2"/>
  <c r="G108" i="2"/>
  <c r="G128" i="2"/>
  <c r="I57" i="2"/>
  <c r="M110" i="2"/>
  <c r="I108" i="2"/>
  <c r="G57" i="2"/>
  <c r="K145" i="2"/>
  <c r="I128" i="2"/>
  <c r="M58" i="2"/>
  <c r="K107" i="2"/>
  <c r="G123" i="2"/>
  <c r="I97" i="2"/>
  <c r="I120" i="2"/>
  <c r="I64" i="2"/>
  <c r="K54" i="2"/>
  <c r="M140" i="2"/>
  <c r="G53" i="2"/>
  <c r="G98" i="2"/>
  <c r="G65" i="2"/>
  <c r="W136" i="2"/>
  <c r="K123" i="2"/>
  <c r="K141" i="2"/>
  <c r="K140" i="2"/>
  <c r="G120" i="2"/>
  <c r="I123" i="2"/>
  <c r="I107" i="2"/>
  <c r="I121" i="2"/>
  <c r="I154" i="2"/>
  <c r="I44" i="2"/>
  <c r="I53" i="2"/>
  <c r="M81" i="2"/>
  <c r="M98" i="2"/>
  <c r="W104" i="2"/>
  <c r="K81" i="2"/>
  <c r="K98" i="2"/>
  <c r="K120" i="2"/>
  <c r="G81" i="2"/>
  <c r="G121" i="2"/>
  <c r="G154" i="2"/>
  <c r="M123" i="2"/>
  <c r="K55" i="2"/>
  <c r="T86" i="2"/>
  <c r="K86" i="2" s="1"/>
  <c r="I87" i="2"/>
  <c r="I85" i="2"/>
  <c r="I86" i="2"/>
  <c r="T87" i="2"/>
  <c r="K87" i="2" s="1"/>
  <c r="G85" i="2"/>
  <c r="G86" i="2"/>
  <c r="U87" i="2"/>
  <c r="M87" i="2" s="1"/>
  <c r="T85" i="2"/>
  <c r="K85" i="2" s="1"/>
  <c r="U86" i="2"/>
  <c r="M86" i="2" s="1"/>
  <c r="G87" i="2"/>
  <c r="U85" i="2"/>
  <c r="M85" i="2" s="1"/>
  <c r="I88" i="2"/>
  <c r="G124" i="2"/>
  <c r="G89" i="2"/>
  <c r="I124" i="2"/>
  <c r="K76" i="2"/>
  <c r="K94" i="2"/>
  <c r="G94" i="2"/>
  <c r="I66" i="2"/>
  <c r="M56" i="2"/>
  <c r="O138" i="2"/>
  <c r="O158" i="2"/>
  <c r="I47" i="2"/>
  <c r="K59" i="2"/>
  <c r="K66" i="2"/>
  <c r="K114" i="2"/>
  <c r="G133" i="2"/>
  <c r="G148" i="2"/>
  <c r="G151" i="2"/>
  <c r="G150" i="2"/>
  <c r="G149" i="2"/>
  <c r="I76" i="2"/>
  <c r="M76" i="2"/>
  <c r="M151" i="2"/>
  <c r="M150" i="2"/>
  <c r="M144" i="2"/>
  <c r="K116" i="2"/>
  <c r="W156" i="2"/>
  <c r="G88" i="2"/>
  <c r="G66" i="2"/>
  <c r="G50" i="2"/>
  <c r="K63" i="2"/>
  <c r="K133" i="2"/>
  <c r="G76" i="2"/>
  <c r="M114" i="2"/>
  <c r="I59" i="2"/>
  <c r="G47" i="2"/>
  <c r="I50" i="2"/>
  <c r="K117" i="2"/>
  <c r="M73" i="2"/>
  <c r="M59" i="2"/>
  <c r="M100" i="2"/>
  <c r="M133" i="2"/>
  <c r="M94" i="2"/>
  <c r="G83" i="2"/>
  <c r="K88" i="2"/>
  <c r="M89" i="2"/>
  <c r="I90" i="2"/>
  <c r="W157" i="2"/>
  <c r="I117" i="2"/>
  <c r="M57" i="2"/>
  <c r="K101" i="2"/>
  <c r="K131" i="2"/>
  <c r="K150" i="2"/>
  <c r="K148" i="2"/>
  <c r="K151" i="2"/>
  <c r="G73" i="2"/>
  <c r="G97" i="2"/>
  <c r="G134" i="2"/>
  <c r="I73" i="2"/>
  <c r="I101" i="2"/>
  <c r="I131" i="2"/>
  <c r="I150" i="2"/>
  <c r="K57" i="2"/>
  <c r="M117" i="2"/>
  <c r="G115" i="2"/>
  <c r="K73" i="2"/>
  <c r="K60" i="2"/>
  <c r="M47" i="2"/>
  <c r="M60" i="2"/>
  <c r="M116" i="2"/>
  <c r="I60" i="2"/>
  <c r="G101" i="2"/>
  <c r="G116" i="2"/>
  <c r="I145" i="2"/>
  <c r="I116" i="2"/>
  <c r="I133" i="2"/>
  <c r="G117" i="2"/>
  <c r="K50" i="2"/>
  <c r="M128" i="2"/>
  <c r="M145" i="2"/>
  <c r="M61" i="2"/>
  <c r="K51" i="2"/>
  <c r="W70" i="2"/>
  <c r="M44" i="2"/>
  <c r="W137" i="2"/>
  <c r="K144" i="2"/>
  <c r="K147" i="2"/>
  <c r="G100" i="2"/>
  <c r="G127" i="2"/>
  <c r="G80" i="2"/>
  <c r="G56" i="2"/>
  <c r="M113" i="2"/>
  <c r="I83" i="2"/>
  <c r="M52" i="2"/>
  <c r="O105" i="2"/>
  <c r="K47" i="2"/>
  <c r="K80" i="2"/>
  <c r="K83" i="2"/>
  <c r="K130" i="2"/>
  <c r="G110" i="2"/>
  <c r="I80" i="2"/>
  <c r="I130" i="2"/>
  <c r="I110" i="2"/>
  <c r="K53" i="2"/>
  <c r="G113" i="2"/>
  <c r="W103" i="2"/>
  <c r="K127" i="2"/>
  <c r="K97" i="2"/>
  <c r="M83" i="2"/>
  <c r="M53" i="2"/>
  <c r="K113" i="2"/>
  <c r="K56" i="2"/>
  <c r="K100" i="2"/>
  <c r="K110" i="2"/>
  <c r="G144" i="2"/>
  <c r="G147" i="2"/>
  <c r="I127" i="2"/>
  <c r="I144" i="2"/>
  <c r="I147" i="2"/>
  <c r="I56" i="2"/>
  <c r="G59" i="2"/>
  <c r="M97" i="2"/>
  <c r="M80" i="2"/>
  <c r="M130" i="2"/>
  <c r="M147" i="2"/>
  <c r="I113" i="2"/>
  <c r="G130" i="2"/>
  <c r="M66" i="2"/>
  <c r="G82" i="2"/>
  <c r="G126" i="2"/>
  <c r="G49" i="2"/>
  <c r="K149" i="2"/>
  <c r="G61" i="2"/>
  <c r="G102" i="2"/>
  <c r="I74" i="2"/>
  <c r="G63" i="2"/>
  <c r="K44" i="2"/>
  <c r="K108" i="2"/>
  <c r="K111" i="2"/>
  <c r="K125" i="2"/>
  <c r="K132" i="2"/>
  <c r="K154" i="2"/>
  <c r="K152" i="2"/>
  <c r="K134" i="2"/>
  <c r="K155" i="2"/>
  <c r="G60" i="2"/>
  <c r="G107" i="2"/>
  <c r="G114" i="2"/>
  <c r="I134" i="2"/>
  <c r="I111" i="2"/>
  <c r="M54" i="2"/>
  <c r="G44" i="2"/>
  <c r="M63" i="2"/>
  <c r="M101" i="2"/>
  <c r="M120" i="2"/>
  <c r="M134" i="2"/>
  <c r="M111" i="2"/>
  <c r="M154" i="2"/>
  <c r="M131" i="2"/>
  <c r="M148" i="2"/>
  <c r="I63" i="2"/>
  <c r="M96" i="2"/>
  <c r="K68" i="2"/>
  <c r="K61" i="2"/>
  <c r="I55" i="2"/>
  <c r="I51" i="2"/>
  <c r="K74" i="2"/>
  <c r="K115" i="2"/>
  <c r="K135" i="2"/>
  <c r="G78" i="2"/>
  <c r="K65" i="2"/>
  <c r="I49" i="2"/>
  <c r="I45" i="2"/>
  <c r="M108" i="2"/>
  <c r="M90" i="2"/>
  <c r="M125" i="2"/>
  <c r="M149" i="2"/>
  <c r="G64" i="2"/>
  <c r="M129" i="2"/>
  <c r="K93" i="2"/>
  <c r="G68" i="2"/>
  <c r="I68" i="2"/>
  <c r="G77" i="2"/>
  <c r="K96" i="2"/>
  <c r="G99" i="2"/>
  <c r="G122" i="2"/>
  <c r="G146" i="2"/>
  <c r="I62" i="2"/>
  <c r="I82" i="2"/>
  <c r="I132" i="2"/>
  <c r="I109" i="2"/>
  <c r="I152" i="2"/>
  <c r="I155" i="2"/>
  <c r="I129" i="2"/>
  <c r="I146" i="2"/>
  <c r="M65" i="2"/>
  <c r="G58" i="2"/>
  <c r="M46" i="2"/>
  <c r="I46" i="2"/>
  <c r="G129" i="2"/>
  <c r="M74" i="2"/>
  <c r="G48" i="2"/>
  <c r="M77" i="2"/>
  <c r="M155" i="2"/>
  <c r="G118" i="2"/>
  <c r="I65" i="2"/>
  <c r="W69" i="2"/>
  <c r="G46" i="2"/>
  <c r="K78" i="2"/>
  <c r="I99" i="2"/>
  <c r="I96" i="2"/>
  <c r="K49" i="2"/>
  <c r="G62" i="2"/>
  <c r="M93" i="2"/>
  <c r="K64" i="2"/>
  <c r="M45" i="2"/>
  <c r="K58" i="2"/>
  <c r="K122" i="2"/>
  <c r="K102" i="2"/>
  <c r="K118" i="2"/>
  <c r="K89" i="2"/>
  <c r="K142" i="2"/>
  <c r="K121" i="2"/>
  <c r="K143" i="2"/>
  <c r="G135" i="2"/>
  <c r="G109" i="2"/>
  <c r="G112" i="2"/>
  <c r="G152" i="2"/>
  <c r="G155" i="2"/>
  <c r="G132" i="2"/>
  <c r="G153" i="2"/>
  <c r="I61" i="2"/>
  <c r="I122" i="2"/>
  <c r="I102" i="2"/>
  <c r="I118" i="2"/>
  <c r="I126" i="2"/>
  <c r="I149" i="2"/>
  <c r="K77" i="2"/>
  <c r="M62" i="2"/>
  <c r="I52" i="2"/>
  <c r="I48" i="2"/>
  <c r="M55" i="2"/>
  <c r="M51" i="2"/>
  <c r="M82" i="2"/>
  <c r="M67" i="2"/>
  <c r="M75" i="2"/>
  <c r="M121" i="2"/>
  <c r="M95" i="2"/>
  <c r="M115" i="2"/>
  <c r="M143" i="2"/>
  <c r="M142" i="2"/>
  <c r="M118" i="2"/>
  <c r="M135" i="2"/>
  <c r="M152" i="2"/>
  <c r="G93" i="2"/>
  <c r="G45" i="2"/>
  <c r="K75" i="2"/>
  <c r="K109" i="2"/>
  <c r="K112" i="2"/>
  <c r="K153" i="2"/>
  <c r="I78" i="2"/>
  <c r="I112" i="2"/>
  <c r="I143" i="2"/>
  <c r="M78" i="2"/>
  <c r="G52" i="2"/>
  <c r="M109" i="2"/>
  <c r="M112" i="2"/>
  <c r="M126" i="2"/>
  <c r="M153" i="2"/>
  <c r="M49" i="2"/>
  <c r="K67" i="2"/>
  <c r="K82" i="2"/>
  <c r="K52" i="2"/>
  <c r="K48" i="2"/>
  <c r="K62" i="2"/>
  <c r="K91" i="2"/>
  <c r="K99" i="2"/>
  <c r="K119" i="2"/>
  <c r="K146" i="2"/>
  <c r="K126" i="2"/>
  <c r="G74" i="2"/>
  <c r="G125" i="2"/>
  <c r="G96" i="2"/>
  <c r="G95" i="2"/>
  <c r="G143" i="2"/>
  <c r="G142" i="2"/>
  <c r="G119" i="2"/>
  <c r="I75" i="2"/>
  <c r="I77" i="2"/>
  <c r="I119" i="2"/>
  <c r="I153" i="2"/>
  <c r="I125" i="2"/>
  <c r="I142" i="2"/>
  <c r="I67" i="2"/>
  <c r="G55" i="2"/>
  <c r="G51" i="2"/>
  <c r="G75" i="2"/>
  <c r="G67" i="2"/>
  <c r="K46" i="2"/>
  <c r="M68" i="2"/>
  <c r="M132" i="2"/>
  <c r="M99" i="2"/>
  <c r="M102" i="2"/>
  <c r="M119" i="2"/>
  <c r="M146" i="2"/>
  <c r="M122" i="2"/>
  <c r="M64" i="2"/>
  <c r="K129" i="2"/>
  <c r="I93" i="2"/>
  <c r="M48" i="2"/>
  <c r="I91" i="2"/>
  <c r="M91" i="2"/>
  <c r="I89" i="2"/>
  <c r="G91" i="2"/>
  <c r="G90" i="2"/>
  <c r="M88" i="2"/>
  <c r="K90" i="2"/>
  <c r="I92" i="2"/>
  <c r="K92" i="2"/>
  <c r="M92" i="2"/>
  <c r="G92" i="2"/>
  <c r="W166" i="2" l="1"/>
  <c r="W173" i="2"/>
  <c r="W167" i="2"/>
  <c r="W171" i="2"/>
  <c r="W169" i="2"/>
  <c r="W170" i="2"/>
  <c r="W172" i="2"/>
  <c r="W177" i="2"/>
  <c r="W163" i="2"/>
  <c r="W164" i="2"/>
  <c r="W165" i="2"/>
  <c r="W174" i="2"/>
  <c r="M185" i="2"/>
  <c r="K185" i="2"/>
  <c r="W176" i="2"/>
  <c r="W79" i="2"/>
  <c r="W168" i="2"/>
  <c r="W160" i="2"/>
  <c r="I185" i="2"/>
  <c r="W178" i="2"/>
  <c r="G185" i="2"/>
  <c r="W23" i="2"/>
  <c r="W29" i="2"/>
  <c r="W161" i="2"/>
  <c r="W123" i="2"/>
  <c r="W182" i="2"/>
  <c r="W175" i="2"/>
  <c r="W181" i="2"/>
  <c r="G42" i="2"/>
  <c r="G43" i="2" s="1"/>
  <c r="X6" i="1" s="1"/>
  <c r="W179" i="2"/>
  <c r="W37" i="2"/>
  <c r="I42" i="2"/>
  <c r="I43" i="2" s="1"/>
  <c r="X7" i="1" s="1"/>
  <c r="W35" i="2"/>
  <c r="W33" i="2"/>
  <c r="W31" i="2"/>
  <c r="W28" i="2"/>
  <c r="W27" i="2"/>
  <c r="W25" i="2"/>
  <c r="W141" i="2"/>
  <c r="W39" i="2"/>
  <c r="W24" i="2"/>
  <c r="K42" i="2"/>
  <c r="K43" i="2" s="1"/>
  <c r="X8" i="1" s="1"/>
  <c r="W95" i="2"/>
  <c r="M42" i="2"/>
  <c r="M43" i="2" s="1"/>
  <c r="X9" i="1" s="1"/>
  <c r="W34" i="2"/>
  <c r="W84" i="2"/>
  <c r="W32" i="2"/>
  <c r="W36" i="2"/>
  <c r="W26" i="2"/>
  <c r="W30" i="2"/>
  <c r="W38" i="2"/>
  <c r="W140" i="2"/>
  <c r="W148" i="2"/>
  <c r="W114" i="2"/>
  <c r="W98" i="2"/>
  <c r="W107" i="2"/>
  <c r="W54" i="2"/>
  <c r="W60" i="2"/>
  <c r="W83" i="2"/>
  <c r="W128" i="2"/>
  <c r="W81" i="2"/>
  <c r="W76" i="2"/>
  <c r="W110" i="2"/>
  <c r="W66" i="2"/>
  <c r="W120" i="2"/>
  <c r="W151" i="2"/>
  <c r="W85" i="2"/>
  <c r="G158" i="2"/>
  <c r="M158" i="2"/>
  <c r="W130" i="2"/>
  <c r="W80" i="2"/>
  <c r="W147" i="2"/>
  <c r="W144" i="2"/>
  <c r="W100" i="2"/>
  <c r="W133" i="2"/>
  <c r="W101" i="2"/>
  <c r="W124" i="2"/>
  <c r="W94" i="2"/>
  <c r="I158" i="2"/>
  <c r="W97" i="2"/>
  <c r="W53" i="2"/>
  <c r="W56" i="2"/>
  <c r="W47" i="2"/>
  <c r="I138" i="2"/>
  <c r="I139" i="2" s="1"/>
  <c r="AA7" i="1" s="1"/>
  <c r="K138" i="2"/>
  <c r="K139" i="2" s="1"/>
  <c r="AA8" i="1" s="1"/>
  <c r="M71" i="2"/>
  <c r="M72" i="2" s="1"/>
  <c r="Y9" i="1" s="1"/>
  <c r="W154" i="2"/>
  <c r="W59" i="2"/>
  <c r="W50" i="2"/>
  <c r="W145" i="2"/>
  <c r="W73" i="2"/>
  <c r="W150" i="2"/>
  <c r="W57" i="2"/>
  <c r="K158" i="2"/>
  <c r="W117" i="2"/>
  <c r="W116" i="2"/>
  <c r="W131" i="2"/>
  <c r="M138" i="2"/>
  <c r="M139" i="2" s="1"/>
  <c r="AA9" i="1" s="1"/>
  <c r="I105" i="2"/>
  <c r="I106" i="2" s="1"/>
  <c r="Z7" i="1" s="1"/>
  <c r="W113" i="2"/>
  <c r="W108" i="2"/>
  <c r="M105" i="2"/>
  <c r="M106" i="2" s="1"/>
  <c r="Z9" i="1" s="1"/>
  <c r="W127" i="2"/>
  <c r="G138" i="2"/>
  <c r="G105" i="2"/>
  <c r="G106" i="2" s="1"/>
  <c r="Z6" i="1" s="1"/>
  <c r="K105" i="2"/>
  <c r="K106" i="2" s="1"/>
  <c r="Z8" i="1" s="1"/>
  <c r="W44" i="2"/>
  <c r="W63" i="2"/>
  <c r="W111" i="2"/>
  <c r="W134" i="2"/>
  <c r="W49" i="2"/>
  <c r="W115" i="2"/>
  <c r="W51" i="2"/>
  <c r="W125" i="2"/>
  <c r="G71" i="2"/>
  <c r="G72" i="2" s="1"/>
  <c r="W61" i="2"/>
  <c r="W135" i="2"/>
  <c r="W62" i="2"/>
  <c r="W118" i="2"/>
  <c r="W82" i="2"/>
  <c r="K71" i="2"/>
  <c r="K72" i="2" s="1"/>
  <c r="Y8" i="1" s="1"/>
  <c r="W55" i="2"/>
  <c r="W126" i="2"/>
  <c r="W58" i="2"/>
  <c r="W45" i="2"/>
  <c r="W77" i="2"/>
  <c r="W65" i="2"/>
  <c r="W74" i="2"/>
  <c r="W68" i="2"/>
  <c r="I71" i="2"/>
  <c r="I72" i="2" s="1"/>
  <c r="Y7" i="1" s="1"/>
  <c r="W46" i="2"/>
  <c r="W149" i="2"/>
  <c r="W129" i="2"/>
  <c r="W132" i="2"/>
  <c r="W67" i="2"/>
  <c r="W119" i="2"/>
  <c r="W142" i="2"/>
  <c r="W112" i="2"/>
  <c r="W152" i="2"/>
  <c r="W75" i="2"/>
  <c r="W102" i="2"/>
  <c r="W121" i="2"/>
  <c r="W64" i="2"/>
  <c r="W96" i="2"/>
  <c r="W93" i="2"/>
  <c r="W146" i="2"/>
  <c r="W143" i="2"/>
  <c r="W153" i="2"/>
  <c r="W52" i="2"/>
  <c r="W78" i="2"/>
  <c r="W122" i="2"/>
  <c r="W155" i="2"/>
  <c r="W99" i="2"/>
  <c r="W109" i="2"/>
  <c r="W48" i="2"/>
  <c r="W86" i="2"/>
  <c r="W89" i="2"/>
  <c r="W90" i="2"/>
  <c r="W87" i="2"/>
  <c r="W92" i="2"/>
  <c r="W88" i="2"/>
  <c r="W91" i="2"/>
  <c r="W186" i="2" l="1"/>
  <c r="K159" i="2"/>
  <c r="AB8" i="1" s="1"/>
  <c r="M159" i="2"/>
  <c r="AB9" i="1" s="1"/>
  <c r="M186" i="2"/>
  <c r="AC9" i="1" s="1"/>
  <c r="G159" i="2"/>
  <c r="AB6" i="1" s="1"/>
  <c r="I159" i="2"/>
  <c r="AB7" i="1" s="1"/>
  <c r="I186" i="2"/>
  <c r="AC7" i="1" s="1"/>
  <c r="W43" i="2"/>
  <c r="R43" i="2"/>
  <c r="X10" i="1" s="1"/>
  <c r="W159" i="2"/>
  <c r="W139" i="2"/>
  <c r="R159" i="2"/>
  <c r="AB10" i="1" s="1"/>
  <c r="R106" i="2"/>
  <c r="Z10" i="1" s="1"/>
  <c r="W106" i="2"/>
  <c r="R139" i="2"/>
  <c r="AA10" i="1" s="1"/>
  <c r="G139" i="2"/>
  <c r="AA6" i="1" s="1"/>
  <c r="R72" i="2"/>
  <c r="Y10" i="1" s="1"/>
  <c r="W72" i="2"/>
  <c r="Y6" i="1"/>
  <c r="M50" i="4"/>
  <c r="M51" i="4" s="1"/>
  <c r="X24" i="1" s="1"/>
  <c r="W49" i="4"/>
  <c r="W51" i="4" s="1"/>
  <c r="G186" i="2" l="1"/>
  <c r="AC6" i="1" s="1"/>
  <c r="K186" i="2"/>
  <c r="AC8" i="1" s="1"/>
  <c r="R51" i="4"/>
  <c r="X25" i="1" s="1"/>
  <c r="AD25" i="1" s="1"/>
  <c r="R186" i="2" l="1"/>
  <c r="AC10" i="1" s="1"/>
  <c r="AD10" i="1" s="1"/>
</calcChain>
</file>

<file path=xl/sharedStrings.xml><?xml version="1.0" encoding="utf-8"?>
<sst xmlns="http://schemas.openxmlformats.org/spreadsheetml/2006/main" count="1332" uniqueCount="419">
  <si>
    <t>The goal here is to create hypotheticals based on as much actual data as possible</t>
  </si>
  <si>
    <t>Do not change values here! They will update automatically from main sheet</t>
  </si>
  <si>
    <t>DIRECTIONS</t>
  </si>
  <si>
    <t>Change the values in the yellow boxes as you like.</t>
  </si>
  <si>
    <t>Salaries</t>
  </si>
  <si>
    <t>Non-salaried: Camps</t>
  </si>
  <si>
    <t>Do NOT change values in the green boxes. These are formulas that will change with your input.</t>
  </si>
  <si>
    <t>Non-salaried: Games</t>
  </si>
  <si>
    <t>Players move to higher tier after making 8th gameday roster</t>
  </si>
  <si>
    <t>Friendlies</t>
  </si>
  <si>
    <t>Top pay for games vs. top 4 in FIFA ranking, plus Canada (regardless of rank)</t>
  </si>
  <si>
    <t>Second tier: Teams ranked 5th-8th. Third tier: All others.</t>
  </si>
  <si>
    <t>Pool pay: Likenesses</t>
  </si>
  <si>
    <t>Pool pay: Attendance</t>
  </si>
  <si>
    <t>$1.50 per ticket per home friendly and home WCQ; split among gameday roster</t>
  </si>
  <si>
    <t>Tournaments</t>
  </si>
  <si>
    <t>Currently no Gold Cup (not counting WCQ) or Copa America</t>
  </si>
  <si>
    <t>If a new tournament starts, pay will be negotiated</t>
  </si>
  <si>
    <t>Details about these deals and calculations, including benefits that are not accounted for in these variables, are on the Explainer/CBA details page.</t>
  </si>
  <si>
    <t>Tournaments pay 1st-place bonus in addition to friendly game pay/bonuses</t>
  </si>
  <si>
    <t>World Cup qualifying</t>
  </si>
  <si>
    <t>Currently just one round: 3 group games, semis and first place</t>
  </si>
  <si>
    <t>Not sure about pay if USA must play intercontinental playoff as in 2010</t>
  </si>
  <si>
    <t>Women's national team (defaults from current CBA: 2017-21)</t>
  </si>
  <si>
    <t>WC qualifying bonus</t>
  </si>
  <si>
    <t>Flat rate for each player on World Cup qualifying roster (20)</t>
  </si>
  <si>
    <t>WC roster bonus</t>
  </si>
  <si>
    <t>Flat rate for each player on World Cup roster (23)</t>
  </si>
  <si>
    <t>Oly roster bonus</t>
  </si>
  <si>
    <t>Also flat rate, but smaller roster (18)</t>
  </si>
  <si>
    <t>World Cup bonus</t>
  </si>
  <si>
    <t>Will rise if FIFA raises prize money (in 2019, $4m to winning federation)</t>
  </si>
  <si>
    <t>Post-WC/Oly Tour</t>
  </si>
  <si>
    <t>Players not on WWC/Oly roster will get appearance bonuses for these games</t>
  </si>
  <si>
    <t>If USA doesn't medal or more than 4 games played, other games are friendlies</t>
  </si>
  <si>
    <t>Not included on this sheet</t>
  </si>
  <si>
    <t>NWSL allocations</t>
  </si>
  <si>
    <t>Minimum 22, so this will include some non-salaried WNT players</t>
  </si>
  <si>
    <t>NWSL pay</t>
  </si>
  <si>
    <t>Min 11 in Tier 1 ($67,500 in 2017, then up $2,500 a year). Tier 2 makes $5k less.</t>
  </si>
  <si>
    <t>Benefits</t>
  </si>
  <si>
    <t>Injury pay, maternity/family pay, health insurance, 401(k), comp tickets</t>
  </si>
  <si>
    <t>Sponsor appearance</t>
  </si>
  <si>
    <t>For WNT: $4,000 each / for NWSL teams (max 4), $2,500 each</t>
  </si>
  <si>
    <t>Bonuses</t>
  </si>
  <si>
    <t>CBA signing ($320k/team), SUM revenue exceeding target, TV ratings increase</t>
  </si>
  <si>
    <t>Per diems</t>
  </si>
  <si>
    <t>Will rise to match whatever MNT negotiates in new deal</t>
  </si>
  <si>
    <t>Tourneys</t>
  </si>
  <si>
    <t>Scheduling</t>
  </si>
  <si>
    <t>Gold C</t>
  </si>
  <si>
    <t>Will try to set &gt;=16 games in non-Oly/WWC years; &gt;=12 + Oly/WWC/qual in others</t>
  </si>
  <si>
    <t>New: Might have an ID camp for players with &lt;=14 days of WNT service</t>
  </si>
  <si>
    <t>Individual flights</t>
  </si>
  <si>
    <t>No middle seats, EconPlus on short flights; 2.5-hour flights or Oly/WWC all Biz/1st</t>
  </si>
  <si>
    <t>Nat Lg</t>
  </si>
  <si>
    <t>Copa Am</t>
  </si>
  <si>
    <t>Two "triangular" flights each year to take side trip for personal reasons</t>
  </si>
  <si>
    <t>Team flights</t>
  </si>
  <si>
    <t>Domestic &lt;4hrs is Econ Plus (or charter); all else Business or Charter</t>
  </si>
  <si>
    <t>Hotels</t>
  </si>
  <si>
    <t>Non-amateur players get &lt;= 125 nights in single rooms over five years of CBA</t>
  </si>
  <si>
    <t>WCQ/OlyQ</t>
  </si>
  <si>
    <t>1st rd</t>
  </si>
  <si>
    <t>2nd rd</t>
  </si>
  <si>
    <t>Majors</t>
  </si>
  <si>
    <t>World Cup</t>
  </si>
  <si>
    <t>Olympics</t>
  </si>
  <si>
    <t>PLAYER CATEGORY</t>
  </si>
  <si>
    <t>Tier 1 (top 10)</t>
  </si>
  <si>
    <t>W (T4/Can)</t>
  </si>
  <si>
    <t>Win</t>
  </si>
  <si>
    <t>Roster</t>
  </si>
  <si>
    <t>1. Maximum possible</t>
  </si>
  <si>
    <t>Tier 1</t>
  </si>
  <si>
    <t>Tier 2 (7-10)</t>
  </si>
  <si>
    <t>W (5th-8th)</t>
  </si>
  <si>
    <t>Draw</t>
  </si>
  <si>
    <t>Individual</t>
  </si>
  <si>
    <t>Team x1m</t>
  </si>
  <si>
    <t>2. 75-80%, salaried*</t>
  </si>
  <si>
    <t>Tier 2</t>
  </si>
  <si>
    <t>W (9th+)</t>
  </si>
  <si>
    <t>Loss</t>
  </si>
  <si>
    <t>Point/grp</t>
  </si>
  <si>
    <t>3. 50-60% of games</t>
  </si>
  <si>
    <t>D (T4/Can)</t>
  </si>
  <si>
    <t>Qual bonus</t>
  </si>
  <si>
    <t>per player</t>
  </si>
  <si>
    <t># players</t>
  </si>
  <si>
    <t>Knockout rd</t>
  </si>
  <si>
    <t>4. Fringe player</t>
  </si>
  <si>
    <t>Non-salaried</t>
  </si>
  <si>
    <t>D (5th-8th)</t>
  </si>
  <si>
    <t>2nd round</t>
  </si>
  <si>
    <t>Quarters</t>
  </si>
  <si>
    <t>Pool total</t>
  </si>
  <si>
    <t>D (9th+)</t>
  </si>
  <si>
    <t>Champion</t>
  </si>
  <si>
    <t>First camp &lt;11 days</t>
  </si>
  <si>
    <t>Semifinals</t>
  </si>
  <si>
    <t>* if salaries exist</t>
  </si>
  <si>
    <t>First camp &gt;10 days</t>
  </si>
  <si>
    <t>Runner-up</t>
  </si>
  <si>
    <t>Third place</t>
  </si>
  <si>
    <t>ATTENDANCE</t>
  </si>
  <si>
    <t>Future camps &lt;11 d</t>
  </si>
  <si>
    <t>Total home games</t>
  </si>
  <si>
    <t>Future camps &gt;10 d</t>
  </si>
  <si>
    <t>Pool pay</t>
  </si>
  <si>
    <t>Fourth place</t>
  </si>
  <si>
    <t>Friendly games average</t>
  </si>
  <si>
    <t>Game roster &lt;8th</t>
  </si>
  <si>
    <t>Likenesses</t>
  </si>
  <si>
    <t>Gold</t>
  </si>
  <si>
    <t>Per game*</t>
  </si>
  <si>
    <t>Qualifiers average</t>
  </si>
  <si>
    <t>Game roster 8th+</t>
  </si>
  <si>
    <t>Attendance</t>
  </si>
  <si>
    <t>Silver</t>
  </si>
  <si>
    <t xml:space="preserve">Max </t>
  </si>
  <si>
    <t>per ticket; home game</t>
  </si>
  <si>
    <t>Overall total</t>
  </si>
  <si>
    <t>WCup roster per/gm</t>
  </si>
  <si>
    <t>Bronze</t>
  </si>
  <si>
    <t>* if no salary</t>
  </si>
  <si>
    <t>Overall average</t>
  </si>
  <si>
    <t>These calculations apply the chosen figures to 2014-17 results. Player usage (how often a player plays) is an approximation based on typical selection in a given year (see stats below)</t>
  </si>
  <si>
    <t>Rankings taken from March 2019. Tier 1: CAN plus teams ranked 1-4 (USA, GER, ENG, FRA). Tier 2: Teams ranked 5-8, not including CAN. (AUS, JPN, NED). Tier 3: All others.</t>
  </si>
  <si>
    <t>Men's national team (defaults from most recent CBA, still in effect through June 2019 despite expiration)</t>
  </si>
  <si>
    <t>Group 1 (max!)</t>
  </si>
  <si>
    <t>Group 2</t>
  </si>
  <si>
    <t>Group 3</t>
  </si>
  <si>
    <t>Group 4</t>
  </si>
  <si>
    <t>Camp only</t>
  </si>
  <si>
    <t>Number of players per game</t>
  </si>
  <si>
    <t>Team pay per g</t>
  </si>
  <si>
    <t>Salaried (unless none)</t>
  </si>
  <si>
    <t>Salaried</t>
  </si>
  <si>
    <t>This is to check math</t>
  </si>
  <si>
    <t>To check math</t>
  </si>
  <si>
    <t>No. = number of players in that group for that game</t>
  </si>
  <si>
    <t>All tournaments</t>
  </si>
  <si>
    <t>Major tournaments</t>
  </si>
  <si>
    <t>50%-60% total games</t>
  </si>
  <si>
    <t>Fringe of pool</t>
  </si>
  <si>
    <t>1st camp</t>
  </si>
  <si>
    <t>First col is sum in this scenario</t>
  </si>
  <si>
    <t>"Apps" = number of career gameday rosters player has made --&gt;</t>
  </si>
  <si>
    <t>100% friendlies</t>
  </si>
  <si>
    <t>75%-80% total games</t>
  </si>
  <si>
    <t>&gt;=8 career roster apps</t>
  </si>
  <si>
    <t>&lt;8 career roster apps</t>
  </si>
  <si>
    <t>&lt;=10 days</t>
  </si>
  <si>
    <t>Must equal 2nd col (typical #)</t>
  </si>
  <si>
    <t>Subtotal</t>
  </si>
  <si>
    <t>Date</t>
  </si>
  <si>
    <t>Opponent</t>
  </si>
  <si>
    <t>Res</t>
  </si>
  <si>
    <t>Game type</t>
  </si>
  <si>
    <t>Crowd-h</t>
  </si>
  <si>
    <t>Rank</t>
  </si>
  <si>
    <t>Pay</t>
  </si>
  <si>
    <t>No.</t>
  </si>
  <si>
    <t>Players</t>
  </si>
  <si>
    <t>Typical</t>
  </si>
  <si>
    <t>G1 base pay</t>
  </si>
  <si>
    <t>G2 base pay</t>
  </si>
  <si>
    <t>G3 base pay</t>
  </si>
  <si>
    <t>G4 base pay</t>
  </si>
  <si>
    <t>Attend bonus</t>
  </si>
  <si>
    <t>Canada</t>
  </si>
  <si>
    <t>W</t>
  </si>
  <si>
    <t>Friendly - h</t>
  </si>
  <si>
    <t>T1</t>
  </si>
  <si>
    <t>Russia</t>
  </si>
  <si>
    <t>Japan</t>
  </si>
  <si>
    <t>T</t>
  </si>
  <si>
    <t>Friendly - a</t>
  </si>
  <si>
    <t>T2</t>
  </si>
  <si>
    <t>Sweden</t>
  </si>
  <si>
    <t>L</t>
  </si>
  <si>
    <t>Denmark</t>
  </si>
  <si>
    <t>North Korea</t>
  </si>
  <si>
    <t>China</t>
  </si>
  <si>
    <t>France</t>
  </si>
  <si>
    <t>Switzerland</t>
  </si>
  <si>
    <t>Mexico</t>
  </si>
  <si>
    <t>Trin&amp;Tob</t>
  </si>
  <si>
    <t>WCQ - h</t>
  </si>
  <si>
    <t>Guatemala</t>
  </si>
  <si>
    <t>Haiti</t>
  </si>
  <si>
    <t>Costa Rica</t>
  </si>
  <si>
    <t>WCQ bonus</t>
  </si>
  <si>
    <t>Brazil</t>
  </si>
  <si>
    <t>Argentina</t>
  </si>
  <si>
    <t>Salary or camp fees</t>
  </si>
  <si>
    <t>2014 total for whole group</t>
  </si>
  <si>
    <t># of players in group</t>
  </si>
  <si>
    <t>PLAYERS (on rosters)</t>
  </si>
  <si>
    <t>2014 AVG PER PLAYER</t>
  </si>
  <si>
    <t>TOTAL TEAM PAY</t>
  </si>
  <si>
    <t>England</t>
  </si>
  <si>
    <t>Norway</t>
  </si>
  <si>
    <t>Iceland</t>
  </si>
  <si>
    <t>New Zealand</t>
  </si>
  <si>
    <t>Ireland</t>
  </si>
  <si>
    <t>South Korea</t>
  </si>
  <si>
    <t>Australia</t>
  </si>
  <si>
    <t>Nigeria</t>
  </si>
  <si>
    <t>Colombia</t>
  </si>
  <si>
    <t>Germany</t>
  </si>
  <si>
    <t>WC bonus</t>
  </si>
  <si>
    <t>Tour bonus</t>
  </si>
  <si>
    <t>2015 total for whole group</t>
  </si>
  <si>
    <t>2015 AVG PER PLAYER</t>
  </si>
  <si>
    <t>OG Qual - h</t>
  </si>
  <si>
    <t>Puerto Rico</t>
  </si>
  <si>
    <t>OGQ bonus</t>
  </si>
  <si>
    <t>South Africa</t>
  </si>
  <si>
    <t>Oly</t>
  </si>
  <si>
    <t>Oly bonus</t>
  </si>
  <si>
    <t>Thailand</t>
  </si>
  <si>
    <t>Netherlands</t>
  </si>
  <si>
    <t>Romania</t>
  </si>
  <si>
    <t>2016 total for whole group</t>
  </si>
  <si>
    <t>2016 AVG PER PLAYER</t>
  </si>
  <si>
    <t>2017 total for whole group</t>
  </si>
  <si>
    <t>2017 AVG PER PLAYER</t>
  </si>
  <si>
    <t>Available bonuses</t>
  </si>
  <si>
    <t>Tournament equivalents for calculations</t>
  </si>
  <si>
    <t>2014: Algarve Cup, World Cup qualifying, Brazil tournament</t>
  </si>
  <si>
    <t>2015: Algarve Cup, World Cup</t>
  </si>
  <si>
    <t>2016: Olympic qualifying, SheBelieves Cup, Olympics</t>
  </si>
  <si>
    <t>2017: SheBelieves Cup, Tournament of Nations</t>
  </si>
  <si>
    <t>Likeness licensing fees</t>
  </si>
  <si>
    <t>Oly roster</t>
  </si>
  <si>
    <t>WC roster</t>
  </si>
  <si>
    <t>Gray boxes have values that aren't relevant to these calculations.</t>
  </si>
  <si>
    <t>Projection using results and attendance (home friendlies/qualifying) of prior cycle</t>
  </si>
  <si>
    <t>na</t>
  </si>
  <si>
    <t>Tournament championship bonus</t>
  </si>
  <si>
    <t>per ticket / home games</t>
  </si>
  <si>
    <t>SheB Cp</t>
  </si>
  <si>
    <t>Others</t>
  </si>
  <si>
    <t>SheBelieves Cup championship bonus</t>
  </si>
  <si>
    <t>Wrld Cup</t>
  </si>
  <si>
    <t>Tour</t>
  </si>
  <si>
    <t>post-event tour</t>
  </si>
  <si>
    <t>4 games</t>
  </si>
  <si>
    <t>Algarve Cup treated as "other tournament"</t>
  </si>
  <si>
    <t>Media guide lists 23 players called to camp 2014-17 who didn't play; I've put in 6 per yr</t>
  </si>
  <si>
    <t>SheBelieves/Tourn of Nats</t>
  </si>
  <si>
    <t>Women's CONCACAF Nations League is expected soon but not included on this sheet</t>
  </si>
  <si>
    <t>Group 1</t>
  </si>
  <si>
    <t>Starts with 20 in 2017, drops by 1 each year (reflected in Group 2)</t>
  </si>
  <si>
    <t xml:space="preserve">Hypothetical non-salaried players who have 8+ apps and play 50-60% of games </t>
  </si>
  <si>
    <t>Groups 2-4</t>
  </si>
  <si>
    <t>IN THIS WORKBOOK</t>
  </si>
  <si>
    <t>10 players. Shows maximum pay possible with new deal applied to 2014-17 results</t>
  </si>
  <si>
    <t>The salaried players, playing around 75% of games plus major tournaments</t>
  </si>
  <si>
    <t>Groups 3-4</t>
  </si>
  <si>
    <t>Number of players fluctuates to fill needed roster spots and meet 50% mark for Group 3</t>
  </si>
  <si>
    <t>All groups</t>
  </si>
  <si>
    <t>Loosely based on actual player usage in this cycle</t>
  </si>
  <si>
    <t>Total number of players</t>
  </si>
  <si>
    <t>Between 28 and 33, depending on schedule</t>
  </si>
  <si>
    <t>Players with few caps filling holes in rosters</t>
  </si>
  <si>
    <t>Split among players in Groups 1-3 each year</t>
  </si>
  <si>
    <t>2015 Algarve Cup is given the same bonus as the Tournament of Nations would have</t>
  </si>
  <si>
    <t>Players are assumed to be attending camp for the first time and staying 10 days or less</t>
  </si>
  <si>
    <t>Players move to higher tier starting with 2nd camp of career. Also, longer camps pay more</t>
  </si>
  <si>
    <t>Bonuses given to players who are called to camp but not placed on a gameday roster</t>
  </si>
  <si>
    <t>Pool bonuses</t>
  </si>
  <si>
    <t xml:space="preserve">Enter pool pay for World Cup, Oly and post-medal tour, and ind. bonus will be calculated </t>
  </si>
  <si>
    <t>Pool pay is shown in millions</t>
  </si>
  <si>
    <t>Formerly Victory Tour: Now four games for any medal, all on FIFA dates</t>
  </si>
  <si>
    <t>Comp tickets</t>
  </si>
  <si>
    <t>WOMEN'S TEAM</t>
  </si>
  <si>
    <t>MEN'S TEAM</t>
  </si>
  <si>
    <t>(not in CBA -- these are the assigned constants to run plausible scenarios)</t>
  </si>
  <si>
    <t>2017-21 Collective Bargaining Agreement terms</t>
  </si>
  <si>
    <t>2011-18 Collective Bargaining Agreement terms</t>
  </si>
  <si>
    <t>Biz/1st class for 3-hour flights</t>
  </si>
  <si>
    <t>Some travel expenses paid for charity activities</t>
  </si>
  <si>
    <t>45% of gross royalties for certain uses paid to Players Association</t>
  </si>
  <si>
    <t>W (T10/Mex)</t>
  </si>
  <si>
    <t>W (11th-25th)</t>
  </si>
  <si>
    <t>W (26+)</t>
  </si>
  <si>
    <t>D (T10/Mex)</t>
  </si>
  <si>
    <t>D (11th-25th)</t>
  </si>
  <si>
    <t>D (26+)</t>
  </si>
  <si>
    <t>Must equal</t>
  </si>
  <si>
    <t>* Players Association determines division of $</t>
  </si>
  <si>
    <t>* only U23 and 3 overage</t>
  </si>
  <si>
    <t>Per game</t>
  </si>
  <si>
    <t>$3,750 per appearance</t>
  </si>
  <si>
    <t>NA</t>
  </si>
  <si>
    <t>Friendly camp</t>
  </si>
  <si>
    <t>WCQ camp</t>
  </si>
  <si>
    <t>W (T25/Mex)</t>
  </si>
  <si>
    <t>per game associated with camp</t>
  </si>
  <si>
    <t>Domestic &lt;2 hrs or same-continent: If no charter and business is full, EconPlus or economy</t>
  </si>
  <si>
    <t>Intercontinental or domestic &gt;2 hrs: Must be Business or Charter</t>
  </si>
  <si>
    <t>Not specified</t>
  </si>
  <si>
    <t>$62.50 domestic / $75 international</t>
  </si>
  <si>
    <t>No pay specified in CBA</t>
  </si>
  <si>
    <t>Figures are USOC payouts</t>
  </si>
  <si>
    <t>No Oly pay specified in CBA</t>
  </si>
  <si>
    <t>Rankings taken from June 2019. Tier 1: MEX plus top 10 (BEL, FRA, BRA, ENG, POR, CRO, ESP, URU, SUI, DEN). Tier 2: GER, ARG, COL, ITA, NED, CHI, SWE, (MEX), POL, IRI (!?), PER, SEN, WAL, UKR, TUN</t>
  </si>
  <si>
    <t>Ever-present</t>
  </si>
  <si>
    <t>Salaried if they exist</t>
  </si>
  <si>
    <t>5 players, which is generous -- camps often cater to different groups of players</t>
  </si>
  <si>
    <t>Also 5 players</t>
  </si>
  <si>
    <t>15 players</t>
  </si>
  <si>
    <t>25 players</t>
  </si>
  <si>
    <t>Player numbers for each game picked to fill out rosters (see "actual" column)</t>
  </si>
  <si>
    <t>Same as WNT</t>
  </si>
  <si>
    <t>Between 50 and 55</t>
  </si>
  <si>
    <t>Going with 5 per year</t>
  </si>
  <si>
    <t>Much more complicated system - not included here</t>
  </si>
  <si>
    <t>Men have Gold Cup and Copa America</t>
  </si>
  <si>
    <t>Not since the early 1990s residencies</t>
  </si>
  <si>
    <t>Flat fee</t>
  </si>
  <si>
    <t>Top tier is top 10 plus Mexico</t>
  </si>
  <si>
    <t>Tier 2 is 11th through 25th</t>
  </si>
  <si>
    <t>$350,000 per year split among player pool - for this sheet, Groups 1-3</t>
  </si>
  <si>
    <t xml:space="preserve">Not calculated </t>
  </si>
  <si>
    <t>Not usually in Copa America, but they were in this cycle</t>
  </si>
  <si>
    <t>Men's Nations League starts in fall 2019</t>
  </si>
  <si>
    <t>Two rounds</t>
  </si>
  <si>
    <t>Included</t>
  </si>
  <si>
    <t>U23s are eligible, and the team can add three overage players, but CBA has no reference</t>
  </si>
  <si>
    <t>D</t>
  </si>
  <si>
    <t>Friendly-h</t>
  </si>
  <si>
    <t>WCQ-h</t>
  </si>
  <si>
    <t>WCQ Hex-h</t>
  </si>
  <si>
    <t>WCQ Hex-a</t>
  </si>
  <si>
    <t>Gold Cup QF</t>
  </si>
  <si>
    <t>Gold Cup SF</t>
  </si>
  <si>
    <t>Gold Cup final</t>
  </si>
  <si>
    <t>WCQ 1st-a</t>
  </si>
  <si>
    <t>WCQ 1st-h</t>
  </si>
  <si>
    <t>Copa Am grp</t>
  </si>
  <si>
    <t>Copa Am QF</t>
  </si>
  <si>
    <t>Copa Am SF</t>
  </si>
  <si>
    <t>Copa Am 3rd</t>
  </si>
  <si>
    <t>CONCACAF Cup</t>
  </si>
  <si>
    <t>World Cup group</t>
  </si>
  <si>
    <t>World Cup R16</t>
  </si>
  <si>
    <t>Friendly-a</t>
  </si>
  <si>
    <t>Serbia</t>
  </si>
  <si>
    <t>Jamaica</t>
  </si>
  <si>
    <t>Honduras</t>
  </si>
  <si>
    <t>Panama</t>
  </si>
  <si>
    <t>Venezuela</t>
  </si>
  <si>
    <t>Ghana</t>
  </si>
  <si>
    <t>Martinique</t>
  </si>
  <si>
    <t>Nicaragua</t>
  </si>
  <si>
    <t>Portugal</t>
  </si>
  <si>
    <t>Ecuador</t>
  </si>
  <si>
    <t>Bolivia</t>
  </si>
  <si>
    <t>Paraguay</t>
  </si>
  <si>
    <t>Cuba</t>
  </si>
  <si>
    <t>Chile</t>
  </si>
  <si>
    <t>Peru</t>
  </si>
  <si>
    <t>Ukraine</t>
  </si>
  <si>
    <t>Azerbaijan</t>
  </si>
  <si>
    <t>Turkey</t>
  </si>
  <si>
    <t>Belgium</t>
  </si>
  <si>
    <t>Italy</t>
  </si>
  <si>
    <t>El Salvador</t>
  </si>
  <si>
    <t>St. Vin &amp; Gren</t>
  </si>
  <si>
    <t>Trin &amp; Tobago</t>
  </si>
  <si>
    <t>Groups 1-2</t>
  </si>
  <si>
    <t>Gold Cup champion bonus</t>
  </si>
  <si>
    <t>Copa America R2 bonus</t>
  </si>
  <si>
    <t>World Cup roster</t>
  </si>
  <si>
    <t>World Cup R2 bonus</t>
  </si>
  <si>
    <t>World Cup qual bonus</t>
  </si>
  <si>
    <t>Copa America 4th bonus</t>
  </si>
  <si>
    <t>Belize</t>
  </si>
  <si>
    <t>Scotland</t>
  </si>
  <si>
    <t>Austria</t>
  </si>
  <si>
    <t>Bosnia</t>
  </si>
  <si>
    <t>Gold Cup grp</t>
  </si>
  <si>
    <t>Gold Cup R16</t>
  </si>
  <si>
    <t>2013 total for whole group</t>
  </si>
  <si>
    <t>2013 AVG PER PLAYER</t>
  </si>
  <si>
    <t>2018 total for whole group</t>
  </si>
  <si>
    <t>2018 AVG PER PLAYER</t>
  </si>
  <si>
    <t>Gold Cup 4th place</t>
  </si>
  <si>
    <t>Gold Cup champion</t>
  </si>
  <si>
    <t>Top WCQ bonus</t>
  </si>
  <si>
    <t>2nd WCQ bonus</t>
  </si>
  <si>
    <t>* No. players should be roughly 50-55</t>
  </si>
  <si>
    <t>&gt;50% games</t>
  </si>
  <si>
    <t>25%-50% games</t>
  </si>
  <si>
    <t>Camp</t>
  </si>
  <si>
    <t>avg games per player</t>
  </si>
  <si>
    <t>Czech Rep.</t>
  </si>
  <si>
    <t>Called in</t>
  </si>
  <si>
    <t>No game</t>
  </si>
  <si>
    <t>2013: Algarve Cup</t>
  </si>
  <si>
    <t>2018: SheBelieves Cup, Tournament of Nations</t>
  </si>
  <si>
    <t>Tournament of Nations championship bonus</t>
  </si>
  <si>
    <t>Year 6: WCQ</t>
  </si>
  <si>
    <t>Yr 1: Slow</t>
  </si>
  <si>
    <t>Y3: WWC champ</t>
  </si>
  <si>
    <t>Y4: Oly QF</t>
  </si>
  <si>
    <t>Y2: WCQ</t>
  </si>
  <si>
    <t>Y1: WCQ</t>
  </si>
  <si>
    <t>Y2: WC Rd16</t>
  </si>
  <si>
    <t>Y3: Gold Cup</t>
  </si>
  <si>
    <t>Y4: Copa Am</t>
  </si>
  <si>
    <t>Y5: WCQ</t>
  </si>
  <si>
    <t>Y6: Penance</t>
  </si>
  <si>
    <t>Y5: Slow</t>
  </si>
  <si>
    <t>Gold Cup/Copa Am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</si>
</sst>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"/>
    <numFmt numFmtId="165" formatCode="&quot;$&quot;#,##0.00"/>
    <numFmt numFmtId="166" formatCode="&quot;$&quot;#,##0.000"/>
    <numFmt numFmtId="167" formatCode="m\-d"/>
    <numFmt numFmtId="169" formatCode="_([$$-409]* #,##0.00_);_([$$-409]* \(#,##0.00\);_([$$-409]* &quot;-&quot;??_);_(@_)"/>
    <numFmt numFmtId="170" formatCode="_([$$-409]* #,##0_);_([$$-409]* \(#,##0\);_([$$-409]* &quot;-&quot;??_);_(@_)"/>
    <numFmt numFmtId="171" formatCode="_([$$-409]* #,##0.000_);_([$$-409]* \(#,##0.000\);_([$$-409]* &quot;-&quot;??_);_(@_)"/>
    <numFmt numFmtId="179" formatCode="0.0"/>
    <numFmt numFmtId="180" formatCode="&quot;$&quot;#,##0.0"/>
    <numFmt numFmtId="181" formatCode="#,##0.0"/>
    <numFmt numFmtId="183" formatCode="_(* #,##0_);_(* \(#,##0\);_(* &quot;-&quot;??_);_(@_)"/>
  </numFmts>
  <fonts count="33" x14ac:knownFonts="1">
    <font>
      <sz val="10"/>
      <color rgb="FF00000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BF9000"/>
      <name val="Arial"/>
      <family val="2"/>
    </font>
    <font>
      <i/>
      <sz val="10"/>
      <color rgb="FFBF900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0"/>
      <color rgb="FFBF9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i/>
      <sz val="9"/>
      <name val="Arial"/>
      <family val="2"/>
    </font>
    <font>
      <b/>
      <sz val="12"/>
      <color theme="0"/>
      <name val="Arial"/>
      <family val="2"/>
    </font>
    <font>
      <sz val="10"/>
      <color rgb="FF000000"/>
      <name val="Arial"/>
    </font>
    <font>
      <sz val="10"/>
      <color rgb="FFC00000"/>
      <name val="Arial"/>
      <family val="2"/>
    </font>
    <font>
      <sz val="10"/>
      <color rgb="FF0070C0"/>
      <name val="Arial"/>
      <family val="2"/>
    </font>
    <font>
      <i/>
      <sz val="10"/>
      <color rgb="FF000000"/>
      <name val="Arial"/>
      <family val="2"/>
    </font>
    <font>
      <sz val="10"/>
      <color rgb="FF7030A0"/>
      <name val="Arial"/>
      <family val="2"/>
    </font>
    <font>
      <sz val="10"/>
      <color theme="7" tint="-0.499984740745262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783F04"/>
        <bgColor rgb="FF783F04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7" tint="0.79998168889431442"/>
        <bgColor rgb="FFE6B8A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EAD1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6B8AF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E6B8A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0" tint="-0.14999847407452621"/>
        <bgColor rgb="FFB6D7A8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0" tint="-0.249977111117893"/>
        <bgColor rgb="FFB6D7A8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rgb="FFFFF2CC"/>
      </patternFill>
    </fill>
    <fill>
      <patternFill patternType="solid">
        <fgColor theme="1"/>
        <bgColor rgb="FF000000"/>
      </patternFill>
    </fill>
    <fill>
      <patternFill patternType="solid">
        <fgColor theme="9" tint="0.39997558519241921"/>
        <bgColor rgb="FFB6D7A8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5" tint="0.79998168889431442"/>
        <bgColor rgb="FFE6B8AF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5" tint="0.79998168889431442"/>
        <bgColor rgb="FFFCE5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4" fillId="0" borderId="0" applyFont="0" applyFill="0" applyBorder="0" applyAlignment="0" applyProtection="0"/>
  </cellStyleXfs>
  <cellXfs count="66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164" fontId="2" fillId="5" borderId="0" xfId="0" applyNumberFormat="1" applyFon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left"/>
    </xf>
    <xf numFmtId="164" fontId="2" fillId="5" borderId="0" xfId="0" applyNumberFormat="1" applyFont="1" applyFill="1" applyAlignment="1"/>
    <xf numFmtId="164" fontId="7" fillId="5" borderId="0" xfId="0" applyNumberFormat="1" applyFont="1" applyFill="1" applyAlignment="1">
      <alignment horizontal="right"/>
    </xf>
    <xf numFmtId="0" fontId="3" fillId="6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2" fillId="0" borderId="0" xfId="0" applyFont="1"/>
    <xf numFmtId="164" fontId="3" fillId="5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right"/>
    </xf>
    <xf numFmtId="0" fontId="2" fillId="8" borderId="0" xfId="0" applyFont="1" applyFill="1"/>
    <xf numFmtId="164" fontId="3" fillId="5" borderId="0" xfId="0" applyNumberFormat="1" applyFont="1" applyFill="1" applyAlignment="1"/>
    <xf numFmtId="0" fontId="10" fillId="7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164" fontId="10" fillId="7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right"/>
    </xf>
    <xf numFmtId="166" fontId="3" fillId="3" borderId="0" xfId="0" applyNumberFormat="1" applyFont="1" applyFill="1" applyAlignment="1">
      <alignment horizontal="right"/>
    </xf>
    <xf numFmtId="164" fontId="3" fillId="5" borderId="0" xfId="0" applyNumberFormat="1" applyFon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12" fillId="0" borderId="0" xfId="0" applyFont="1" applyAlignment="1">
      <alignment horizontal="left"/>
    </xf>
    <xf numFmtId="164" fontId="11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/>
    <xf numFmtId="3" fontId="3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164" fontId="3" fillId="6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4" fontId="7" fillId="5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right"/>
    </xf>
    <xf numFmtId="0" fontId="15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6" fillId="0" borderId="0" xfId="0" applyFont="1" applyAlignment="1"/>
    <xf numFmtId="0" fontId="17" fillId="7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7" fillId="7" borderId="0" xfId="0" applyNumberFormat="1" applyFont="1" applyFill="1" applyAlignment="1">
      <alignment horizontal="left"/>
    </xf>
    <xf numFmtId="0" fontId="14" fillId="0" borderId="0" xfId="0" applyFont="1" applyAlignment="1"/>
    <xf numFmtId="0" fontId="18" fillId="9" borderId="0" xfId="0" applyFont="1" applyFill="1" applyAlignment="1">
      <alignment horizontal="left"/>
    </xf>
    <xf numFmtId="0" fontId="18" fillId="9" borderId="0" xfId="0" applyFont="1" applyFill="1" applyAlignment="1"/>
    <xf numFmtId="0" fontId="18" fillId="9" borderId="0" xfId="0" applyFont="1" applyFill="1" applyAlignment="1">
      <alignment horizontal="left"/>
    </xf>
    <xf numFmtId="0" fontId="18" fillId="9" borderId="0" xfId="0" applyFont="1" applyFill="1" applyAlignment="1">
      <alignment horizontal="right"/>
    </xf>
    <xf numFmtId="0" fontId="18" fillId="9" borderId="0" xfId="0" applyFont="1" applyFill="1" applyAlignment="1"/>
    <xf numFmtId="164" fontId="18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/>
    <xf numFmtId="14" fontId="13" fillId="10" borderId="0" xfId="0" applyNumberFormat="1" applyFont="1" applyFill="1" applyAlignment="1">
      <alignment horizontal="left"/>
    </xf>
    <xf numFmtId="165" fontId="13" fillId="10" borderId="0" xfId="0" applyNumberFormat="1" applyFont="1" applyFill="1" applyAlignment="1"/>
    <xf numFmtId="165" fontId="13" fillId="10" borderId="0" xfId="0" applyNumberFormat="1" applyFont="1" applyFill="1" applyAlignment="1">
      <alignment horizontal="left"/>
    </xf>
    <xf numFmtId="165" fontId="13" fillId="10" borderId="0" xfId="0" applyNumberFormat="1" applyFont="1" applyFill="1" applyAlignment="1">
      <alignment horizontal="right"/>
    </xf>
    <xf numFmtId="164" fontId="13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/>
    </xf>
    <xf numFmtId="3" fontId="7" fillId="5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/>
    <xf numFmtId="164" fontId="20" fillId="0" borderId="0" xfId="0" applyNumberFormat="1" applyFont="1" applyAlignment="1">
      <alignment horizontal="right"/>
    </xf>
    <xf numFmtId="3" fontId="13" fillId="10" borderId="0" xfId="0" applyNumberFormat="1" applyFont="1" applyFill="1" applyAlignment="1"/>
    <xf numFmtId="3" fontId="13" fillId="10" borderId="0" xfId="0" applyNumberFormat="1" applyFont="1" applyFill="1" applyAlignment="1">
      <alignment horizontal="right"/>
    </xf>
    <xf numFmtId="165" fontId="13" fillId="10" borderId="0" xfId="0" applyNumberFormat="1" applyFont="1" applyFill="1" applyAlignment="1">
      <alignment horizontal="right"/>
    </xf>
    <xf numFmtId="0" fontId="13" fillId="10" borderId="0" xfId="0" applyFont="1" applyFill="1" applyAlignment="1"/>
    <xf numFmtId="0" fontId="13" fillId="10" borderId="0" xfId="0" applyFont="1" applyFill="1" applyAlignment="1">
      <alignment horizontal="left"/>
    </xf>
    <xf numFmtId="0" fontId="13" fillId="10" borderId="0" xfId="0" applyFont="1" applyFill="1" applyAlignment="1">
      <alignment horizontal="right"/>
    </xf>
    <xf numFmtId="164" fontId="18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7" fontId="13" fillId="10" borderId="0" xfId="0" applyNumberFormat="1" applyFont="1" applyFill="1" applyAlignment="1">
      <alignment horizontal="right"/>
    </xf>
    <xf numFmtId="0" fontId="13" fillId="10" borderId="0" xfId="0" applyFont="1" applyFill="1" applyAlignment="1">
      <alignment horizontal="right"/>
    </xf>
    <xf numFmtId="14" fontId="13" fillId="10" borderId="0" xfId="0" applyNumberFormat="1" applyFont="1" applyFill="1" applyAlignment="1">
      <alignment horizontal="left"/>
    </xf>
    <xf numFmtId="165" fontId="18" fillId="10" borderId="0" xfId="0" applyNumberFormat="1" applyFont="1" applyFill="1" applyAlignment="1"/>
    <xf numFmtId="0" fontId="13" fillId="10" borderId="0" xfId="0" applyFont="1" applyFill="1" applyAlignment="1"/>
    <xf numFmtId="0" fontId="13" fillId="10" borderId="0" xfId="0" applyFont="1" applyFill="1" applyAlignment="1">
      <alignment horizontal="left"/>
    </xf>
    <xf numFmtId="0" fontId="13" fillId="10" borderId="0" xfId="0" applyFont="1" applyFill="1" applyAlignment="1">
      <alignment horizontal="right"/>
    </xf>
    <xf numFmtId="164" fontId="13" fillId="10" borderId="0" xfId="0" applyNumberFormat="1" applyFont="1" applyFill="1" applyAlignment="1">
      <alignment horizontal="right"/>
    </xf>
    <xf numFmtId="3" fontId="19" fillId="10" borderId="0" xfId="0" applyNumberFormat="1" applyFont="1" applyFill="1" applyAlignment="1">
      <alignment horizontal="right"/>
    </xf>
    <xf numFmtId="164" fontId="3" fillId="10" borderId="0" xfId="0" applyNumberFormat="1" applyFont="1" applyFill="1"/>
    <xf numFmtId="3" fontId="3" fillId="10" borderId="0" xfId="0" applyNumberFormat="1" applyFont="1" applyFill="1" applyAlignment="1">
      <alignment horizontal="right"/>
    </xf>
    <xf numFmtId="0" fontId="2" fillId="10" borderId="0" xfId="0" applyFont="1" applyFill="1"/>
    <xf numFmtId="0" fontId="3" fillId="10" borderId="0" xfId="0" applyFont="1" applyFill="1"/>
    <xf numFmtId="164" fontId="2" fillId="10" borderId="0" xfId="0" applyNumberFormat="1" applyFont="1" applyFill="1"/>
    <xf numFmtId="164" fontId="7" fillId="0" borderId="0" xfId="0" applyNumberFormat="1" applyFont="1" applyAlignment="1">
      <alignment horizontal="right"/>
    </xf>
    <xf numFmtId="164" fontId="2" fillId="0" borderId="0" xfId="0" applyNumberFormat="1" applyFont="1"/>
    <xf numFmtId="164" fontId="7" fillId="0" borderId="0" xfId="0" applyNumberFormat="1" applyFont="1"/>
    <xf numFmtId="3" fontId="7" fillId="0" borderId="0" xfId="0" applyNumberFormat="1" applyFont="1" applyAlignment="1">
      <alignment horizontal="right"/>
    </xf>
    <xf numFmtId="0" fontId="18" fillId="0" borderId="0" xfId="0" applyFont="1" applyAlignment="1"/>
    <xf numFmtId="0" fontId="3" fillId="0" borderId="0" xfId="0" applyFont="1" applyAlignment="1">
      <alignment horizontal="right"/>
    </xf>
    <xf numFmtId="0" fontId="0" fillId="0" borderId="0" xfId="0" applyFont="1" applyAlignment="1"/>
    <xf numFmtId="164" fontId="18" fillId="10" borderId="0" xfId="0" applyNumberFormat="1" applyFont="1" applyFill="1" applyAlignment="1">
      <alignment horizontal="right"/>
    </xf>
    <xf numFmtId="164" fontId="13" fillId="11" borderId="0" xfId="0" applyNumberFormat="1" applyFont="1" applyFill="1" applyAlignment="1">
      <alignment horizontal="right"/>
    </xf>
    <xf numFmtId="3" fontId="19" fillId="11" borderId="0" xfId="0" applyNumberFormat="1" applyFont="1" applyFill="1" applyAlignment="1">
      <alignment horizontal="right"/>
    </xf>
    <xf numFmtId="164" fontId="18" fillId="12" borderId="0" xfId="0" applyNumberFormat="1" applyFont="1" applyFill="1" applyAlignment="1">
      <alignment horizontal="right"/>
    </xf>
    <xf numFmtId="14" fontId="13" fillId="11" borderId="0" xfId="0" applyNumberFormat="1" applyFont="1" applyFill="1" applyAlignment="1">
      <alignment horizontal="left"/>
    </xf>
    <xf numFmtId="165" fontId="13" fillId="11" borderId="0" xfId="0" applyNumberFormat="1" applyFont="1" applyFill="1" applyAlignment="1"/>
    <xf numFmtId="0" fontId="13" fillId="11" borderId="0" xfId="0" applyFont="1" applyFill="1" applyAlignment="1">
      <alignment horizontal="left"/>
    </xf>
    <xf numFmtId="165" fontId="13" fillId="11" borderId="0" xfId="0" applyNumberFormat="1" applyFont="1" applyFill="1" applyAlignment="1">
      <alignment horizontal="right"/>
    </xf>
    <xf numFmtId="0" fontId="13" fillId="11" borderId="0" xfId="0" applyFont="1" applyFill="1" applyAlignment="1">
      <alignment horizontal="right"/>
    </xf>
    <xf numFmtId="167" fontId="13" fillId="11" borderId="0" xfId="0" applyNumberFormat="1" applyFont="1" applyFill="1" applyAlignment="1">
      <alignment horizontal="right"/>
    </xf>
    <xf numFmtId="165" fontId="13" fillId="11" borderId="0" xfId="0" applyNumberFormat="1" applyFont="1" applyFill="1" applyAlignment="1">
      <alignment horizontal="left"/>
    </xf>
    <xf numFmtId="3" fontId="13" fillId="11" borderId="0" xfId="0" applyNumberFormat="1" applyFont="1" applyFill="1" applyAlignment="1">
      <alignment horizontal="right"/>
    </xf>
    <xf numFmtId="165" fontId="18" fillId="11" borderId="0" xfId="0" applyNumberFormat="1" applyFont="1" applyFill="1" applyAlignment="1"/>
    <xf numFmtId="0" fontId="18" fillId="11" borderId="0" xfId="0" applyFont="1" applyFill="1" applyAlignment="1">
      <alignment horizontal="left"/>
    </xf>
    <xf numFmtId="3" fontId="13" fillId="11" borderId="0" xfId="0" applyNumberFormat="1" applyFont="1" applyFill="1" applyAlignment="1"/>
    <xf numFmtId="0" fontId="13" fillId="11" borderId="0" xfId="0" applyFont="1" applyFill="1" applyAlignment="1"/>
    <xf numFmtId="0" fontId="0" fillId="13" borderId="0" xfId="0" applyFont="1" applyFill="1" applyAlignment="1"/>
    <xf numFmtId="164" fontId="3" fillId="11" borderId="0" xfId="0" applyNumberFormat="1" applyFont="1" applyFill="1"/>
    <xf numFmtId="3" fontId="3" fillId="11" borderId="0" xfId="0" applyNumberFormat="1" applyFont="1" applyFill="1" applyAlignment="1">
      <alignment horizontal="right"/>
    </xf>
    <xf numFmtId="164" fontId="20" fillId="11" borderId="0" xfId="0" applyNumberFormat="1" applyFont="1" applyFill="1" applyAlignment="1">
      <alignment horizontal="right"/>
    </xf>
    <xf numFmtId="0" fontId="3" fillId="11" borderId="0" xfId="0" applyFont="1" applyFill="1"/>
    <xf numFmtId="164" fontId="2" fillId="11" borderId="0" xfId="0" applyNumberFormat="1" applyFont="1" applyFill="1"/>
    <xf numFmtId="14" fontId="13" fillId="14" borderId="0" xfId="0" applyNumberFormat="1" applyFont="1" applyFill="1" applyAlignment="1">
      <alignment horizontal="left"/>
    </xf>
    <xf numFmtId="165" fontId="13" fillId="14" borderId="0" xfId="0" applyNumberFormat="1" applyFont="1" applyFill="1" applyAlignment="1"/>
    <xf numFmtId="0" fontId="13" fillId="14" borderId="0" xfId="0" applyFont="1" applyFill="1" applyAlignment="1">
      <alignment horizontal="left"/>
    </xf>
    <xf numFmtId="3" fontId="13" fillId="14" borderId="0" xfId="0" applyNumberFormat="1" applyFont="1" applyFill="1" applyAlignment="1">
      <alignment horizontal="right"/>
    </xf>
    <xf numFmtId="0" fontId="13" fillId="14" borderId="0" xfId="0" applyFont="1" applyFill="1" applyAlignment="1">
      <alignment horizontal="right"/>
    </xf>
    <xf numFmtId="165" fontId="18" fillId="14" borderId="0" xfId="0" applyNumberFormat="1" applyFont="1" applyFill="1" applyAlignment="1"/>
    <xf numFmtId="0" fontId="13" fillId="14" borderId="0" xfId="0" applyFont="1" applyFill="1" applyAlignment="1"/>
    <xf numFmtId="165" fontId="13" fillId="14" borderId="0" xfId="0" applyNumberFormat="1" applyFont="1" applyFill="1" applyAlignment="1">
      <alignment horizontal="left"/>
    </xf>
    <xf numFmtId="167" fontId="13" fillId="14" borderId="0" xfId="0" applyNumberFormat="1" applyFont="1" applyFill="1" applyAlignment="1">
      <alignment horizontal="right"/>
    </xf>
    <xf numFmtId="165" fontId="13" fillId="14" borderId="0" xfId="0" applyNumberFormat="1" applyFont="1" applyFill="1" applyAlignment="1">
      <alignment horizontal="right"/>
    </xf>
    <xf numFmtId="164" fontId="13" fillId="14" borderId="0" xfId="0" applyNumberFormat="1" applyFont="1" applyFill="1" applyAlignment="1">
      <alignment horizontal="right"/>
    </xf>
    <xf numFmtId="3" fontId="19" fillId="14" borderId="0" xfId="0" applyNumberFormat="1" applyFont="1" applyFill="1" applyAlignment="1">
      <alignment horizontal="right"/>
    </xf>
    <xf numFmtId="164" fontId="3" fillId="14" borderId="0" xfId="0" applyNumberFormat="1" applyFont="1" applyFill="1"/>
    <xf numFmtId="3" fontId="3" fillId="14" borderId="0" xfId="0" applyNumberFormat="1" applyFont="1" applyFill="1" applyAlignment="1">
      <alignment horizontal="right"/>
    </xf>
    <xf numFmtId="0" fontId="0" fillId="15" borderId="0" xfId="0" applyFont="1" applyFill="1" applyAlignment="1"/>
    <xf numFmtId="164" fontId="18" fillId="16" borderId="0" xfId="0" applyNumberFormat="1" applyFont="1" applyFill="1" applyAlignment="1">
      <alignment horizontal="right"/>
    </xf>
    <xf numFmtId="0" fontId="3" fillId="14" borderId="0" xfId="0" applyFont="1" applyFill="1"/>
    <xf numFmtId="164" fontId="2" fillId="14" borderId="0" xfId="0" applyNumberFormat="1" applyFont="1" applyFill="1"/>
    <xf numFmtId="14" fontId="13" fillId="17" borderId="0" xfId="0" applyNumberFormat="1" applyFont="1" applyFill="1" applyAlignment="1">
      <alignment horizontal="left"/>
    </xf>
    <xf numFmtId="0" fontId="13" fillId="17" borderId="0" xfId="0" applyFont="1" applyFill="1" applyAlignment="1"/>
    <xf numFmtId="0" fontId="13" fillId="17" borderId="0" xfId="0" applyFont="1" applyFill="1" applyAlignment="1">
      <alignment horizontal="left"/>
    </xf>
    <xf numFmtId="3" fontId="13" fillId="17" borderId="0" xfId="0" applyNumberFormat="1" applyFont="1" applyFill="1" applyAlignment="1">
      <alignment horizontal="right"/>
    </xf>
    <xf numFmtId="0" fontId="13" fillId="17" borderId="0" xfId="0" applyFont="1" applyFill="1" applyAlignment="1">
      <alignment horizontal="right"/>
    </xf>
    <xf numFmtId="167" fontId="13" fillId="17" borderId="0" xfId="0" applyNumberFormat="1" applyFont="1" applyFill="1" applyAlignment="1">
      <alignment horizontal="right"/>
    </xf>
    <xf numFmtId="165" fontId="13" fillId="17" borderId="0" xfId="0" applyNumberFormat="1" applyFont="1" applyFill="1" applyAlignment="1"/>
    <xf numFmtId="165" fontId="13" fillId="17" borderId="0" xfId="0" applyNumberFormat="1" applyFont="1" applyFill="1" applyAlignment="1">
      <alignment horizontal="left"/>
    </xf>
    <xf numFmtId="165" fontId="13" fillId="17" borderId="0" xfId="0" applyNumberFormat="1" applyFont="1" applyFill="1" applyAlignment="1">
      <alignment horizontal="right"/>
    </xf>
    <xf numFmtId="165" fontId="18" fillId="17" borderId="0" xfId="0" applyNumberFormat="1" applyFont="1" applyFill="1" applyAlignment="1"/>
    <xf numFmtId="164" fontId="13" fillId="17" borderId="0" xfId="0" applyNumberFormat="1" applyFont="1" applyFill="1" applyAlignment="1">
      <alignment horizontal="right"/>
    </xf>
    <xf numFmtId="3" fontId="19" fillId="17" borderId="0" xfId="0" applyNumberFormat="1" applyFont="1" applyFill="1" applyAlignment="1">
      <alignment horizontal="right"/>
    </xf>
    <xf numFmtId="164" fontId="3" fillId="17" borderId="0" xfId="0" applyNumberFormat="1" applyFont="1" applyFill="1"/>
    <xf numFmtId="3" fontId="3" fillId="17" borderId="0" xfId="0" applyNumberFormat="1" applyFont="1" applyFill="1" applyAlignment="1">
      <alignment horizontal="right"/>
    </xf>
    <xf numFmtId="164" fontId="20" fillId="17" borderId="0" xfId="0" applyNumberFormat="1" applyFont="1" applyFill="1" applyAlignment="1">
      <alignment horizontal="right"/>
    </xf>
    <xf numFmtId="0" fontId="0" fillId="18" borderId="0" xfId="0" applyFont="1" applyFill="1" applyAlignment="1"/>
    <xf numFmtId="164" fontId="18" fillId="19" borderId="0" xfId="0" applyNumberFormat="1" applyFont="1" applyFill="1" applyAlignment="1">
      <alignment horizontal="right"/>
    </xf>
    <xf numFmtId="0" fontId="3" fillId="17" borderId="0" xfId="0" applyFont="1" applyFill="1"/>
    <xf numFmtId="164" fontId="2" fillId="17" borderId="0" xfId="0" applyNumberFormat="1" applyFont="1" applyFill="1"/>
    <xf numFmtId="164" fontId="7" fillId="5" borderId="0" xfId="0" applyNumberFormat="1" applyFont="1" applyFill="1" applyAlignment="1">
      <alignment horizontal="left"/>
    </xf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13" borderId="0" xfId="0" applyFont="1" applyFill="1" applyAlignment="1"/>
    <xf numFmtId="0" fontId="0" fillId="18" borderId="0" xfId="0" applyFont="1" applyFill="1" applyAlignment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/>
    <xf numFmtId="164" fontId="18" fillId="11" borderId="0" xfId="0" applyNumberFormat="1" applyFont="1" applyFill="1" applyAlignment="1">
      <alignment horizontal="right"/>
    </xf>
    <xf numFmtId="164" fontId="18" fillId="17" borderId="0" xfId="0" applyNumberFormat="1" applyFont="1" applyFill="1" applyAlignment="1">
      <alignment horizontal="right"/>
    </xf>
    <xf numFmtId="164" fontId="3" fillId="21" borderId="0" xfId="0" applyNumberFormat="1" applyFont="1" applyFill="1" applyAlignment="1">
      <alignment horizontal="right"/>
    </xf>
    <xf numFmtId="164" fontId="3" fillId="22" borderId="0" xfId="0" applyNumberFormat="1" applyFont="1" applyFill="1" applyAlignment="1">
      <alignment horizontal="right"/>
    </xf>
    <xf numFmtId="164" fontId="3" fillId="23" borderId="0" xfId="0" applyNumberFormat="1" applyFont="1" applyFill="1" applyAlignment="1">
      <alignment horizontal="right"/>
    </xf>
    <xf numFmtId="164" fontId="3" fillId="24" borderId="0" xfId="0" applyNumberFormat="1" applyFont="1" applyFill="1" applyAlignment="1">
      <alignment horizontal="right"/>
    </xf>
    <xf numFmtId="164" fontId="3" fillId="27" borderId="0" xfId="0" applyNumberFormat="1" applyFont="1" applyFill="1" applyAlignment="1">
      <alignment horizontal="right"/>
    </xf>
    <xf numFmtId="164" fontId="3" fillId="28" borderId="0" xfId="0" applyNumberFormat="1" applyFont="1" applyFill="1" applyAlignment="1">
      <alignment horizontal="right"/>
    </xf>
    <xf numFmtId="166" fontId="3" fillId="27" borderId="0" xfId="0" applyNumberFormat="1" applyFont="1" applyFill="1" applyAlignment="1">
      <alignment horizontal="right"/>
    </xf>
    <xf numFmtId="165" fontId="3" fillId="27" borderId="0" xfId="0" applyNumberFormat="1" applyFont="1" applyFill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0" fillId="13" borderId="0" xfId="0" applyFont="1" applyFill="1" applyAlignment="1"/>
    <xf numFmtId="0" fontId="0" fillId="15" borderId="0" xfId="0" applyFont="1" applyFill="1" applyAlignment="1"/>
    <xf numFmtId="0" fontId="0" fillId="18" borderId="0" xfId="0" applyFont="1" applyFill="1" applyAlignment="1"/>
    <xf numFmtId="0" fontId="7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18" fillId="11" borderId="0" xfId="0" applyFont="1" applyFill="1" applyAlignment="1">
      <alignment horizontal="left"/>
    </xf>
    <xf numFmtId="165" fontId="7" fillId="11" borderId="0" xfId="0" applyNumberFormat="1" applyFont="1" applyFill="1" applyAlignment="1"/>
    <xf numFmtId="164" fontId="3" fillId="27" borderId="0" xfId="0" applyNumberFormat="1" applyFont="1" applyFill="1" applyAlignment="1">
      <alignment horizontal="left"/>
    </xf>
    <xf numFmtId="164" fontId="2" fillId="27" borderId="0" xfId="0" applyNumberFormat="1" applyFont="1" applyFill="1" applyAlignment="1">
      <alignment horizontal="left"/>
    </xf>
    <xf numFmtId="164" fontId="2" fillId="27" borderId="0" xfId="0" applyNumberFormat="1" applyFont="1" applyFill="1" applyAlignment="1">
      <alignment horizontal="right"/>
    </xf>
    <xf numFmtId="164" fontId="7" fillId="27" borderId="0" xfId="0" applyNumberFormat="1" applyFont="1" applyFill="1" applyAlignment="1">
      <alignment horizontal="right"/>
    </xf>
    <xf numFmtId="1" fontId="3" fillId="27" borderId="0" xfId="0" applyNumberFormat="1" applyFont="1" applyFill="1" applyAlignment="1">
      <alignment horizontal="right"/>
    </xf>
    <xf numFmtId="0" fontId="7" fillId="14" borderId="0" xfId="0" applyFont="1" applyFill="1" applyAlignment="1"/>
    <xf numFmtId="164" fontId="7" fillId="25" borderId="0" xfId="0" applyNumberFormat="1" applyFont="1" applyFill="1" applyAlignment="1">
      <alignment horizontal="right"/>
    </xf>
    <xf numFmtId="164" fontId="22" fillId="5" borderId="0" xfId="0" applyNumberFormat="1" applyFont="1" applyFill="1" applyAlignment="1">
      <alignment horizontal="left" vertical="top"/>
    </xf>
    <xf numFmtId="164" fontId="22" fillId="5" borderId="0" xfId="0" applyNumberFormat="1" applyFont="1" applyFill="1" applyAlignment="1">
      <alignment horizontal="left"/>
    </xf>
    <xf numFmtId="3" fontId="3" fillId="21" borderId="0" xfId="0" applyNumberFormat="1" applyFont="1" applyFill="1" applyAlignment="1">
      <alignment horizontal="right"/>
    </xf>
    <xf numFmtId="0" fontId="8" fillId="0" borderId="0" xfId="0" applyFont="1" applyAlignment="1"/>
    <xf numFmtId="0" fontId="21" fillId="0" borderId="0" xfId="0" applyFont="1" applyAlignment="1"/>
    <xf numFmtId="0" fontId="0" fillId="29" borderId="0" xfId="0" applyFont="1" applyFill="1" applyAlignment="1"/>
    <xf numFmtId="0" fontId="8" fillId="0" borderId="0" xfId="0" applyFont="1" applyAlignment="1"/>
    <xf numFmtId="164" fontId="3" fillId="30" borderId="0" xfId="0" applyNumberFormat="1" applyFont="1" applyFill="1" applyAlignment="1"/>
    <xf numFmtId="164" fontId="3" fillId="31" borderId="0" xfId="0" applyNumberFormat="1" applyFont="1" applyFill="1" applyAlignment="1">
      <alignment horizontal="right"/>
    </xf>
    <xf numFmtId="164" fontId="3" fillId="32" borderId="0" xfId="0" applyNumberFormat="1" applyFont="1" applyFill="1" applyAlignment="1">
      <alignment horizontal="right"/>
    </xf>
    <xf numFmtId="164" fontId="3" fillId="30" borderId="0" xfId="0" applyNumberFormat="1" applyFont="1" applyFill="1" applyAlignment="1">
      <alignment horizontal="left"/>
    </xf>
    <xf numFmtId="164" fontId="3" fillId="30" borderId="0" xfId="0" applyNumberFormat="1" applyFont="1" applyFill="1" applyAlignment="1">
      <alignment horizontal="right"/>
    </xf>
    <xf numFmtId="164" fontId="3" fillId="33" borderId="0" xfId="0" applyNumberFormat="1" applyFont="1" applyFill="1" applyAlignment="1">
      <alignment horizontal="right"/>
    </xf>
    <xf numFmtId="164" fontId="8" fillId="32" borderId="0" xfId="0" applyNumberFormat="1" applyFont="1" applyFill="1" applyAlignment="1">
      <alignment horizontal="right"/>
    </xf>
    <xf numFmtId="164" fontId="2" fillId="32" borderId="0" xfId="0" applyNumberFormat="1" applyFont="1" applyFill="1" applyAlignment="1">
      <alignment horizontal="left"/>
    </xf>
    <xf numFmtId="0" fontId="3" fillId="32" borderId="0" xfId="0" applyFont="1" applyFill="1" applyAlignment="1">
      <alignment horizontal="left"/>
    </xf>
    <xf numFmtId="164" fontId="3" fillId="31" borderId="0" xfId="0" applyNumberFormat="1" applyFont="1" applyFill="1" applyAlignment="1">
      <alignment horizontal="left"/>
    </xf>
    <xf numFmtId="169" fontId="3" fillId="5" borderId="0" xfId="0" applyNumberFormat="1" applyFont="1" applyFill="1" applyAlignment="1">
      <alignment horizontal="left"/>
    </xf>
    <xf numFmtId="170" fontId="2" fillId="8" borderId="0" xfId="0" applyNumberFormat="1" applyFont="1" applyFill="1" applyAlignment="1">
      <alignment horizontal="left"/>
    </xf>
    <xf numFmtId="170" fontId="7" fillId="8" borderId="0" xfId="0" applyNumberFormat="1" applyFont="1" applyFill="1" applyAlignment="1">
      <alignment horizontal="left"/>
    </xf>
    <xf numFmtId="170" fontId="2" fillId="5" borderId="0" xfId="0" applyNumberFormat="1" applyFont="1" applyFill="1" applyAlignment="1">
      <alignment horizontal="left"/>
    </xf>
    <xf numFmtId="170" fontId="2" fillId="6" borderId="0" xfId="0" applyNumberFormat="1" applyFont="1" applyFill="1" applyAlignment="1">
      <alignment horizontal="right"/>
    </xf>
    <xf numFmtId="170" fontId="8" fillId="6" borderId="0" xfId="0" applyNumberFormat="1" applyFont="1" applyFill="1" applyAlignment="1">
      <alignment horizontal="right"/>
    </xf>
    <xf numFmtId="170" fontId="2" fillId="6" borderId="0" xfId="0" applyNumberFormat="1" applyFont="1" applyFill="1" applyAlignment="1">
      <alignment horizontal="left"/>
    </xf>
    <xf numFmtId="170" fontId="3" fillId="6" borderId="0" xfId="0" applyNumberFormat="1" applyFont="1" applyFill="1" applyAlignment="1">
      <alignment horizontal="left"/>
    </xf>
    <xf numFmtId="170" fontId="0" fillId="0" borderId="0" xfId="0" applyNumberFormat="1" applyFont="1" applyAlignment="1"/>
    <xf numFmtId="170" fontId="3" fillId="6" borderId="0" xfId="0" applyNumberFormat="1" applyFont="1" applyFill="1" applyAlignment="1">
      <alignment horizontal="right"/>
    </xf>
    <xf numFmtId="170" fontId="3" fillId="5" borderId="0" xfId="0" applyNumberFormat="1" applyFont="1" applyFill="1" applyAlignment="1">
      <alignment horizontal="left"/>
    </xf>
    <xf numFmtId="170" fontId="7" fillId="6" borderId="0" xfId="0" applyNumberFormat="1" applyFont="1" applyFill="1" applyAlignment="1">
      <alignment horizontal="center"/>
    </xf>
    <xf numFmtId="170" fontId="15" fillId="5" borderId="0" xfId="0" applyNumberFormat="1" applyFont="1" applyFill="1" applyAlignment="1">
      <alignment horizontal="left"/>
    </xf>
    <xf numFmtId="1" fontId="3" fillId="5" borderId="0" xfId="0" applyNumberFormat="1" applyFont="1" applyFill="1" applyAlignment="1">
      <alignment horizontal="right"/>
    </xf>
    <xf numFmtId="171" fontId="3" fillId="5" borderId="0" xfId="0" applyNumberFormat="1" applyFont="1" applyFill="1" applyAlignment="1">
      <alignment horizontal="left"/>
    </xf>
    <xf numFmtId="171" fontId="2" fillId="5" borderId="0" xfId="0" applyNumberFormat="1" applyFont="1" applyFill="1" applyAlignment="1">
      <alignment horizontal="left"/>
    </xf>
    <xf numFmtId="0" fontId="14" fillId="5" borderId="0" xfId="0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0" borderId="0" xfId="0" applyFont="1" applyAlignment="1"/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165" fontId="7" fillId="5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6" fillId="2" borderId="0" xfId="0" applyFont="1" applyFill="1" applyAlignment="1">
      <alignment horizontal="center" vertical="top"/>
    </xf>
    <xf numFmtId="164" fontId="14" fillId="5" borderId="0" xfId="0" applyNumberFormat="1" applyFont="1" applyFill="1" applyAlignment="1">
      <alignment horizontal="left"/>
    </xf>
    <xf numFmtId="164" fontId="12" fillId="5" borderId="0" xfId="0" applyNumberFormat="1" applyFont="1" applyFill="1" applyAlignment="1">
      <alignment horizontal="left"/>
    </xf>
    <xf numFmtId="0" fontId="3" fillId="20" borderId="0" xfId="0" applyFont="1" applyFill="1" applyAlignment="1">
      <alignment horizontal="left" vertical="top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/>
    <xf numFmtId="170" fontId="14" fillId="5" borderId="0" xfId="0" applyNumberFormat="1" applyFont="1" applyFill="1" applyAlignment="1">
      <alignment horizontal="left"/>
    </xf>
    <xf numFmtId="0" fontId="13" fillId="0" borderId="0" xfId="0" applyFont="1" applyAlignme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18" fillId="17" borderId="0" xfId="0" applyFont="1" applyFill="1" applyAlignment="1"/>
    <xf numFmtId="0" fontId="0" fillId="18" borderId="0" xfId="0" applyFont="1" applyFill="1" applyAlignment="1"/>
    <xf numFmtId="0" fontId="18" fillId="17" borderId="0" xfId="0" applyFont="1" applyFill="1" applyAlignment="1">
      <alignment horizontal="left"/>
    </xf>
    <xf numFmtId="3" fontId="2" fillId="17" borderId="0" xfId="0" applyNumberFormat="1" applyFont="1" applyFill="1" applyAlignment="1">
      <alignment horizontal="right"/>
    </xf>
    <xf numFmtId="0" fontId="18" fillId="0" borderId="0" xfId="0" applyFont="1" applyAlignment="1"/>
    <xf numFmtId="0" fontId="18" fillId="14" borderId="0" xfId="0" applyFont="1" applyFill="1" applyAlignment="1"/>
    <xf numFmtId="0" fontId="0" fillId="15" borderId="0" xfId="0" applyFont="1" applyFill="1" applyAlignment="1"/>
    <xf numFmtId="0" fontId="18" fillId="14" borderId="0" xfId="0" applyFont="1" applyFill="1" applyAlignment="1">
      <alignment horizontal="left"/>
    </xf>
    <xf numFmtId="3" fontId="2" fillId="14" borderId="0" xfId="0" applyNumberFormat="1" applyFont="1" applyFill="1" applyAlignment="1">
      <alignment horizontal="right"/>
    </xf>
    <xf numFmtId="164" fontId="18" fillId="17" borderId="0" xfId="0" applyNumberFormat="1" applyFont="1" applyFill="1" applyAlignment="1">
      <alignment horizontal="right"/>
    </xf>
    <xf numFmtId="0" fontId="18" fillId="11" borderId="0" xfId="0" applyFont="1" applyFill="1" applyAlignment="1"/>
    <xf numFmtId="0" fontId="0" fillId="13" borderId="0" xfId="0" applyFont="1" applyFill="1" applyAlignment="1"/>
    <xf numFmtId="164" fontId="18" fillId="11" borderId="0" xfId="0" applyNumberFormat="1" applyFont="1" applyFill="1" applyAlignment="1">
      <alignment horizontal="right"/>
    </xf>
    <xf numFmtId="0" fontId="18" fillId="11" borderId="0" xfId="0" applyFont="1" applyFill="1" applyAlignment="1">
      <alignment horizontal="left"/>
    </xf>
    <xf numFmtId="3" fontId="2" fillId="11" borderId="0" xfId="0" applyNumberFormat="1" applyFont="1" applyFill="1" applyAlignment="1">
      <alignment horizontal="right"/>
    </xf>
    <xf numFmtId="0" fontId="2" fillId="0" borderId="0" xfId="0" applyFont="1" applyAlignment="1">
      <alignment horizontal="center"/>
    </xf>
    <xf numFmtId="0" fontId="18" fillId="10" borderId="0" xfId="0" applyFont="1" applyFill="1" applyAlignment="1"/>
    <xf numFmtId="0" fontId="18" fillId="10" borderId="0" xfId="0" applyFont="1" applyFill="1" applyAlignment="1">
      <alignment horizontal="left"/>
    </xf>
    <xf numFmtId="3" fontId="2" fillId="10" borderId="0" xfId="0" applyNumberFormat="1" applyFont="1" applyFill="1" applyAlignment="1">
      <alignment horizontal="right"/>
    </xf>
    <xf numFmtId="0" fontId="14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170" fontId="0" fillId="0" borderId="0" xfId="0" applyNumberFormat="1" applyFont="1" applyAlignment="1"/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70" fontId="6" fillId="34" borderId="0" xfId="0" applyNumberFormat="1" applyFont="1" applyFill="1" applyAlignment="1">
      <alignment horizontal="center" vertical="top"/>
    </xf>
    <xf numFmtId="170" fontId="0" fillId="35" borderId="0" xfId="0" applyNumberFormat="1" applyFont="1" applyFill="1" applyAlignment="1"/>
    <xf numFmtId="170" fontId="7" fillId="5" borderId="0" xfId="0" applyNumberFormat="1" applyFont="1" applyFill="1" applyAlignment="1">
      <alignment horizontal="left"/>
    </xf>
    <xf numFmtId="170" fontId="12" fillId="5" borderId="0" xfId="0" applyNumberFormat="1" applyFont="1" applyFill="1" applyAlignment="1">
      <alignment horizontal="left"/>
    </xf>
    <xf numFmtId="0" fontId="23" fillId="29" borderId="0" xfId="0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0" fontId="8" fillId="0" borderId="0" xfId="0" applyFont="1" applyAlignment="1"/>
    <xf numFmtId="0" fontId="6" fillId="8" borderId="0" xfId="0" applyFont="1" applyFill="1" applyAlignment="1">
      <alignment horizontal="center" vertical="top"/>
    </xf>
    <xf numFmtId="0" fontId="21" fillId="26" borderId="0" xfId="0" applyFont="1" applyFill="1" applyAlignment="1"/>
    <xf numFmtId="0" fontId="3" fillId="0" borderId="0" xfId="0" applyFont="1" applyAlignment="1">
      <alignment horizontal="center"/>
    </xf>
    <xf numFmtId="164" fontId="7" fillId="24" borderId="0" xfId="0" applyNumberFormat="1" applyFont="1" applyFill="1" applyAlignment="1">
      <alignment horizontal="left"/>
    </xf>
    <xf numFmtId="0" fontId="0" fillId="26" borderId="0" xfId="0" applyFont="1" applyFill="1" applyAlignment="1"/>
    <xf numFmtId="3" fontId="0" fillId="0" borderId="0" xfId="0" applyNumberFormat="1" applyFont="1" applyAlignment="1"/>
    <xf numFmtId="170" fontId="2" fillId="0" borderId="0" xfId="0" applyNumberFormat="1" applyFont="1" applyFill="1" applyAlignment="1">
      <alignment horizontal="left"/>
    </xf>
    <xf numFmtId="14" fontId="0" fillId="15" borderId="0" xfId="0" applyNumberFormat="1" applyFont="1" applyFill="1" applyAlignment="1">
      <alignment horizontal="left"/>
    </xf>
    <xf numFmtId="0" fontId="8" fillId="15" borderId="0" xfId="0" applyFont="1" applyFill="1" applyAlignment="1"/>
    <xf numFmtId="3" fontId="0" fillId="15" borderId="0" xfId="0" applyNumberFormat="1" applyFont="1" applyFill="1" applyAlignment="1"/>
    <xf numFmtId="14" fontId="13" fillId="16" borderId="0" xfId="0" applyNumberFormat="1" applyFont="1" applyFill="1" applyAlignment="1">
      <alignment horizontal="left"/>
    </xf>
    <xf numFmtId="165" fontId="13" fillId="16" borderId="0" xfId="0" applyNumberFormat="1" applyFont="1" applyFill="1" applyAlignment="1"/>
    <xf numFmtId="165" fontId="13" fillId="16" borderId="0" xfId="0" applyNumberFormat="1" applyFont="1" applyFill="1" applyAlignment="1">
      <alignment horizontal="right"/>
    </xf>
    <xf numFmtId="0" fontId="2" fillId="16" borderId="0" xfId="0" applyFont="1" applyFill="1" applyAlignment="1"/>
    <xf numFmtId="0" fontId="18" fillId="16" borderId="0" xfId="0" applyFont="1" applyFill="1" applyAlignment="1"/>
    <xf numFmtId="165" fontId="18" fillId="16" borderId="0" xfId="0" applyNumberFormat="1" applyFont="1" applyFill="1" applyAlignment="1"/>
    <xf numFmtId="0" fontId="18" fillId="16" borderId="0" xfId="0" applyFont="1" applyFill="1" applyAlignment="1">
      <alignment horizontal="left"/>
    </xf>
    <xf numFmtId="164" fontId="13" fillId="16" borderId="0" xfId="0" applyNumberFormat="1" applyFont="1" applyFill="1" applyAlignment="1">
      <alignment horizontal="right"/>
    </xf>
    <xf numFmtId="3" fontId="19" fillId="16" borderId="0" xfId="0" applyNumberFormat="1" applyFont="1" applyFill="1" applyAlignment="1">
      <alignment horizontal="right"/>
    </xf>
    <xf numFmtId="164" fontId="3" fillId="16" borderId="0" xfId="0" applyNumberFormat="1" applyFont="1" applyFill="1"/>
    <xf numFmtId="164" fontId="18" fillId="16" borderId="0" xfId="0" applyNumberFormat="1" applyFont="1" applyFill="1" applyAlignment="1">
      <alignment horizontal="right"/>
    </xf>
    <xf numFmtId="3" fontId="3" fillId="16" borderId="0" xfId="0" applyNumberFormat="1" applyFont="1" applyFill="1" applyAlignment="1">
      <alignment horizontal="right"/>
    </xf>
    <xf numFmtId="164" fontId="20" fillId="16" borderId="0" xfId="0" applyNumberFormat="1" applyFont="1" applyFill="1" applyAlignment="1">
      <alignment horizontal="right"/>
    </xf>
    <xf numFmtId="0" fontId="2" fillId="16" borderId="0" xfId="0" applyFont="1" applyFill="1"/>
    <xf numFmtId="0" fontId="3" fillId="16" borderId="0" xfId="0" applyFont="1" applyFill="1"/>
    <xf numFmtId="3" fontId="2" fillId="16" borderId="0" xfId="0" applyNumberFormat="1" applyFont="1" applyFill="1" applyAlignment="1">
      <alignment horizontal="right"/>
    </xf>
    <xf numFmtId="164" fontId="2" fillId="16" borderId="0" xfId="0" applyNumberFormat="1" applyFont="1" applyFill="1"/>
    <xf numFmtId="14" fontId="0" fillId="18" borderId="0" xfId="0" applyNumberFormat="1" applyFont="1" applyFill="1" applyAlignment="1">
      <alignment horizontal="left"/>
    </xf>
    <xf numFmtId="3" fontId="0" fillId="18" borderId="0" xfId="0" applyNumberFormat="1" applyFont="1" applyFill="1" applyAlignment="1"/>
    <xf numFmtId="0" fontId="8" fillId="18" borderId="0" xfId="0" applyFont="1" applyFill="1" applyAlignment="1"/>
    <xf numFmtId="0" fontId="18" fillId="19" borderId="0" xfId="0" applyFont="1" applyFill="1" applyAlignment="1"/>
    <xf numFmtId="165" fontId="18" fillId="19" borderId="0" xfId="0" applyNumberFormat="1" applyFont="1" applyFill="1" applyAlignment="1"/>
    <xf numFmtId="0" fontId="18" fillId="19" borderId="0" xfId="0" applyFont="1" applyFill="1" applyAlignment="1">
      <alignment horizontal="left"/>
    </xf>
    <xf numFmtId="164" fontId="13" fillId="19" borderId="0" xfId="0" applyNumberFormat="1" applyFont="1" applyFill="1" applyAlignment="1">
      <alignment horizontal="right"/>
    </xf>
    <xf numFmtId="3" fontId="19" fillId="19" borderId="0" xfId="0" applyNumberFormat="1" applyFont="1" applyFill="1" applyAlignment="1">
      <alignment horizontal="right"/>
    </xf>
    <xf numFmtId="164" fontId="3" fillId="19" borderId="0" xfId="0" applyNumberFormat="1" applyFont="1" applyFill="1"/>
    <xf numFmtId="164" fontId="18" fillId="19" borderId="0" xfId="0" applyNumberFormat="1" applyFont="1" applyFill="1" applyAlignment="1">
      <alignment horizontal="right"/>
    </xf>
    <xf numFmtId="3" fontId="3" fillId="19" borderId="0" xfId="0" applyNumberFormat="1" applyFont="1" applyFill="1" applyAlignment="1">
      <alignment horizontal="right"/>
    </xf>
    <xf numFmtId="164" fontId="20" fillId="19" borderId="0" xfId="0" applyNumberFormat="1" applyFont="1" applyFill="1" applyAlignment="1">
      <alignment horizontal="right"/>
    </xf>
    <xf numFmtId="0" fontId="2" fillId="19" borderId="0" xfId="0" applyFont="1" applyFill="1"/>
    <xf numFmtId="0" fontId="3" fillId="19" borderId="0" xfId="0" applyFont="1" applyFill="1"/>
    <xf numFmtId="3" fontId="2" fillId="19" borderId="0" xfId="0" applyNumberFormat="1" applyFont="1" applyFill="1" applyAlignment="1">
      <alignment horizontal="right"/>
    </xf>
    <xf numFmtId="164" fontId="2" fillId="19" borderId="0" xfId="0" applyNumberFormat="1" applyFont="1" applyFill="1"/>
    <xf numFmtId="14" fontId="0" fillId="13" borderId="0" xfId="0" applyNumberFormat="1" applyFont="1" applyFill="1" applyAlignment="1">
      <alignment horizontal="left"/>
    </xf>
    <xf numFmtId="0" fontId="8" fillId="13" borderId="0" xfId="0" applyFont="1" applyFill="1" applyAlignment="1"/>
    <xf numFmtId="3" fontId="0" fillId="13" borderId="0" xfId="0" applyNumberFormat="1" applyFont="1" applyFill="1" applyAlignment="1"/>
    <xf numFmtId="14" fontId="0" fillId="36" borderId="0" xfId="0" applyNumberFormat="1" applyFont="1" applyFill="1" applyAlignment="1">
      <alignment horizontal="left"/>
    </xf>
    <xf numFmtId="0" fontId="0" fillId="36" borderId="0" xfId="0" applyFont="1" applyFill="1" applyAlignment="1"/>
    <xf numFmtId="3" fontId="0" fillId="36" borderId="0" xfId="0" applyNumberFormat="1" applyFont="1" applyFill="1" applyAlignment="1"/>
    <xf numFmtId="0" fontId="18" fillId="37" borderId="0" xfId="0" applyFont="1" applyFill="1" applyAlignment="1"/>
    <xf numFmtId="0" fontId="0" fillId="36" borderId="0" xfId="0" applyFont="1" applyFill="1" applyAlignment="1"/>
    <xf numFmtId="165" fontId="18" fillId="37" borderId="0" xfId="0" applyNumberFormat="1" applyFont="1" applyFill="1" applyAlignment="1"/>
    <xf numFmtId="0" fontId="18" fillId="37" borderId="0" xfId="0" applyFont="1" applyFill="1" applyAlignment="1">
      <alignment horizontal="left"/>
    </xf>
    <xf numFmtId="164" fontId="13" fillId="37" borderId="0" xfId="0" applyNumberFormat="1" applyFont="1" applyFill="1" applyAlignment="1">
      <alignment horizontal="right"/>
    </xf>
    <xf numFmtId="3" fontId="19" fillId="37" borderId="0" xfId="0" applyNumberFormat="1" applyFont="1" applyFill="1" applyAlignment="1">
      <alignment horizontal="right"/>
    </xf>
    <xf numFmtId="164" fontId="18" fillId="37" borderId="0" xfId="0" applyNumberFormat="1" applyFont="1" applyFill="1" applyAlignment="1">
      <alignment horizontal="right"/>
    </xf>
    <xf numFmtId="3" fontId="3" fillId="37" borderId="0" xfId="0" applyNumberFormat="1" applyFont="1" applyFill="1" applyAlignment="1">
      <alignment horizontal="right"/>
    </xf>
    <xf numFmtId="164" fontId="20" fillId="37" borderId="0" xfId="0" applyNumberFormat="1" applyFont="1" applyFill="1" applyAlignment="1">
      <alignment horizontal="right"/>
    </xf>
    <xf numFmtId="164" fontId="18" fillId="38" borderId="0" xfId="0" applyNumberFormat="1" applyFont="1" applyFill="1" applyAlignment="1">
      <alignment horizontal="right"/>
    </xf>
    <xf numFmtId="0" fontId="3" fillId="37" borderId="0" xfId="0" applyFont="1" applyFill="1"/>
    <xf numFmtId="3" fontId="2" fillId="37" borderId="0" xfId="0" applyNumberFormat="1" applyFont="1" applyFill="1" applyAlignment="1">
      <alignment horizontal="right"/>
    </xf>
    <xf numFmtId="164" fontId="18" fillId="37" borderId="0" xfId="0" applyNumberFormat="1" applyFont="1" applyFill="1" applyAlignment="1">
      <alignment horizontal="right"/>
    </xf>
    <xf numFmtId="164" fontId="2" fillId="37" borderId="0" xfId="0" applyNumberFormat="1" applyFont="1" applyFill="1"/>
    <xf numFmtId="0" fontId="2" fillId="39" borderId="0" xfId="0" applyFont="1" applyFill="1" applyAlignment="1"/>
    <xf numFmtId="165" fontId="18" fillId="39" borderId="0" xfId="0" applyNumberFormat="1" applyFont="1" applyFill="1" applyAlignment="1"/>
    <xf numFmtId="0" fontId="18" fillId="39" borderId="0" xfId="0" applyFont="1" applyFill="1" applyAlignment="1">
      <alignment horizontal="left"/>
    </xf>
    <xf numFmtId="164" fontId="13" fillId="39" borderId="0" xfId="0" applyNumberFormat="1" applyFont="1" applyFill="1" applyAlignment="1">
      <alignment horizontal="right"/>
    </xf>
    <xf numFmtId="3" fontId="19" fillId="39" borderId="0" xfId="0" applyNumberFormat="1" applyFont="1" applyFill="1" applyAlignment="1">
      <alignment horizontal="right"/>
    </xf>
    <xf numFmtId="164" fontId="3" fillId="39" borderId="0" xfId="0" applyNumberFormat="1" applyFont="1" applyFill="1"/>
    <xf numFmtId="164" fontId="18" fillId="39" borderId="0" xfId="0" applyNumberFormat="1" applyFont="1" applyFill="1" applyAlignment="1">
      <alignment horizontal="right"/>
    </xf>
    <xf numFmtId="3" fontId="3" fillId="39" borderId="0" xfId="0" applyNumberFormat="1" applyFont="1" applyFill="1" applyAlignment="1">
      <alignment horizontal="right"/>
    </xf>
    <xf numFmtId="164" fontId="20" fillId="39" borderId="0" xfId="0" applyNumberFormat="1" applyFont="1" applyFill="1" applyAlignment="1">
      <alignment horizontal="right"/>
    </xf>
    <xf numFmtId="0" fontId="3" fillId="39" borderId="0" xfId="0" applyFont="1" applyFill="1"/>
    <xf numFmtId="3" fontId="2" fillId="39" borderId="0" xfId="0" applyNumberFormat="1" applyFont="1" applyFill="1" applyAlignment="1">
      <alignment horizontal="right"/>
    </xf>
    <xf numFmtId="164" fontId="18" fillId="39" borderId="0" xfId="0" applyNumberFormat="1" applyFont="1" applyFill="1" applyAlignment="1">
      <alignment horizontal="right"/>
    </xf>
    <xf numFmtId="164" fontId="2" fillId="39" borderId="0" xfId="0" applyNumberFormat="1" applyFont="1" applyFill="1"/>
    <xf numFmtId="0" fontId="8" fillId="15" borderId="0" xfId="0" applyFont="1" applyFill="1" applyAlignment="1"/>
    <xf numFmtId="14" fontId="25" fillId="15" borderId="0" xfId="0" applyNumberFormat="1" applyFont="1" applyFill="1" applyAlignment="1">
      <alignment horizontal="left"/>
    </xf>
    <xf numFmtId="0" fontId="25" fillId="15" borderId="0" xfId="0" applyFont="1" applyFill="1" applyAlignment="1"/>
    <xf numFmtId="16" fontId="25" fillId="15" borderId="0" xfId="0" applyNumberFormat="1" applyFont="1" applyFill="1" applyAlignment="1"/>
    <xf numFmtId="164" fontId="25" fillId="0" borderId="0" xfId="0" applyNumberFormat="1" applyFont="1" applyAlignment="1">
      <alignment horizontal="right"/>
    </xf>
    <xf numFmtId="0" fontId="25" fillId="0" borderId="0" xfId="0" applyFont="1" applyAlignment="1"/>
    <xf numFmtId="3" fontId="25" fillId="0" borderId="0" xfId="0" applyNumberFormat="1" applyFont="1" applyAlignment="1">
      <alignment horizontal="right"/>
    </xf>
    <xf numFmtId="170" fontId="25" fillId="0" borderId="0" xfId="0" applyNumberFormat="1" applyFont="1" applyAlignment="1"/>
    <xf numFmtId="3" fontId="25" fillId="15" borderId="0" xfId="0" applyNumberFormat="1" applyFont="1" applyFill="1" applyAlignment="1"/>
    <xf numFmtId="17" fontId="25" fillId="15" borderId="0" xfId="0" applyNumberFormat="1" applyFont="1" applyFill="1" applyAlignment="1"/>
    <xf numFmtId="0" fontId="25" fillId="15" borderId="0" xfId="0" applyFont="1" applyFill="1" applyAlignment="1"/>
    <xf numFmtId="14" fontId="25" fillId="18" borderId="0" xfId="0" applyNumberFormat="1" applyFont="1" applyFill="1" applyAlignment="1">
      <alignment horizontal="left"/>
    </xf>
    <xf numFmtId="0" fontId="25" fillId="18" borderId="0" xfId="0" applyFont="1" applyFill="1" applyAlignment="1"/>
    <xf numFmtId="164" fontId="25" fillId="0" borderId="0" xfId="0" applyNumberFormat="1" applyFont="1"/>
    <xf numFmtId="14" fontId="25" fillId="13" borderId="0" xfId="0" applyNumberFormat="1" applyFont="1" applyFill="1" applyAlignment="1">
      <alignment horizontal="left"/>
    </xf>
    <xf numFmtId="0" fontId="25" fillId="13" borderId="0" xfId="0" applyFont="1" applyFill="1" applyAlignment="1"/>
    <xf numFmtId="3" fontId="25" fillId="13" borderId="0" xfId="0" applyNumberFormat="1" applyFont="1" applyFill="1" applyAlignment="1"/>
    <xf numFmtId="14" fontId="26" fillId="13" borderId="0" xfId="0" applyNumberFormat="1" applyFont="1" applyFill="1" applyAlignment="1">
      <alignment horizontal="left"/>
    </xf>
    <xf numFmtId="0" fontId="26" fillId="13" borderId="0" xfId="0" applyFont="1" applyFill="1" applyAlignment="1"/>
    <xf numFmtId="3" fontId="26" fillId="13" borderId="0" xfId="0" applyNumberFormat="1" applyFont="1" applyFill="1" applyAlignment="1"/>
    <xf numFmtId="0" fontId="26" fillId="0" borderId="0" xfId="0" applyFont="1" applyAlignment="1"/>
    <xf numFmtId="170" fontId="26" fillId="0" borderId="0" xfId="0" applyNumberFormat="1" applyFont="1" applyAlignment="1"/>
    <xf numFmtId="14" fontId="26" fillId="15" borderId="0" xfId="0" applyNumberFormat="1" applyFont="1" applyFill="1" applyAlignment="1">
      <alignment horizontal="left"/>
    </xf>
    <xf numFmtId="0" fontId="26" fillId="15" borderId="0" xfId="0" applyFont="1" applyFill="1" applyAlignment="1"/>
    <xf numFmtId="3" fontId="26" fillId="15" borderId="0" xfId="0" applyNumberFormat="1" applyFont="1" applyFill="1" applyAlignment="1"/>
    <xf numFmtId="164" fontId="26" fillId="0" borderId="0" xfId="0" applyNumberFormat="1" applyFont="1" applyAlignment="1">
      <alignment horizontal="right"/>
    </xf>
    <xf numFmtId="3" fontId="26" fillId="0" borderId="0" xfId="0" applyNumberFormat="1" applyFont="1" applyAlignment="1">
      <alignment horizontal="right"/>
    </xf>
    <xf numFmtId="17" fontId="26" fillId="15" borderId="0" xfId="0" applyNumberFormat="1" applyFont="1" applyFill="1" applyAlignment="1"/>
    <xf numFmtId="16" fontId="26" fillId="15" borderId="0" xfId="0" applyNumberFormat="1" applyFont="1" applyFill="1" applyAlignment="1"/>
    <xf numFmtId="0" fontId="26" fillId="15" borderId="0" xfId="0" applyFont="1" applyFill="1" applyAlignment="1"/>
    <xf numFmtId="14" fontId="7" fillId="16" borderId="0" xfId="0" applyNumberFormat="1" applyFont="1" applyFill="1" applyAlignment="1">
      <alignment horizontal="left"/>
    </xf>
    <xf numFmtId="0" fontId="7" fillId="16" borderId="0" xfId="0" applyFont="1" applyFill="1" applyAlignment="1"/>
    <xf numFmtId="165" fontId="7" fillId="16" borderId="0" xfId="0" applyNumberFormat="1" applyFont="1" applyFill="1" applyAlignment="1"/>
    <xf numFmtId="0" fontId="7" fillId="16" borderId="0" xfId="0" applyFont="1" applyFill="1" applyAlignment="1">
      <alignment horizontal="left"/>
    </xf>
    <xf numFmtId="3" fontId="7" fillId="16" borderId="0" xfId="0" applyNumberFormat="1" applyFont="1" applyFill="1" applyAlignment="1">
      <alignment horizontal="right"/>
    </xf>
    <xf numFmtId="165" fontId="7" fillId="16" borderId="0" xfId="0" applyNumberFormat="1" applyFont="1" applyFill="1" applyAlignment="1">
      <alignment horizontal="right"/>
    </xf>
    <xf numFmtId="0" fontId="27" fillId="0" borderId="0" xfId="0" applyFont="1" applyAlignment="1"/>
    <xf numFmtId="14" fontId="25" fillId="36" borderId="0" xfId="0" applyNumberFormat="1" applyFont="1" applyFill="1" applyAlignment="1">
      <alignment horizontal="left"/>
    </xf>
    <xf numFmtId="0" fontId="25" fillId="36" borderId="0" xfId="0" applyFont="1" applyFill="1" applyAlignment="1"/>
    <xf numFmtId="3" fontId="25" fillId="36" borderId="0" xfId="0" applyNumberFormat="1" applyFont="1" applyFill="1" applyAlignment="1"/>
    <xf numFmtId="14" fontId="26" fillId="36" borderId="0" xfId="0" applyNumberFormat="1" applyFont="1" applyFill="1" applyAlignment="1">
      <alignment horizontal="left"/>
    </xf>
    <xf numFmtId="0" fontId="26" fillId="36" borderId="0" xfId="0" applyFont="1" applyFill="1" applyAlignment="1"/>
    <xf numFmtId="3" fontId="26" fillId="36" borderId="0" xfId="0" applyNumberFormat="1" applyFont="1" applyFill="1" applyAlignment="1"/>
    <xf numFmtId="0" fontId="26" fillId="13" borderId="0" xfId="0" applyFont="1" applyFill="1" applyAlignment="1"/>
    <xf numFmtId="0" fontId="25" fillId="18" borderId="0" xfId="0" applyFont="1" applyFill="1" applyAlignment="1"/>
    <xf numFmtId="0" fontId="26" fillId="36" borderId="0" xfId="0" applyFont="1" applyFill="1" applyAlignment="1"/>
    <xf numFmtId="0" fontId="7" fillId="16" borderId="0" xfId="0" applyFont="1" applyFill="1" applyAlignment="1"/>
    <xf numFmtId="0" fontId="8" fillId="18" borderId="0" xfId="0" applyFont="1" applyFill="1" applyAlignment="1"/>
    <xf numFmtId="0" fontId="7" fillId="17" borderId="0" xfId="0" applyFont="1" applyFill="1" applyAlignment="1"/>
    <xf numFmtId="0" fontId="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" fontId="25" fillId="0" borderId="0" xfId="0" applyNumberFormat="1" applyFont="1" applyAlignment="1"/>
    <xf numFmtId="3" fontId="25" fillId="0" borderId="0" xfId="0" applyNumberFormat="1" applyFont="1" applyAlignment="1"/>
    <xf numFmtId="3" fontId="26" fillId="0" borderId="0" xfId="0" applyNumberFormat="1" applyFont="1" applyAlignment="1"/>
    <xf numFmtId="14" fontId="3" fillId="16" borderId="0" xfId="0" applyNumberFormat="1" applyFont="1" applyFill="1" applyAlignment="1">
      <alignment horizontal="left"/>
    </xf>
    <xf numFmtId="1" fontId="7" fillId="0" borderId="0" xfId="0" applyNumberFormat="1" applyFont="1" applyAlignment="1"/>
    <xf numFmtId="164" fontId="26" fillId="0" borderId="0" xfId="0" applyNumberFormat="1" applyFont="1"/>
    <xf numFmtId="3" fontId="25" fillId="18" borderId="0" xfId="0" applyNumberFormat="1" applyFont="1" applyFill="1" applyAlignment="1"/>
    <xf numFmtId="14" fontId="26" fillId="18" borderId="0" xfId="0" applyNumberFormat="1" applyFont="1" applyFill="1" applyAlignment="1">
      <alignment horizontal="left"/>
    </xf>
    <xf numFmtId="0" fontId="26" fillId="18" borderId="0" xfId="0" applyFont="1" applyFill="1" applyAlignment="1"/>
    <xf numFmtId="3" fontId="26" fillId="18" borderId="0" xfId="0" applyNumberFormat="1" applyFont="1" applyFill="1" applyAlignment="1"/>
    <xf numFmtId="0" fontId="26" fillId="18" borderId="0" xfId="0" applyFont="1" applyFill="1" applyAlignment="1"/>
    <xf numFmtId="14" fontId="7" fillId="19" borderId="0" xfId="0" applyNumberFormat="1" applyFont="1" applyFill="1" applyAlignment="1">
      <alignment horizontal="left"/>
    </xf>
    <xf numFmtId="0" fontId="7" fillId="19" borderId="0" xfId="0" applyFont="1" applyFill="1" applyAlignment="1"/>
    <xf numFmtId="180" fontId="7" fillId="0" borderId="0" xfId="0" applyNumberFormat="1" applyFont="1" applyAlignment="1">
      <alignment horizontal="right"/>
    </xf>
    <xf numFmtId="0" fontId="2" fillId="16" borderId="0" xfId="0" applyFont="1" applyFill="1" applyAlignment="1">
      <alignment horizontal="left"/>
    </xf>
    <xf numFmtId="181" fontId="3" fillId="16" borderId="0" xfId="0" applyNumberFormat="1" applyFont="1" applyFill="1" applyAlignment="1">
      <alignment horizontal="right"/>
    </xf>
    <xf numFmtId="0" fontId="2" fillId="19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2" fillId="37" borderId="0" xfId="0" applyFont="1" applyFill="1" applyAlignment="1">
      <alignment horizontal="left"/>
    </xf>
    <xf numFmtId="0" fontId="2" fillId="17" borderId="0" xfId="0" applyFont="1" applyFill="1" applyAlignment="1">
      <alignment horizontal="left"/>
    </xf>
    <xf numFmtId="0" fontId="2" fillId="39" borderId="0" xfId="0" applyFont="1" applyFill="1" applyAlignment="1">
      <alignment horizontal="left"/>
    </xf>
    <xf numFmtId="181" fontId="3" fillId="19" borderId="0" xfId="0" applyNumberFormat="1" applyFont="1" applyFill="1" applyAlignment="1">
      <alignment horizontal="right"/>
    </xf>
    <xf numFmtId="181" fontId="3" fillId="12" borderId="0" xfId="0" applyNumberFormat="1" applyFont="1" applyFill="1" applyAlignment="1">
      <alignment horizontal="right"/>
    </xf>
    <xf numFmtId="181" fontId="3" fillId="38" borderId="0" xfId="0" applyNumberFormat="1" applyFont="1" applyFill="1" applyAlignment="1">
      <alignment horizontal="right"/>
    </xf>
    <xf numFmtId="14" fontId="7" fillId="11" borderId="0" xfId="0" applyNumberFormat="1" applyFont="1" applyFill="1" applyAlignment="1">
      <alignment horizontal="left"/>
    </xf>
    <xf numFmtId="0" fontId="7" fillId="11" borderId="0" xfId="0" applyFont="1" applyFill="1" applyAlignment="1"/>
    <xf numFmtId="14" fontId="7" fillId="37" borderId="0" xfId="0" applyNumberFormat="1" applyFont="1" applyFill="1" applyAlignment="1">
      <alignment horizontal="left"/>
    </xf>
    <xf numFmtId="0" fontId="7" fillId="37" borderId="0" xfId="0" applyFont="1" applyFill="1" applyAlignment="1"/>
    <xf numFmtId="14" fontId="7" fillId="39" borderId="0" xfId="0" applyNumberFormat="1" applyFont="1" applyFill="1" applyAlignment="1">
      <alignment horizontal="left"/>
    </xf>
    <xf numFmtId="0" fontId="7" fillId="39" borderId="0" xfId="0" applyFont="1" applyFill="1" applyAlignment="1"/>
    <xf numFmtId="165" fontId="7" fillId="39" borderId="0" xfId="0" applyNumberFormat="1" applyFont="1" applyFill="1" applyAlignment="1"/>
    <xf numFmtId="0" fontId="7" fillId="39" borderId="0" xfId="0" applyFont="1" applyFill="1" applyAlignment="1">
      <alignment horizontal="left"/>
    </xf>
    <xf numFmtId="3" fontId="7" fillId="39" borderId="0" xfId="0" applyNumberFormat="1" applyFont="1" applyFill="1" applyAlignment="1">
      <alignment horizontal="right"/>
    </xf>
    <xf numFmtId="165" fontId="7" fillId="39" borderId="0" xfId="0" applyNumberFormat="1" applyFont="1" applyFill="1" applyAlignment="1">
      <alignment horizontal="right"/>
    </xf>
    <xf numFmtId="164" fontId="3" fillId="40" borderId="0" xfId="0" applyNumberFormat="1" applyFont="1" applyFill="1"/>
    <xf numFmtId="14" fontId="3" fillId="10" borderId="0" xfId="0" applyNumberFormat="1" applyFont="1" applyFill="1" applyAlignment="1">
      <alignment horizontal="left"/>
    </xf>
    <xf numFmtId="0" fontId="3" fillId="10" borderId="0" xfId="0" applyFont="1" applyFill="1" applyAlignment="1"/>
    <xf numFmtId="0" fontId="3" fillId="10" borderId="0" xfId="0" applyFont="1" applyFill="1" applyAlignment="1">
      <alignment horizontal="left"/>
    </xf>
    <xf numFmtId="0" fontId="3" fillId="10" borderId="0" xfId="0" applyFont="1" applyFill="1" applyAlignment="1">
      <alignment horizontal="right"/>
    </xf>
    <xf numFmtId="0" fontId="3" fillId="0" borderId="0" xfId="0" applyFont="1"/>
    <xf numFmtId="165" fontId="3" fillId="10" borderId="0" xfId="0" applyNumberFormat="1" applyFont="1" applyFill="1" applyAlignment="1"/>
    <xf numFmtId="165" fontId="3" fillId="10" borderId="0" xfId="0" applyNumberFormat="1" applyFont="1" applyFill="1" applyAlignment="1">
      <alignment horizontal="left"/>
    </xf>
    <xf numFmtId="167" fontId="3" fillId="10" borderId="0" xfId="0" applyNumberFormat="1" applyFont="1" applyFill="1" applyAlignment="1">
      <alignment horizontal="right"/>
    </xf>
    <xf numFmtId="165" fontId="3" fillId="1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left"/>
    </xf>
    <xf numFmtId="164" fontId="14" fillId="27" borderId="0" xfId="0" applyNumberFormat="1" applyFont="1" applyFill="1" applyAlignment="1">
      <alignment horizontal="left"/>
    </xf>
    <xf numFmtId="14" fontId="25" fillId="10" borderId="0" xfId="0" applyNumberFormat="1" applyFont="1" applyFill="1" applyAlignment="1">
      <alignment horizontal="left"/>
    </xf>
    <xf numFmtId="165" fontId="25" fillId="10" borderId="0" xfId="0" applyNumberFormat="1" applyFont="1" applyFill="1" applyAlignment="1"/>
    <xf numFmtId="165" fontId="25" fillId="10" borderId="0" xfId="0" applyNumberFormat="1" applyFont="1" applyFill="1" applyAlignment="1">
      <alignment horizontal="left"/>
    </xf>
    <xf numFmtId="3" fontId="25" fillId="10" borderId="0" xfId="0" applyNumberFormat="1" applyFont="1" applyFill="1" applyAlignment="1">
      <alignment horizontal="right"/>
    </xf>
    <xf numFmtId="165" fontId="25" fillId="10" borderId="0" xfId="0" applyNumberFormat="1" applyFont="1" applyFill="1" applyAlignment="1">
      <alignment horizontal="right"/>
    </xf>
    <xf numFmtId="0" fontId="25" fillId="0" borderId="0" xfId="0" applyFont="1"/>
    <xf numFmtId="0" fontId="25" fillId="10" borderId="0" xfId="0" applyFont="1" applyFill="1" applyAlignment="1"/>
    <xf numFmtId="0" fontId="25" fillId="10" borderId="0" xfId="0" applyFont="1" applyFill="1" applyAlignment="1">
      <alignment horizontal="left"/>
    </xf>
    <xf numFmtId="14" fontId="7" fillId="10" borderId="0" xfId="0" applyNumberFormat="1" applyFont="1" applyFill="1" applyAlignment="1">
      <alignment horizontal="left"/>
    </xf>
    <xf numFmtId="0" fontId="7" fillId="10" borderId="0" xfId="0" applyFont="1" applyFill="1" applyAlignment="1"/>
    <xf numFmtId="165" fontId="7" fillId="10" borderId="0" xfId="0" applyNumberFormat="1" applyFont="1" applyFill="1" applyAlignment="1"/>
    <xf numFmtId="0" fontId="7" fillId="10" borderId="0" xfId="0" applyFont="1" applyFill="1" applyAlignment="1">
      <alignment horizontal="left"/>
    </xf>
    <xf numFmtId="3" fontId="7" fillId="10" borderId="0" xfId="0" applyNumberFormat="1" applyFont="1" applyFill="1" applyAlignment="1">
      <alignment horizontal="right"/>
    </xf>
    <xf numFmtId="165" fontId="7" fillId="10" borderId="0" xfId="0" applyNumberFormat="1" applyFont="1" applyFill="1" applyAlignment="1">
      <alignment horizontal="right"/>
    </xf>
    <xf numFmtId="14" fontId="3" fillId="11" borderId="0" xfId="0" applyNumberFormat="1" applyFont="1" applyFill="1" applyAlignment="1">
      <alignment horizontal="left"/>
    </xf>
    <xf numFmtId="165" fontId="3" fillId="11" borderId="0" xfId="0" applyNumberFormat="1" applyFont="1" applyFill="1" applyAlignment="1"/>
    <xf numFmtId="0" fontId="3" fillId="11" borderId="0" xfId="0" applyFont="1" applyFill="1" applyAlignment="1">
      <alignment horizontal="left"/>
    </xf>
    <xf numFmtId="165" fontId="3" fillId="11" borderId="0" xfId="0" applyNumberFormat="1" applyFont="1" applyFill="1" applyAlignment="1">
      <alignment horizontal="right"/>
    </xf>
    <xf numFmtId="167" fontId="3" fillId="11" borderId="0" xfId="0" applyNumberFormat="1" applyFont="1" applyFill="1" applyAlignment="1">
      <alignment horizontal="right"/>
    </xf>
    <xf numFmtId="0" fontId="3" fillId="11" borderId="0" xfId="0" applyFont="1" applyFill="1" applyAlignment="1">
      <alignment horizontal="right"/>
    </xf>
    <xf numFmtId="165" fontId="3" fillId="11" borderId="0" xfId="0" applyNumberFormat="1" applyFont="1" applyFill="1" applyAlignment="1">
      <alignment horizontal="left"/>
    </xf>
    <xf numFmtId="164" fontId="28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right"/>
    </xf>
    <xf numFmtId="164" fontId="28" fillId="0" borderId="0" xfId="0" applyNumberFormat="1" applyFont="1"/>
    <xf numFmtId="0" fontId="28" fillId="0" borderId="0" xfId="0" applyFont="1"/>
    <xf numFmtId="3" fontId="28" fillId="0" borderId="0" xfId="0" applyNumberFormat="1" applyFont="1" applyAlignment="1"/>
    <xf numFmtId="0" fontId="28" fillId="0" borderId="0" xfId="0" applyFont="1" applyAlignment="1"/>
    <xf numFmtId="14" fontId="25" fillId="11" borderId="0" xfId="0" applyNumberFormat="1" applyFont="1" applyFill="1" applyAlignment="1">
      <alignment horizontal="left"/>
    </xf>
    <xf numFmtId="165" fontId="25" fillId="11" borderId="0" xfId="0" applyNumberFormat="1" applyFont="1" applyFill="1" applyAlignment="1"/>
    <xf numFmtId="0" fontId="25" fillId="11" borderId="0" xfId="0" applyFont="1" applyFill="1" applyAlignment="1">
      <alignment horizontal="left"/>
    </xf>
    <xf numFmtId="3" fontId="25" fillId="11" borderId="0" xfId="0" applyNumberFormat="1" applyFont="1" applyFill="1" applyAlignment="1">
      <alignment horizontal="right"/>
    </xf>
    <xf numFmtId="0" fontId="25" fillId="11" borderId="0" xfId="0" applyFont="1" applyFill="1" applyAlignment="1">
      <alignment horizontal="right"/>
    </xf>
    <xf numFmtId="165" fontId="25" fillId="11" borderId="0" xfId="0" applyNumberFormat="1" applyFont="1" applyFill="1" applyAlignment="1">
      <alignment horizontal="right"/>
    </xf>
    <xf numFmtId="167" fontId="25" fillId="11" borderId="0" xfId="0" applyNumberFormat="1" applyFont="1" applyFill="1" applyAlignment="1">
      <alignment horizontal="right"/>
    </xf>
    <xf numFmtId="165" fontId="25" fillId="11" borderId="0" xfId="0" applyNumberFormat="1" applyFont="1" applyFill="1" applyAlignment="1">
      <alignment horizontal="left"/>
    </xf>
    <xf numFmtId="0" fontId="7" fillId="11" borderId="0" xfId="0" applyFont="1" applyFill="1" applyAlignment="1"/>
    <xf numFmtId="0" fontId="7" fillId="11" borderId="0" xfId="0" applyFont="1" applyFill="1" applyAlignment="1">
      <alignment horizontal="left"/>
    </xf>
    <xf numFmtId="3" fontId="7" fillId="11" borderId="0" xfId="0" applyNumberFormat="1" applyFont="1" applyFill="1" applyAlignment="1">
      <alignment horizontal="right"/>
    </xf>
    <xf numFmtId="165" fontId="7" fillId="11" borderId="0" xfId="0" applyNumberFormat="1" applyFont="1" applyFill="1" applyAlignment="1">
      <alignment horizontal="right"/>
    </xf>
    <xf numFmtId="14" fontId="29" fillId="14" borderId="0" xfId="0" applyNumberFormat="1" applyFont="1" applyFill="1" applyAlignment="1">
      <alignment horizontal="left"/>
    </xf>
    <xf numFmtId="165" fontId="29" fillId="14" borderId="0" xfId="0" applyNumberFormat="1" applyFont="1" applyFill="1" applyAlignment="1"/>
    <xf numFmtId="0" fontId="29" fillId="14" borderId="0" xfId="0" applyFont="1" applyFill="1" applyAlignment="1"/>
    <xf numFmtId="0" fontId="29" fillId="14" borderId="0" xfId="0" applyFont="1" applyFill="1" applyAlignment="1">
      <alignment horizontal="left"/>
    </xf>
    <xf numFmtId="3" fontId="29" fillId="14" borderId="0" xfId="0" applyNumberFormat="1" applyFont="1" applyFill="1" applyAlignment="1">
      <alignment horizontal="right"/>
    </xf>
    <xf numFmtId="0" fontId="29" fillId="14" borderId="0" xfId="0" applyFont="1" applyFill="1" applyAlignment="1">
      <alignment horizontal="right"/>
    </xf>
    <xf numFmtId="164" fontId="29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164" fontId="29" fillId="0" borderId="0" xfId="0" applyNumberFormat="1" applyFont="1"/>
    <xf numFmtId="0" fontId="29" fillId="0" borderId="0" xfId="0" applyFont="1"/>
    <xf numFmtId="3" fontId="29" fillId="0" borderId="0" xfId="0" applyNumberFormat="1" applyFont="1" applyAlignment="1"/>
    <xf numFmtId="0" fontId="29" fillId="0" borderId="0" xfId="0" applyFont="1" applyAlignment="1"/>
    <xf numFmtId="14" fontId="26" fillId="11" borderId="0" xfId="0" applyNumberFormat="1" applyFont="1" applyFill="1" applyAlignment="1">
      <alignment horizontal="left"/>
    </xf>
    <xf numFmtId="165" fontId="26" fillId="11" borderId="0" xfId="0" applyNumberFormat="1" applyFont="1" applyFill="1" applyAlignment="1"/>
    <xf numFmtId="0" fontId="26" fillId="11" borderId="0" xfId="0" applyFont="1" applyFill="1" applyAlignment="1">
      <alignment horizontal="left"/>
    </xf>
    <xf numFmtId="165" fontId="26" fillId="11" borderId="0" xfId="0" applyNumberFormat="1" applyFont="1" applyFill="1" applyAlignment="1">
      <alignment horizontal="right"/>
    </xf>
    <xf numFmtId="167" fontId="26" fillId="11" borderId="0" xfId="0" applyNumberFormat="1" applyFont="1" applyFill="1" applyAlignment="1">
      <alignment horizontal="right"/>
    </xf>
    <xf numFmtId="0" fontId="26" fillId="0" borderId="0" xfId="0" applyFont="1"/>
    <xf numFmtId="0" fontId="26" fillId="11" borderId="0" xfId="0" applyFont="1" applyFill="1" applyAlignment="1">
      <alignment horizontal="right"/>
    </xf>
    <xf numFmtId="165" fontId="26" fillId="11" borderId="0" xfId="0" applyNumberFormat="1" applyFont="1" applyFill="1" applyAlignment="1">
      <alignment horizontal="left"/>
    </xf>
    <xf numFmtId="165" fontId="26" fillId="11" borderId="0" xfId="0" applyNumberFormat="1" applyFont="1" applyFill="1" applyAlignment="1"/>
    <xf numFmtId="14" fontId="26" fillId="14" borderId="0" xfId="0" applyNumberFormat="1" applyFont="1" applyFill="1" applyAlignment="1">
      <alignment horizontal="left"/>
    </xf>
    <xf numFmtId="0" fontId="26" fillId="14" borderId="0" xfId="0" applyFont="1" applyFill="1" applyAlignment="1"/>
    <xf numFmtId="0" fontId="26" fillId="14" borderId="0" xfId="0" applyFont="1" applyFill="1" applyAlignment="1">
      <alignment horizontal="left"/>
    </xf>
    <xf numFmtId="3" fontId="26" fillId="14" borderId="0" xfId="0" applyNumberFormat="1" applyFont="1" applyFill="1" applyAlignment="1">
      <alignment horizontal="right"/>
    </xf>
    <xf numFmtId="0" fontId="26" fillId="14" borderId="0" xfId="0" applyFont="1" applyFill="1" applyAlignment="1">
      <alignment horizontal="right"/>
    </xf>
    <xf numFmtId="165" fontId="26" fillId="14" borderId="0" xfId="0" applyNumberFormat="1" applyFont="1" applyFill="1" applyAlignment="1"/>
    <xf numFmtId="165" fontId="26" fillId="14" borderId="0" xfId="0" applyNumberFormat="1" applyFont="1" applyFill="1" applyAlignment="1">
      <alignment horizontal="left"/>
    </xf>
    <xf numFmtId="167" fontId="26" fillId="14" borderId="0" xfId="0" applyNumberFormat="1" applyFont="1" applyFill="1" applyAlignment="1">
      <alignment horizontal="right"/>
    </xf>
    <xf numFmtId="0" fontId="26" fillId="14" borderId="0" xfId="0" applyFont="1" applyFill="1" applyAlignment="1"/>
    <xf numFmtId="0" fontId="29" fillId="14" borderId="0" xfId="0" applyFont="1" applyFill="1"/>
    <xf numFmtId="164" fontId="29" fillId="0" borderId="0" xfId="0" applyNumberFormat="1" applyFont="1" applyFill="1" applyAlignment="1">
      <alignment horizontal="right"/>
    </xf>
    <xf numFmtId="3" fontId="29" fillId="0" borderId="0" xfId="0" applyNumberFormat="1" applyFont="1" applyFill="1" applyAlignment="1">
      <alignment horizontal="right"/>
    </xf>
    <xf numFmtId="164" fontId="29" fillId="0" borderId="0" xfId="0" applyNumberFormat="1" applyFont="1" applyFill="1"/>
    <xf numFmtId="0" fontId="29" fillId="0" borderId="0" xfId="0" applyFont="1" applyFill="1"/>
    <xf numFmtId="3" fontId="29" fillId="0" borderId="0" xfId="0" applyNumberFormat="1" applyFont="1" applyFill="1"/>
    <xf numFmtId="0" fontId="29" fillId="15" borderId="0" xfId="0" applyFont="1" applyFill="1"/>
    <xf numFmtId="167" fontId="29" fillId="14" borderId="0" xfId="0" applyNumberFormat="1" applyFont="1" applyFill="1" applyAlignment="1">
      <alignment horizontal="right"/>
    </xf>
    <xf numFmtId="165" fontId="29" fillId="14" borderId="0" xfId="0" applyNumberFormat="1" applyFont="1" applyFill="1" applyAlignment="1">
      <alignment horizontal="left"/>
    </xf>
    <xf numFmtId="14" fontId="7" fillId="14" borderId="0" xfId="0" applyNumberFormat="1" applyFont="1" applyFill="1" applyAlignment="1">
      <alignment horizontal="left"/>
    </xf>
    <xf numFmtId="165" fontId="7" fillId="14" borderId="0" xfId="0" applyNumberFormat="1" applyFont="1" applyFill="1" applyAlignment="1"/>
    <xf numFmtId="0" fontId="7" fillId="14" borderId="0" xfId="0" applyFont="1" applyFill="1" applyAlignment="1">
      <alignment horizontal="left"/>
    </xf>
    <xf numFmtId="3" fontId="7" fillId="14" borderId="0" xfId="0" applyNumberFormat="1" applyFont="1" applyFill="1" applyAlignment="1">
      <alignment horizontal="right"/>
    </xf>
    <xf numFmtId="165" fontId="7" fillId="14" borderId="0" xfId="0" applyNumberFormat="1" applyFont="1" applyFill="1" applyAlignment="1">
      <alignment horizontal="right"/>
    </xf>
    <xf numFmtId="14" fontId="28" fillId="17" borderId="0" xfId="0" applyNumberFormat="1" applyFont="1" applyFill="1" applyAlignment="1">
      <alignment horizontal="left"/>
    </xf>
    <xf numFmtId="0" fontId="28" fillId="17" borderId="0" xfId="0" applyFont="1" applyFill="1" applyAlignment="1"/>
    <xf numFmtId="0" fontId="28" fillId="17" borderId="0" xfId="0" applyFont="1" applyFill="1" applyAlignment="1">
      <alignment horizontal="left"/>
    </xf>
    <xf numFmtId="3" fontId="28" fillId="17" borderId="0" xfId="0" applyNumberFormat="1" applyFont="1" applyFill="1" applyAlignment="1">
      <alignment horizontal="right"/>
    </xf>
    <xf numFmtId="0" fontId="28" fillId="17" borderId="0" xfId="0" applyFont="1" applyFill="1" applyAlignment="1">
      <alignment horizontal="right"/>
    </xf>
    <xf numFmtId="165" fontId="28" fillId="17" borderId="0" xfId="0" applyNumberFormat="1" applyFont="1" applyFill="1" applyAlignment="1"/>
    <xf numFmtId="165" fontId="28" fillId="17" borderId="0" xfId="0" applyNumberFormat="1" applyFont="1" applyFill="1" applyAlignment="1">
      <alignment horizontal="left"/>
    </xf>
    <xf numFmtId="165" fontId="28" fillId="17" borderId="0" xfId="0" applyNumberFormat="1" applyFont="1" applyFill="1" applyAlignment="1">
      <alignment horizontal="right"/>
    </xf>
    <xf numFmtId="14" fontId="30" fillId="17" borderId="0" xfId="0" applyNumberFormat="1" applyFont="1" applyFill="1" applyAlignment="1">
      <alignment horizontal="left"/>
    </xf>
    <xf numFmtId="0" fontId="30" fillId="17" borderId="0" xfId="0" applyFont="1" applyFill="1" applyAlignment="1"/>
    <xf numFmtId="0" fontId="30" fillId="17" borderId="0" xfId="0" applyFont="1" applyFill="1" applyAlignment="1">
      <alignment horizontal="left"/>
    </xf>
    <xf numFmtId="3" fontId="30" fillId="17" borderId="0" xfId="0" applyNumberFormat="1" applyFont="1" applyFill="1" applyAlignment="1">
      <alignment horizontal="right"/>
    </xf>
    <xf numFmtId="0" fontId="30" fillId="17" borderId="0" xfId="0" applyFont="1" applyFill="1" applyAlignment="1">
      <alignment horizontal="right"/>
    </xf>
    <xf numFmtId="164" fontId="30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right"/>
    </xf>
    <xf numFmtId="164" fontId="30" fillId="0" borderId="0" xfId="0" applyNumberFormat="1" applyFont="1"/>
    <xf numFmtId="0" fontId="30" fillId="0" borderId="0" xfId="0" applyFont="1"/>
    <xf numFmtId="3" fontId="30" fillId="0" borderId="0" xfId="0" applyNumberFormat="1" applyFont="1" applyAlignment="1"/>
    <xf numFmtId="0" fontId="30" fillId="0" borderId="0" xfId="0" applyFont="1" applyAlignment="1"/>
    <xf numFmtId="165" fontId="30" fillId="17" borderId="0" xfId="0" applyNumberFormat="1" applyFont="1" applyFill="1" applyAlignment="1"/>
    <xf numFmtId="165" fontId="30" fillId="17" borderId="0" xfId="0" applyNumberFormat="1" applyFont="1" applyFill="1" applyAlignment="1">
      <alignment horizontal="left"/>
    </xf>
    <xf numFmtId="167" fontId="30" fillId="17" borderId="0" xfId="0" applyNumberFormat="1" applyFont="1" applyFill="1" applyAlignment="1">
      <alignment horizontal="right"/>
    </xf>
    <xf numFmtId="165" fontId="30" fillId="17" borderId="0" xfId="0" applyNumberFormat="1" applyFont="1" applyFill="1" applyAlignment="1">
      <alignment horizontal="right"/>
    </xf>
    <xf numFmtId="14" fontId="7" fillId="17" borderId="0" xfId="0" applyNumberFormat="1" applyFont="1" applyFill="1" applyAlignment="1">
      <alignment horizontal="left"/>
    </xf>
    <xf numFmtId="0" fontId="7" fillId="17" borderId="0" xfId="0" applyFont="1" applyFill="1" applyAlignment="1"/>
    <xf numFmtId="165" fontId="7" fillId="17" borderId="0" xfId="0" applyNumberFormat="1" applyFont="1" applyFill="1" applyAlignment="1"/>
    <xf numFmtId="0" fontId="7" fillId="17" borderId="0" xfId="0" applyFont="1" applyFill="1" applyAlignment="1">
      <alignment horizontal="left"/>
    </xf>
    <xf numFmtId="3" fontId="7" fillId="17" borderId="0" xfId="0" applyNumberFormat="1" applyFont="1" applyFill="1" applyAlignment="1">
      <alignment horizontal="right"/>
    </xf>
    <xf numFmtId="165" fontId="7" fillId="17" borderId="0" xfId="0" applyNumberFormat="1" applyFont="1" applyFill="1" applyAlignment="1">
      <alignment horizontal="right"/>
    </xf>
    <xf numFmtId="3" fontId="13" fillId="16" borderId="0" xfId="0" applyNumberFormat="1" applyFont="1" applyFill="1" applyAlignment="1"/>
    <xf numFmtId="165" fontId="3" fillId="16" borderId="0" xfId="0" applyNumberFormat="1" applyFont="1" applyFill="1" applyAlignment="1"/>
    <xf numFmtId="165" fontId="3" fillId="16" borderId="0" xfId="0" applyNumberFormat="1" applyFont="1" applyFill="1" applyAlignment="1">
      <alignment horizontal="left"/>
    </xf>
    <xf numFmtId="167" fontId="3" fillId="16" borderId="0" xfId="0" applyNumberFormat="1" applyFont="1" applyFill="1" applyAlignment="1">
      <alignment horizontal="right"/>
    </xf>
    <xf numFmtId="165" fontId="3" fillId="16" borderId="0" xfId="0" applyNumberFormat="1" applyFont="1" applyFill="1" applyAlignment="1">
      <alignment horizontal="right"/>
    </xf>
    <xf numFmtId="167" fontId="13" fillId="16" borderId="0" xfId="0" applyNumberFormat="1" applyFont="1" applyFill="1" applyAlignment="1">
      <alignment horizontal="right"/>
    </xf>
    <xf numFmtId="0" fontId="13" fillId="16" borderId="0" xfId="0" applyFont="1" applyFill="1" applyAlignment="1">
      <alignment horizontal="right"/>
    </xf>
    <xf numFmtId="183" fontId="13" fillId="16" borderId="0" xfId="1" applyNumberFormat="1" applyFont="1" applyFill="1" applyAlignment="1">
      <alignment horizontal="right"/>
    </xf>
    <xf numFmtId="183" fontId="3" fillId="16" borderId="0" xfId="1" applyNumberFormat="1" applyFont="1" applyFill="1" applyAlignment="1">
      <alignment horizontal="right"/>
    </xf>
    <xf numFmtId="14" fontId="26" fillId="16" borderId="0" xfId="0" applyNumberFormat="1" applyFont="1" applyFill="1" applyAlignment="1">
      <alignment horizontal="left"/>
    </xf>
    <xf numFmtId="0" fontId="26" fillId="16" borderId="0" xfId="0" applyFont="1" applyFill="1" applyAlignment="1"/>
    <xf numFmtId="17" fontId="26" fillId="16" borderId="0" xfId="0" applyNumberFormat="1" applyFont="1" applyFill="1" applyAlignment="1">
      <alignment horizontal="left"/>
    </xf>
    <xf numFmtId="183" fontId="26" fillId="16" borderId="0" xfId="1" applyNumberFormat="1" applyFont="1" applyFill="1" applyAlignment="1">
      <alignment horizontal="right"/>
    </xf>
    <xf numFmtId="0" fontId="26" fillId="16" borderId="0" xfId="0" applyFont="1" applyFill="1" applyAlignment="1">
      <alignment horizontal="right"/>
    </xf>
    <xf numFmtId="165" fontId="26" fillId="16" borderId="0" xfId="0" applyNumberFormat="1" applyFont="1" applyFill="1" applyAlignment="1"/>
    <xf numFmtId="167" fontId="26" fillId="16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13" borderId="0" xfId="0" applyFont="1" applyFill="1" applyAlignment="1">
      <alignment horizontal="right"/>
    </xf>
    <xf numFmtId="0" fontId="18" fillId="0" borderId="0" xfId="0" applyFont="1" applyAlignment="1">
      <alignment horizontal="right"/>
    </xf>
    <xf numFmtId="183" fontId="13" fillId="16" borderId="0" xfId="1" applyNumberFormat="1" applyFont="1" applyFill="1" applyAlignment="1"/>
    <xf numFmtId="3" fontId="13" fillId="16" borderId="0" xfId="0" applyNumberFormat="1" applyFont="1" applyFill="1" applyAlignment="1">
      <alignment horizontal="left"/>
    </xf>
    <xf numFmtId="3" fontId="26" fillId="16" borderId="0" xfId="0" applyNumberFormat="1" applyFont="1" applyFill="1" applyAlignment="1">
      <alignment horizontal="left"/>
    </xf>
    <xf numFmtId="3" fontId="3" fillId="16" borderId="0" xfId="0" applyNumberFormat="1" applyFont="1" applyFill="1" applyAlignment="1">
      <alignment horizontal="left"/>
    </xf>
    <xf numFmtId="165" fontId="26" fillId="16" borderId="0" xfId="0" applyNumberFormat="1" applyFont="1" applyFill="1" applyAlignment="1"/>
    <xf numFmtId="0" fontId="3" fillId="0" borderId="0" xfId="0" applyFont="1" applyFill="1" applyBorder="1" applyAlignment="1"/>
    <xf numFmtId="0" fontId="0" fillId="13" borderId="0" xfId="0" applyFont="1" applyFill="1" applyAlignment="1">
      <alignment horizontal="left"/>
    </xf>
    <xf numFmtId="16" fontId="8" fillId="13" borderId="0" xfId="0" applyNumberFormat="1" applyFont="1" applyFill="1" applyAlignment="1"/>
    <xf numFmtId="0" fontId="8" fillId="13" borderId="0" xfId="0" applyFont="1" applyFill="1" applyAlignment="1"/>
    <xf numFmtId="17" fontId="8" fillId="13" borderId="0" xfId="0" applyNumberFormat="1" applyFont="1" applyFill="1" applyAlignment="1"/>
    <xf numFmtId="0" fontId="25" fillId="13" borderId="0" xfId="0" applyFont="1" applyFill="1" applyAlignment="1">
      <alignment horizontal="left"/>
    </xf>
    <xf numFmtId="0" fontId="25" fillId="13" borderId="0" xfId="0" applyFont="1" applyFill="1" applyAlignment="1">
      <alignment horizontal="right"/>
    </xf>
    <xf numFmtId="0" fontId="25" fillId="13" borderId="0" xfId="0" applyFont="1" applyFill="1" applyAlignment="1"/>
    <xf numFmtId="0" fontId="26" fillId="13" borderId="0" xfId="0" applyFont="1" applyFill="1" applyAlignment="1">
      <alignment horizontal="left"/>
    </xf>
    <xf numFmtId="16" fontId="26" fillId="13" borderId="0" xfId="0" applyNumberFormat="1" applyFont="1" applyFill="1" applyAlignment="1"/>
    <xf numFmtId="0" fontId="26" fillId="13" borderId="0" xfId="0" applyFont="1" applyFill="1" applyAlignment="1">
      <alignment horizontal="right"/>
    </xf>
    <xf numFmtId="14" fontId="31" fillId="13" borderId="0" xfId="0" applyNumberFormat="1" applyFont="1" applyFill="1" applyAlignment="1">
      <alignment horizontal="left"/>
    </xf>
    <xf numFmtId="0" fontId="31" fillId="13" borderId="0" xfId="0" applyFont="1" applyFill="1" applyAlignment="1"/>
    <xf numFmtId="0" fontId="31" fillId="13" borderId="0" xfId="0" applyFont="1" applyFill="1" applyAlignment="1">
      <alignment horizontal="left"/>
    </xf>
    <xf numFmtId="16" fontId="31" fillId="13" borderId="0" xfId="0" applyNumberFormat="1" applyFont="1" applyFill="1" applyAlignment="1"/>
    <xf numFmtId="3" fontId="31" fillId="13" borderId="0" xfId="0" applyNumberFormat="1" applyFont="1" applyFill="1" applyAlignment="1"/>
    <xf numFmtId="0" fontId="31" fillId="13" borderId="0" xfId="0" applyFont="1" applyFill="1" applyAlignment="1">
      <alignment horizontal="right"/>
    </xf>
    <xf numFmtId="164" fontId="31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right"/>
    </xf>
    <xf numFmtId="164" fontId="31" fillId="0" borderId="0" xfId="0" applyNumberFormat="1" applyFont="1"/>
    <xf numFmtId="0" fontId="31" fillId="0" borderId="0" xfId="0" applyFont="1" applyAlignment="1"/>
    <xf numFmtId="3" fontId="31" fillId="0" borderId="0" xfId="0" applyNumberFormat="1" applyFont="1" applyAlignment="1"/>
    <xf numFmtId="0" fontId="31" fillId="13" borderId="0" xfId="0" applyFont="1" applyFill="1" applyAlignment="1"/>
    <xf numFmtId="165" fontId="3" fillId="8" borderId="0" xfId="0" applyNumberFormat="1" applyFont="1" applyFill="1" applyAlignment="1">
      <alignment horizontal="left"/>
    </xf>
    <xf numFmtId="165" fontId="2" fillId="24" borderId="0" xfId="0" applyNumberFormat="1" applyFont="1" applyFill="1" applyAlignment="1">
      <alignment horizontal="left"/>
    </xf>
    <xf numFmtId="164" fontId="2" fillId="16" borderId="0" xfId="0" applyNumberFormat="1" applyFont="1" applyFill="1" applyAlignment="1">
      <alignment horizontal="right"/>
    </xf>
    <xf numFmtId="164" fontId="3" fillId="16" borderId="0" xfId="0" applyNumberFormat="1" applyFont="1" applyFill="1" applyAlignment="1">
      <alignment horizontal="right"/>
    </xf>
    <xf numFmtId="164" fontId="2" fillId="16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164" fontId="3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164" fontId="25" fillId="0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164" fontId="3" fillId="11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64" fontId="3" fillId="14" borderId="0" xfId="0" applyNumberFormat="1" applyFon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64" fontId="2" fillId="17" borderId="0" xfId="0" applyNumberFormat="1" applyFont="1" applyFill="1" applyAlignment="1">
      <alignment horizontal="right"/>
    </xf>
    <xf numFmtId="164" fontId="3" fillId="17" borderId="0" xfId="0" applyNumberFormat="1" applyFont="1" applyFill="1" applyAlignment="1">
      <alignment horizontal="right"/>
    </xf>
    <xf numFmtId="164" fontId="2" fillId="17" borderId="0" xfId="0" applyNumberFormat="1" applyFont="1" applyFill="1" applyAlignment="1">
      <alignment horizontal="right"/>
    </xf>
    <xf numFmtId="164" fontId="2" fillId="39" borderId="0" xfId="0" applyNumberFormat="1" applyFont="1" applyFill="1" applyAlignment="1">
      <alignment horizontal="right"/>
    </xf>
    <xf numFmtId="164" fontId="3" fillId="39" borderId="0" xfId="0" applyNumberFormat="1" applyFont="1" applyFill="1" applyAlignment="1">
      <alignment horizontal="right"/>
    </xf>
    <xf numFmtId="164" fontId="2" fillId="39" borderId="0" xfId="0" applyNumberFormat="1" applyFont="1" applyFill="1" applyAlignment="1">
      <alignment horizontal="right"/>
    </xf>
    <xf numFmtId="164" fontId="32" fillId="0" borderId="0" xfId="0" applyNumberFormat="1" applyFont="1" applyAlignment="1">
      <alignment horizontal="right"/>
    </xf>
    <xf numFmtId="181" fontId="19" fillId="16" borderId="0" xfId="0" applyNumberFormat="1" applyFont="1" applyFill="1" applyAlignment="1">
      <alignment horizontal="right"/>
    </xf>
    <xf numFmtId="179" fontId="13" fillId="10" borderId="0" xfId="0" applyNumberFormat="1" applyFont="1" applyFill="1" applyAlignment="1">
      <alignment horizontal="right"/>
    </xf>
    <xf numFmtId="181" fontId="19" fillId="11" borderId="0" xfId="0" applyNumberFormat="1" applyFont="1" applyFill="1" applyAlignment="1">
      <alignment horizontal="right"/>
    </xf>
    <xf numFmtId="181" fontId="19" fillId="17" borderId="0" xfId="0" applyNumberFormat="1" applyFont="1" applyFill="1" applyAlignment="1">
      <alignment horizontal="right"/>
    </xf>
    <xf numFmtId="14" fontId="8" fillId="13" borderId="0" xfId="0" applyNumberFormat="1" applyFont="1" applyFill="1" applyAlignment="1">
      <alignment horizontal="left"/>
    </xf>
    <xf numFmtId="3" fontId="8" fillId="13" borderId="0" xfId="0" applyNumberFormat="1" applyFont="1" applyFill="1" applyAlignment="1"/>
    <xf numFmtId="3" fontId="8" fillId="0" borderId="0" xfId="0" applyNumberFormat="1" applyFont="1" applyAlignment="1"/>
    <xf numFmtId="170" fontId="8" fillId="0" borderId="0" xfId="0" applyNumberFormat="1" applyFont="1" applyAlignment="1"/>
    <xf numFmtId="183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</xdr:colOff>
      <xdr:row>1</xdr:row>
      <xdr:rowOff>1</xdr:rowOff>
    </xdr:from>
    <xdr:to>
      <xdr:col>14</xdr:col>
      <xdr:colOff>1004888</xdr:colOff>
      <xdr:row>9</xdr:row>
      <xdr:rowOff>109539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F8A2DD25-75F8-4390-AB1C-D6BF437FB37E}"/>
            </a:ext>
          </a:extLst>
        </xdr:cNvPr>
        <xdr:cNvSpPr txBox="1">
          <a:spLocks noChangeArrowheads="1"/>
        </xdr:cNvSpPr>
      </xdr:nvSpPr>
      <xdr:spPr bwMode="auto">
        <a:xfrm>
          <a:off x="42863" y="200026"/>
          <a:ext cx="11906250" cy="170973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Data used and calculation notes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Default values and notes below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are from current CBAs: Women's 2017-21, men's 2011-18 (still in effect 7/1/2019)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Results and home attendance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(away attendance is irrelevant for player pay) are from 2014-17, chosen because they represent a typical cycle: MNT reaches Round of 16, WNT wins WWC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You may change inputs as you like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including unlikely scenarios such as the MNT taking annual salaries or the sudden creation of a Women's Copa America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Player categories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(ever-present, World Cup players, depth players, etc.) are loosely based on actual selections (listed on WNT and MNT pages) with two caveats ...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a. Media guides give stats based on game appearances, but pay is based on making a gameday roster. Ex.: A player may be selected for 20 gamedays but only play 17 games.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b. To simplify projections, players are rounded into categories. We want to calculate scenarios, not Crystal Dunn or Christian Pulisic's back pay.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Other calculation notes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(World Cup bonuses divided by 20 players, Olympic bonuses by 18, merchandising split among 35, etc.) are in the team-specific notes below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I35"/>
  <sheetViews>
    <sheetView tabSelected="1" topLeftCell="Q7" workbookViewId="0">
      <selection activeCell="AD16" sqref="AD16:AD17"/>
    </sheetView>
  </sheetViews>
  <sheetFormatPr defaultColWidth="14.3984375" defaultRowHeight="15.75" customHeight="1" x14ac:dyDescent="0.35"/>
  <cols>
    <col min="1" max="1" width="18.73046875" customWidth="1"/>
    <col min="2" max="2" width="8.3984375" customWidth="1"/>
    <col min="3" max="3" width="0.3984375" customWidth="1"/>
    <col min="4" max="4" width="11.86328125" customWidth="1"/>
    <col min="5" max="5" width="8.86328125" customWidth="1"/>
    <col min="6" max="6" width="0.3984375" customWidth="1"/>
    <col min="7" max="7" width="11.86328125" customWidth="1"/>
    <col min="8" max="8" width="8.86328125" customWidth="1"/>
    <col min="9" max="9" width="8.3984375" customWidth="1"/>
    <col min="10" max="10" width="9.265625" customWidth="1"/>
    <col min="11" max="11" width="0.3984375" customWidth="1"/>
    <col min="12" max="12" width="11.86328125" customWidth="1"/>
    <col min="13" max="13" width="9.9296875" customWidth="1"/>
    <col min="14" max="14" width="9" customWidth="1"/>
    <col min="15" max="15" width="0.53125" customWidth="1"/>
    <col min="16" max="16" width="11.86328125" customWidth="1"/>
    <col min="17" max="17" width="10" customWidth="1"/>
    <col min="18" max="18" width="9.265625" customWidth="1"/>
    <col min="19" max="19" width="10.73046875" customWidth="1"/>
    <col min="20" max="20" width="10.53125" customWidth="1"/>
    <col min="21" max="21" width="2" customWidth="1"/>
    <col min="22" max="23" width="11.86328125" customWidth="1"/>
    <col min="24" max="24" width="13" customWidth="1"/>
    <col min="25" max="25" width="13.796875" customWidth="1"/>
    <col min="26" max="26" width="16" customWidth="1"/>
    <col min="27" max="27" width="12.06640625" customWidth="1"/>
    <col min="28" max="28" width="12.33203125" customWidth="1"/>
    <col min="29" max="29" width="13" customWidth="1"/>
  </cols>
  <sheetData>
    <row r="1" spans="1:35" ht="16.5" customHeight="1" x14ac:dyDescent="0.4">
      <c r="A1" s="4" t="s">
        <v>2</v>
      </c>
      <c r="B1" s="246" t="s">
        <v>3</v>
      </c>
      <c r="C1" s="244"/>
      <c r="D1" s="244"/>
      <c r="E1" s="244"/>
      <c r="F1" s="244"/>
      <c r="G1" s="244"/>
      <c r="H1" s="244"/>
      <c r="I1" s="247" t="s">
        <v>6</v>
      </c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53" t="s">
        <v>238</v>
      </c>
      <c r="V1" s="253"/>
      <c r="W1" s="253"/>
      <c r="X1" s="253"/>
      <c r="Y1" s="253"/>
      <c r="Z1" s="253"/>
      <c r="AA1" s="253"/>
      <c r="AB1" s="6"/>
      <c r="AC1" s="6"/>
      <c r="AD1" s="6"/>
      <c r="AE1" s="6"/>
      <c r="AF1" s="6"/>
      <c r="AG1" s="6"/>
      <c r="AH1" s="6"/>
      <c r="AI1" s="6"/>
    </row>
    <row r="2" spans="1:35" ht="16.5" customHeight="1" x14ac:dyDescent="0.4">
      <c r="A2" s="4"/>
      <c r="B2" s="245" t="s">
        <v>18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5"/>
      <c r="V2" s="5"/>
      <c r="W2" s="5"/>
      <c r="X2" s="4"/>
      <c r="Y2" s="4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6.5" customHeight="1" x14ac:dyDescent="0.4">
      <c r="A3" s="249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5"/>
      <c r="V3" s="4"/>
      <c r="W3" s="4"/>
      <c r="X3" s="4"/>
      <c r="Y3" s="4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18.75" customHeight="1" x14ac:dyDescent="0.4">
      <c r="A4" s="250" t="s">
        <v>23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7"/>
      <c r="V4" s="250" t="s">
        <v>239</v>
      </c>
      <c r="W4" s="250"/>
      <c r="X4" s="250"/>
      <c r="Y4" s="250"/>
      <c r="Z4" s="250"/>
      <c r="AA4" s="250"/>
      <c r="AB4" s="250"/>
      <c r="AC4" s="250"/>
      <c r="AD4" s="8"/>
      <c r="AE4" s="8"/>
      <c r="AF4" s="8"/>
      <c r="AG4" s="8"/>
      <c r="AH4" s="8"/>
      <c r="AI4" s="8"/>
    </row>
    <row r="5" spans="1:35" ht="14" customHeight="1" x14ac:dyDescent="0.4">
      <c r="A5" s="10" t="s">
        <v>4</v>
      </c>
      <c r="B5" s="11"/>
      <c r="C5" s="12"/>
      <c r="D5" s="13" t="s">
        <v>9</v>
      </c>
      <c r="E5" s="14"/>
      <c r="F5" s="15"/>
      <c r="G5" s="10" t="s">
        <v>48</v>
      </c>
      <c r="H5" s="11" t="s">
        <v>55</v>
      </c>
      <c r="I5" s="11" t="s">
        <v>243</v>
      </c>
      <c r="J5" s="11" t="s">
        <v>244</v>
      </c>
      <c r="K5" s="17"/>
      <c r="L5" s="18" t="s">
        <v>62</v>
      </c>
      <c r="M5" s="19" t="s">
        <v>63</v>
      </c>
      <c r="N5" s="19" t="s">
        <v>64</v>
      </c>
      <c r="O5" s="20"/>
      <c r="P5" s="10" t="s">
        <v>65</v>
      </c>
      <c r="Q5" s="248" t="s">
        <v>66</v>
      </c>
      <c r="R5" s="244"/>
      <c r="S5" s="248" t="s">
        <v>67</v>
      </c>
      <c r="T5" s="244"/>
      <c r="U5" s="21"/>
      <c r="V5" s="255" t="s">
        <v>68</v>
      </c>
      <c r="W5" s="244"/>
      <c r="X5" s="193" t="s">
        <v>407</v>
      </c>
      <c r="Y5" s="3" t="s">
        <v>410</v>
      </c>
      <c r="Z5" s="3" t="s">
        <v>408</v>
      </c>
      <c r="AA5" s="1" t="s">
        <v>409</v>
      </c>
      <c r="AB5" s="1" t="s">
        <v>417</v>
      </c>
      <c r="AC5" s="22" t="s">
        <v>406</v>
      </c>
      <c r="AD5" s="22"/>
      <c r="AE5" s="22"/>
      <c r="AF5" s="22"/>
      <c r="AG5" s="22"/>
      <c r="AH5" s="22"/>
      <c r="AI5" s="22"/>
    </row>
    <row r="6" spans="1:35" ht="14" customHeight="1" x14ac:dyDescent="0.4">
      <c r="A6" s="23" t="s">
        <v>69</v>
      </c>
      <c r="B6" s="24">
        <v>100000</v>
      </c>
      <c r="C6" s="25"/>
      <c r="D6" s="23" t="s">
        <v>70</v>
      </c>
      <c r="E6" s="24">
        <v>8500</v>
      </c>
      <c r="F6" s="26"/>
      <c r="G6" s="30" t="s">
        <v>95</v>
      </c>
      <c r="H6" s="183" t="s">
        <v>240</v>
      </c>
      <c r="I6" s="183" t="s">
        <v>240</v>
      </c>
      <c r="J6" s="183" t="s">
        <v>240</v>
      </c>
      <c r="K6" s="25"/>
      <c r="L6" s="30" t="s">
        <v>71</v>
      </c>
      <c r="M6" s="183">
        <v>0</v>
      </c>
      <c r="N6" s="24">
        <v>3000</v>
      </c>
      <c r="O6" s="20"/>
      <c r="P6" s="23" t="s">
        <v>72</v>
      </c>
      <c r="Q6" s="24">
        <v>37500</v>
      </c>
      <c r="R6" s="24"/>
      <c r="S6" s="24">
        <v>25000</v>
      </c>
      <c r="T6" s="24"/>
      <c r="U6" s="31"/>
      <c r="V6" s="256" t="s">
        <v>73</v>
      </c>
      <c r="W6" s="244"/>
      <c r="X6" s="89">
        <f>WNT!$G$43</f>
        <v>210346.59782608697</v>
      </c>
      <c r="Y6" s="32">
        <f>WNT!$G$72</f>
        <v>248387.65833333335</v>
      </c>
      <c r="Z6" s="32">
        <f>WNT!$G$106</f>
        <v>430662.23760869558</v>
      </c>
      <c r="AA6" s="32">
        <f>WNT!$G$139</f>
        <v>304743.76363636367</v>
      </c>
      <c r="AB6" s="32">
        <f>WNT!$G$159</f>
        <v>204966.34637681159</v>
      </c>
      <c r="AC6" s="89">
        <f>WNT!$G$186</f>
        <v>274686.36557971017</v>
      </c>
      <c r="AD6" s="22"/>
      <c r="AE6" s="22"/>
      <c r="AF6" s="22"/>
      <c r="AG6" s="22"/>
      <c r="AH6" s="22"/>
      <c r="AI6" s="22"/>
    </row>
    <row r="7" spans="1:35" ht="14" customHeight="1" x14ac:dyDescent="0.4">
      <c r="A7" s="23" t="s">
        <v>75</v>
      </c>
      <c r="B7" s="24">
        <v>100000</v>
      </c>
      <c r="C7" s="25"/>
      <c r="D7" s="23" t="s">
        <v>76</v>
      </c>
      <c r="E7" s="24">
        <v>6500</v>
      </c>
      <c r="F7" s="26"/>
      <c r="G7" s="41" t="s">
        <v>110</v>
      </c>
      <c r="H7" s="183" t="s">
        <v>240</v>
      </c>
      <c r="I7" s="183" t="s">
        <v>240</v>
      </c>
      <c r="J7" s="183" t="s">
        <v>240</v>
      </c>
      <c r="K7" s="25"/>
      <c r="L7" s="30" t="s">
        <v>77</v>
      </c>
      <c r="M7" s="183">
        <v>0</v>
      </c>
      <c r="N7" s="24">
        <v>500</v>
      </c>
      <c r="O7" s="20"/>
      <c r="P7" s="23"/>
      <c r="Q7" s="19" t="s">
        <v>78</v>
      </c>
      <c r="R7" s="19" t="s">
        <v>79</v>
      </c>
      <c r="S7" s="19" t="s">
        <v>78</v>
      </c>
      <c r="T7" s="19" t="s">
        <v>79</v>
      </c>
      <c r="U7" s="33"/>
      <c r="V7" s="257" t="s">
        <v>80</v>
      </c>
      <c r="W7" s="244"/>
      <c r="X7" s="77">
        <f>WNT!$I$43</f>
        <v>176808.2699275362</v>
      </c>
      <c r="Y7" s="34">
        <f>WNT!$I$72</f>
        <v>213359.81333333332</v>
      </c>
      <c r="Z7" s="34">
        <f>WNT!$I$106</f>
        <v>382455.94669082121</v>
      </c>
      <c r="AA7" s="34">
        <f>WNT!$I$139</f>
        <v>264553.35066287877</v>
      </c>
      <c r="AB7" s="34">
        <f>WNT!$I$159</f>
        <v>183376.21946169771</v>
      </c>
      <c r="AC7" s="77">
        <f>WNT!$I$186</f>
        <v>244777.55258799173</v>
      </c>
      <c r="AD7" s="22"/>
      <c r="AE7" s="22"/>
      <c r="AF7" s="22"/>
      <c r="AG7" s="22"/>
      <c r="AH7" s="22"/>
      <c r="AI7" s="22"/>
    </row>
    <row r="8" spans="1:35" ht="14" customHeight="1" x14ac:dyDescent="0.4">
      <c r="A8" s="23"/>
      <c r="B8" s="37"/>
      <c r="C8" s="25"/>
      <c r="D8" s="23" t="s">
        <v>82</v>
      </c>
      <c r="E8" s="24">
        <v>5250</v>
      </c>
      <c r="F8" s="26"/>
      <c r="G8" s="41" t="s">
        <v>104</v>
      </c>
      <c r="H8" s="183" t="s">
        <v>240</v>
      </c>
      <c r="I8" s="183" t="s">
        <v>240</v>
      </c>
      <c r="J8" s="183" t="s">
        <v>240</v>
      </c>
      <c r="K8" s="25"/>
      <c r="L8" s="30" t="s">
        <v>83</v>
      </c>
      <c r="M8" s="183">
        <v>0</v>
      </c>
      <c r="N8" s="24">
        <v>0</v>
      </c>
      <c r="O8" s="20"/>
      <c r="P8" s="23" t="s">
        <v>84</v>
      </c>
      <c r="Q8" s="28">
        <f>(R8*1000000)/23</f>
        <v>0</v>
      </c>
      <c r="R8" s="35">
        <v>0</v>
      </c>
      <c r="S8" s="28">
        <f t="shared" ref="S8:S14" si="0">(T8*1000000)/18</f>
        <v>0</v>
      </c>
      <c r="T8" s="35">
        <v>0</v>
      </c>
      <c r="U8" s="31"/>
      <c r="V8" s="258" t="s">
        <v>85</v>
      </c>
      <c r="W8" s="244"/>
      <c r="X8" s="77">
        <f>WNT!$K$43</f>
        <v>92768.698369565216</v>
      </c>
      <c r="Y8" s="34">
        <f>WNT!$K$72</f>
        <v>122636.49583333333</v>
      </c>
      <c r="Z8" s="34">
        <f>WNT!$K$106</f>
        <v>278241.71923913038</v>
      </c>
      <c r="AA8" s="34">
        <f>WNT!$K$139</f>
        <v>167095.24696969698</v>
      </c>
      <c r="AB8" s="34">
        <f>WNT!$K$159</f>
        <v>90091.868840579715</v>
      </c>
      <c r="AC8" s="77">
        <f>WNT!$K$186</f>
        <v>132451.87844202897</v>
      </c>
      <c r="AD8" s="22"/>
      <c r="AE8" s="22"/>
      <c r="AF8" s="22"/>
      <c r="AG8" s="22"/>
      <c r="AH8" s="22"/>
      <c r="AI8" s="22"/>
    </row>
    <row r="9" spans="1:35" ht="14" customHeight="1" x14ac:dyDescent="0.4">
      <c r="A9" s="14"/>
      <c r="B9" s="37"/>
      <c r="C9" s="25"/>
      <c r="D9" s="23" t="s">
        <v>86</v>
      </c>
      <c r="E9" s="24">
        <v>1750</v>
      </c>
      <c r="F9" s="26"/>
      <c r="G9" s="170" t="s">
        <v>103</v>
      </c>
      <c r="H9" s="183" t="s">
        <v>240</v>
      </c>
      <c r="I9" s="183" t="s">
        <v>240</v>
      </c>
      <c r="J9" s="183" t="s">
        <v>240</v>
      </c>
      <c r="K9" s="25"/>
      <c r="L9" s="36"/>
      <c r="M9" s="36"/>
      <c r="N9" s="36"/>
      <c r="O9" s="20"/>
      <c r="P9" s="23" t="s">
        <v>90</v>
      </c>
      <c r="Q9" s="28">
        <f t="shared" ref="Q9:Q14" si="1">(R9*1000000)/23</f>
        <v>0</v>
      </c>
      <c r="R9" s="35">
        <v>0</v>
      </c>
      <c r="S9" s="28">
        <f t="shared" si="0"/>
        <v>0</v>
      </c>
      <c r="T9" s="35">
        <v>0</v>
      </c>
      <c r="U9" s="31"/>
      <c r="V9" s="258" t="s">
        <v>91</v>
      </c>
      <c r="W9" s="244"/>
      <c r="X9" s="77">
        <f>WNT!$M$43</f>
        <v>51767.405797101448</v>
      </c>
      <c r="Y9" s="34">
        <f>WNT!$M$72</f>
        <v>22420.633333333335</v>
      </c>
      <c r="Z9" s="34">
        <f>WNT!$M$106</f>
        <v>90912.223532608696</v>
      </c>
      <c r="AA9" s="34">
        <f>WNT!$M$139</f>
        <v>32775.678409090899</v>
      </c>
      <c r="AB9" s="34">
        <f>WNT!$M$159</f>
        <v>32618.969565217387</v>
      </c>
      <c r="AC9" s="77">
        <f>WNT!$M$186</f>
        <v>58192.622515527946</v>
      </c>
      <c r="AD9" s="22"/>
      <c r="AE9" s="22"/>
      <c r="AF9" s="22"/>
      <c r="AG9" s="22"/>
      <c r="AH9" s="22"/>
      <c r="AI9" s="22"/>
    </row>
    <row r="10" spans="1:35" ht="14" customHeight="1" x14ac:dyDescent="0.4">
      <c r="A10" s="13" t="s">
        <v>92</v>
      </c>
      <c r="B10" s="37"/>
      <c r="C10" s="25"/>
      <c r="D10" s="23" t="s">
        <v>93</v>
      </c>
      <c r="E10" s="24">
        <v>1250</v>
      </c>
      <c r="F10" s="26"/>
      <c r="G10" s="30" t="s">
        <v>98</v>
      </c>
      <c r="H10" s="183" t="s">
        <v>240</v>
      </c>
      <c r="I10" s="24">
        <v>5000</v>
      </c>
      <c r="J10" s="24">
        <v>5000</v>
      </c>
      <c r="K10" s="25"/>
      <c r="L10" s="13" t="s">
        <v>87</v>
      </c>
      <c r="M10" s="19" t="s">
        <v>88</v>
      </c>
      <c r="N10" s="19" t="s">
        <v>89</v>
      </c>
      <c r="O10" s="20"/>
      <c r="P10" s="23" t="s">
        <v>95</v>
      </c>
      <c r="Q10" s="28">
        <f t="shared" si="1"/>
        <v>0</v>
      </c>
      <c r="R10" s="35">
        <v>0</v>
      </c>
      <c r="S10" s="28">
        <f t="shared" si="0"/>
        <v>0</v>
      </c>
      <c r="T10" s="35">
        <v>0</v>
      </c>
      <c r="U10" s="31"/>
      <c r="V10" s="254" t="s">
        <v>96</v>
      </c>
      <c r="W10" s="244"/>
      <c r="X10" s="89">
        <f>WNT!$R$43</f>
        <v>4510460.4999999991</v>
      </c>
      <c r="Y10" s="32">
        <f>WNT!$R$72</f>
        <v>5251544.5</v>
      </c>
      <c r="Z10" s="32">
        <f>WNT!$R$106</f>
        <v>10154473.999999998</v>
      </c>
      <c r="AA10" s="32">
        <f>WNT!$R$139</f>
        <v>6037899.5</v>
      </c>
      <c r="AB10" s="32">
        <f>WNT!$R$159</f>
        <v>4111181</v>
      </c>
      <c r="AC10" s="89">
        <f>WNT!$R$186</f>
        <v>5671366.1521739131</v>
      </c>
      <c r="AD10" s="105">
        <f>SUM(X10:AC10)</f>
        <v>35736925.652173914</v>
      </c>
      <c r="AE10" s="22"/>
      <c r="AF10" s="22"/>
      <c r="AG10" s="22"/>
      <c r="AH10" s="22"/>
      <c r="AI10" s="22"/>
    </row>
    <row r="11" spans="1:35" ht="14" customHeight="1" x14ac:dyDescent="0.4">
      <c r="A11" s="23" t="s">
        <v>99</v>
      </c>
      <c r="B11" s="24">
        <v>1500</v>
      </c>
      <c r="C11" s="25"/>
      <c r="D11" s="23" t="s">
        <v>97</v>
      </c>
      <c r="E11" s="24">
        <v>0</v>
      </c>
      <c r="F11" s="26"/>
      <c r="G11" s="30"/>
      <c r="H11" s="183"/>
      <c r="I11" s="183"/>
      <c r="J11" s="183"/>
      <c r="K11" s="25"/>
      <c r="L11" s="23" t="s">
        <v>66</v>
      </c>
      <c r="M11" s="24">
        <v>37500</v>
      </c>
      <c r="N11" s="211">
        <v>20</v>
      </c>
      <c r="O11" s="20"/>
      <c r="P11" s="23" t="s">
        <v>100</v>
      </c>
      <c r="Q11" s="28">
        <f t="shared" si="1"/>
        <v>0</v>
      </c>
      <c r="R11" s="35">
        <v>0</v>
      </c>
      <c r="S11" s="184">
        <f t="shared" si="0"/>
        <v>0</v>
      </c>
      <c r="T11" s="35">
        <v>0</v>
      </c>
      <c r="U11" s="31"/>
      <c r="V11" s="39" t="s">
        <v>101</v>
      </c>
      <c r="X11" s="192"/>
      <c r="AC11" s="192"/>
      <c r="AD11" s="22"/>
      <c r="AE11" s="22"/>
      <c r="AF11" s="22"/>
      <c r="AG11" s="22"/>
      <c r="AH11" s="22"/>
      <c r="AI11" s="22"/>
    </row>
    <row r="12" spans="1:35" ht="14" customHeight="1" x14ac:dyDescent="0.4">
      <c r="A12" s="23" t="s">
        <v>102</v>
      </c>
      <c r="B12" s="183">
        <v>2000</v>
      </c>
      <c r="C12" s="25"/>
      <c r="D12" s="23" t="s">
        <v>83</v>
      </c>
      <c r="E12" s="24">
        <v>0</v>
      </c>
      <c r="F12" s="26"/>
      <c r="G12" s="30"/>
      <c r="H12" s="183"/>
      <c r="I12" s="183"/>
      <c r="J12" s="183"/>
      <c r="K12" s="25"/>
      <c r="L12" s="23" t="s">
        <v>67</v>
      </c>
      <c r="M12" s="24">
        <v>25000</v>
      </c>
      <c r="N12" s="211">
        <v>20</v>
      </c>
      <c r="O12" s="20"/>
      <c r="P12" s="41" t="s">
        <v>104</v>
      </c>
      <c r="Q12" s="28">
        <f t="shared" si="1"/>
        <v>25000</v>
      </c>
      <c r="R12" s="35">
        <v>0.57499999999999996</v>
      </c>
      <c r="S12" s="184">
        <f t="shared" si="0"/>
        <v>25000</v>
      </c>
      <c r="T12" s="35">
        <v>0.45</v>
      </c>
      <c r="U12" s="31"/>
      <c r="V12" s="254" t="s">
        <v>105</v>
      </c>
      <c r="W12" s="244"/>
      <c r="X12" s="192"/>
      <c r="AB12" s="22"/>
      <c r="AC12" s="22"/>
      <c r="AD12" s="22"/>
      <c r="AE12" s="22"/>
      <c r="AF12" s="22"/>
      <c r="AG12" s="22"/>
      <c r="AH12" s="22"/>
      <c r="AI12" s="22"/>
    </row>
    <row r="13" spans="1:35" ht="14" customHeight="1" x14ac:dyDescent="0.4">
      <c r="A13" s="23" t="s">
        <v>106</v>
      </c>
      <c r="B13" s="183">
        <v>2500</v>
      </c>
      <c r="C13" s="25"/>
      <c r="D13" s="23"/>
      <c r="E13" s="37"/>
      <c r="F13" s="26"/>
      <c r="G13" s="216"/>
      <c r="H13" s="217"/>
      <c r="I13" s="217"/>
      <c r="J13" s="217"/>
      <c r="K13" s="218"/>
      <c r="L13" s="219"/>
      <c r="M13" s="220"/>
      <c r="N13" s="220"/>
      <c r="O13" s="20"/>
      <c r="P13" s="41" t="s">
        <v>103</v>
      </c>
      <c r="Q13" s="28">
        <f t="shared" si="1"/>
        <v>50000</v>
      </c>
      <c r="R13" s="35">
        <v>1.1499999999999999</v>
      </c>
      <c r="S13" s="184">
        <f t="shared" si="0"/>
        <v>55500</v>
      </c>
      <c r="T13" s="35">
        <v>0.999</v>
      </c>
      <c r="U13" s="31"/>
      <c r="V13" s="259" t="s">
        <v>107</v>
      </c>
      <c r="W13" s="244"/>
      <c r="X13" s="194">
        <v>9</v>
      </c>
      <c r="Y13" s="2">
        <v>15</v>
      </c>
      <c r="Z13" s="2">
        <v>13</v>
      </c>
      <c r="AA13" s="2">
        <v>21</v>
      </c>
      <c r="AB13" s="2">
        <v>13</v>
      </c>
      <c r="AC13" s="194">
        <v>18</v>
      </c>
      <c r="AD13" s="22">
        <f>SUM(X13:AC13)</f>
        <v>89</v>
      </c>
      <c r="AE13" s="22"/>
      <c r="AF13" s="22"/>
      <c r="AG13" s="22"/>
      <c r="AH13" s="22"/>
      <c r="AI13" s="22"/>
    </row>
    <row r="14" spans="1:35" ht="14" customHeight="1" x14ac:dyDescent="0.4">
      <c r="A14" s="23" t="s">
        <v>108</v>
      </c>
      <c r="B14" s="183">
        <v>3000</v>
      </c>
      <c r="C14" s="25"/>
      <c r="D14" s="13" t="s">
        <v>109</v>
      </c>
      <c r="E14" s="37"/>
      <c r="F14" s="26"/>
      <c r="G14" s="23"/>
      <c r="H14" s="13" t="s">
        <v>247</v>
      </c>
      <c r="I14" s="19" t="s">
        <v>246</v>
      </c>
      <c r="J14" s="19" t="s">
        <v>79</v>
      </c>
      <c r="K14" s="19"/>
      <c r="L14" s="19" t="s">
        <v>67</v>
      </c>
      <c r="M14" s="19" t="s">
        <v>79</v>
      </c>
      <c r="N14" s="183"/>
      <c r="O14" s="20"/>
      <c r="P14" s="30" t="s">
        <v>98</v>
      </c>
      <c r="Q14" s="28">
        <f t="shared" si="1"/>
        <v>110000</v>
      </c>
      <c r="R14" s="35">
        <v>2.5299999999999998</v>
      </c>
      <c r="S14" s="184">
        <f t="shared" si="0"/>
        <v>100000</v>
      </c>
      <c r="T14" s="35">
        <v>1.8</v>
      </c>
      <c r="U14" s="31"/>
      <c r="V14" s="259" t="s">
        <v>111</v>
      </c>
      <c r="W14" s="244"/>
      <c r="X14" s="659">
        <v>16479</v>
      </c>
      <c r="Y14" s="42">
        <v>12262.7</v>
      </c>
      <c r="Z14" s="42">
        <v>27793.538461538461</v>
      </c>
      <c r="AA14" s="42">
        <v>18057.5</v>
      </c>
      <c r="AB14" s="43">
        <v>18150.307692307691</v>
      </c>
      <c r="AC14" s="659">
        <v>17052</v>
      </c>
      <c r="AD14" s="22"/>
      <c r="AE14" s="22"/>
      <c r="AF14" s="22"/>
      <c r="AG14" s="22"/>
      <c r="AH14" s="22"/>
      <c r="AI14" s="22"/>
    </row>
    <row r="15" spans="1:35" ht="14" customHeight="1" x14ac:dyDescent="0.4">
      <c r="A15" s="23" t="s">
        <v>112</v>
      </c>
      <c r="B15" s="24">
        <v>3250</v>
      </c>
      <c r="C15" s="25"/>
      <c r="D15" s="23" t="s">
        <v>113</v>
      </c>
      <c r="E15" s="24">
        <v>350000</v>
      </c>
      <c r="F15" s="26"/>
      <c r="G15" s="209" t="s">
        <v>248</v>
      </c>
      <c r="H15" s="23" t="s">
        <v>114</v>
      </c>
      <c r="I15" s="221">
        <f>(J15*1000000)/23</f>
        <v>60869.565217391304</v>
      </c>
      <c r="J15" s="35">
        <v>1.4</v>
      </c>
      <c r="K15" s="183"/>
      <c r="L15" s="184">
        <f>(M15*1000000)/18</f>
        <v>66666.666666666672</v>
      </c>
      <c r="M15" s="35">
        <v>1.2</v>
      </c>
      <c r="N15" s="183"/>
      <c r="O15" s="20"/>
      <c r="P15" s="23" t="s">
        <v>115</v>
      </c>
      <c r="Q15" s="24">
        <v>4500</v>
      </c>
      <c r="R15" s="35"/>
      <c r="S15" s="24">
        <v>0</v>
      </c>
      <c r="T15" s="35"/>
      <c r="U15" s="31"/>
      <c r="V15" s="259" t="s">
        <v>116</v>
      </c>
      <c r="W15" s="244"/>
      <c r="X15" s="199"/>
      <c r="Y15" s="42">
        <v>7447.2</v>
      </c>
      <c r="AA15" s="42">
        <v>9302.6</v>
      </c>
      <c r="AB15" s="22"/>
      <c r="AC15" s="659">
        <v>6295</v>
      </c>
      <c r="AD15" s="22"/>
      <c r="AE15" s="22"/>
      <c r="AF15" s="22"/>
      <c r="AG15" s="22"/>
      <c r="AH15" s="22"/>
      <c r="AI15" s="22"/>
    </row>
    <row r="16" spans="1:35" ht="14" customHeight="1" x14ac:dyDescent="0.4">
      <c r="A16" s="23" t="s">
        <v>117</v>
      </c>
      <c r="B16" s="24">
        <v>3750</v>
      </c>
      <c r="C16" s="25"/>
      <c r="D16" s="23" t="s">
        <v>118</v>
      </c>
      <c r="E16" s="45">
        <v>1.5</v>
      </c>
      <c r="F16" s="26"/>
      <c r="G16" s="210" t="s">
        <v>249</v>
      </c>
      <c r="H16" s="23" t="s">
        <v>119</v>
      </c>
      <c r="I16" s="221">
        <f t="shared" ref="I16:I17" si="2">(J16*1000000)/23</f>
        <v>52173.913043478264</v>
      </c>
      <c r="J16" s="35">
        <v>1.2</v>
      </c>
      <c r="K16" s="183"/>
      <c r="L16" s="184">
        <f t="shared" ref="L16:L17" si="3">(M16*1000000)/18</f>
        <v>55555.555555555555</v>
      </c>
      <c r="M16" s="35">
        <v>1</v>
      </c>
      <c r="N16" s="183"/>
      <c r="O16" s="20"/>
      <c r="P16" s="40" t="s">
        <v>120</v>
      </c>
      <c r="Q16" s="28">
        <f>(Q8*9)+Q9+Q10+Q11+Q14+(Q15*7)</f>
        <v>141500</v>
      </c>
      <c r="R16" s="48">
        <f t="shared" ref="R16:T16" si="4">(R8*9)+R9+R10+R11+R14+(R15*7)</f>
        <v>2.5299999999999998</v>
      </c>
      <c r="S16" s="28">
        <f t="shared" si="4"/>
        <v>100000</v>
      </c>
      <c r="T16" s="48">
        <f t="shared" si="4"/>
        <v>1.8</v>
      </c>
      <c r="U16" s="31"/>
      <c r="V16" s="259" t="s">
        <v>122</v>
      </c>
      <c r="W16" s="244"/>
      <c r="X16" s="659">
        <v>148307</v>
      </c>
      <c r="Y16" s="42">
        <v>159863</v>
      </c>
      <c r="Z16" s="42">
        <v>361316</v>
      </c>
      <c r="AA16" s="42">
        <v>335433</v>
      </c>
      <c r="AB16" s="42">
        <v>235954</v>
      </c>
      <c r="AC16" s="659">
        <v>253151</v>
      </c>
      <c r="AD16" s="661">
        <f t="shared" ref="AD14:AD16" si="5">SUM(X16:AC16)</f>
        <v>1494024</v>
      </c>
      <c r="AE16" s="22"/>
      <c r="AF16" s="22"/>
      <c r="AG16" s="22"/>
      <c r="AH16" s="22"/>
      <c r="AI16" s="22"/>
    </row>
    <row r="17" spans="1:35" ht="14" customHeight="1" x14ac:dyDescent="0.4">
      <c r="A17" s="23" t="s">
        <v>123</v>
      </c>
      <c r="B17" s="185">
        <f>$Q$15</f>
        <v>4500</v>
      </c>
      <c r="C17" s="25"/>
      <c r="D17" s="243" t="s">
        <v>242</v>
      </c>
      <c r="E17" s="244"/>
      <c r="F17" s="26"/>
      <c r="G17" s="23"/>
      <c r="H17" s="23" t="s">
        <v>124</v>
      </c>
      <c r="I17" s="221">
        <f t="shared" si="2"/>
        <v>43478.260869565216</v>
      </c>
      <c r="J17" s="35">
        <v>1</v>
      </c>
      <c r="K17" s="183"/>
      <c r="L17" s="184">
        <f t="shared" si="3"/>
        <v>44444.444444444445</v>
      </c>
      <c r="M17" s="35">
        <v>0.8</v>
      </c>
      <c r="N17" s="183"/>
      <c r="O17" s="20"/>
      <c r="P17" s="49" t="s">
        <v>125</v>
      </c>
      <c r="Q17" s="50"/>
      <c r="R17" s="50"/>
      <c r="S17" s="50"/>
      <c r="T17" s="50"/>
      <c r="U17" s="31"/>
      <c r="V17" s="254" t="s">
        <v>126</v>
      </c>
      <c r="W17" s="244"/>
      <c r="X17" s="659">
        <v>16479</v>
      </c>
      <c r="Y17" s="42">
        <v>9757.5333333333001</v>
      </c>
      <c r="Z17" s="199">
        <v>27793.538461538461</v>
      </c>
      <c r="AA17" s="42">
        <v>15973</v>
      </c>
      <c r="AB17" s="43">
        <v>18150.307692307691</v>
      </c>
      <c r="AC17" s="659">
        <v>14064</v>
      </c>
      <c r="AD17" s="661">
        <f>AD16/AD13</f>
        <v>16786.786516853932</v>
      </c>
      <c r="AE17" s="22"/>
      <c r="AF17" s="22"/>
      <c r="AG17" s="22"/>
      <c r="AH17" s="22"/>
      <c r="AI17" s="22"/>
    </row>
    <row r="18" spans="1:35" ht="8.25" customHeight="1" x14ac:dyDescent="0.4">
      <c r="A18" s="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</row>
    <row r="19" spans="1:35" ht="20.25" customHeight="1" x14ac:dyDescent="0.4">
      <c r="A19" s="250" t="s">
        <v>129</v>
      </c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7"/>
      <c r="V19" s="250" t="s">
        <v>239</v>
      </c>
      <c r="W19" s="250"/>
      <c r="X19" s="250"/>
      <c r="Y19" s="250"/>
      <c r="Z19" s="250"/>
      <c r="AA19" s="250"/>
      <c r="AB19" s="250"/>
      <c r="AC19" s="250"/>
      <c r="AD19" s="8"/>
      <c r="AE19" s="8"/>
      <c r="AF19" s="8"/>
      <c r="AG19" s="8"/>
      <c r="AH19" s="8"/>
      <c r="AI19" s="8"/>
    </row>
    <row r="20" spans="1:35" ht="14" customHeight="1" x14ac:dyDescent="0.4">
      <c r="A20" s="10" t="s">
        <v>4</v>
      </c>
      <c r="B20" s="11"/>
      <c r="C20" s="12"/>
      <c r="D20" s="13" t="s">
        <v>9</v>
      </c>
      <c r="E20" s="14"/>
      <c r="F20" s="15"/>
      <c r="G20" s="10" t="s">
        <v>48</v>
      </c>
      <c r="H20" s="16" t="s">
        <v>50</v>
      </c>
      <c r="I20" s="11" t="s">
        <v>55</v>
      </c>
      <c r="J20" s="13" t="s">
        <v>56</v>
      </c>
      <c r="K20" s="17"/>
      <c r="L20" s="18" t="s">
        <v>62</v>
      </c>
      <c r="M20" s="19" t="s">
        <v>63</v>
      </c>
      <c r="N20" s="19" t="s">
        <v>64</v>
      </c>
      <c r="O20" s="20"/>
      <c r="P20" s="10" t="s">
        <v>65</v>
      </c>
      <c r="Q20" s="248" t="s">
        <v>66</v>
      </c>
      <c r="R20" s="244"/>
      <c r="S20" s="248" t="s">
        <v>67</v>
      </c>
      <c r="T20" s="244"/>
      <c r="U20" s="21"/>
      <c r="V20" s="255" t="s">
        <v>68</v>
      </c>
      <c r="W20" s="244"/>
      <c r="X20" s="193" t="s">
        <v>411</v>
      </c>
      <c r="Y20" s="193" t="s">
        <v>412</v>
      </c>
      <c r="Z20" s="193" t="s">
        <v>413</v>
      </c>
      <c r="AA20" s="191" t="s">
        <v>414</v>
      </c>
      <c r="AB20" s="191" t="s">
        <v>415</v>
      </c>
      <c r="AC20" s="22" t="s">
        <v>416</v>
      </c>
      <c r="AD20" s="22"/>
      <c r="AE20" s="22"/>
      <c r="AF20" s="22"/>
      <c r="AG20" s="22"/>
      <c r="AH20" s="22"/>
      <c r="AI20" s="22"/>
    </row>
    <row r="21" spans="1:35" ht="14" customHeight="1" x14ac:dyDescent="0.4">
      <c r="A21" s="23" t="s">
        <v>74</v>
      </c>
      <c r="B21" s="24">
        <v>0</v>
      </c>
      <c r="C21" s="25"/>
      <c r="D21" s="23" t="s">
        <v>286</v>
      </c>
      <c r="E21" s="24">
        <v>17625</v>
      </c>
      <c r="F21" s="26"/>
      <c r="G21" s="23" t="s">
        <v>300</v>
      </c>
      <c r="H21" s="24">
        <v>14125</v>
      </c>
      <c r="I21" s="183">
        <v>0</v>
      </c>
      <c r="J21" s="24">
        <v>14125</v>
      </c>
      <c r="K21" s="25"/>
      <c r="L21" s="30" t="s">
        <v>71</v>
      </c>
      <c r="M21" s="24">
        <v>15625</v>
      </c>
      <c r="N21" s="24">
        <v>18125</v>
      </c>
      <c r="O21" s="20"/>
      <c r="P21" s="23" t="s">
        <v>72</v>
      </c>
      <c r="Q21" s="24">
        <v>68750</v>
      </c>
      <c r="R21" s="24"/>
      <c r="S21" s="242" t="s">
        <v>294</v>
      </c>
      <c r="T21" s="242"/>
      <c r="U21" s="55"/>
      <c r="V21" s="256" t="s">
        <v>73</v>
      </c>
      <c r="W21" s="244"/>
      <c r="X21" s="89">
        <f>MNT!$G$51</f>
        <v>380667.8365942029</v>
      </c>
      <c r="Y21" s="89">
        <f>MNT!$G$72</f>
        <v>429948.80507246387</v>
      </c>
      <c r="Z21" s="89">
        <f>MNT!$G$97</f>
        <v>214523.89130434775</v>
      </c>
      <c r="AA21" s="89">
        <f>MNT!$G$122</f>
        <v>233280.39311594205</v>
      </c>
      <c r="AB21" s="89">
        <f>MNT!$G$146</f>
        <v>225839.25326086959</v>
      </c>
      <c r="AC21" s="89">
        <f>MNT!$G$161</f>
        <v>94690.824999999997</v>
      </c>
      <c r="AD21" s="22"/>
      <c r="AE21" s="22"/>
      <c r="AF21" s="22"/>
      <c r="AG21" s="22"/>
      <c r="AH21" s="22"/>
      <c r="AI21" s="22"/>
    </row>
    <row r="22" spans="1:35" ht="14" customHeight="1" x14ac:dyDescent="0.4">
      <c r="A22" s="23" t="s">
        <v>81</v>
      </c>
      <c r="B22" s="24">
        <v>0</v>
      </c>
      <c r="C22" s="25"/>
      <c r="D22" s="23" t="s">
        <v>287</v>
      </c>
      <c r="E22" s="24">
        <v>12500</v>
      </c>
      <c r="F22" s="26"/>
      <c r="G22" s="23" t="s">
        <v>288</v>
      </c>
      <c r="H22" s="24">
        <v>9375</v>
      </c>
      <c r="I22" s="183">
        <v>0</v>
      </c>
      <c r="J22" s="24">
        <v>14125</v>
      </c>
      <c r="K22" s="25"/>
      <c r="L22" s="30" t="s">
        <v>77</v>
      </c>
      <c r="M22" s="24">
        <v>7500</v>
      </c>
      <c r="N22" s="24">
        <v>10000</v>
      </c>
      <c r="O22" s="20"/>
      <c r="P22" s="23"/>
      <c r="Q22" s="19" t="s">
        <v>78</v>
      </c>
      <c r="R22" s="19" t="s">
        <v>79</v>
      </c>
      <c r="S22" s="50"/>
      <c r="T22" s="19" t="s">
        <v>78</v>
      </c>
      <c r="U22" s="58"/>
      <c r="V22" s="257" t="s">
        <v>80</v>
      </c>
      <c r="W22" s="244"/>
      <c r="X22" s="77">
        <f>MNT!$I$51</f>
        <v>279455.87948717951</v>
      </c>
      <c r="Y22" s="77">
        <f>MNT!$I$72</f>
        <v>242767.93901895208</v>
      </c>
      <c r="Z22" s="77">
        <f>MNT!$I$97</f>
        <v>152681.01702898549</v>
      </c>
      <c r="AA22" s="77">
        <f>MNT!$I$122</f>
        <v>164563.83402173914</v>
      </c>
      <c r="AB22" s="77">
        <f>MNT!$I$146</f>
        <v>150283.38442028986</v>
      </c>
      <c r="AC22" s="77">
        <f>MNT!$I$161</f>
        <v>62751.912499999999</v>
      </c>
      <c r="AD22" s="22"/>
      <c r="AE22" s="22"/>
      <c r="AF22" s="22"/>
      <c r="AG22" s="22"/>
      <c r="AH22" s="22"/>
      <c r="AI22" s="22"/>
    </row>
    <row r="23" spans="1:35" ht="14" customHeight="1" x14ac:dyDescent="0.4">
      <c r="A23" s="37"/>
      <c r="B23" s="37"/>
      <c r="C23" s="25"/>
      <c r="D23" s="23" t="s">
        <v>288</v>
      </c>
      <c r="E23" s="24">
        <v>9375</v>
      </c>
      <c r="F23" s="26"/>
      <c r="G23" s="23" t="s">
        <v>77</v>
      </c>
      <c r="H23" s="24">
        <v>6563</v>
      </c>
      <c r="I23" s="183">
        <v>0</v>
      </c>
      <c r="J23" s="24">
        <v>6563</v>
      </c>
      <c r="K23" s="25"/>
      <c r="L23" s="30" t="s">
        <v>83</v>
      </c>
      <c r="M23" s="24">
        <v>5000</v>
      </c>
      <c r="N23" s="24">
        <v>5000</v>
      </c>
      <c r="O23" s="20"/>
      <c r="P23" s="23" t="s">
        <v>84</v>
      </c>
      <c r="Q23" s="28">
        <f>(R23*1000000)/23</f>
        <v>9521.7391304347821</v>
      </c>
      <c r="R23" s="35">
        <v>0.219</v>
      </c>
      <c r="S23" s="50"/>
      <c r="T23" s="183">
        <v>0</v>
      </c>
      <c r="U23" s="55"/>
      <c r="V23" s="258" t="s">
        <v>85</v>
      </c>
      <c r="W23" s="244"/>
      <c r="X23" s="77">
        <f>MNT!$K$51</f>
        <v>169156.8028502416</v>
      </c>
      <c r="Y23" s="77">
        <f>MNT!$K$72</f>
        <v>116353.55517598343</v>
      </c>
      <c r="Z23" s="77">
        <f>MNT!$K$97</f>
        <v>99079.950310559012</v>
      </c>
      <c r="AA23" s="77">
        <f>MNT!$K$122</f>
        <v>102646.61123188405</v>
      </c>
      <c r="AB23" s="77">
        <f>MNT!$K$146</f>
        <v>96525.434855072454</v>
      </c>
      <c r="AC23" s="77">
        <f>MNT!$K$161</f>
        <v>50201.53</v>
      </c>
      <c r="AD23" s="22"/>
      <c r="AE23" s="22"/>
      <c r="AF23" s="22"/>
      <c r="AG23" s="22"/>
      <c r="AH23" s="22"/>
      <c r="AI23" s="22"/>
    </row>
    <row r="24" spans="1:35" ht="14" customHeight="1" x14ac:dyDescent="0.4">
      <c r="A24" s="14"/>
      <c r="B24" s="37"/>
      <c r="C24" s="25"/>
      <c r="D24" s="23" t="s">
        <v>289</v>
      </c>
      <c r="E24" s="24">
        <v>8125</v>
      </c>
      <c r="F24" s="26"/>
      <c r="G24" s="30" t="s">
        <v>83</v>
      </c>
      <c r="H24" s="24">
        <v>5000</v>
      </c>
      <c r="I24" s="183">
        <v>0</v>
      </c>
      <c r="J24" s="24">
        <v>6563</v>
      </c>
      <c r="K24" s="25"/>
      <c r="L24" s="36"/>
      <c r="M24" s="36"/>
      <c r="N24" s="36"/>
      <c r="O24" s="20"/>
      <c r="P24" s="23" t="s">
        <v>90</v>
      </c>
      <c r="Q24" s="28">
        <f t="shared" ref="Q24:Q29" si="6">(R24*1000000)/23</f>
        <v>195652.17391304349</v>
      </c>
      <c r="R24" s="35">
        <v>4.5</v>
      </c>
      <c r="S24" s="50"/>
      <c r="T24" s="183">
        <v>0</v>
      </c>
      <c r="U24" s="55"/>
      <c r="V24" s="258" t="s">
        <v>91</v>
      </c>
      <c r="W24" s="244"/>
      <c r="X24" s="77">
        <f>MNT!$M$51</f>
        <v>64318.343584825227</v>
      </c>
      <c r="Y24" s="77">
        <f>MNT!$M$72</f>
        <v>25695.192954911432</v>
      </c>
      <c r="Z24" s="77">
        <f>MNT!$M$97</f>
        <v>23532.002868357482</v>
      </c>
      <c r="AA24" s="77">
        <f>MNT!$M$122</f>
        <v>44198.101286231882</v>
      </c>
      <c r="AB24" s="77">
        <f>MNT!$M$146</f>
        <v>39521.255434782615</v>
      </c>
      <c r="AC24" s="77">
        <f>MNT!$M$161</f>
        <v>26146.630208333332</v>
      </c>
      <c r="AD24" s="22"/>
      <c r="AE24" s="22"/>
      <c r="AF24" s="22"/>
      <c r="AG24" s="22"/>
      <c r="AH24" s="22"/>
      <c r="AI24" s="22"/>
    </row>
    <row r="25" spans="1:35" ht="14" customHeight="1" x14ac:dyDescent="0.4">
      <c r="A25" s="13" t="s">
        <v>92</v>
      </c>
      <c r="B25" s="37"/>
      <c r="C25" s="25"/>
      <c r="D25" s="23" t="s">
        <v>290</v>
      </c>
      <c r="E25" s="24">
        <v>6250</v>
      </c>
      <c r="F25" s="26"/>
      <c r="G25" s="30" t="s">
        <v>94</v>
      </c>
      <c r="H25" s="24">
        <v>0</v>
      </c>
      <c r="I25" s="183">
        <v>0</v>
      </c>
      <c r="J25" s="24">
        <v>12500</v>
      </c>
      <c r="K25" s="25"/>
      <c r="L25" s="13" t="s">
        <v>87</v>
      </c>
      <c r="M25" s="19" t="s">
        <v>88</v>
      </c>
      <c r="N25" s="19" t="s">
        <v>89</v>
      </c>
      <c r="O25" s="20"/>
      <c r="P25" s="23" t="s">
        <v>95</v>
      </c>
      <c r="Q25" s="184">
        <f t="shared" si="6"/>
        <v>217391.30434782608</v>
      </c>
      <c r="R25" s="35">
        <v>5</v>
      </c>
      <c r="S25" s="50"/>
      <c r="T25" s="183">
        <v>0</v>
      </c>
      <c r="U25" s="55"/>
      <c r="V25" s="254" t="s">
        <v>96</v>
      </c>
      <c r="W25" s="244"/>
      <c r="X25" s="89">
        <f>MNT!$R$51</f>
        <v>9184529.5</v>
      </c>
      <c r="Y25" s="89">
        <f>MNT!$R$72</f>
        <v>7414690.4782608701</v>
      </c>
      <c r="Z25" s="89">
        <f>MNT!$R$97</f>
        <v>4562567</v>
      </c>
      <c r="AA25" s="89">
        <f>MNT!$R$122</f>
        <v>5246951.4999999991</v>
      </c>
      <c r="AB25" s="89">
        <f>MNT!$R$146</f>
        <v>5106861</v>
      </c>
      <c r="AC25" s="89">
        <f>MNT!$R$161</f>
        <v>2428887.5</v>
      </c>
      <c r="AD25" s="105">
        <f>SUM(X25:AC25)</f>
        <v>33944486.978260875</v>
      </c>
      <c r="AE25" s="22"/>
      <c r="AF25" s="22"/>
      <c r="AG25" s="22"/>
      <c r="AH25" s="22"/>
      <c r="AI25" s="22"/>
    </row>
    <row r="26" spans="1:35" ht="14" customHeight="1" x14ac:dyDescent="0.4">
      <c r="A26" s="23" t="s">
        <v>298</v>
      </c>
      <c r="B26" s="24">
        <v>1875</v>
      </c>
      <c r="C26" s="25"/>
      <c r="D26" s="36" t="s">
        <v>291</v>
      </c>
      <c r="E26" s="24">
        <v>6250</v>
      </c>
      <c r="F26" s="26"/>
      <c r="G26" s="30" t="s">
        <v>98</v>
      </c>
      <c r="H26" s="24">
        <v>11250</v>
      </c>
      <c r="I26" s="183">
        <v>0</v>
      </c>
      <c r="J26" s="24">
        <v>20000</v>
      </c>
      <c r="K26" s="25"/>
      <c r="L26" s="36" t="s">
        <v>374</v>
      </c>
      <c r="M26" s="24">
        <v>78000</v>
      </c>
      <c r="N26" s="38">
        <v>18</v>
      </c>
      <c r="O26" s="20"/>
      <c r="P26" s="23" t="s">
        <v>100</v>
      </c>
      <c r="Q26" s="184">
        <f t="shared" si="6"/>
        <v>244565.21739130435</v>
      </c>
      <c r="R26" s="35">
        <v>5.625</v>
      </c>
      <c r="S26" s="50"/>
      <c r="T26" s="183">
        <v>0</v>
      </c>
      <c r="U26" s="55"/>
      <c r="V26" s="39" t="s">
        <v>101</v>
      </c>
      <c r="W26" s="192"/>
      <c r="X26" s="192"/>
      <c r="Y26" s="192"/>
      <c r="Z26" s="192"/>
      <c r="AA26" s="192"/>
      <c r="AB26" s="192"/>
      <c r="AC26" s="192"/>
      <c r="AD26" s="22"/>
      <c r="AE26" s="22"/>
      <c r="AF26" s="22"/>
      <c r="AG26" s="22"/>
      <c r="AH26" s="22"/>
      <c r="AI26" s="22"/>
    </row>
    <row r="27" spans="1:35" ht="14" customHeight="1" x14ac:dyDescent="0.4">
      <c r="A27" s="23" t="s">
        <v>299</v>
      </c>
      <c r="B27" s="24">
        <v>2500</v>
      </c>
      <c r="C27" s="25"/>
      <c r="D27" s="23" t="s">
        <v>83</v>
      </c>
      <c r="E27" s="24">
        <v>5000</v>
      </c>
      <c r="F27" s="26"/>
      <c r="G27" s="30" t="s">
        <v>103</v>
      </c>
      <c r="H27" s="24">
        <v>5000</v>
      </c>
      <c r="I27" s="183">
        <v>0</v>
      </c>
      <c r="J27" s="24">
        <v>15000</v>
      </c>
      <c r="K27" s="25"/>
      <c r="L27" s="36" t="s">
        <v>132</v>
      </c>
      <c r="M27" s="24">
        <v>46000</v>
      </c>
      <c r="N27" s="38">
        <v>15</v>
      </c>
      <c r="O27" s="20"/>
      <c r="P27" s="41" t="s">
        <v>104</v>
      </c>
      <c r="Q27" s="184">
        <f t="shared" si="6"/>
        <v>54347.82608695652</v>
      </c>
      <c r="R27" s="35">
        <v>1.25</v>
      </c>
      <c r="S27" s="50"/>
      <c r="T27" s="183">
        <v>15000</v>
      </c>
      <c r="U27" s="55"/>
      <c r="V27" s="254" t="s">
        <v>105</v>
      </c>
      <c r="W27" s="244"/>
      <c r="X27" s="192"/>
      <c r="Y27" s="192"/>
      <c r="Z27" s="192"/>
      <c r="AA27" s="192"/>
      <c r="AB27" s="22"/>
      <c r="AC27" s="22"/>
      <c r="AD27" s="22"/>
      <c r="AE27" s="22"/>
      <c r="AF27" s="22"/>
      <c r="AG27" s="22"/>
      <c r="AH27" s="22"/>
      <c r="AI27" s="22"/>
    </row>
    <row r="28" spans="1:35" ht="14" customHeight="1" x14ac:dyDescent="0.4">
      <c r="A28" s="252" t="s">
        <v>301</v>
      </c>
      <c r="B28" s="252"/>
      <c r="C28" s="25"/>
      <c r="D28" s="23"/>
      <c r="E28" s="37"/>
      <c r="F28" s="26"/>
      <c r="G28" s="30" t="s">
        <v>104</v>
      </c>
      <c r="H28" s="24">
        <v>0</v>
      </c>
      <c r="I28" s="183">
        <v>0</v>
      </c>
      <c r="J28" s="24">
        <v>11250</v>
      </c>
      <c r="K28" s="25"/>
      <c r="L28" s="36" t="s">
        <v>133</v>
      </c>
      <c r="M28" s="24">
        <v>18454</v>
      </c>
      <c r="N28" s="38">
        <v>22</v>
      </c>
      <c r="O28" s="20"/>
      <c r="P28" s="41" t="s">
        <v>103</v>
      </c>
      <c r="Q28" s="184">
        <f t="shared" si="6"/>
        <v>271739.13043478259</v>
      </c>
      <c r="R28" s="35">
        <v>6.25</v>
      </c>
      <c r="S28" s="50"/>
      <c r="T28" s="183">
        <v>22500</v>
      </c>
      <c r="U28" s="55"/>
      <c r="V28" s="259" t="s">
        <v>107</v>
      </c>
      <c r="W28" s="244"/>
      <c r="X28" s="194">
        <v>15</v>
      </c>
      <c r="Y28" s="194">
        <v>7</v>
      </c>
      <c r="Z28" s="194">
        <v>14</v>
      </c>
      <c r="AA28" s="194">
        <v>14</v>
      </c>
      <c r="AB28" s="194">
        <v>13</v>
      </c>
      <c r="AC28" s="194">
        <v>7</v>
      </c>
      <c r="AD28" s="22">
        <f>SUM(X28:AC28)</f>
        <v>70</v>
      </c>
      <c r="AE28" s="22"/>
      <c r="AF28" s="22"/>
      <c r="AG28" s="22"/>
      <c r="AH28" s="22"/>
      <c r="AI28" s="22"/>
    </row>
    <row r="29" spans="1:35" ht="14" customHeight="1" x14ac:dyDescent="0.4">
      <c r="A29" s="23"/>
      <c r="B29" s="36"/>
      <c r="C29" s="25"/>
      <c r="D29" s="13" t="s">
        <v>109</v>
      </c>
      <c r="E29" s="37"/>
      <c r="F29" s="26"/>
      <c r="G29" s="23" t="s">
        <v>110</v>
      </c>
      <c r="H29" s="24">
        <v>0</v>
      </c>
      <c r="I29" s="183">
        <v>0</v>
      </c>
      <c r="J29" s="24">
        <v>6875</v>
      </c>
      <c r="K29" s="25"/>
      <c r="L29" s="40" t="s">
        <v>96</v>
      </c>
      <c r="M29" s="185">
        <f>SUMPRODUCT(M26:M28,N26:N28)</f>
        <v>2499988</v>
      </c>
      <c r="N29" s="239">
        <f>SUM(N26:N28)</f>
        <v>55</v>
      </c>
      <c r="O29" s="20"/>
      <c r="P29" s="30" t="s">
        <v>98</v>
      </c>
      <c r="Q29" s="184">
        <f t="shared" si="6"/>
        <v>407608.69565217389</v>
      </c>
      <c r="R29" s="35">
        <v>9.375</v>
      </c>
      <c r="S29" s="50"/>
      <c r="T29" s="183">
        <v>37500</v>
      </c>
      <c r="U29" s="55"/>
      <c r="V29" s="259" t="s">
        <v>111</v>
      </c>
      <c r="W29" s="244"/>
      <c r="X29" s="659">
        <v>28939</v>
      </c>
      <c r="Y29" s="659">
        <v>34374</v>
      </c>
      <c r="Z29" s="659">
        <v>32816</v>
      </c>
      <c r="AA29" s="659">
        <v>9175</v>
      </c>
      <c r="AB29" s="659">
        <v>21013</v>
      </c>
      <c r="AC29" s="659">
        <v>26342</v>
      </c>
      <c r="AD29" s="22"/>
      <c r="AE29" s="22"/>
      <c r="AF29" s="22"/>
      <c r="AG29" s="22"/>
      <c r="AH29" s="22"/>
      <c r="AI29" s="22"/>
    </row>
    <row r="30" spans="1:35" ht="14" customHeight="1" x14ac:dyDescent="0.4">
      <c r="A30" s="23"/>
      <c r="B30" s="36"/>
      <c r="C30" s="25"/>
      <c r="D30" s="23" t="s">
        <v>113</v>
      </c>
      <c r="E30" s="183">
        <v>0</v>
      </c>
      <c r="F30" s="26"/>
      <c r="G30" s="23"/>
      <c r="H30" s="37"/>
      <c r="I30" s="76"/>
      <c r="J30" s="14"/>
      <c r="K30" s="44"/>
      <c r="L30" s="170" t="s">
        <v>292</v>
      </c>
      <c r="M30" s="24">
        <v>2500000</v>
      </c>
      <c r="N30" s="36"/>
      <c r="O30" s="20"/>
      <c r="P30" s="23" t="s">
        <v>295</v>
      </c>
      <c r="Q30" s="24">
        <v>6875</v>
      </c>
      <c r="R30" s="35"/>
      <c r="S30" s="50"/>
      <c r="T30" s="183">
        <v>0</v>
      </c>
      <c r="U30" s="55"/>
      <c r="V30" s="259" t="s">
        <v>116</v>
      </c>
      <c r="W30" s="244"/>
      <c r="X30" s="659">
        <v>24704</v>
      </c>
      <c r="Y30" s="199"/>
      <c r="Z30" s="659">
        <v>43433</v>
      </c>
      <c r="AA30" s="659">
        <v>21561</v>
      </c>
      <c r="AB30" s="659">
        <v>22180</v>
      </c>
      <c r="AC30" s="22"/>
      <c r="AD30" s="22"/>
      <c r="AE30" s="22"/>
      <c r="AF30" s="22"/>
      <c r="AG30" s="22"/>
      <c r="AH30" s="22"/>
      <c r="AI30" s="22"/>
    </row>
    <row r="31" spans="1:35" ht="14" customHeight="1" x14ac:dyDescent="0.4">
      <c r="A31" s="23"/>
      <c r="B31" s="36"/>
      <c r="C31" s="25"/>
      <c r="D31" s="23" t="s">
        <v>118</v>
      </c>
      <c r="E31" s="45">
        <v>1.5</v>
      </c>
      <c r="F31" s="26"/>
      <c r="G31" s="23"/>
      <c r="H31" s="46"/>
      <c r="I31" s="46"/>
      <c r="J31" s="46"/>
      <c r="K31" s="47"/>
      <c r="L31" s="251" t="s">
        <v>293</v>
      </c>
      <c r="M31" s="251"/>
      <c r="N31" s="251"/>
      <c r="O31" s="20"/>
      <c r="P31" s="40" t="s">
        <v>120</v>
      </c>
      <c r="Q31" s="28">
        <f>(Q23*9)+Q24+Q25+Q26+Q29+(Q30*7)</f>
        <v>1199038.0434782607</v>
      </c>
      <c r="R31" s="48">
        <f>SUM(R22:R30)</f>
        <v>32.219000000000001</v>
      </c>
      <c r="S31" s="242" t="s">
        <v>306</v>
      </c>
      <c r="T31" s="242"/>
      <c r="U31" s="55"/>
      <c r="V31" s="298" t="s">
        <v>418</v>
      </c>
      <c r="W31" s="298"/>
      <c r="X31" s="659">
        <v>42386</v>
      </c>
      <c r="Y31" s="199"/>
      <c r="Z31" s="659">
        <v>43196</v>
      </c>
      <c r="AA31" s="659">
        <v>50891</v>
      </c>
      <c r="AB31" s="659">
        <v>39848</v>
      </c>
      <c r="AC31" s="199"/>
      <c r="AD31" s="22"/>
      <c r="AE31" s="22"/>
      <c r="AF31" s="22"/>
      <c r="AG31" s="22"/>
      <c r="AH31" s="22"/>
      <c r="AI31" s="22"/>
    </row>
    <row r="32" spans="1:35" ht="14" customHeight="1" x14ac:dyDescent="0.4">
      <c r="A32" s="23"/>
      <c r="B32" s="36"/>
      <c r="C32" s="25"/>
      <c r="D32" s="243" t="s">
        <v>121</v>
      </c>
      <c r="E32" s="244"/>
      <c r="F32" s="26"/>
      <c r="G32" s="46"/>
      <c r="H32" s="46"/>
      <c r="I32" s="46"/>
      <c r="J32" s="46"/>
      <c r="K32" s="47"/>
      <c r="L32" s="251" t="s">
        <v>395</v>
      </c>
      <c r="M32" s="251"/>
      <c r="N32" s="251"/>
      <c r="O32" s="20"/>
      <c r="P32" s="49"/>
      <c r="Q32" s="50"/>
      <c r="R32" s="50"/>
      <c r="S32" s="242" t="s">
        <v>307</v>
      </c>
      <c r="T32" s="242"/>
      <c r="U32" s="55"/>
      <c r="V32" s="259" t="s">
        <v>122</v>
      </c>
      <c r="W32" s="244"/>
      <c r="X32" s="659">
        <v>507041</v>
      </c>
      <c r="Y32" s="659">
        <v>240619</v>
      </c>
      <c r="Z32" s="659">
        <v>542696</v>
      </c>
      <c r="AA32" s="659">
        <v>415903</v>
      </c>
      <c r="AB32" s="659">
        <v>411858</v>
      </c>
      <c r="AC32" s="659">
        <v>169211</v>
      </c>
      <c r="AD32" s="661">
        <f>SUM(X32:AC32)</f>
        <v>2287328</v>
      </c>
      <c r="AE32" s="22"/>
      <c r="AF32" s="22"/>
      <c r="AG32" s="22"/>
      <c r="AH32" s="22"/>
      <c r="AI32" s="22"/>
    </row>
    <row r="33" spans="8:30" ht="14" customHeight="1" x14ac:dyDescent="0.4">
      <c r="V33" s="254" t="s">
        <v>126</v>
      </c>
      <c r="W33" s="244"/>
      <c r="X33" s="659">
        <v>33803</v>
      </c>
      <c r="Y33" s="659">
        <v>34374</v>
      </c>
      <c r="Z33" s="659">
        <v>38764</v>
      </c>
      <c r="AA33" s="659">
        <v>29707</v>
      </c>
      <c r="AB33" s="659">
        <v>29418</v>
      </c>
      <c r="AC33" s="659">
        <v>26342</v>
      </c>
      <c r="AD33" s="661">
        <f>AD32/AD28</f>
        <v>32676.114285714284</v>
      </c>
    </row>
    <row r="35" spans="8:30" ht="15.75" customHeight="1" x14ac:dyDescent="0.35">
      <c r="H35" s="215"/>
    </row>
  </sheetData>
  <mergeCells count="46">
    <mergeCell ref="V29:W29"/>
    <mergeCell ref="V30:W30"/>
    <mergeCell ref="V32:W32"/>
    <mergeCell ref="V33:W33"/>
    <mergeCell ref="V31:W31"/>
    <mergeCell ref="V23:W23"/>
    <mergeCell ref="V24:W24"/>
    <mergeCell ref="V25:W25"/>
    <mergeCell ref="V27:W27"/>
    <mergeCell ref="V28:W28"/>
    <mergeCell ref="V4:AC4"/>
    <mergeCell ref="V19:AC19"/>
    <mergeCell ref="V20:W20"/>
    <mergeCell ref="V21:W21"/>
    <mergeCell ref="V22:W22"/>
    <mergeCell ref="U1:AA1"/>
    <mergeCell ref="V5:W5"/>
    <mergeCell ref="V6:W6"/>
    <mergeCell ref="V7:W7"/>
    <mergeCell ref="V8:W8"/>
    <mergeCell ref="V9:W9"/>
    <mergeCell ref="V10:W10"/>
    <mergeCell ref="V14:W14"/>
    <mergeCell ref="V15:W15"/>
    <mergeCell ref="V16:W16"/>
    <mergeCell ref="V17:W17"/>
    <mergeCell ref="V12:W12"/>
    <mergeCell ref="V13:W13"/>
    <mergeCell ref="B1:H1"/>
    <mergeCell ref="I1:T1"/>
    <mergeCell ref="Q5:R5"/>
    <mergeCell ref="S5:T5"/>
    <mergeCell ref="A3:T3"/>
    <mergeCell ref="A4:T4"/>
    <mergeCell ref="S31:T31"/>
    <mergeCell ref="S32:T32"/>
    <mergeCell ref="D17:E17"/>
    <mergeCell ref="D32:E32"/>
    <mergeCell ref="B2:T2"/>
    <mergeCell ref="A19:T19"/>
    <mergeCell ref="Q20:R20"/>
    <mergeCell ref="S20:T20"/>
    <mergeCell ref="L31:N31"/>
    <mergeCell ref="S21:T21"/>
    <mergeCell ref="A28:B28"/>
    <mergeCell ref="L32:N32"/>
  </mergeCells>
  <pageMargins left="0.7" right="0.7" top="0.75" bottom="0.75" header="0.3" footer="0.3"/>
  <ignoredErrors>
    <ignoredError sqref="R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A4EC-16ED-43D8-A725-07DC6B68033B}">
  <sheetPr>
    <outlinePr summaryBelow="0" summaryRight="0"/>
  </sheetPr>
  <dimension ref="A1:W162"/>
  <sheetViews>
    <sheetView topLeftCell="A132" workbookViewId="0">
      <selection activeCell="E40" sqref="E40"/>
    </sheetView>
  </sheetViews>
  <sheetFormatPr defaultColWidth="14.3984375" defaultRowHeight="14" customHeight="1" x14ac:dyDescent="0.35"/>
  <cols>
    <col min="1" max="1" width="13.3984375" style="171" customWidth="1"/>
    <col min="2" max="2" width="11.86328125" style="171" customWidth="1"/>
    <col min="3" max="3" width="4.73046875" style="171" customWidth="1"/>
    <col min="4" max="4" width="12.3984375" style="171" customWidth="1"/>
    <col min="5" max="5" width="9.1328125" style="171" customWidth="1"/>
    <col min="6" max="6" width="5.265625" style="171" customWidth="1"/>
    <col min="7" max="7" width="10.6640625" style="171" customWidth="1"/>
    <col min="8" max="8" width="8.73046875" style="171" customWidth="1"/>
    <col min="9" max="9" width="9.9296875" style="171" customWidth="1"/>
    <col min="10" max="10" width="8.73046875" style="171" customWidth="1"/>
    <col min="11" max="11" width="9.86328125" style="171" customWidth="1"/>
    <col min="12" max="12" width="8.73046875" style="171" customWidth="1"/>
    <col min="13" max="13" width="12.06640625" style="171" customWidth="1"/>
    <col min="14" max="14" width="8.73046875" style="171" customWidth="1"/>
    <col min="15" max="15" width="10.3984375" style="171" customWidth="1"/>
    <col min="16" max="16" width="8.73046875" style="171" customWidth="1"/>
    <col min="17" max="20" width="11.73046875" style="171" customWidth="1"/>
    <col min="21" max="21" width="12.265625" style="171" customWidth="1"/>
    <col min="22" max="22" width="12.53125" style="171" customWidth="1"/>
    <col min="23" max="23" width="12.06640625" style="171" customWidth="1"/>
    <col min="24" max="16384" width="14.3984375" style="171"/>
  </cols>
  <sheetData>
    <row r="1" spans="1:23" ht="17.25" customHeight="1" x14ac:dyDescent="0.4">
      <c r="A1" s="291" t="s">
        <v>1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27"/>
      <c r="Q1" s="228"/>
      <c r="R1" s="228"/>
      <c r="S1" s="228"/>
      <c r="T1" s="228"/>
      <c r="U1" s="29"/>
      <c r="V1" s="29"/>
      <c r="W1" s="29"/>
    </row>
    <row r="2" spans="1:23" ht="14" customHeight="1" x14ac:dyDescent="0.4">
      <c r="A2" s="305" t="str">
        <f>main!A20</f>
        <v>Salaries</v>
      </c>
      <c r="B2" s="229"/>
      <c r="C2" s="230"/>
      <c r="D2" s="305" t="str">
        <f>main!D20</f>
        <v>Friendlies</v>
      </c>
      <c r="E2" s="229"/>
      <c r="F2" s="231"/>
      <c r="G2" s="305" t="str">
        <f>main!G20</f>
        <v>Tourneys</v>
      </c>
      <c r="H2" s="229" t="str">
        <f>main!H20</f>
        <v>Gold C</v>
      </c>
      <c r="I2" s="229" t="str">
        <f>main!I20</f>
        <v>Nat Lg</v>
      </c>
      <c r="J2" s="229" t="str">
        <f>main!J20</f>
        <v>Copa Am</v>
      </c>
      <c r="K2" s="232"/>
      <c r="L2" s="305" t="str">
        <f>main!L20</f>
        <v>WCQ/OlyQ</v>
      </c>
      <c r="M2" s="229" t="str">
        <f>main!M20</f>
        <v>1st rd</v>
      </c>
      <c r="N2" s="229" t="str">
        <f>main!N20</f>
        <v>2nd rd</v>
      </c>
      <c r="O2" s="233"/>
      <c r="P2" s="305" t="str">
        <f>main!P20</f>
        <v>Majors</v>
      </c>
      <c r="Q2" s="293" t="s">
        <v>66</v>
      </c>
      <c r="R2" s="287"/>
      <c r="S2" s="293" t="s">
        <v>67</v>
      </c>
      <c r="T2" s="287"/>
      <c r="U2" s="22"/>
      <c r="V2" s="22"/>
      <c r="W2" s="22"/>
    </row>
    <row r="3" spans="1:23" ht="14" customHeight="1" x14ac:dyDescent="0.4">
      <c r="A3" s="236" t="str">
        <f>main!A21</f>
        <v>Tier 1</v>
      </c>
      <c r="B3" s="236">
        <f>main!B21</f>
        <v>0</v>
      </c>
      <c r="C3" s="235"/>
      <c r="D3" s="236" t="str">
        <f>main!D21</f>
        <v>W (T10/Mex)</v>
      </c>
      <c r="E3" s="236">
        <f>main!E21</f>
        <v>17625</v>
      </c>
      <c r="F3" s="231"/>
      <c r="G3" s="236" t="str">
        <f>main!G21</f>
        <v>W (T25/Mex)</v>
      </c>
      <c r="H3" s="236">
        <f>main!H21</f>
        <v>14125</v>
      </c>
      <c r="I3" s="236">
        <f>main!I21</f>
        <v>0</v>
      </c>
      <c r="J3" s="236">
        <f>main!J21</f>
        <v>14125</v>
      </c>
      <c r="K3" s="235"/>
      <c r="L3" s="236" t="str">
        <f>main!L21</f>
        <v>Win</v>
      </c>
      <c r="M3" s="236">
        <f>main!M21</f>
        <v>15625</v>
      </c>
      <c r="N3" s="236">
        <f>main!N21</f>
        <v>18125</v>
      </c>
      <c r="O3" s="233"/>
      <c r="P3" s="236" t="str">
        <f>main!P21</f>
        <v>Roster</v>
      </c>
      <c r="Q3" s="236">
        <f>main!Q21</f>
        <v>68750</v>
      </c>
      <c r="R3" s="229"/>
      <c r="S3" s="260" t="s">
        <v>294</v>
      </c>
      <c r="T3" s="260"/>
      <c r="U3" s="22"/>
      <c r="V3" s="22"/>
      <c r="W3" s="22"/>
    </row>
    <row r="4" spans="1:23" ht="14" customHeight="1" x14ac:dyDescent="0.4">
      <c r="A4" s="236" t="str">
        <f>main!A22</f>
        <v>Tier 2</v>
      </c>
      <c r="B4" s="236">
        <f>main!B22</f>
        <v>0</v>
      </c>
      <c r="C4" s="235"/>
      <c r="D4" s="236" t="str">
        <f>main!D22</f>
        <v>W (11th-25th)</v>
      </c>
      <c r="E4" s="236">
        <f>main!E22</f>
        <v>12500</v>
      </c>
      <c r="F4" s="231"/>
      <c r="G4" s="236" t="str">
        <f>main!G22</f>
        <v>W (26+)</v>
      </c>
      <c r="H4" s="236">
        <f>main!H22</f>
        <v>9375</v>
      </c>
      <c r="I4" s="236">
        <f>main!I22</f>
        <v>0</v>
      </c>
      <c r="J4" s="236">
        <f>main!J22</f>
        <v>14125</v>
      </c>
      <c r="K4" s="235"/>
      <c r="L4" s="236" t="str">
        <f>main!L22</f>
        <v>Draw</v>
      </c>
      <c r="M4" s="236">
        <f>main!M22</f>
        <v>7500</v>
      </c>
      <c r="N4" s="236">
        <f>main!N22</f>
        <v>10000</v>
      </c>
      <c r="O4" s="233"/>
      <c r="P4" s="229"/>
      <c r="Q4" s="229" t="str">
        <f>main!Q22</f>
        <v>Individual</v>
      </c>
      <c r="R4" s="229" t="str">
        <f>main!R22</f>
        <v>Team x1m</v>
      </c>
      <c r="S4" s="229"/>
      <c r="T4" s="229" t="str">
        <f>main!T22</f>
        <v>Individual</v>
      </c>
      <c r="U4" s="22"/>
      <c r="V4" s="22"/>
      <c r="W4" s="22"/>
    </row>
    <row r="5" spans="1:23" ht="14" customHeight="1" x14ac:dyDescent="0.4">
      <c r="A5" s="236"/>
      <c r="B5" s="236"/>
      <c r="C5" s="235"/>
      <c r="D5" s="236" t="str">
        <f>main!D23</f>
        <v>W (26+)</v>
      </c>
      <c r="E5" s="236">
        <f>main!E23</f>
        <v>9375</v>
      </c>
      <c r="F5" s="231"/>
      <c r="G5" s="236" t="str">
        <f>main!G23</f>
        <v>Draw</v>
      </c>
      <c r="H5" s="236">
        <f>main!H23</f>
        <v>6563</v>
      </c>
      <c r="I5" s="236">
        <f>main!I23</f>
        <v>0</v>
      </c>
      <c r="J5" s="236">
        <f>main!J23</f>
        <v>6563</v>
      </c>
      <c r="K5" s="235"/>
      <c r="L5" s="236" t="str">
        <f>main!L23</f>
        <v>Loss</v>
      </c>
      <c r="M5" s="236">
        <f>main!M23</f>
        <v>5000</v>
      </c>
      <c r="N5" s="236">
        <f>main!N23</f>
        <v>5000</v>
      </c>
      <c r="O5" s="233"/>
      <c r="P5" s="236" t="str">
        <f>main!P23</f>
        <v>Point/grp</v>
      </c>
      <c r="Q5" s="236">
        <f>main!Q23</f>
        <v>9521.7391304347821</v>
      </c>
      <c r="R5" s="240">
        <f>main!R23</f>
        <v>0.219</v>
      </c>
      <c r="S5" s="236"/>
      <c r="T5" s="236">
        <f>main!T23</f>
        <v>0</v>
      </c>
      <c r="U5" s="22"/>
      <c r="V5" s="22"/>
      <c r="W5" s="22"/>
    </row>
    <row r="6" spans="1:23" ht="14" customHeight="1" x14ac:dyDescent="0.4">
      <c r="A6" s="236"/>
      <c r="B6" s="236"/>
      <c r="C6" s="235"/>
      <c r="D6" s="236" t="str">
        <f>main!D24</f>
        <v>D (T10/Mex)</v>
      </c>
      <c r="E6" s="236">
        <f>main!E24</f>
        <v>8125</v>
      </c>
      <c r="F6" s="231"/>
      <c r="G6" s="236" t="str">
        <f>main!G24</f>
        <v>Loss</v>
      </c>
      <c r="H6" s="236">
        <f>main!H24</f>
        <v>5000</v>
      </c>
      <c r="I6" s="236">
        <f>main!I24</f>
        <v>0</v>
      </c>
      <c r="J6" s="236">
        <f>main!J24</f>
        <v>6563</v>
      </c>
      <c r="K6" s="235"/>
      <c r="L6" s="236"/>
      <c r="M6" s="236"/>
      <c r="N6" s="236"/>
      <c r="O6" s="233"/>
      <c r="P6" s="236" t="str">
        <f>main!P24</f>
        <v>Knockout rd</v>
      </c>
      <c r="Q6" s="236">
        <f>main!Q24</f>
        <v>195652.17391304349</v>
      </c>
      <c r="R6" s="240">
        <f>main!R24</f>
        <v>4.5</v>
      </c>
      <c r="S6" s="236"/>
      <c r="T6" s="236">
        <f>main!T24</f>
        <v>0</v>
      </c>
      <c r="U6" s="22"/>
      <c r="V6" s="22"/>
      <c r="W6" s="22"/>
    </row>
    <row r="7" spans="1:23" ht="14" customHeight="1" x14ac:dyDescent="0.4">
      <c r="A7" s="305" t="str">
        <f>main!A25</f>
        <v>Non-salaried</v>
      </c>
      <c r="B7" s="229"/>
      <c r="C7" s="235"/>
      <c r="D7" s="236" t="str">
        <f>main!D25</f>
        <v>D (11th-25th)</v>
      </c>
      <c r="E7" s="236">
        <f>main!E25</f>
        <v>6250</v>
      </c>
      <c r="F7" s="231"/>
      <c r="G7" s="236" t="str">
        <f>main!G25</f>
        <v>2nd round</v>
      </c>
      <c r="H7" s="236">
        <f>main!H25</f>
        <v>0</v>
      </c>
      <c r="I7" s="236">
        <f>main!I25</f>
        <v>0</v>
      </c>
      <c r="J7" s="236">
        <f>main!J25</f>
        <v>12500</v>
      </c>
      <c r="K7" s="235"/>
      <c r="L7" s="305" t="str">
        <f>main!L25</f>
        <v>Qual bonus</v>
      </c>
      <c r="M7" s="229" t="str">
        <f>main!M25</f>
        <v>per player</v>
      </c>
      <c r="N7" s="229" t="str">
        <f>main!N25</f>
        <v># players</v>
      </c>
      <c r="O7" s="233"/>
      <c r="P7" s="236" t="str">
        <f>main!P25</f>
        <v>Quarters</v>
      </c>
      <c r="Q7" s="236">
        <f>main!Q25</f>
        <v>217391.30434782608</v>
      </c>
      <c r="R7" s="240">
        <f>main!R25</f>
        <v>5</v>
      </c>
      <c r="S7" s="236"/>
      <c r="T7" s="236">
        <f>main!T25</f>
        <v>0</v>
      </c>
      <c r="U7" s="22"/>
      <c r="V7" s="22"/>
      <c r="W7" s="22"/>
    </row>
    <row r="8" spans="1:23" ht="14" customHeight="1" x14ac:dyDescent="0.4">
      <c r="A8" s="236" t="str">
        <f>main!A26</f>
        <v>Friendly camp</v>
      </c>
      <c r="B8" s="236">
        <f>main!B26</f>
        <v>1875</v>
      </c>
      <c r="C8" s="235"/>
      <c r="D8" s="236" t="str">
        <f>main!D26</f>
        <v>D (26+)</v>
      </c>
      <c r="E8" s="236">
        <f>main!E26</f>
        <v>6250</v>
      </c>
      <c r="F8" s="231"/>
      <c r="G8" s="236" t="str">
        <f>main!G26</f>
        <v>Champion</v>
      </c>
      <c r="H8" s="236">
        <f>main!H26</f>
        <v>11250</v>
      </c>
      <c r="I8" s="236">
        <f>main!I26</f>
        <v>0</v>
      </c>
      <c r="J8" s="236">
        <f>main!J26</f>
        <v>20000</v>
      </c>
      <c r="K8" s="235"/>
      <c r="L8" s="236" t="str">
        <f>main!L26</f>
        <v>Groups 1-2</v>
      </c>
      <c r="M8" s="236">
        <f>main!M26</f>
        <v>78000</v>
      </c>
      <c r="N8" s="239">
        <f>main!N26</f>
        <v>18</v>
      </c>
      <c r="O8" s="233"/>
      <c r="P8" s="236" t="str">
        <f>main!P26</f>
        <v>Semifinals</v>
      </c>
      <c r="Q8" s="236">
        <f>main!Q26</f>
        <v>244565.21739130435</v>
      </c>
      <c r="R8" s="240">
        <f>main!R26</f>
        <v>5.625</v>
      </c>
      <c r="S8" s="236"/>
      <c r="T8" s="236">
        <f>main!T26</f>
        <v>0</v>
      </c>
      <c r="U8" s="22"/>
      <c r="V8" s="22"/>
      <c r="W8" s="22"/>
    </row>
    <row r="9" spans="1:23" ht="14" customHeight="1" x14ac:dyDescent="0.4">
      <c r="A9" s="236" t="str">
        <f>main!A27</f>
        <v>WCQ camp</v>
      </c>
      <c r="B9" s="236">
        <f>main!B27</f>
        <v>2500</v>
      </c>
      <c r="C9" s="235"/>
      <c r="D9" s="236" t="str">
        <f>main!D27</f>
        <v>Loss</v>
      </c>
      <c r="E9" s="236">
        <f>main!E27</f>
        <v>5000</v>
      </c>
      <c r="F9" s="231"/>
      <c r="G9" s="236" t="str">
        <f>main!G27</f>
        <v>Runner-up</v>
      </c>
      <c r="H9" s="236">
        <f>main!H27</f>
        <v>5000</v>
      </c>
      <c r="I9" s="236">
        <f>main!I27</f>
        <v>0</v>
      </c>
      <c r="J9" s="236">
        <f>main!J27</f>
        <v>15000</v>
      </c>
      <c r="K9" s="235"/>
      <c r="L9" s="236" t="str">
        <f>main!L27</f>
        <v>Group 3</v>
      </c>
      <c r="M9" s="236">
        <f>main!M27</f>
        <v>46000</v>
      </c>
      <c r="N9" s="239">
        <f>main!N27</f>
        <v>15</v>
      </c>
      <c r="O9" s="233"/>
      <c r="P9" s="236" t="str">
        <f>main!P27</f>
        <v>Third place</v>
      </c>
      <c r="Q9" s="236">
        <f>main!Q27</f>
        <v>54347.82608695652</v>
      </c>
      <c r="R9" s="240">
        <f>main!R27</f>
        <v>1.25</v>
      </c>
      <c r="S9" s="236"/>
      <c r="T9" s="236">
        <f>main!T27</f>
        <v>15000</v>
      </c>
      <c r="U9" s="22"/>
      <c r="V9" s="22"/>
      <c r="W9" s="22"/>
    </row>
    <row r="10" spans="1:23" ht="14" customHeight="1" x14ac:dyDescent="0.4">
      <c r="A10" s="294" t="s">
        <v>301</v>
      </c>
      <c r="B10" s="294"/>
      <c r="C10" s="235"/>
      <c r="D10" s="229"/>
      <c r="E10" s="229"/>
      <c r="F10" s="231"/>
      <c r="G10" s="236" t="str">
        <f>main!G28</f>
        <v>Third place</v>
      </c>
      <c r="H10" s="236">
        <f>main!H28</f>
        <v>0</v>
      </c>
      <c r="I10" s="236">
        <f>main!I28</f>
        <v>0</v>
      </c>
      <c r="J10" s="236">
        <f>main!J28</f>
        <v>11250</v>
      </c>
      <c r="K10" s="235"/>
      <c r="L10" s="236" t="str">
        <f>main!L28</f>
        <v>Group 4</v>
      </c>
      <c r="M10" s="236">
        <f>main!M28</f>
        <v>18454</v>
      </c>
      <c r="N10" s="239">
        <f>main!N28</f>
        <v>22</v>
      </c>
      <c r="O10" s="233"/>
      <c r="P10" s="236" t="str">
        <f>main!P28</f>
        <v>Runner-up</v>
      </c>
      <c r="Q10" s="236">
        <f>main!Q28</f>
        <v>271739.13043478259</v>
      </c>
      <c r="R10" s="240">
        <f>main!R28</f>
        <v>6.25</v>
      </c>
      <c r="S10" s="236"/>
      <c r="T10" s="236">
        <f>main!T28</f>
        <v>22500</v>
      </c>
      <c r="U10" s="22"/>
      <c r="V10" s="22"/>
      <c r="W10" s="22"/>
    </row>
    <row r="11" spans="1:23" ht="14" customHeight="1" x14ac:dyDescent="0.4">
      <c r="A11" s="236"/>
      <c r="B11" s="236"/>
      <c r="C11" s="235"/>
      <c r="D11" s="305" t="str">
        <f>main!D29</f>
        <v>Pool pay</v>
      </c>
      <c r="E11" s="229"/>
      <c r="F11" s="231"/>
      <c r="G11" s="236" t="str">
        <f>main!G29</f>
        <v>Fourth place</v>
      </c>
      <c r="H11" s="236">
        <f>main!H29</f>
        <v>0</v>
      </c>
      <c r="I11" s="236">
        <f>main!I29</f>
        <v>0</v>
      </c>
      <c r="J11" s="236">
        <f>main!J29</f>
        <v>6875</v>
      </c>
      <c r="K11" s="235"/>
      <c r="L11" s="236" t="str">
        <f>main!L29</f>
        <v>Pool total</v>
      </c>
      <c r="M11" s="236">
        <f>main!M29</f>
        <v>2499988</v>
      </c>
      <c r="N11" s="236"/>
      <c r="O11" s="233"/>
      <c r="P11" s="236" t="str">
        <f>main!P29</f>
        <v>Champion</v>
      </c>
      <c r="Q11" s="236">
        <f>main!Q29</f>
        <v>407608.69565217389</v>
      </c>
      <c r="R11" s="240">
        <f>main!R29</f>
        <v>9.375</v>
      </c>
      <c r="S11" s="236"/>
      <c r="T11" s="236">
        <f>main!T29</f>
        <v>37500</v>
      </c>
      <c r="U11" s="22"/>
      <c r="V11" s="22"/>
      <c r="W11" s="22"/>
    </row>
    <row r="12" spans="1:23" ht="14" customHeight="1" x14ac:dyDescent="0.4">
      <c r="A12" s="229"/>
      <c r="B12" s="229"/>
      <c r="C12" s="235"/>
      <c r="D12" s="236" t="str">
        <f>main!D30</f>
        <v>Likenesses</v>
      </c>
      <c r="E12" s="236">
        <f>main!E30</f>
        <v>0</v>
      </c>
      <c r="F12" s="231"/>
      <c r="G12" s="229"/>
      <c r="H12" s="229"/>
      <c r="I12" s="229"/>
      <c r="J12" s="229"/>
      <c r="K12" s="235"/>
      <c r="L12" s="236" t="str">
        <f>main!L30</f>
        <v>Must equal</v>
      </c>
      <c r="M12" s="236">
        <f>main!M30</f>
        <v>2500000</v>
      </c>
      <c r="N12" s="236"/>
      <c r="O12" s="233"/>
      <c r="P12" s="236" t="str">
        <f>main!P30</f>
        <v>Per game</v>
      </c>
      <c r="Q12" s="236">
        <f>main!Q30</f>
        <v>6875</v>
      </c>
      <c r="R12" s="240">
        <f>main!R30</f>
        <v>0</v>
      </c>
      <c r="S12" s="236"/>
      <c r="T12" s="236">
        <f>main!T30</f>
        <v>0</v>
      </c>
      <c r="U12" s="22"/>
      <c r="V12" s="22"/>
      <c r="W12" s="22"/>
    </row>
    <row r="13" spans="1:23" ht="14" customHeight="1" x14ac:dyDescent="0.4">
      <c r="A13" s="229"/>
      <c r="B13" s="229"/>
      <c r="C13" s="235"/>
      <c r="D13" s="236" t="str">
        <f>main!D31</f>
        <v>Attendance</v>
      </c>
      <c r="E13" s="226">
        <f>main!E31</f>
        <v>1.5</v>
      </c>
      <c r="F13" s="231"/>
      <c r="G13" s="229"/>
      <c r="H13" s="229"/>
      <c r="I13" s="229"/>
      <c r="J13" s="229"/>
      <c r="K13" s="237"/>
      <c r="L13" s="260"/>
      <c r="M13" s="260"/>
      <c r="N13" s="260"/>
      <c r="O13" s="233"/>
      <c r="P13" s="229" t="str">
        <f>main!P31</f>
        <v xml:space="preserve">Max </v>
      </c>
      <c r="Q13" s="229">
        <f>main!Q31</f>
        <v>1199038.0434782607</v>
      </c>
      <c r="R13" s="241">
        <f>main!R31</f>
        <v>32.219000000000001</v>
      </c>
      <c r="S13" s="260" t="s">
        <v>308</v>
      </c>
      <c r="T13" s="260"/>
      <c r="U13" s="22"/>
      <c r="V13" s="22"/>
      <c r="W13" s="22"/>
    </row>
    <row r="14" spans="1:23" ht="14" customHeight="1" x14ac:dyDescent="0.4">
      <c r="A14" s="229"/>
      <c r="B14" s="229"/>
      <c r="C14" s="235"/>
      <c r="D14" s="293" t="s">
        <v>121</v>
      </c>
      <c r="E14" s="287"/>
      <c r="F14" s="231"/>
      <c r="G14" s="229"/>
      <c r="H14" s="229"/>
      <c r="I14" s="229"/>
      <c r="J14" s="229"/>
      <c r="K14" s="237"/>
      <c r="L14" s="229"/>
      <c r="M14" s="229"/>
      <c r="N14" s="229"/>
      <c r="O14" s="233"/>
      <c r="P14" s="238"/>
      <c r="Q14" s="236"/>
      <c r="R14" s="236"/>
      <c r="S14" s="260" t="s">
        <v>307</v>
      </c>
      <c r="T14" s="260"/>
      <c r="U14" s="22"/>
      <c r="V14" s="22"/>
      <c r="W14" s="22"/>
    </row>
    <row r="15" spans="1:23" ht="14" customHeight="1" x14ac:dyDescent="0.35">
      <c r="A15" s="286" t="s">
        <v>127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</row>
    <row r="16" spans="1:23" ht="14" customHeight="1" x14ac:dyDescent="0.4">
      <c r="A16" s="286" t="s">
        <v>309</v>
      </c>
      <c r="B16" s="287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2"/>
      <c r="V16" s="22"/>
      <c r="W16" s="22"/>
    </row>
    <row r="17" spans="1:23" ht="14" customHeight="1" x14ac:dyDescent="0.4">
      <c r="A17" s="174"/>
      <c r="B17" s="51"/>
      <c r="C17" s="51"/>
      <c r="D17" s="174"/>
      <c r="E17" s="51"/>
      <c r="F17" s="51"/>
      <c r="G17" s="89"/>
      <c r="H17" s="51"/>
      <c r="I17" s="51"/>
      <c r="J17" s="51"/>
      <c r="K17" s="51"/>
      <c r="L17" s="51"/>
      <c r="M17" s="51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4" customHeight="1" x14ac:dyDescent="0.4">
      <c r="A18" s="174"/>
      <c r="B18" s="174"/>
      <c r="D18" s="175"/>
      <c r="F18" s="51"/>
      <c r="G18" s="288" t="s">
        <v>130</v>
      </c>
      <c r="H18" s="244"/>
      <c r="I18" s="289" t="s">
        <v>131</v>
      </c>
      <c r="J18" s="244"/>
      <c r="K18" s="289" t="s">
        <v>132</v>
      </c>
      <c r="L18" s="244"/>
      <c r="M18" s="289" t="s">
        <v>133</v>
      </c>
      <c r="N18" s="244"/>
      <c r="O18" s="179" t="s">
        <v>398</v>
      </c>
      <c r="P18" s="290" t="s">
        <v>135</v>
      </c>
      <c r="Q18" s="244"/>
      <c r="R18" s="51"/>
      <c r="S18" s="51"/>
      <c r="T18" s="51"/>
      <c r="V18" s="22"/>
      <c r="W18" s="54" t="s">
        <v>136</v>
      </c>
    </row>
    <row r="19" spans="1:23" ht="14" customHeight="1" x14ac:dyDescent="0.4">
      <c r="A19" s="174"/>
      <c r="B19" s="174"/>
      <c r="D19" s="175"/>
      <c r="F19" s="51"/>
      <c r="G19" s="284" t="s">
        <v>310</v>
      </c>
      <c r="H19" s="244"/>
      <c r="I19" s="285" t="s">
        <v>138</v>
      </c>
      <c r="J19" s="244"/>
      <c r="K19" s="285" t="s">
        <v>92</v>
      </c>
      <c r="L19" s="244"/>
      <c r="M19" s="285" t="s">
        <v>92</v>
      </c>
      <c r="N19" s="244"/>
      <c r="O19" s="198" t="s">
        <v>401</v>
      </c>
      <c r="P19" s="283" t="s">
        <v>139</v>
      </c>
      <c r="Q19" s="244"/>
      <c r="R19" s="51"/>
      <c r="S19" s="51"/>
      <c r="T19" s="51"/>
      <c r="V19" s="22"/>
      <c r="W19" s="59" t="s">
        <v>140</v>
      </c>
    </row>
    <row r="20" spans="1:23" ht="14" customHeight="1" x14ac:dyDescent="0.4">
      <c r="A20" s="258" t="s">
        <v>141</v>
      </c>
      <c r="B20" s="244"/>
      <c r="C20" s="244"/>
      <c r="D20" s="244"/>
      <c r="E20" s="244"/>
      <c r="F20" s="244"/>
      <c r="G20" s="284" t="s">
        <v>311</v>
      </c>
      <c r="H20" s="244"/>
      <c r="I20" s="285" t="s">
        <v>393</v>
      </c>
      <c r="J20" s="244"/>
      <c r="K20" s="425" t="s">
        <v>394</v>
      </c>
      <c r="L20" s="424"/>
      <c r="M20" s="285" t="s">
        <v>145</v>
      </c>
      <c r="N20" s="244"/>
      <c r="O20" s="178" t="s">
        <v>402</v>
      </c>
      <c r="P20" s="283" t="s">
        <v>147</v>
      </c>
      <c r="Q20" s="244"/>
      <c r="R20" s="51"/>
      <c r="S20" s="51"/>
      <c r="T20" s="51"/>
      <c r="V20" s="22"/>
    </row>
    <row r="21" spans="1:23" ht="14" customHeight="1" x14ac:dyDescent="0.4">
      <c r="A21" s="258" t="s">
        <v>148</v>
      </c>
      <c r="B21" s="244"/>
      <c r="C21" s="244"/>
      <c r="D21" s="244"/>
      <c r="E21" s="244"/>
      <c r="F21" s="244"/>
      <c r="G21" s="284"/>
      <c r="H21" s="244"/>
      <c r="I21" s="285" t="s">
        <v>396</v>
      </c>
      <c r="J21" s="244"/>
      <c r="K21" s="285" t="s">
        <v>397</v>
      </c>
      <c r="L21" s="244"/>
      <c r="M21" s="285"/>
      <c r="N21" s="244"/>
      <c r="O21" s="178"/>
      <c r="P21" s="283" t="s">
        <v>154</v>
      </c>
      <c r="Q21" s="244"/>
      <c r="R21" s="279" t="s">
        <v>155</v>
      </c>
      <c r="S21" s="244"/>
      <c r="T21" s="244"/>
      <c r="U21" s="244"/>
      <c r="V21" s="244"/>
    </row>
    <row r="22" spans="1:23" ht="14" customHeight="1" x14ac:dyDescent="0.4">
      <c r="A22" s="62" t="s">
        <v>156</v>
      </c>
      <c r="B22" s="64" t="s">
        <v>157</v>
      </c>
      <c r="C22" s="64" t="s">
        <v>158</v>
      </c>
      <c r="D22" s="62" t="s">
        <v>159</v>
      </c>
      <c r="E22" s="63" t="s">
        <v>160</v>
      </c>
      <c r="F22" s="64" t="s">
        <v>161</v>
      </c>
      <c r="G22" s="88" t="s">
        <v>162</v>
      </c>
      <c r="H22" s="66" t="s">
        <v>163</v>
      </c>
      <c r="I22" s="51" t="s">
        <v>162</v>
      </c>
      <c r="J22" s="109" t="s">
        <v>163</v>
      </c>
      <c r="K22" s="51" t="s">
        <v>162</v>
      </c>
      <c r="L22" s="109" t="s">
        <v>163</v>
      </c>
      <c r="M22" s="51" t="s">
        <v>162</v>
      </c>
      <c r="N22" s="109" t="s">
        <v>163</v>
      </c>
      <c r="O22" s="173" t="s">
        <v>162</v>
      </c>
      <c r="P22" s="109" t="s">
        <v>164</v>
      </c>
      <c r="Q22" s="109" t="s">
        <v>165</v>
      </c>
      <c r="R22" s="68" t="s">
        <v>166</v>
      </c>
      <c r="S22" s="68" t="s">
        <v>167</v>
      </c>
      <c r="T22" s="68" t="s">
        <v>168</v>
      </c>
      <c r="U22" s="69" t="s">
        <v>169</v>
      </c>
      <c r="V22" s="68" t="s">
        <v>170</v>
      </c>
    </row>
    <row r="23" spans="1:23" s="192" customFormat="1" ht="14" customHeight="1" x14ac:dyDescent="0.35">
      <c r="A23" s="306">
        <v>41303</v>
      </c>
      <c r="B23" s="196" t="s">
        <v>171</v>
      </c>
      <c r="C23" s="307" t="s">
        <v>177</v>
      </c>
      <c r="D23" s="196" t="s">
        <v>334</v>
      </c>
      <c r="E23" s="308">
        <v>11737</v>
      </c>
      <c r="F23" s="196"/>
      <c r="G23" s="74">
        <f t="shared" ref="G23:G24" si="0">R23+V23</f>
        <v>7130.2749999999996</v>
      </c>
      <c r="H23" s="75">
        <v>5</v>
      </c>
      <c r="I23" s="74">
        <f>S23+V23</f>
        <v>7130.2749999999996</v>
      </c>
      <c r="J23" s="75">
        <v>4</v>
      </c>
      <c r="K23" s="74">
        <f>T23+V23</f>
        <v>7130.2749999999996</v>
      </c>
      <c r="L23" s="192">
        <v>2</v>
      </c>
      <c r="M23" s="77">
        <f>U23+V23</f>
        <v>7130.2749999999996</v>
      </c>
      <c r="N23" s="192">
        <v>9</v>
      </c>
      <c r="P23" s="304">
        <f>H23+J23+L23+N23</f>
        <v>20</v>
      </c>
      <c r="Q23" s="192">
        <v>20</v>
      </c>
      <c r="R23" s="234">
        <f>$E$8</f>
        <v>6250</v>
      </c>
      <c r="S23" s="234">
        <f>$E$7</f>
        <v>6250</v>
      </c>
      <c r="T23" s="234">
        <f>$E$7</f>
        <v>6250</v>
      </c>
      <c r="U23" s="234">
        <f>$E$7</f>
        <v>6250</v>
      </c>
      <c r="V23" s="81">
        <f>($E23*($E$13/$Q23))</f>
        <v>880.27499999999998</v>
      </c>
      <c r="W23" s="78">
        <f t="shared" ref="W23:W47" si="1">(G23*H23)+(I23*J23)+(K23*L23)+(M23*N23)</f>
        <v>142605.5</v>
      </c>
    </row>
    <row r="24" spans="1:23" s="380" customFormat="1" ht="14" customHeight="1" x14ac:dyDescent="0.35">
      <c r="A24" s="376">
        <v>41311</v>
      </c>
      <c r="B24" s="377" t="s">
        <v>353</v>
      </c>
      <c r="C24" s="377" t="s">
        <v>181</v>
      </c>
      <c r="D24" s="377" t="s">
        <v>337</v>
      </c>
      <c r="E24" s="383"/>
      <c r="F24" s="377"/>
      <c r="G24" s="379">
        <f t="shared" si="0"/>
        <v>5000</v>
      </c>
      <c r="H24" s="381">
        <v>5</v>
      </c>
      <c r="I24" s="379">
        <f t="shared" ref="I24" si="2">S24+V24</f>
        <v>5000</v>
      </c>
      <c r="J24" s="381">
        <v>9</v>
      </c>
      <c r="K24" s="379">
        <f t="shared" ref="K24" si="3">T24+V24</f>
        <v>5000</v>
      </c>
      <c r="L24" s="380">
        <v>6</v>
      </c>
      <c r="M24" s="379">
        <f t="shared" ref="M24" si="4">U24+V24</f>
        <v>5000</v>
      </c>
      <c r="N24" s="380">
        <v>3</v>
      </c>
      <c r="P24" s="427">
        <f>H24+J24+L24+N24</f>
        <v>23</v>
      </c>
      <c r="Q24" s="380">
        <v>23</v>
      </c>
      <c r="R24" s="382">
        <f>$N$5</f>
        <v>5000</v>
      </c>
      <c r="S24" s="382">
        <f>$N$5</f>
        <v>5000</v>
      </c>
      <c r="T24" s="382">
        <f>$N$5</f>
        <v>5000</v>
      </c>
      <c r="U24" s="382">
        <f>$N$5</f>
        <v>5000</v>
      </c>
      <c r="V24" s="81">
        <f t="shared" ref="V24:V47" si="5">($E24*($E$13/$Q24))</f>
        <v>0</v>
      </c>
      <c r="W24" s="78">
        <f t="shared" si="1"/>
        <v>115000</v>
      </c>
    </row>
    <row r="25" spans="1:23" s="380" customFormat="1" ht="14" customHeight="1" x14ac:dyDescent="0.35">
      <c r="A25" s="376">
        <v>41355</v>
      </c>
      <c r="B25" s="377" t="s">
        <v>192</v>
      </c>
      <c r="C25" s="377" t="s">
        <v>172</v>
      </c>
      <c r="D25" s="377" t="s">
        <v>336</v>
      </c>
      <c r="E25" s="383">
        <v>19374</v>
      </c>
      <c r="F25" s="384"/>
      <c r="G25" s="379">
        <f t="shared" ref="G25:G47" si="6">R25+V25</f>
        <v>19388.521739130436</v>
      </c>
      <c r="H25" s="381">
        <v>5</v>
      </c>
      <c r="I25" s="379">
        <f t="shared" ref="I25:I47" si="7">S25+V25</f>
        <v>19388.521739130436</v>
      </c>
      <c r="J25" s="381">
        <v>9</v>
      </c>
      <c r="K25" s="379">
        <f t="shared" ref="K25:K47" si="8">T25+V25</f>
        <v>19388.521739130436</v>
      </c>
      <c r="L25" s="380">
        <v>6</v>
      </c>
      <c r="M25" s="379">
        <f t="shared" ref="M25:M47" si="9">U25+V25</f>
        <v>19388.521739130436</v>
      </c>
      <c r="N25" s="380">
        <v>3</v>
      </c>
      <c r="P25" s="427">
        <f t="shared" ref="P25:P47" si="10">H25+J25+L25+N25</f>
        <v>23</v>
      </c>
      <c r="Q25" s="380">
        <v>23</v>
      </c>
      <c r="R25" s="382">
        <f>$N$3</f>
        <v>18125</v>
      </c>
      <c r="S25" s="382">
        <f>$N$3</f>
        <v>18125</v>
      </c>
      <c r="T25" s="382">
        <f>$N$3</f>
        <v>18125</v>
      </c>
      <c r="U25" s="382">
        <f>$N$3</f>
        <v>18125</v>
      </c>
      <c r="V25" s="81">
        <f t="shared" si="5"/>
        <v>1263.5217391304348</v>
      </c>
      <c r="W25" s="78">
        <f t="shared" si="1"/>
        <v>445936.00000000006</v>
      </c>
    </row>
    <row r="26" spans="1:23" s="380" customFormat="1" ht="14" customHeight="1" x14ac:dyDescent="0.35">
      <c r="A26" s="376">
        <v>41359</v>
      </c>
      <c r="B26" s="377" t="s">
        <v>187</v>
      </c>
      <c r="C26" s="377" t="s">
        <v>177</v>
      </c>
      <c r="D26" s="377" t="s">
        <v>337</v>
      </c>
      <c r="E26" s="377"/>
      <c r="F26" s="377" t="s">
        <v>174</v>
      </c>
      <c r="G26" s="379">
        <f t="shared" si="6"/>
        <v>10000</v>
      </c>
      <c r="H26" s="380">
        <v>5</v>
      </c>
      <c r="I26" s="379">
        <f t="shared" si="7"/>
        <v>10000</v>
      </c>
      <c r="J26" s="381">
        <v>9</v>
      </c>
      <c r="K26" s="379">
        <f t="shared" si="8"/>
        <v>10000</v>
      </c>
      <c r="L26" s="380">
        <v>6</v>
      </c>
      <c r="M26" s="379">
        <f t="shared" si="9"/>
        <v>10000</v>
      </c>
      <c r="N26" s="380">
        <v>3</v>
      </c>
      <c r="P26" s="427">
        <f t="shared" si="10"/>
        <v>23</v>
      </c>
      <c r="Q26" s="380">
        <v>23</v>
      </c>
      <c r="R26" s="382">
        <f>$N$4</f>
        <v>10000</v>
      </c>
      <c r="S26" s="382">
        <f>$N$4</f>
        <v>10000</v>
      </c>
      <c r="T26" s="382">
        <f>$N$4</f>
        <v>10000</v>
      </c>
      <c r="U26" s="382">
        <f>$N$4</f>
        <v>10000</v>
      </c>
      <c r="V26" s="81">
        <f t="shared" si="5"/>
        <v>0</v>
      </c>
      <c r="W26" s="78">
        <f t="shared" si="1"/>
        <v>230000</v>
      </c>
    </row>
    <row r="27" spans="1:23" s="192" customFormat="1" ht="14" customHeight="1" x14ac:dyDescent="0.35">
      <c r="A27" s="306">
        <v>41423</v>
      </c>
      <c r="B27" s="196" t="s">
        <v>369</v>
      </c>
      <c r="C27" s="307" t="s">
        <v>181</v>
      </c>
      <c r="D27" s="196" t="s">
        <v>334</v>
      </c>
      <c r="E27" s="308">
        <v>27720</v>
      </c>
      <c r="F27" s="196" t="s">
        <v>174</v>
      </c>
      <c r="G27" s="74">
        <f t="shared" si="6"/>
        <v>7310</v>
      </c>
      <c r="H27" s="192">
        <v>5</v>
      </c>
      <c r="I27" s="74">
        <f t="shared" si="7"/>
        <v>7310</v>
      </c>
      <c r="J27" s="75">
        <v>4</v>
      </c>
      <c r="K27" s="74">
        <f t="shared" si="8"/>
        <v>7310</v>
      </c>
      <c r="L27" s="192">
        <v>2</v>
      </c>
      <c r="M27" s="77">
        <f t="shared" si="9"/>
        <v>7310</v>
      </c>
      <c r="N27" s="192">
        <v>7</v>
      </c>
      <c r="P27" s="304">
        <f t="shared" si="10"/>
        <v>18</v>
      </c>
      <c r="Q27" s="192">
        <v>18</v>
      </c>
      <c r="R27" s="234">
        <f>$E$9</f>
        <v>5000</v>
      </c>
      <c r="S27" s="234">
        <f>$E$9</f>
        <v>5000</v>
      </c>
      <c r="T27" s="234">
        <f>$E$9</f>
        <v>5000</v>
      </c>
      <c r="U27" s="234">
        <f>$E$9</f>
        <v>5000</v>
      </c>
      <c r="V27" s="81">
        <f t="shared" si="5"/>
        <v>2310</v>
      </c>
      <c r="W27" s="78">
        <f t="shared" si="1"/>
        <v>131580</v>
      </c>
    </row>
    <row r="28" spans="1:23" s="192" customFormat="1" ht="14" customHeight="1" x14ac:dyDescent="0.35">
      <c r="A28" s="306">
        <v>41427</v>
      </c>
      <c r="B28" s="196" t="s">
        <v>211</v>
      </c>
      <c r="C28" s="307" t="s">
        <v>172</v>
      </c>
      <c r="D28" s="196" t="s">
        <v>334</v>
      </c>
      <c r="E28" s="308">
        <v>47359</v>
      </c>
      <c r="F28" s="196" t="s">
        <v>179</v>
      </c>
      <c r="G28" s="74">
        <f t="shared" si="6"/>
        <v>16446.583333333332</v>
      </c>
      <c r="H28" s="192">
        <v>5</v>
      </c>
      <c r="I28" s="74">
        <f t="shared" si="7"/>
        <v>16446.583333333332</v>
      </c>
      <c r="J28" s="75">
        <v>4</v>
      </c>
      <c r="K28" s="74">
        <f t="shared" si="8"/>
        <v>16446.583333333332</v>
      </c>
      <c r="L28" s="192">
        <v>2</v>
      </c>
      <c r="M28" s="77">
        <f t="shared" si="9"/>
        <v>16446.583333333332</v>
      </c>
      <c r="N28" s="192">
        <v>7</v>
      </c>
      <c r="P28" s="304">
        <f t="shared" si="10"/>
        <v>18</v>
      </c>
      <c r="Q28" s="192">
        <v>18</v>
      </c>
      <c r="R28" s="234">
        <f>$E$4</f>
        <v>12500</v>
      </c>
      <c r="S28" s="234">
        <f>$E$4</f>
        <v>12500</v>
      </c>
      <c r="T28" s="234">
        <f>$E$4</f>
        <v>12500</v>
      </c>
      <c r="U28" s="234">
        <f>$E$4</f>
        <v>12500</v>
      </c>
      <c r="V28" s="81">
        <f t="shared" si="5"/>
        <v>3946.583333333333</v>
      </c>
      <c r="W28" s="78">
        <f t="shared" si="1"/>
        <v>296038.5</v>
      </c>
    </row>
    <row r="29" spans="1:23" s="380" customFormat="1" ht="14" customHeight="1" x14ac:dyDescent="0.35">
      <c r="A29" s="376">
        <v>41432</v>
      </c>
      <c r="B29" s="377" t="s">
        <v>352</v>
      </c>
      <c r="C29" s="377" t="s">
        <v>172</v>
      </c>
      <c r="D29" s="377" t="s">
        <v>337</v>
      </c>
      <c r="E29" s="378"/>
      <c r="F29" s="377"/>
      <c r="G29" s="379">
        <f t="shared" si="6"/>
        <v>18125</v>
      </c>
      <c r="H29" s="380">
        <v>5</v>
      </c>
      <c r="I29" s="379">
        <f t="shared" si="7"/>
        <v>18125</v>
      </c>
      <c r="J29" s="381">
        <v>9</v>
      </c>
      <c r="K29" s="379">
        <f t="shared" si="8"/>
        <v>18125</v>
      </c>
      <c r="L29" s="380">
        <v>7</v>
      </c>
      <c r="M29" s="379">
        <f t="shared" si="9"/>
        <v>18125</v>
      </c>
      <c r="N29" s="380">
        <v>2</v>
      </c>
      <c r="P29" s="427">
        <f t="shared" si="10"/>
        <v>23</v>
      </c>
      <c r="Q29" s="380">
        <v>23</v>
      </c>
      <c r="R29" s="382">
        <f>$N$3</f>
        <v>18125</v>
      </c>
      <c r="S29" s="382">
        <f>$N$3</f>
        <v>18125</v>
      </c>
      <c r="T29" s="382">
        <f>$N$3</f>
        <v>18125</v>
      </c>
      <c r="U29" s="382">
        <f>$N$3</f>
        <v>18125</v>
      </c>
      <c r="V29" s="81">
        <f t="shared" si="5"/>
        <v>0</v>
      </c>
      <c r="W29" s="78">
        <f t="shared" si="1"/>
        <v>416875</v>
      </c>
    </row>
    <row r="30" spans="1:23" s="380" customFormat="1" ht="14" customHeight="1" x14ac:dyDescent="0.35">
      <c r="A30" s="376">
        <v>41436</v>
      </c>
      <c r="B30" s="377" t="s">
        <v>354</v>
      </c>
      <c r="C30" s="377" t="s">
        <v>172</v>
      </c>
      <c r="D30" s="377" t="s">
        <v>336</v>
      </c>
      <c r="E30" s="383">
        <v>40847</v>
      </c>
      <c r="F30" s="377"/>
      <c r="G30" s="379">
        <f t="shared" si="6"/>
        <v>20788.934782608696</v>
      </c>
      <c r="H30" s="380">
        <v>5</v>
      </c>
      <c r="I30" s="379">
        <f t="shared" si="7"/>
        <v>20788.934782608696</v>
      </c>
      <c r="J30" s="381">
        <v>9</v>
      </c>
      <c r="K30" s="379">
        <f t="shared" si="8"/>
        <v>20788.934782608696</v>
      </c>
      <c r="L30" s="380">
        <v>7</v>
      </c>
      <c r="M30" s="379">
        <f t="shared" si="9"/>
        <v>20788.934782608696</v>
      </c>
      <c r="N30" s="380">
        <v>2</v>
      </c>
      <c r="P30" s="427">
        <f t="shared" si="10"/>
        <v>23</v>
      </c>
      <c r="Q30" s="380">
        <v>23</v>
      </c>
      <c r="R30" s="382">
        <f>$N$3</f>
        <v>18125</v>
      </c>
      <c r="S30" s="382">
        <f>$N$3</f>
        <v>18125</v>
      </c>
      <c r="T30" s="382">
        <f>$N$3</f>
        <v>18125</v>
      </c>
      <c r="U30" s="382">
        <f>$N$3</f>
        <v>18125</v>
      </c>
      <c r="V30" s="81">
        <f t="shared" si="5"/>
        <v>2663.9347826086955</v>
      </c>
      <c r="W30" s="78">
        <f t="shared" si="1"/>
        <v>478145.5</v>
      </c>
    </row>
    <row r="31" spans="1:23" s="380" customFormat="1" ht="14" customHeight="1" x14ac:dyDescent="0.35">
      <c r="A31" s="376">
        <v>41443</v>
      </c>
      <c r="B31" s="377" t="s">
        <v>353</v>
      </c>
      <c r="C31" s="377" t="s">
        <v>172</v>
      </c>
      <c r="D31" s="377" t="s">
        <v>336</v>
      </c>
      <c r="E31" s="383">
        <v>20250</v>
      </c>
      <c r="F31" s="377"/>
      <c r="G31" s="379">
        <f t="shared" si="6"/>
        <v>19445.652173913044</v>
      </c>
      <c r="H31" s="380">
        <v>5</v>
      </c>
      <c r="I31" s="379">
        <f t="shared" si="7"/>
        <v>19445.652173913044</v>
      </c>
      <c r="J31" s="381">
        <v>9</v>
      </c>
      <c r="K31" s="379">
        <f t="shared" si="8"/>
        <v>19445.652173913044</v>
      </c>
      <c r="L31" s="380">
        <v>7</v>
      </c>
      <c r="M31" s="379">
        <f t="shared" si="9"/>
        <v>19445.652173913044</v>
      </c>
      <c r="N31" s="380">
        <v>2</v>
      </c>
      <c r="P31" s="427">
        <f t="shared" si="10"/>
        <v>23</v>
      </c>
      <c r="Q31" s="380">
        <v>23</v>
      </c>
      <c r="R31" s="382">
        <f>$N$3</f>
        <v>18125</v>
      </c>
      <c r="S31" s="382">
        <f>$N$3</f>
        <v>18125</v>
      </c>
      <c r="T31" s="382">
        <f>$N$3</f>
        <v>18125</v>
      </c>
      <c r="U31" s="382">
        <f>$N$3</f>
        <v>18125</v>
      </c>
      <c r="V31" s="81">
        <f t="shared" si="5"/>
        <v>1320.6521739130435</v>
      </c>
      <c r="W31" s="78">
        <f t="shared" si="1"/>
        <v>447250</v>
      </c>
    </row>
    <row r="32" spans="1:23" s="395" customFormat="1" ht="14" customHeight="1" x14ac:dyDescent="0.35">
      <c r="A32" s="397">
        <v>41460</v>
      </c>
      <c r="B32" s="398" t="s">
        <v>190</v>
      </c>
      <c r="C32" s="398" t="s">
        <v>172</v>
      </c>
      <c r="D32" s="398" t="s">
        <v>385</v>
      </c>
      <c r="E32" s="399">
        <v>25080</v>
      </c>
      <c r="F32" s="398"/>
      <c r="G32" s="400">
        <f t="shared" si="6"/>
        <v>11010.652173913044</v>
      </c>
      <c r="H32" s="395">
        <v>5</v>
      </c>
      <c r="I32" s="400">
        <f t="shared" si="7"/>
        <v>11010.652173913044</v>
      </c>
      <c r="J32" s="401">
        <v>10</v>
      </c>
      <c r="K32" s="400">
        <f t="shared" si="8"/>
        <v>11010.652173913044</v>
      </c>
      <c r="L32" s="395">
        <v>7</v>
      </c>
      <c r="M32" s="400">
        <f t="shared" si="9"/>
        <v>11010.652173913044</v>
      </c>
      <c r="N32" s="395">
        <v>1</v>
      </c>
      <c r="P32" s="428">
        <f t="shared" si="10"/>
        <v>23</v>
      </c>
      <c r="Q32" s="395">
        <v>23</v>
      </c>
      <c r="R32" s="396">
        <f>$H$4</f>
        <v>9375</v>
      </c>
      <c r="S32" s="396">
        <f>$H$4</f>
        <v>9375</v>
      </c>
      <c r="T32" s="396">
        <f>$H$4</f>
        <v>9375</v>
      </c>
      <c r="U32" s="396">
        <f>$H$4</f>
        <v>9375</v>
      </c>
      <c r="V32" s="81">
        <f t="shared" si="5"/>
        <v>1635.6521739130435</v>
      </c>
      <c r="W32" s="78">
        <f t="shared" si="1"/>
        <v>253245.00000000003</v>
      </c>
    </row>
    <row r="33" spans="1:23" s="395" customFormat="1" ht="14" customHeight="1" x14ac:dyDescent="0.35">
      <c r="A33" s="397">
        <v>41464</v>
      </c>
      <c r="B33" s="398" t="s">
        <v>381</v>
      </c>
      <c r="C33" s="398" t="s">
        <v>172</v>
      </c>
      <c r="D33" s="398" t="s">
        <v>385</v>
      </c>
      <c r="E33" s="399">
        <v>18724</v>
      </c>
      <c r="F33" s="398"/>
      <c r="G33" s="400">
        <f t="shared" si="6"/>
        <v>10596.130434782608</v>
      </c>
      <c r="H33" s="395">
        <v>5</v>
      </c>
      <c r="I33" s="400">
        <f t="shared" si="7"/>
        <v>10596.130434782608</v>
      </c>
      <c r="J33" s="401">
        <v>10</v>
      </c>
      <c r="K33" s="400">
        <f t="shared" si="8"/>
        <v>10596.130434782608</v>
      </c>
      <c r="L33" s="395">
        <v>7</v>
      </c>
      <c r="M33" s="400">
        <f t="shared" si="9"/>
        <v>10596.130434782608</v>
      </c>
      <c r="N33" s="395">
        <v>1</v>
      </c>
      <c r="P33" s="428">
        <f t="shared" si="10"/>
        <v>23</v>
      </c>
      <c r="Q33" s="395">
        <v>23</v>
      </c>
      <c r="R33" s="396">
        <f>$H$4</f>
        <v>9375</v>
      </c>
      <c r="S33" s="396">
        <f>$H$4</f>
        <v>9375</v>
      </c>
      <c r="T33" s="396">
        <f>$H$4</f>
        <v>9375</v>
      </c>
      <c r="U33" s="396">
        <f>$H$4</f>
        <v>9375</v>
      </c>
      <c r="V33" s="81">
        <f t="shared" si="5"/>
        <v>1221.1304347826087</v>
      </c>
      <c r="W33" s="78">
        <f t="shared" si="1"/>
        <v>243711</v>
      </c>
    </row>
    <row r="34" spans="1:23" s="395" customFormat="1" ht="14" customHeight="1" x14ac:dyDescent="0.35">
      <c r="A34" s="397">
        <v>41468</v>
      </c>
      <c r="B34" s="398" t="s">
        <v>363</v>
      </c>
      <c r="C34" s="398" t="s">
        <v>172</v>
      </c>
      <c r="D34" s="398" t="s">
        <v>385</v>
      </c>
      <c r="E34" s="399">
        <v>17597</v>
      </c>
      <c r="F34" s="398"/>
      <c r="G34" s="400">
        <f t="shared" si="6"/>
        <v>10522.630434782608</v>
      </c>
      <c r="H34" s="395">
        <v>5</v>
      </c>
      <c r="I34" s="400">
        <f t="shared" si="7"/>
        <v>10522.630434782608</v>
      </c>
      <c r="J34" s="401">
        <v>10</v>
      </c>
      <c r="K34" s="400">
        <f t="shared" si="8"/>
        <v>10522.630434782608</v>
      </c>
      <c r="L34" s="395">
        <v>7</v>
      </c>
      <c r="M34" s="400">
        <f t="shared" si="9"/>
        <v>10522.630434782608</v>
      </c>
      <c r="N34" s="395">
        <v>1</v>
      </c>
      <c r="P34" s="428">
        <f t="shared" si="10"/>
        <v>23</v>
      </c>
      <c r="Q34" s="395">
        <v>23</v>
      </c>
      <c r="R34" s="396">
        <f>$H$4</f>
        <v>9375</v>
      </c>
      <c r="S34" s="396">
        <f>$H$4</f>
        <v>9375</v>
      </c>
      <c r="T34" s="396">
        <f>$H$4</f>
        <v>9375</v>
      </c>
      <c r="U34" s="396">
        <f>$H$4</f>
        <v>9375</v>
      </c>
      <c r="V34" s="81">
        <f t="shared" si="5"/>
        <v>1147.6304347826087</v>
      </c>
      <c r="W34" s="78">
        <f t="shared" si="1"/>
        <v>242020.5</v>
      </c>
    </row>
    <row r="35" spans="1:23" s="395" customFormat="1" ht="14" customHeight="1" x14ac:dyDescent="0.35">
      <c r="A35" s="397">
        <v>41471</v>
      </c>
      <c r="B35" s="398" t="s">
        <v>192</v>
      </c>
      <c r="C35" s="398" t="s">
        <v>172</v>
      </c>
      <c r="D35" s="398" t="s">
        <v>386</v>
      </c>
      <c r="E35" s="399">
        <v>25432</v>
      </c>
      <c r="F35" s="402"/>
      <c r="G35" s="400">
        <f t="shared" si="6"/>
        <v>11033.608695652174</v>
      </c>
      <c r="H35" s="395">
        <v>5</v>
      </c>
      <c r="I35" s="400">
        <f t="shared" si="7"/>
        <v>11033.608695652174</v>
      </c>
      <c r="J35" s="401">
        <v>10</v>
      </c>
      <c r="K35" s="400">
        <f t="shared" si="8"/>
        <v>11033.608695652174</v>
      </c>
      <c r="L35" s="395">
        <v>7</v>
      </c>
      <c r="M35" s="400">
        <f t="shared" si="9"/>
        <v>11033.608695652174</v>
      </c>
      <c r="N35" s="395">
        <v>1</v>
      </c>
      <c r="P35" s="428">
        <f t="shared" si="10"/>
        <v>23</v>
      </c>
      <c r="Q35" s="395">
        <v>23</v>
      </c>
      <c r="R35" s="396">
        <f>$H$4</f>
        <v>9375</v>
      </c>
      <c r="S35" s="396">
        <f>$H$4</f>
        <v>9375</v>
      </c>
      <c r="T35" s="396">
        <f>$H$4</f>
        <v>9375</v>
      </c>
      <c r="U35" s="396">
        <f>$H$4</f>
        <v>9375</v>
      </c>
      <c r="V35" s="81">
        <f t="shared" si="5"/>
        <v>1658.6086956521738</v>
      </c>
      <c r="W35" s="78">
        <f t="shared" si="1"/>
        <v>253773</v>
      </c>
    </row>
    <row r="36" spans="1:23" s="395" customFormat="1" ht="14" customHeight="1" x14ac:dyDescent="0.35">
      <c r="A36" s="397">
        <v>41476</v>
      </c>
      <c r="B36" s="398" t="s">
        <v>371</v>
      </c>
      <c r="C36" s="398" t="s">
        <v>172</v>
      </c>
      <c r="D36" s="398" t="s">
        <v>338</v>
      </c>
      <c r="E36" s="399">
        <v>70540</v>
      </c>
      <c r="F36" s="403"/>
      <c r="G36" s="400">
        <f t="shared" si="6"/>
        <v>13975.434782608696</v>
      </c>
      <c r="H36" s="395">
        <v>5</v>
      </c>
      <c r="I36" s="400">
        <f t="shared" si="7"/>
        <v>13975.434782608696</v>
      </c>
      <c r="J36" s="401">
        <v>10</v>
      </c>
      <c r="K36" s="400">
        <f t="shared" si="8"/>
        <v>13975.434782608696</v>
      </c>
      <c r="L36" s="395">
        <v>7</v>
      </c>
      <c r="M36" s="400">
        <f t="shared" si="9"/>
        <v>13975.434782608696</v>
      </c>
      <c r="N36" s="395">
        <v>1</v>
      </c>
      <c r="P36" s="428">
        <f t="shared" si="10"/>
        <v>23</v>
      </c>
      <c r="Q36" s="395">
        <v>23</v>
      </c>
      <c r="R36" s="396">
        <f>$H$4</f>
        <v>9375</v>
      </c>
      <c r="S36" s="396">
        <f>$H$4</f>
        <v>9375</v>
      </c>
      <c r="T36" s="396">
        <f>$H$4</f>
        <v>9375</v>
      </c>
      <c r="U36" s="396">
        <f>$H$4</f>
        <v>9375</v>
      </c>
      <c r="V36" s="81">
        <f t="shared" si="5"/>
        <v>4600.434782608696</v>
      </c>
      <c r="W36" s="78">
        <f t="shared" si="1"/>
        <v>321435.00000000006</v>
      </c>
    </row>
    <row r="37" spans="1:23" s="395" customFormat="1" ht="14" customHeight="1" x14ac:dyDescent="0.35">
      <c r="A37" s="397">
        <v>41479</v>
      </c>
      <c r="B37" s="398" t="s">
        <v>353</v>
      </c>
      <c r="C37" s="398" t="s">
        <v>172</v>
      </c>
      <c r="D37" s="398" t="s">
        <v>339</v>
      </c>
      <c r="E37" s="399">
        <v>81410</v>
      </c>
      <c r="F37" s="398"/>
      <c r="G37" s="400">
        <f t="shared" si="6"/>
        <v>14684.347826086956</v>
      </c>
      <c r="H37" s="395">
        <v>5</v>
      </c>
      <c r="I37" s="400">
        <f t="shared" si="7"/>
        <v>14684.347826086956</v>
      </c>
      <c r="J37" s="401">
        <v>10</v>
      </c>
      <c r="K37" s="400">
        <f t="shared" si="8"/>
        <v>14684.347826086956</v>
      </c>
      <c r="L37" s="395">
        <v>7</v>
      </c>
      <c r="M37" s="400">
        <f t="shared" si="9"/>
        <v>14684.347826086956</v>
      </c>
      <c r="N37" s="395">
        <v>1</v>
      </c>
      <c r="P37" s="428">
        <f t="shared" si="10"/>
        <v>23</v>
      </c>
      <c r="Q37" s="395">
        <v>23</v>
      </c>
      <c r="R37" s="396">
        <f>$H$4</f>
        <v>9375</v>
      </c>
      <c r="S37" s="396">
        <f>$H$4</f>
        <v>9375</v>
      </c>
      <c r="T37" s="396">
        <f>$H$4</f>
        <v>9375</v>
      </c>
      <c r="U37" s="396">
        <f>$H$4</f>
        <v>9375</v>
      </c>
      <c r="V37" s="81">
        <f t="shared" si="5"/>
        <v>5309.347826086956</v>
      </c>
      <c r="W37" s="78">
        <f t="shared" si="1"/>
        <v>337740</v>
      </c>
    </row>
    <row r="38" spans="1:23" s="395" customFormat="1" ht="14" customHeight="1" x14ac:dyDescent="0.35">
      <c r="A38" s="397">
        <v>41483</v>
      </c>
      <c r="B38" s="398" t="s">
        <v>354</v>
      </c>
      <c r="C38" s="398" t="s">
        <v>172</v>
      </c>
      <c r="D38" s="398" t="s">
        <v>340</v>
      </c>
      <c r="E38" s="399">
        <v>57920</v>
      </c>
      <c r="F38" s="398"/>
      <c r="G38" s="400">
        <f t="shared" si="6"/>
        <v>13152.391304347826</v>
      </c>
      <c r="H38" s="395">
        <v>5</v>
      </c>
      <c r="I38" s="400">
        <f t="shared" si="7"/>
        <v>13152.391304347826</v>
      </c>
      <c r="J38" s="401">
        <v>10</v>
      </c>
      <c r="K38" s="400">
        <f t="shared" si="8"/>
        <v>13152.391304347826</v>
      </c>
      <c r="L38" s="395">
        <v>7</v>
      </c>
      <c r="M38" s="400">
        <f t="shared" si="9"/>
        <v>13152.391304347826</v>
      </c>
      <c r="N38" s="395">
        <v>1</v>
      </c>
      <c r="P38" s="428">
        <f t="shared" si="10"/>
        <v>23</v>
      </c>
      <c r="Q38" s="395">
        <v>23</v>
      </c>
      <c r="R38" s="396">
        <f>$H$4</f>
        <v>9375</v>
      </c>
      <c r="S38" s="396">
        <f>$H$4</f>
        <v>9375</v>
      </c>
      <c r="T38" s="396">
        <f>$H$4</f>
        <v>9375</v>
      </c>
      <c r="U38" s="396">
        <f>$H$4</f>
        <v>9375</v>
      </c>
      <c r="V38" s="81">
        <f t="shared" si="5"/>
        <v>3777.391304347826</v>
      </c>
      <c r="W38" s="78">
        <f t="shared" si="1"/>
        <v>302505.00000000006</v>
      </c>
    </row>
    <row r="39" spans="1:23" s="395" customFormat="1" ht="14" customHeight="1" x14ac:dyDescent="0.35">
      <c r="A39" s="397"/>
      <c r="B39" s="404" t="s">
        <v>392</v>
      </c>
      <c r="C39" s="404"/>
      <c r="D39" s="404"/>
      <c r="E39" s="404"/>
      <c r="F39" s="404"/>
      <c r="G39" s="400">
        <f t="shared" ref="G39" si="11">R39+V39</f>
        <v>11250</v>
      </c>
      <c r="H39" s="395">
        <v>5</v>
      </c>
      <c r="I39" s="400">
        <f t="shared" ref="I39" si="12">S39+V39</f>
        <v>11250</v>
      </c>
      <c r="J39" s="401">
        <v>10</v>
      </c>
      <c r="K39" s="400">
        <f t="shared" ref="K39" si="13">T39+V39</f>
        <v>11250</v>
      </c>
      <c r="L39" s="395">
        <v>7</v>
      </c>
      <c r="M39" s="400">
        <f t="shared" ref="M39" si="14">U39+V39</f>
        <v>11250</v>
      </c>
      <c r="N39" s="395">
        <v>1</v>
      </c>
      <c r="P39" s="428">
        <f t="shared" si="10"/>
        <v>23</v>
      </c>
      <c r="Q39" s="395">
        <v>23</v>
      </c>
      <c r="R39" s="396">
        <f>$H$8</f>
        <v>11250</v>
      </c>
      <c r="S39" s="396">
        <f>$H$8</f>
        <v>11250</v>
      </c>
      <c r="T39" s="396">
        <f>$H$8</f>
        <v>11250</v>
      </c>
      <c r="U39" s="396">
        <f>$H$8</f>
        <v>11250</v>
      </c>
      <c r="V39" s="81">
        <f t="shared" si="5"/>
        <v>0</v>
      </c>
      <c r="W39" s="78">
        <f t="shared" si="1"/>
        <v>258750</v>
      </c>
    </row>
    <row r="40" spans="1:23" s="192" customFormat="1" ht="14" customHeight="1" x14ac:dyDescent="0.35">
      <c r="A40" s="306">
        <v>41500</v>
      </c>
      <c r="B40" s="307" t="s">
        <v>384</v>
      </c>
      <c r="C40" s="307" t="s">
        <v>172</v>
      </c>
      <c r="D40" s="196" t="s">
        <v>350</v>
      </c>
      <c r="E40" s="196"/>
      <c r="F40" s="196"/>
      <c r="G40" s="74">
        <f t="shared" si="6"/>
        <v>9375</v>
      </c>
      <c r="H40" s="192">
        <v>5</v>
      </c>
      <c r="I40" s="74">
        <f t="shared" si="7"/>
        <v>9375</v>
      </c>
      <c r="J40" s="75">
        <v>10</v>
      </c>
      <c r="K40" s="74">
        <f t="shared" si="8"/>
        <v>9375</v>
      </c>
      <c r="L40" s="75">
        <v>3</v>
      </c>
      <c r="M40" s="77">
        <f t="shared" si="9"/>
        <v>9375</v>
      </c>
      <c r="N40" s="192">
        <v>2</v>
      </c>
      <c r="P40" s="304">
        <f t="shared" si="10"/>
        <v>20</v>
      </c>
      <c r="Q40" s="192">
        <v>20</v>
      </c>
      <c r="R40" s="234">
        <f>$E$5</f>
        <v>9375</v>
      </c>
      <c r="S40" s="234">
        <f>$E$5</f>
        <v>9375</v>
      </c>
      <c r="T40" s="234">
        <f>$E$5</f>
        <v>9375</v>
      </c>
      <c r="U40" s="234">
        <f>$E$5</f>
        <v>9375</v>
      </c>
      <c r="V40" s="81">
        <f t="shared" si="5"/>
        <v>0</v>
      </c>
      <c r="W40" s="78">
        <f t="shared" si="1"/>
        <v>187500</v>
      </c>
    </row>
    <row r="41" spans="1:23" s="380" customFormat="1" ht="14" customHeight="1" x14ac:dyDescent="0.35">
      <c r="A41" s="376">
        <v>41523</v>
      </c>
      <c r="B41" s="377" t="s">
        <v>192</v>
      </c>
      <c r="C41" s="377" t="s">
        <v>181</v>
      </c>
      <c r="D41" s="377" t="s">
        <v>337</v>
      </c>
      <c r="E41" s="377"/>
      <c r="F41" s="378"/>
      <c r="G41" s="379">
        <f t="shared" si="6"/>
        <v>5000</v>
      </c>
      <c r="H41" s="380">
        <v>5</v>
      </c>
      <c r="I41" s="379">
        <f t="shared" si="7"/>
        <v>5000</v>
      </c>
      <c r="J41" s="381">
        <v>9</v>
      </c>
      <c r="K41" s="379">
        <f t="shared" si="8"/>
        <v>5000</v>
      </c>
      <c r="L41" s="380">
        <v>7</v>
      </c>
      <c r="M41" s="379">
        <f t="shared" si="9"/>
        <v>5000</v>
      </c>
      <c r="N41" s="380">
        <v>2</v>
      </c>
      <c r="P41" s="427">
        <f t="shared" si="10"/>
        <v>23</v>
      </c>
      <c r="Q41" s="380">
        <v>23</v>
      </c>
      <c r="R41" s="382">
        <f>$N$5</f>
        <v>5000</v>
      </c>
      <c r="S41" s="382">
        <f>$N$5</f>
        <v>5000</v>
      </c>
      <c r="T41" s="382">
        <f>$N$5</f>
        <v>5000</v>
      </c>
      <c r="U41" s="382">
        <f>$N$5</f>
        <v>5000</v>
      </c>
      <c r="V41" s="81">
        <f t="shared" si="5"/>
        <v>0</v>
      </c>
      <c r="W41" s="78">
        <f t="shared" si="1"/>
        <v>115000</v>
      </c>
    </row>
    <row r="42" spans="1:23" s="380" customFormat="1" ht="14" customHeight="1" x14ac:dyDescent="0.35">
      <c r="A42" s="376">
        <v>41527</v>
      </c>
      <c r="B42" s="377" t="s">
        <v>187</v>
      </c>
      <c r="C42" s="377" t="s">
        <v>172</v>
      </c>
      <c r="D42" s="377" t="s">
        <v>336</v>
      </c>
      <c r="E42" s="383">
        <v>24584</v>
      </c>
      <c r="F42" s="377" t="s">
        <v>174</v>
      </c>
      <c r="G42" s="379">
        <f t="shared" si="6"/>
        <v>19728.304347826088</v>
      </c>
      <c r="H42" s="380">
        <v>5</v>
      </c>
      <c r="I42" s="379">
        <f t="shared" si="7"/>
        <v>19728.304347826088</v>
      </c>
      <c r="J42" s="381">
        <v>9</v>
      </c>
      <c r="K42" s="379">
        <f t="shared" si="8"/>
        <v>19728.304347826088</v>
      </c>
      <c r="L42" s="380">
        <v>7</v>
      </c>
      <c r="M42" s="379">
        <f t="shared" si="9"/>
        <v>19728.304347826088</v>
      </c>
      <c r="N42" s="380">
        <v>2</v>
      </c>
      <c r="P42" s="427">
        <f t="shared" si="10"/>
        <v>23</v>
      </c>
      <c r="Q42" s="380">
        <v>23</v>
      </c>
      <c r="R42" s="382">
        <f>$N$3</f>
        <v>18125</v>
      </c>
      <c r="S42" s="382">
        <f>$N$3</f>
        <v>18125</v>
      </c>
      <c r="T42" s="382">
        <f>$N$3</f>
        <v>18125</v>
      </c>
      <c r="U42" s="382">
        <f>$N$3</f>
        <v>18125</v>
      </c>
      <c r="V42" s="81">
        <f t="shared" si="5"/>
        <v>1603.304347826087</v>
      </c>
      <c r="W42" s="78">
        <f t="shared" si="1"/>
        <v>453750.99999999994</v>
      </c>
    </row>
    <row r="43" spans="1:23" s="380" customFormat="1" ht="14" customHeight="1" x14ac:dyDescent="0.35">
      <c r="A43" s="376">
        <v>41558</v>
      </c>
      <c r="B43" s="377" t="s">
        <v>352</v>
      </c>
      <c r="C43" s="377" t="s">
        <v>172</v>
      </c>
      <c r="D43" s="377" t="s">
        <v>336</v>
      </c>
      <c r="E43" s="383">
        <v>18467</v>
      </c>
      <c r="F43" s="377"/>
      <c r="G43" s="379">
        <f t="shared" si="6"/>
        <v>19329.369565217392</v>
      </c>
      <c r="H43" s="380">
        <v>5</v>
      </c>
      <c r="I43" s="379">
        <f t="shared" si="7"/>
        <v>19329.369565217392</v>
      </c>
      <c r="J43" s="381">
        <v>9</v>
      </c>
      <c r="K43" s="379">
        <f t="shared" si="8"/>
        <v>19329.369565217392</v>
      </c>
      <c r="L43" s="380">
        <v>7</v>
      </c>
      <c r="M43" s="379">
        <f t="shared" si="9"/>
        <v>19329.369565217392</v>
      </c>
      <c r="N43" s="380">
        <v>2</v>
      </c>
      <c r="P43" s="427">
        <f t="shared" si="10"/>
        <v>23</v>
      </c>
      <c r="Q43" s="380">
        <v>23</v>
      </c>
      <c r="R43" s="382">
        <f>$N$3</f>
        <v>18125</v>
      </c>
      <c r="S43" s="382">
        <f>$N$3</f>
        <v>18125</v>
      </c>
      <c r="T43" s="382">
        <f>$N$3</f>
        <v>18125</v>
      </c>
      <c r="U43" s="382">
        <f>$N$3</f>
        <v>18125</v>
      </c>
      <c r="V43" s="81">
        <f t="shared" si="5"/>
        <v>1204.3695652173913</v>
      </c>
      <c r="W43" s="78">
        <f t="shared" si="1"/>
        <v>444575.5</v>
      </c>
    </row>
    <row r="44" spans="1:23" s="380" customFormat="1" ht="14" customHeight="1" x14ac:dyDescent="0.35">
      <c r="A44" s="376">
        <v>41562</v>
      </c>
      <c r="B44" s="377" t="s">
        <v>354</v>
      </c>
      <c r="C44" s="377" t="s">
        <v>172</v>
      </c>
      <c r="D44" s="377" t="s">
        <v>337</v>
      </c>
      <c r="E44" s="378"/>
      <c r="F44" s="377"/>
      <c r="G44" s="379">
        <f t="shared" si="6"/>
        <v>18125</v>
      </c>
      <c r="H44" s="380">
        <v>5</v>
      </c>
      <c r="I44" s="379">
        <f t="shared" si="7"/>
        <v>18125</v>
      </c>
      <c r="J44" s="381">
        <v>9</v>
      </c>
      <c r="K44" s="379">
        <f t="shared" si="8"/>
        <v>18125</v>
      </c>
      <c r="L44" s="380">
        <v>7</v>
      </c>
      <c r="M44" s="379">
        <f t="shared" si="9"/>
        <v>18125</v>
      </c>
      <c r="N44" s="380">
        <v>2</v>
      </c>
      <c r="P44" s="427">
        <f t="shared" si="10"/>
        <v>23</v>
      </c>
      <c r="Q44" s="380">
        <v>23</v>
      </c>
      <c r="R44" s="382">
        <f>$N$3</f>
        <v>18125</v>
      </c>
      <c r="S44" s="382">
        <f>$N$3</f>
        <v>18125</v>
      </c>
      <c r="T44" s="382">
        <f>$N$3</f>
        <v>18125</v>
      </c>
      <c r="U44" s="382">
        <f>$N$3</f>
        <v>18125</v>
      </c>
      <c r="V44" s="81">
        <f t="shared" si="5"/>
        <v>0</v>
      </c>
      <c r="W44" s="78">
        <f t="shared" si="1"/>
        <v>416875</v>
      </c>
    </row>
    <row r="45" spans="1:23" s="380" customFormat="1" ht="14" customHeight="1" x14ac:dyDescent="0.35">
      <c r="A45" s="376"/>
      <c r="B45" s="385" t="s">
        <v>379</v>
      </c>
      <c r="C45" s="385"/>
      <c r="D45" s="385"/>
      <c r="E45" s="385"/>
      <c r="F45" s="385"/>
      <c r="G45" s="379">
        <f t="shared" si="6"/>
        <v>78000</v>
      </c>
      <c r="H45" s="380">
        <v>5</v>
      </c>
      <c r="I45" s="379">
        <f t="shared" si="7"/>
        <v>78000</v>
      </c>
      <c r="J45" s="381">
        <f>$N$8-5</f>
        <v>13</v>
      </c>
      <c r="K45" s="379">
        <f t="shared" si="8"/>
        <v>46000</v>
      </c>
      <c r="L45" s="426">
        <f>$N$9</f>
        <v>15</v>
      </c>
      <c r="M45" s="379">
        <f t="shared" si="9"/>
        <v>18454</v>
      </c>
      <c r="N45" s="426">
        <v>17</v>
      </c>
      <c r="P45" s="427">
        <f t="shared" si="10"/>
        <v>50</v>
      </c>
      <c r="Q45" s="380">
        <v>50</v>
      </c>
      <c r="R45" s="382">
        <f>$M$8</f>
        <v>78000</v>
      </c>
      <c r="S45" s="382">
        <f>$M$8</f>
        <v>78000</v>
      </c>
      <c r="T45" s="382">
        <f>$M$9</f>
        <v>46000</v>
      </c>
      <c r="U45" s="382">
        <f>$M$10</f>
        <v>18454</v>
      </c>
      <c r="V45" s="81">
        <f t="shared" si="5"/>
        <v>0</v>
      </c>
      <c r="W45" s="78">
        <f t="shared" si="1"/>
        <v>2407718</v>
      </c>
    </row>
    <row r="46" spans="1:23" s="192" customFormat="1" ht="14" customHeight="1" x14ac:dyDescent="0.35">
      <c r="A46" s="306">
        <v>41593</v>
      </c>
      <c r="B46" s="196" t="s">
        <v>382</v>
      </c>
      <c r="C46" s="307" t="s">
        <v>177</v>
      </c>
      <c r="D46" s="196" t="s">
        <v>350</v>
      </c>
      <c r="E46" s="196"/>
      <c r="F46" s="196"/>
      <c r="G46" s="74">
        <f t="shared" si="6"/>
        <v>6250</v>
      </c>
      <c r="H46" s="192">
        <v>5</v>
      </c>
      <c r="I46" s="74">
        <f t="shared" si="7"/>
        <v>6250</v>
      </c>
      <c r="J46" s="75">
        <v>4</v>
      </c>
      <c r="K46" s="74">
        <f t="shared" si="8"/>
        <v>6250</v>
      </c>
      <c r="L46" s="194">
        <v>3</v>
      </c>
      <c r="M46" s="77">
        <f t="shared" si="9"/>
        <v>6250</v>
      </c>
      <c r="N46" s="194">
        <v>8</v>
      </c>
      <c r="P46" s="304">
        <f t="shared" si="10"/>
        <v>20</v>
      </c>
      <c r="Q46" s="192">
        <v>20</v>
      </c>
      <c r="R46" s="234">
        <f>$E$8</f>
        <v>6250</v>
      </c>
      <c r="S46" s="234">
        <f>$E$7</f>
        <v>6250</v>
      </c>
      <c r="T46" s="234">
        <f>$E$7</f>
        <v>6250</v>
      </c>
      <c r="U46" s="234">
        <f>$E$7</f>
        <v>6250</v>
      </c>
      <c r="V46" s="81">
        <f t="shared" si="5"/>
        <v>0</v>
      </c>
      <c r="W46" s="78">
        <f t="shared" si="1"/>
        <v>125000</v>
      </c>
    </row>
    <row r="47" spans="1:23" s="192" customFormat="1" ht="14" customHeight="1" x14ac:dyDescent="0.35">
      <c r="A47" s="306">
        <v>41597</v>
      </c>
      <c r="B47" s="196" t="s">
        <v>383</v>
      </c>
      <c r="C47" s="307" t="s">
        <v>181</v>
      </c>
      <c r="D47" s="196" t="s">
        <v>350</v>
      </c>
      <c r="E47" s="196"/>
      <c r="F47" s="196"/>
      <c r="G47" s="74">
        <f t="shared" si="6"/>
        <v>5000</v>
      </c>
      <c r="H47" s="192">
        <v>5</v>
      </c>
      <c r="I47" s="74">
        <f t="shared" si="7"/>
        <v>5000</v>
      </c>
      <c r="J47" s="75">
        <v>4</v>
      </c>
      <c r="K47" s="74">
        <f t="shared" si="8"/>
        <v>5000</v>
      </c>
      <c r="L47" s="194">
        <v>3</v>
      </c>
      <c r="M47" s="77">
        <f t="shared" si="9"/>
        <v>5000</v>
      </c>
      <c r="N47" s="194">
        <v>8</v>
      </c>
      <c r="P47" s="304">
        <f t="shared" si="10"/>
        <v>20</v>
      </c>
      <c r="Q47" s="192">
        <v>20</v>
      </c>
      <c r="R47" s="234">
        <f>$E$9</f>
        <v>5000</v>
      </c>
      <c r="S47" s="234">
        <f>$E$9</f>
        <v>5000</v>
      </c>
      <c r="T47" s="234">
        <f>$E$9</f>
        <v>5000</v>
      </c>
      <c r="U47" s="234">
        <f>$E$9</f>
        <v>5000</v>
      </c>
      <c r="V47" s="81">
        <f t="shared" si="5"/>
        <v>0</v>
      </c>
      <c r="W47" s="78">
        <f t="shared" si="1"/>
        <v>100000</v>
      </c>
    </row>
    <row r="48" spans="1:23" s="69" customFormat="1" ht="14" customHeight="1" x14ac:dyDescent="0.35">
      <c r="A48" s="405"/>
      <c r="B48" s="421" t="s">
        <v>196</v>
      </c>
      <c r="C48" s="421"/>
      <c r="D48" s="421"/>
      <c r="E48" s="421"/>
      <c r="F48" s="421"/>
      <c r="G48" s="104">
        <f>$B$3</f>
        <v>0</v>
      </c>
      <c r="H48" s="107">
        <v>5</v>
      </c>
      <c r="I48" s="104">
        <f>$B$4</f>
        <v>0</v>
      </c>
      <c r="J48" s="107">
        <f>$N$8-5</f>
        <v>13</v>
      </c>
      <c r="K48" s="106"/>
      <c r="L48" s="430"/>
      <c r="M48" s="104"/>
      <c r="N48" s="107"/>
      <c r="O48" s="106">
        <f>$B$9</f>
        <v>2500</v>
      </c>
      <c r="P48" s="107"/>
      <c r="Q48" s="107">
        <v>7</v>
      </c>
      <c r="R48" s="104"/>
      <c r="S48" s="104"/>
      <c r="T48" s="104"/>
      <c r="U48" s="104"/>
      <c r="V48" s="104"/>
      <c r="W48" s="106">
        <f>(G48*H48)+(I48*J48)+(O48*Q48)</f>
        <v>17500</v>
      </c>
    </row>
    <row r="49" spans="1:23" s="69" customFormat="1" ht="14" customHeight="1" x14ac:dyDescent="0.35">
      <c r="A49" s="405"/>
      <c r="B49" s="421" t="s">
        <v>235</v>
      </c>
      <c r="C49" s="421"/>
      <c r="D49" s="421"/>
      <c r="E49" s="421"/>
      <c r="F49" s="421"/>
      <c r="G49" s="104">
        <f>$E$12/($H50+$J50+$L50)</f>
        <v>0</v>
      </c>
      <c r="H49" s="107">
        <v>5</v>
      </c>
      <c r="I49" s="104">
        <f>$E$12/($H50+$J50+$L50)</f>
        <v>0</v>
      </c>
      <c r="J49" s="107">
        <f>$N$8-5</f>
        <v>13</v>
      </c>
      <c r="K49" s="106">
        <f>$E$12/($H50+$J50+$L50)</f>
        <v>0</v>
      </c>
      <c r="L49" s="430">
        <f>$N$9</f>
        <v>15</v>
      </c>
      <c r="M49" s="439"/>
      <c r="N49" s="107"/>
      <c r="O49" s="439"/>
      <c r="P49" s="107"/>
      <c r="Q49" s="439"/>
      <c r="R49" s="104"/>
      <c r="S49" s="104"/>
      <c r="T49" s="104"/>
      <c r="U49" s="104"/>
      <c r="V49" s="104"/>
      <c r="W49" s="106">
        <f t="shared" ref="W49" si="15">(G49*H49)+(I49*J49)+(K49*L49)+(M49*N49)</f>
        <v>0</v>
      </c>
    </row>
    <row r="50" spans="1:23" s="196" customFormat="1" ht="14" customHeight="1" x14ac:dyDescent="0.4">
      <c r="A50" s="312" t="s">
        <v>387</v>
      </c>
      <c r="B50" s="313"/>
      <c r="C50" s="314"/>
      <c r="D50" s="315" t="s">
        <v>198</v>
      </c>
      <c r="E50" s="315"/>
      <c r="F50" s="315"/>
      <c r="G50" s="316">
        <f>SUMPRODUCT(G23:G49,H23:H49)</f>
        <v>1903339.1829710144</v>
      </c>
      <c r="H50" s="317">
        <v>5</v>
      </c>
      <c r="I50" s="316">
        <f>SUMPRODUCT(I23:I49,J23:J49)</f>
        <v>3632926.4333333336</v>
      </c>
      <c r="J50" s="317">
        <f>$N$8-5</f>
        <v>13</v>
      </c>
      <c r="K50" s="316">
        <f>SUMPRODUCT(K23:K49,L23:L49)</f>
        <v>2537352.0427536238</v>
      </c>
      <c r="L50" s="317">
        <f>$N$9</f>
        <v>15</v>
      </c>
      <c r="M50" s="316">
        <f>SUMPRODUCT(M23:M49,N23:N49)</f>
        <v>1093411.8409420289</v>
      </c>
      <c r="N50" s="317">
        <v>17</v>
      </c>
      <c r="O50" s="318">
        <f>O48*Q48</f>
        <v>17500</v>
      </c>
      <c r="P50" s="319" t="s">
        <v>199</v>
      </c>
      <c r="Q50" s="319"/>
      <c r="R50" s="320">
        <f>H50+J50+L50+N50</f>
        <v>50</v>
      </c>
      <c r="S50" s="321"/>
      <c r="T50" s="321"/>
      <c r="U50" s="321"/>
      <c r="V50" s="321"/>
      <c r="W50" s="322"/>
    </row>
    <row r="51" spans="1:23" s="196" customFormat="1" ht="14" customHeight="1" x14ac:dyDescent="0.4">
      <c r="A51" s="312" t="s">
        <v>388</v>
      </c>
      <c r="B51" s="313"/>
      <c r="C51" s="314"/>
      <c r="D51" s="440" t="s">
        <v>399</v>
      </c>
      <c r="E51" s="315"/>
      <c r="F51" s="315"/>
      <c r="G51" s="148">
        <f>G50/H50</f>
        <v>380667.8365942029</v>
      </c>
      <c r="H51" s="441">
        <f>(SUM(H23:H38)+SUM(H40:H44)+SUM(H46:H47))/H50</f>
        <v>23</v>
      </c>
      <c r="I51" s="148">
        <f>I50/J50</f>
        <v>279455.87948717951</v>
      </c>
      <c r="J51" s="441">
        <f>(SUM(J23:J38)+SUM(J40:J44)+SUM(J46:J47))/J50</f>
        <v>14.615384615384615</v>
      </c>
      <c r="K51" s="148">
        <f>K50/L50</f>
        <v>169156.8028502416</v>
      </c>
      <c r="L51" s="441">
        <f>(SUM(L23:L38)+SUM(L40:L44)+SUM(L46:L47))/L50</f>
        <v>8.7333333333333325</v>
      </c>
      <c r="M51" s="148">
        <f>M50/N50</f>
        <v>64318.343584825227</v>
      </c>
      <c r="N51" s="441">
        <f>(SUM(N23:N38)+SUM(N40:N44)+SUM(N46:N47))/N50</f>
        <v>4.1764705882352944</v>
      </c>
      <c r="O51" s="323"/>
      <c r="P51" s="324" t="s">
        <v>201</v>
      </c>
      <c r="Q51" s="324"/>
      <c r="R51" s="148">
        <f>SUM(G50,I50,K50,M50,O50)</f>
        <v>9184529.5</v>
      </c>
      <c r="S51" s="321"/>
      <c r="T51" s="321"/>
      <c r="U51" s="321"/>
      <c r="V51" s="321"/>
      <c r="W51" s="325">
        <f>SUM(W23:W49)</f>
        <v>9184529.5</v>
      </c>
    </row>
    <row r="52" spans="1:23" ht="14" customHeight="1" x14ac:dyDescent="0.35">
      <c r="A52" s="326">
        <v>41671</v>
      </c>
      <c r="B52" s="197" t="s">
        <v>207</v>
      </c>
      <c r="C52" s="197" t="s">
        <v>172</v>
      </c>
      <c r="D52" s="197" t="s">
        <v>334</v>
      </c>
      <c r="E52" s="327">
        <v>27000</v>
      </c>
      <c r="F52" s="197"/>
      <c r="G52" s="74">
        <f>R52+V52</f>
        <v>11400</v>
      </c>
      <c r="H52" s="171">
        <v>5</v>
      </c>
      <c r="I52" s="77">
        <f>S52+V52</f>
        <v>11400</v>
      </c>
      <c r="J52" s="171">
        <v>4</v>
      </c>
      <c r="K52" s="78">
        <f>T52+V52</f>
        <v>11400</v>
      </c>
      <c r="L52" s="171">
        <v>6</v>
      </c>
      <c r="M52" s="77">
        <f>U52+V52</f>
        <v>11400</v>
      </c>
      <c r="N52" s="171">
        <v>5</v>
      </c>
      <c r="P52" s="304">
        <f t="shared" ref="P52:P68" si="16">H52+J52+L52+N52</f>
        <v>20</v>
      </c>
      <c r="Q52" s="171">
        <v>20</v>
      </c>
      <c r="R52" s="234">
        <f>$E$5</f>
        <v>9375</v>
      </c>
      <c r="S52" s="234">
        <f>$E$5</f>
        <v>9375</v>
      </c>
      <c r="T52" s="234">
        <f>$E$5</f>
        <v>9375</v>
      </c>
      <c r="U52" s="234">
        <f>$E$5</f>
        <v>9375</v>
      </c>
      <c r="V52" s="81">
        <f t="shared" ref="V52:V68" si="17">($E52*($E$13/$Q52))</f>
        <v>2025</v>
      </c>
      <c r="W52" s="78">
        <f t="shared" ref="W52:W68" si="18">(G52*H52)+(I52*J52)+(K52*L52)+(M52*N52)</f>
        <v>228000</v>
      </c>
    </row>
    <row r="53" spans="1:23" ht="14" customHeight="1" x14ac:dyDescent="0.35">
      <c r="A53" s="326">
        <v>41703</v>
      </c>
      <c r="B53" s="197" t="s">
        <v>366</v>
      </c>
      <c r="C53" s="197" t="s">
        <v>181</v>
      </c>
      <c r="D53" s="197" t="s">
        <v>350</v>
      </c>
      <c r="E53" s="197"/>
      <c r="F53" s="197" t="s">
        <v>179</v>
      </c>
      <c r="G53" s="74">
        <f>R53+V53</f>
        <v>5000</v>
      </c>
      <c r="H53" s="192">
        <v>5</v>
      </c>
      <c r="I53" s="77">
        <f>S53+V53</f>
        <v>6250</v>
      </c>
      <c r="J53" s="192">
        <v>4</v>
      </c>
      <c r="K53" s="78">
        <f>T53+V53</f>
        <v>6250</v>
      </c>
      <c r="L53" s="192">
        <v>8</v>
      </c>
      <c r="M53" s="77">
        <f>U53+V53</f>
        <v>6250</v>
      </c>
      <c r="N53" s="171">
        <v>3</v>
      </c>
      <c r="P53" s="304">
        <f t="shared" si="16"/>
        <v>20</v>
      </c>
      <c r="Q53" s="171">
        <v>20</v>
      </c>
      <c r="R53" s="234">
        <f>$E$9</f>
        <v>5000</v>
      </c>
      <c r="S53" s="234">
        <f>$E$8</f>
        <v>6250</v>
      </c>
      <c r="T53" s="234">
        <f>$E$8</f>
        <v>6250</v>
      </c>
      <c r="U53" s="234">
        <f>$E$8</f>
        <v>6250</v>
      </c>
      <c r="V53" s="81">
        <f t="shared" si="17"/>
        <v>0</v>
      </c>
      <c r="W53" s="78">
        <f t="shared" si="18"/>
        <v>118750</v>
      </c>
    </row>
    <row r="54" spans="1:23" ht="14" customHeight="1" x14ac:dyDescent="0.35">
      <c r="A54" s="326">
        <v>41731</v>
      </c>
      <c r="B54" s="197" t="s">
        <v>187</v>
      </c>
      <c r="C54" s="197" t="s">
        <v>177</v>
      </c>
      <c r="D54" s="197" t="s">
        <v>334</v>
      </c>
      <c r="E54" s="327">
        <v>59066</v>
      </c>
      <c r="F54" s="197" t="s">
        <v>174</v>
      </c>
      <c r="G54" s="74">
        <f>R54+V54</f>
        <v>12554.95</v>
      </c>
      <c r="H54" s="192">
        <v>5</v>
      </c>
      <c r="I54" s="77">
        <f>S54+V54</f>
        <v>12554.95</v>
      </c>
      <c r="J54" s="192">
        <v>6</v>
      </c>
      <c r="K54" s="78">
        <f>T54+V54</f>
        <v>12554.95</v>
      </c>
      <c r="L54" s="192">
        <v>6</v>
      </c>
      <c r="M54" s="77">
        <f>U54+V54</f>
        <v>12554.95</v>
      </c>
      <c r="N54" s="171">
        <v>3</v>
      </c>
      <c r="P54" s="304">
        <f t="shared" si="16"/>
        <v>20</v>
      </c>
      <c r="Q54" s="171">
        <v>20</v>
      </c>
      <c r="R54" s="234">
        <f>$E$6</f>
        <v>8125</v>
      </c>
      <c r="S54" s="234">
        <f>$E$6</f>
        <v>8125</v>
      </c>
      <c r="T54" s="234">
        <f>$E$6</f>
        <v>8125</v>
      </c>
      <c r="U54" s="234">
        <f>$E$6</f>
        <v>8125</v>
      </c>
      <c r="V54" s="81">
        <f t="shared" si="17"/>
        <v>4429.95</v>
      </c>
      <c r="W54" s="78">
        <f t="shared" si="18"/>
        <v>251099.00000000003</v>
      </c>
    </row>
    <row r="55" spans="1:23" ht="14" customHeight="1" x14ac:dyDescent="0.35">
      <c r="A55" s="326">
        <v>41786</v>
      </c>
      <c r="B55" s="197" t="s">
        <v>367</v>
      </c>
      <c r="C55" s="197" t="s">
        <v>172</v>
      </c>
      <c r="D55" s="197" t="s">
        <v>334</v>
      </c>
      <c r="E55" s="327">
        <v>24688</v>
      </c>
      <c r="F55" s="197"/>
      <c r="G55" s="74">
        <f>R55+V55</f>
        <v>10985.08695652174</v>
      </c>
      <c r="H55" s="192">
        <v>5</v>
      </c>
      <c r="I55" s="77">
        <f>S55+V55</f>
        <v>10985.08695652174</v>
      </c>
      <c r="J55" s="192">
        <v>12</v>
      </c>
      <c r="K55" s="78">
        <f>T55+V55</f>
        <v>10985.08695652174</v>
      </c>
      <c r="L55" s="192">
        <v>5</v>
      </c>
      <c r="M55" s="77">
        <f>U55+V55</f>
        <v>10985.08695652174</v>
      </c>
      <c r="N55" s="192">
        <v>0</v>
      </c>
      <c r="P55" s="304">
        <f t="shared" si="16"/>
        <v>22</v>
      </c>
      <c r="Q55" s="192">
        <v>23</v>
      </c>
      <c r="R55" s="234">
        <f>$E$5</f>
        <v>9375</v>
      </c>
      <c r="S55" s="234">
        <f>$E$5</f>
        <v>9375</v>
      </c>
      <c r="T55" s="234">
        <f>$E$5</f>
        <v>9375</v>
      </c>
      <c r="U55" s="234">
        <f>$E$5</f>
        <v>9375</v>
      </c>
      <c r="V55" s="81">
        <f t="shared" si="17"/>
        <v>1610.086956521739</v>
      </c>
      <c r="W55" s="78">
        <f t="shared" si="18"/>
        <v>241671.91304347827</v>
      </c>
    </row>
    <row r="56" spans="1:23" ht="14" customHeight="1" x14ac:dyDescent="0.35">
      <c r="A56" s="326">
        <v>41791</v>
      </c>
      <c r="B56" s="197" t="s">
        <v>368</v>
      </c>
      <c r="C56" s="197" t="s">
        <v>172</v>
      </c>
      <c r="D56" s="197" t="s">
        <v>334</v>
      </c>
      <c r="E56" s="327">
        <v>26762</v>
      </c>
      <c r="F56" s="197"/>
      <c r="G56" s="74">
        <f>R56+V56</f>
        <v>11120.347826086956</v>
      </c>
      <c r="H56" s="192">
        <v>5</v>
      </c>
      <c r="I56" s="77">
        <f>S56+V56</f>
        <v>11120.347826086956</v>
      </c>
      <c r="J56" s="192">
        <v>12</v>
      </c>
      <c r="K56" s="78">
        <f>T56+V56</f>
        <v>11120.347826086956</v>
      </c>
      <c r="L56" s="192">
        <v>5</v>
      </c>
      <c r="M56" s="77">
        <f>U56+V56</f>
        <v>11120.347826086956</v>
      </c>
      <c r="N56" s="192">
        <v>0</v>
      </c>
      <c r="P56" s="304">
        <f t="shared" si="16"/>
        <v>22</v>
      </c>
      <c r="Q56" s="192">
        <v>23</v>
      </c>
      <c r="R56" s="234">
        <f>$E$5</f>
        <v>9375</v>
      </c>
      <c r="S56" s="234">
        <f>$E$5</f>
        <v>9375</v>
      </c>
      <c r="T56" s="234">
        <f>$E$5</f>
        <v>9375</v>
      </c>
      <c r="U56" s="234">
        <f>$E$5</f>
        <v>9375</v>
      </c>
      <c r="V56" s="81">
        <f t="shared" si="17"/>
        <v>1745.3478260869565</v>
      </c>
      <c r="W56" s="78">
        <f t="shared" si="18"/>
        <v>244647.65217391303</v>
      </c>
    </row>
    <row r="57" spans="1:23" ht="14" customHeight="1" x14ac:dyDescent="0.35">
      <c r="A57" s="326">
        <v>41797</v>
      </c>
      <c r="B57" s="197" t="s">
        <v>209</v>
      </c>
      <c r="C57" s="197" t="s">
        <v>172</v>
      </c>
      <c r="D57" s="197" t="s">
        <v>334</v>
      </c>
      <c r="E57" s="327">
        <v>52033</v>
      </c>
      <c r="F57" s="197"/>
      <c r="G57" s="74">
        <f>R57+V57</f>
        <v>12768.45652173913</v>
      </c>
      <c r="H57" s="192">
        <v>5</v>
      </c>
      <c r="I57" s="77">
        <f>S57+V57</f>
        <v>12768.45652173913</v>
      </c>
      <c r="J57" s="192">
        <v>12</v>
      </c>
      <c r="K57" s="78">
        <f>T57+V57</f>
        <v>12768.45652173913</v>
      </c>
      <c r="L57" s="192">
        <v>5</v>
      </c>
      <c r="M57" s="77">
        <f>U57+V57</f>
        <v>12768.45652173913</v>
      </c>
      <c r="N57" s="192">
        <v>0</v>
      </c>
      <c r="P57" s="304">
        <f t="shared" si="16"/>
        <v>22</v>
      </c>
      <c r="Q57" s="192">
        <v>23</v>
      </c>
      <c r="R57" s="234">
        <f>$E$5</f>
        <v>9375</v>
      </c>
      <c r="S57" s="234">
        <f>$E$5</f>
        <v>9375</v>
      </c>
      <c r="T57" s="234">
        <f>$E$5</f>
        <v>9375</v>
      </c>
      <c r="U57" s="234">
        <f>$E$5</f>
        <v>9375</v>
      </c>
      <c r="V57" s="81">
        <f t="shared" si="17"/>
        <v>3393.4565217391305</v>
      </c>
      <c r="W57" s="78">
        <f t="shared" si="18"/>
        <v>280906.04347826086</v>
      </c>
    </row>
    <row r="58" spans="1:23" s="380" customFormat="1" ht="14" customHeight="1" x14ac:dyDescent="0.35">
      <c r="A58" s="386"/>
      <c r="B58" s="419" t="s">
        <v>377</v>
      </c>
      <c r="C58" s="419"/>
      <c r="D58" s="419"/>
      <c r="E58" s="419"/>
      <c r="F58" s="419"/>
      <c r="G58" s="379">
        <f>R58+V58</f>
        <v>68750</v>
      </c>
      <c r="H58" s="380">
        <v>5</v>
      </c>
      <c r="I58" s="379">
        <f>S58+V58</f>
        <v>68750</v>
      </c>
      <c r="J58" s="380">
        <v>12</v>
      </c>
      <c r="K58" s="388">
        <f>T58+V58</f>
        <v>68750</v>
      </c>
      <c r="L58" s="380">
        <v>5</v>
      </c>
      <c r="M58" s="379">
        <f>U58+V58</f>
        <v>68750</v>
      </c>
      <c r="N58" s="380">
        <v>1</v>
      </c>
      <c r="P58" s="427">
        <f t="shared" si="16"/>
        <v>23</v>
      </c>
      <c r="Q58" s="380">
        <v>23</v>
      </c>
      <c r="R58" s="382">
        <f>$Q$3</f>
        <v>68750</v>
      </c>
      <c r="S58" s="382">
        <f>$Q$3</f>
        <v>68750</v>
      </c>
      <c r="T58" s="382">
        <f>$Q$3</f>
        <v>68750</v>
      </c>
      <c r="U58" s="382">
        <f>$Q$3</f>
        <v>68750</v>
      </c>
      <c r="V58" s="81">
        <f t="shared" si="17"/>
        <v>0</v>
      </c>
      <c r="W58" s="78">
        <f t="shared" si="18"/>
        <v>1581250</v>
      </c>
    </row>
    <row r="59" spans="1:23" s="380" customFormat="1" ht="14" customHeight="1" x14ac:dyDescent="0.35">
      <c r="A59" s="386">
        <v>41806</v>
      </c>
      <c r="B59" s="387" t="s">
        <v>356</v>
      </c>
      <c r="C59" s="387" t="s">
        <v>172</v>
      </c>
      <c r="D59" s="387" t="s">
        <v>348</v>
      </c>
      <c r="E59" s="387"/>
      <c r="F59" s="387"/>
      <c r="G59" s="379">
        <f>R59+V59</f>
        <v>35440.217391304344</v>
      </c>
      <c r="H59" s="380">
        <v>5</v>
      </c>
      <c r="I59" s="379">
        <f>S59+V59</f>
        <v>35440.217391304344</v>
      </c>
      <c r="J59" s="380">
        <v>12</v>
      </c>
      <c r="K59" s="388">
        <f>T59+V59</f>
        <v>35440.217391304344</v>
      </c>
      <c r="L59" s="380">
        <v>5</v>
      </c>
      <c r="M59" s="379">
        <f>U59+V59</f>
        <v>35440.217391304344</v>
      </c>
      <c r="N59" s="380">
        <v>1</v>
      </c>
      <c r="P59" s="427">
        <f t="shared" si="16"/>
        <v>23</v>
      </c>
      <c r="Q59" s="380">
        <v>23</v>
      </c>
      <c r="R59" s="382">
        <f>$Q$12+($Q$5*3)</f>
        <v>35440.217391304344</v>
      </c>
      <c r="S59" s="382">
        <f>$Q$12+($Q$5*3)</f>
        <v>35440.217391304344</v>
      </c>
      <c r="T59" s="382">
        <f>$Q$12+($Q$5*3)</f>
        <v>35440.217391304344</v>
      </c>
      <c r="U59" s="382">
        <f>$Q$12+($Q$5*3)</f>
        <v>35440.217391304344</v>
      </c>
      <c r="V59" s="81">
        <f t="shared" si="17"/>
        <v>0</v>
      </c>
      <c r="W59" s="78">
        <f t="shared" si="18"/>
        <v>815124.99999999988</v>
      </c>
    </row>
    <row r="60" spans="1:23" s="380" customFormat="1" ht="14" customHeight="1" x14ac:dyDescent="0.35">
      <c r="A60" s="386">
        <v>41812</v>
      </c>
      <c r="B60" s="387" t="s">
        <v>359</v>
      </c>
      <c r="C60" s="387" t="s">
        <v>177</v>
      </c>
      <c r="D60" s="387" t="s">
        <v>348</v>
      </c>
      <c r="E60" s="387"/>
      <c r="F60" s="387" t="s">
        <v>174</v>
      </c>
      <c r="G60" s="379">
        <f>R60+V60</f>
        <v>16396.739130434784</v>
      </c>
      <c r="H60" s="380">
        <v>5</v>
      </c>
      <c r="I60" s="379">
        <f>S60+V60</f>
        <v>16396.739130434784</v>
      </c>
      <c r="J60" s="380">
        <v>12</v>
      </c>
      <c r="K60" s="388">
        <f>T60+V60</f>
        <v>16396.739130434784</v>
      </c>
      <c r="L60" s="380">
        <v>5</v>
      </c>
      <c r="M60" s="379">
        <f>U60+V60</f>
        <v>16396.739130434784</v>
      </c>
      <c r="N60" s="380">
        <v>1</v>
      </c>
      <c r="P60" s="427">
        <f t="shared" si="16"/>
        <v>23</v>
      </c>
      <c r="Q60" s="380">
        <v>23</v>
      </c>
      <c r="R60" s="382">
        <f>$Q$12+($Q$5*1)</f>
        <v>16396.739130434784</v>
      </c>
      <c r="S60" s="382">
        <f>$Q$12+($Q$5*1)</f>
        <v>16396.739130434784</v>
      </c>
      <c r="T60" s="382">
        <f>$Q$12+($Q$5*1)</f>
        <v>16396.739130434784</v>
      </c>
      <c r="U60" s="382">
        <f>$Q$12+($Q$5*1)</f>
        <v>16396.739130434784</v>
      </c>
      <c r="V60" s="81">
        <f t="shared" si="17"/>
        <v>0</v>
      </c>
      <c r="W60" s="78">
        <f t="shared" si="18"/>
        <v>377125.00000000012</v>
      </c>
    </row>
    <row r="61" spans="1:23" s="380" customFormat="1" ht="14" customHeight="1" x14ac:dyDescent="0.35">
      <c r="A61" s="386">
        <v>41816</v>
      </c>
      <c r="B61" s="387" t="s">
        <v>211</v>
      </c>
      <c r="C61" s="387" t="s">
        <v>181</v>
      </c>
      <c r="D61" s="387" t="s">
        <v>348</v>
      </c>
      <c r="E61" s="387"/>
      <c r="F61" s="387" t="s">
        <v>179</v>
      </c>
      <c r="G61" s="379">
        <f>R61+V61</f>
        <v>6875</v>
      </c>
      <c r="H61" s="380">
        <v>5</v>
      </c>
      <c r="I61" s="379">
        <f>S61+V61</f>
        <v>6875</v>
      </c>
      <c r="J61" s="380">
        <v>12</v>
      </c>
      <c r="K61" s="388">
        <f>T61+V61</f>
        <v>6875</v>
      </c>
      <c r="L61" s="380">
        <v>5</v>
      </c>
      <c r="M61" s="379">
        <f>U61+V61</f>
        <v>6875</v>
      </c>
      <c r="N61" s="380">
        <v>1</v>
      </c>
      <c r="P61" s="427">
        <f t="shared" si="16"/>
        <v>23</v>
      </c>
      <c r="Q61" s="380">
        <v>23</v>
      </c>
      <c r="R61" s="382">
        <f>$Q$12</f>
        <v>6875</v>
      </c>
      <c r="S61" s="382">
        <f>$Q$12</f>
        <v>6875</v>
      </c>
      <c r="T61" s="382">
        <f>$Q$12</f>
        <v>6875</v>
      </c>
      <c r="U61" s="382">
        <f>$Q$12</f>
        <v>6875</v>
      </c>
      <c r="V61" s="81">
        <f t="shared" si="17"/>
        <v>0</v>
      </c>
      <c r="W61" s="78">
        <f t="shared" si="18"/>
        <v>158125</v>
      </c>
    </row>
    <row r="62" spans="1:23" s="380" customFormat="1" ht="14" customHeight="1" x14ac:dyDescent="0.35">
      <c r="A62" s="386"/>
      <c r="B62" s="419" t="s">
        <v>378</v>
      </c>
      <c r="C62" s="419"/>
      <c r="D62" s="419"/>
      <c r="E62" s="419"/>
      <c r="F62" s="419"/>
      <c r="G62" s="379">
        <f>R62+V62</f>
        <v>195652.17391304349</v>
      </c>
      <c r="H62" s="380">
        <v>5</v>
      </c>
      <c r="I62" s="379">
        <f>S62+V62</f>
        <v>68750</v>
      </c>
      <c r="J62" s="380">
        <v>12</v>
      </c>
      <c r="K62" s="388">
        <f>T62+V62</f>
        <v>68750</v>
      </c>
      <c r="L62" s="380">
        <v>5</v>
      </c>
      <c r="M62" s="379">
        <f>U62+V62</f>
        <v>68750</v>
      </c>
      <c r="N62" s="380">
        <v>1</v>
      </c>
      <c r="P62" s="427">
        <f t="shared" si="16"/>
        <v>23</v>
      </c>
      <c r="Q62" s="380">
        <v>23</v>
      </c>
      <c r="R62" s="382">
        <f>$Q$6</f>
        <v>195652.17391304349</v>
      </c>
      <c r="S62" s="382">
        <f>$Q$3</f>
        <v>68750</v>
      </c>
      <c r="T62" s="382">
        <f>$Q$3</f>
        <v>68750</v>
      </c>
      <c r="U62" s="382">
        <f>$Q$3</f>
        <v>68750</v>
      </c>
      <c r="V62" s="81">
        <f t="shared" si="17"/>
        <v>0</v>
      </c>
      <c r="W62" s="78">
        <f t="shared" si="18"/>
        <v>2215760.8695652173</v>
      </c>
    </row>
    <row r="63" spans="1:23" s="380" customFormat="1" ht="14" customHeight="1" x14ac:dyDescent="0.35">
      <c r="A63" s="386">
        <v>41821</v>
      </c>
      <c r="B63" s="387" t="s">
        <v>369</v>
      </c>
      <c r="C63" s="387" t="s">
        <v>181</v>
      </c>
      <c r="D63" s="387" t="s">
        <v>349</v>
      </c>
      <c r="E63" s="387"/>
      <c r="F63" s="387" t="s">
        <v>174</v>
      </c>
      <c r="G63" s="379">
        <f>R63+V63</f>
        <v>6875</v>
      </c>
      <c r="H63" s="380">
        <v>5</v>
      </c>
      <c r="I63" s="379">
        <f>S63+V63</f>
        <v>6875</v>
      </c>
      <c r="J63" s="380">
        <v>12</v>
      </c>
      <c r="K63" s="388">
        <f>T63+V63</f>
        <v>6875</v>
      </c>
      <c r="L63" s="380">
        <v>5</v>
      </c>
      <c r="M63" s="379">
        <f>U63+V63</f>
        <v>6875</v>
      </c>
      <c r="N63" s="380">
        <v>1</v>
      </c>
      <c r="P63" s="427">
        <f t="shared" si="16"/>
        <v>23</v>
      </c>
      <c r="Q63" s="380">
        <v>23</v>
      </c>
      <c r="R63" s="382">
        <f>$Q$12</f>
        <v>6875</v>
      </c>
      <c r="S63" s="382">
        <f>$Q$12</f>
        <v>6875</v>
      </c>
      <c r="T63" s="382">
        <f>$Q$12</f>
        <v>6875</v>
      </c>
      <c r="U63" s="382">
        <f>$Q$12</f>
        <v>6875</v>
      </c>
      <c r="V63" s="81">
        <f t="shared" si="17"/>
        <v>0</v>
      </c>
      <c r="W63" s="78">
        <f t="shared" si="18"/>
        <v>158125</v>
      </c>
    </row>
    <row r="64" spans="1:23" ht="14" customHeight="1" x14ac:dyDescent="0.35">
      <c r="A64" s="326">
        <v>41885</v>
      </c>
      <c r="B64" s="328" t="s">
        <v>400</v>
      </c>
      <c r="C64" s="197" t="s">
        <v>172</v>
      </c>
      <c r="D64" s="197" t="s">
        <v>350</v>
      </c>
      <c r="E64" s="197"/>
      <c r="F64" s="197"/>
      <c r="G64" s="74">
        <f>R64+V64</f>
        <v>9375</v>
      </c>
      <c r="H64" s="192">
        <v>5</v>
      </c>
      <c r="I64" s="77">
        <f>S64+V64</f>
        <v>9375</v>
      </c>
      <c r="J64" s="192">
        <v>4</v>
      </c>
      <c r="K64" s="78">
        <f>T64+V64</f>
        <v>9375</v>
      </c>
      <c r="L64" s="194">
        <v>7</v>
      </c>
      <c r="M64" s="77">
        <f>U64+V64</f>
        <v>9375</v>
      </c>
      <c r="N64" s="194">
        <v>4</v>
      </c>
      <c r="O64" s="194"/>
      <c r="P64" s="80">
        <f t="shared" si="16"/>
        <v>20</v>
      </c>
      <c r="Q64" s="192">
        <v>20</v>
      </c>
      <c r="R64" s="234">
        <f>$E$5</f>
        <v>9375</v>
      </c>
      <c r="S64" s="234">
        <f>$E$5</f>
        <v>9375</v>
      </c>
      <c r="T64" s="234">
        <f>$E$5</f>
        <v>9375</v>
      </c>
      <c r="U64" s="234">
        <f>$E$5</f>
        <v>9375</v>
      </c>
      <c r="V64" s="81">
        <f t="shared" si="17"/>
        <v>0</v>
      </c>
      <c r="W64" s="78">
        <f t="shared" si="18"/>
        <v>187500</v>
      </c>
    </row>
    <row r="65" spans="1:23" ht="14" customHeight="1" x14ac:dyDescent="0.35">
      <c r="A65" s="326">
        <v>41922</v>
      </c>
      <c r="B65" s="197" t="s">
        <v>360</v>
      </c>
      <c r="C65" s="197" t="s">
        <v>177</v>
      </c>
      <c r="D65" s="197" t="s">
        <v>334</v>
      </c>
      <c r="E65" s="327">
        <v>36265</v>
      </c>
      <c r="F65" s="197"/>
      <c r="G65" s="74">
        <f>R65+V65</f>
        <v>9272.0833333333321</v>
      </c>
      <c r="H65" s="192">
        <v>5</v>
      </c>
      <c r="I65" s="77">
        <f>S65+V65</f>
        <v>9272.0833333333321</v>
      </c>
      <c r="J65" s="192">
        <v>4</v>
      </c>
      <c r="K65" s="78">
        <f>T65+V65</f>
        <v>9272.0833333333321</v>
      </c>
      <c r="L65" s="194">
        <v>7</v>
      </c>
      <c r="M65" s="77">
        <f>U65+V65</f>
        <v>9272.0833333333321</v>
      </c>
      <c r="N65" s="194">
        <v>2</v>
      </c>
      <c r="O65" s="194"/>
      <c r="P65" s="80">
        <f t="shared" si="16"/>
        <v>18</v>
      </c>
      <c r="Q65" s="192">
        <v>18</v>
      </c>
      <c r="R65" s="234">
        <f>$E$8</f>
        <v>6250</v>
      </c>
      <c r="S65" s="234">
        <f>$E$7</f>
        <v>6250</v>
      </c>
      <c r="T65" s="234">
        <f>$E$7</f>
        <v>6250</v>
      </c>
      <c r="U65" s="234">
        <f>$E$7</f>
        <v>6250</v>
      </c>
      <c r="V65" s="81">
        <f t="shared" si="17"/>
        <v>3022.083333333333</v>
      </c>
      <c r="W65" s="78">
        <f t="shared" si="18"/>
        <v>166897.49999999997</v>
      </c>
    </row>
    <row r="66" spans="1:23" ht="14" customHeight="1" x14ac:dyDescent="0.35">
      <c r="A66" s="326">
        <v>41926</v>
      </c>
      <c r="B66" s="197" t="s">
        <v>353</v>
      </c>
      <c r="C66" s="197" t="s">
        <v>177</v>
      </c>
      <c r="D66" s="197" t="s">
        <v>334</v>
      </c>
      <c r="E66" s="327">
        <v>14805</v>
      </c>
      <c r="F66" s="197"/>
      <c r="G66" s="74">
        <f>R66+V66</f>
        <v>7483.75</v>
      </c>
      <c r="H66" s="192">
        <v>5</v>
      </c>
      <c r="I66" s="77">
        <f>S66+V66</f>
        <v>7483.75</v>
      </c>
      <c r="J66" s="192">
        <v>4</v>
      </c>
      <c r="K66" s="78">
        <f>T66+V66</f>
        <v>7483.75</v>
      </c>
      <c r="L66" s="194">
        <v>7</v>
      </c>
      <c r="M66" s="77">
        <f>U66+V66</f>
        <v>7483.75</v>
      </c>
      <c r="N66" s="194">
        <v>2</v>
      </c>
      <c r="O66" s="194"/>
      <c r="P66" s="80">
        <f t="shared" si="16"/>
        <v>18</v>
      </c>
      <c r="Q66" s="192">
        <v>18</v>
      </c>
      <c r="R66" s="234">
        <f>$E$8</f>
        <v>6250</v>
      </c>
      <c r="S66" s="234">
        <f>$E$7</f>
        <v>6250</v>
      </c>
      <c r="T66" s="234">
        <f>$E$7</f>
        <v>6250</v>
      </c>
      <c r="U66" s="234">
        <f>$E$7</f>
        <v>6250</v>
      </c>
      <c r="V66" s="81">
        <f t="shared" si="17"/>
        <v>1233.75</v>
      </c>
      <c r="W66" s="78">
        <f t="shared" si="18"/>
        <v>134707.5</v>
      </c>
    </row>
    <row r="67" spans="1:23" ht="14" customHeight="1" x14ac:dyDescent="0.35">
      <c r="A67" s="326">
        <v>41957</v>
      </c>
      <c r="B67" s="197" t="s">
        <v>210</v>
      </c>
      <c r="C67" s="197" t="s">
        <v>181</v>
      </c>
      <c r="D67" s="197" t="s">
        <v>350</v>
      </c>
      <c r="E67" s="197"/>
      <c r="F67" s="328" t="s">
        <v>179</v>
      </c>
      <c r="G67" s="74">
        <f>R67+V67</f>
        <v>5000</v>
      </c>
      <c r="H67" s="192">
        <v>5</v>
      </c>
      <c r="I67" s="77">
        <f>S67+V67</f>
        <v>6250</v>
      </c>
      <c r="J67" s="192">
        <v>4</v>
      </c>
      <c r="K67" s="78">
        <f>T67+V67</f>
        <v>6250</v>
      </c>
      <c r="L67" s="194">
        <v>5</v>
      </c>
      <c r="M67" s="77">
        <f>U67+V67</f>
        <v>6250</v>
      </c>
      <c r="N67" s="194">
        <v>6</v>
      </c>
      <c r="O67" s="194"/>
      <c r="P67" s="80">
        <f t="shared" si="16"/>
        <v>20</v>
      </c>
      <c r="Q67" s="192">
        <v>20</v>
      </c>
      <c r="R67" s="234">
        <f>$E$9</f>
        <v>5000</v>
      </c>
      <c r="S67" s="234">
        <f>$E$8</f>
        <v>6250</v>
      </c>
      <c r="T67" s="234">
        <f>$E$8</f>
        <v>6250</v>
      </c>
      <c r="U67" s="234">
        <f>$E$8</f>
        <v>6250</v>
      </c>
      <c r="V67" s="81">
        <f t="shared" si="17"/>
        <v>0</v>
      </c>
      <c r="W67" s="78">
        <f t="shared" si="18"/>
        <v>118750</v>
      </c>
    </row>
    <row r="68" spans="1:23" ht="14" customHeight="1" x14ac:dyDescent="0.35">
      <c r="A68" s="326">
        <v>41961</v>
      </c>
      <c r="B68" s="328" t="s">
        <v>206</v>
      </c>
      <c r="C68" s="197" t="s">
        <v>181</v>
      </c>
      <c r="D68" s="197" t="s">
        <v>350</v>
      </c>
      <c r="E68" s="197"/>
      <c r="F68" s="197"/>
      <c r="G68" s="74">
        <f>R68+V68</f>
        <v>5000</v>
      </c>
      <c r="H68" s="192">
        <v>5</v>
      </c>
      <c r="I68" s="77">
        <f>S68+V68</f>
        <v>6250</v>
      </c>
      <c r="J68" s="192">
        <v>4</v>
      </c>
      <c r="K68" s="78">
        <f>T68+V68</f>
        <v>6250</v>
      </c>
      <c r="L68" s="194">
        <v>5</v>
      </c>
      <c r="M68" s="77">
        <f>U68+V68</f>
        <v>6250</v>
      </c>
      <c r="N68" s="194">
        <v>6</v>
      </c>
      <c r="O68" s="194"/>
      <c r="P68" s="80">
        <f t="shared" si="16"/>
        <v>20</v>
      </c>
      <c r="Q68" s="192">
        <v>20</v>
      </c>
      <c r="R68" s="234">
        <f>$E$9</f>
        <v>5000</v>
      </c>
      <c r="S68" s="234">
        <f>$E$8</f>
        <v>6250</v>
      </c>
      <c r="T68" s="234">
        <f>$E$8</f>
        <v>6250</v>
      </c>
      <c r="U68" s="234">
        <f>$E$8</f>
        <v>6250</v>
      </c>
      <c r="V68" s="81">
        <f t="shared" si="17"/>
        <v>0</v>
      </c>
      <c r="W68" s="78">
        <f t="shared" si="18"/>
        <v>118750</v>
      </c>
    </row>
    <row r="69" spans="1:23" s="411" customFormat="1" ht="14" customHeight="1" x14ac:dyDescent="0.35">
      <c r="A69" s="437"/>
      <c r="B69" s="438" t="s">
        <v>196</v>
      </c>
      <c r="C69" s="438"/>
      <c r="D69" s="438"/>
      <c r="E69" s="438"/>
      <c r="F69" s="438"/>
      <c r="G69" s="104">
        <f>$B$3</f>
        <v>0</v>
      </c>
      <c r="H69" s="107">
        <v>5</v>
      </c>
      <c r="I69" s="104">
        <f>$B$4</f>
        <v>0</v>
      </c>
      <c r="J69" s="107">
        <v>12</v>
      </c>
      <c r="K69" s="106"/>
      <c r="L69" s="107"/>
      <c r="M69" s="104"/>
      <c r="N69" s="107"/>
      <c r="O69" s="106">
        <f>$B$9</f>
        <v>2500</v>
      </c>
      <c r="P69" s="107"/>
      <c r="Q69" s="107">
        <v>7</v>
      </c>
      <c r="R69" s="104"/>
      <c r="S69" s="104"/>
      <c r="T69" s="104"/>
      <c r="U69" s="104"/>
      <c r="V69" s="104"/>
      <c r="W69" s="106">
        <f>(G69*H69)+(I69*J69)+(O69*Q69)</f>
        <v>17500</v>
      </c>
    </row>
    <row r="70" spans="1:23" s="411" customFormat="1" ht="14" customHeight="1" x14ac:dyDescent="0.35">
      <c r="A70" s="437"/>
      <c r="B70" s="438" t="s">
        <v>235</v>
      </c>
      <c r="C70" s="438"/>
      <c r="D70" s="438"/>
      <c r="E70" s="438"/>
      <c r="F70" s="438"/>
      <c r="G70" s="104">
        <f>$E$12/($H71+$J71+$L71)</f>
        <v>0</v>
      </c>
      <c r="H70" s="107">
        <v>5</v>
      </c>
      <c r="I70" s="104">
        <f>$E$12/($H71+$J71+$L71)</f>
        <v>0</v>
      </c>
      <c r="J70" s="107">
        <v>12</v>
      </c>
      <c r="K70" s="106">
        <f>$E$12/($H71+$J71+$L71)</f>
        <v>0</v>
      </c>
      <c r="L70" s="107">
        <v>14</v>
      </c>
      <c r="M70" s="104"/>
      <c r="N70" s="107"/>
      <c r="O70" s="106"/>
      <c r="P70" s="107"/>
      <c r="Q70" s="107"/>
      <c r="R70" s="104"/>
      <c r="S70" s="104"/>
      <c r="T70" s="104"/>
      <c r="U70" s="104"/>
      <c r="V70" s="104"/>
      <c r="W70" s="106">
        <f t="shared" ref="W70" si="19">(G70*H70)+(I70*J70)+(K70*L70)+(M70*N70)</f>
        <v>0</v>
      </c>
    </row>
    <row r="71" spans="1:23" s="197" customFormat="1" ht="14" customHeight="1" x14ac:dyDescent="0.4">
      <c r="A71" s="329" t="s">
        <v>197</v>
      </c>
      <c r="B71" s="329"/>
      <c r="C71" s="330"/>
      <c r="D71" s="331" t="s">
        <v>198</v>
      </c>
      <c r="E71" s="331"/>
      <c r="F71" s="331"/>
      <c r="G71" s="332">
        <f>SUMPRODUCT(G52:G70,H52:H70)</f>
        <v>2149744.0253623193</v>
      </c>
      <c r="H71" s="333">
        <v>5</v>
      </c>
      <c r="I71" s="332">
        <f>SUMPRODUCT(I52:I70,J52:J70)</f>
        <v>3155983.2072463771</v>
      </c>
      <c r="J71" s="333">
        <v>13</v>
      </c>
      <c r="K71" s="332">
        <f>SUMPRODUCT(K52:K70,L52:L70)</f>
        <v>1628949.772463768</v>
      </c>
      <c r="L71" s="333">
        <v>14</v>
      </c>
      <c r="M71" s="332">
        <f>SUMPRODUCT(M52:M70,N52:N70)</f>
        <v>462513.4731884058</v>
      </c>
      <c r="N71" s="333">
        <v>18</v>
      </c>
      <c r="O71" s="334">
        <f>$O$69*Q69</f>
        <v>17500</v>
      </c>
      <c r="P71" s="335" t="s">
        <v>199</v>
      </c>
      <c r="Q71" s="335"/>
      <c r="R71" s="336">
        <f>H71+J71+L71+N71</f>
        <v>50</v>
      </c>
      <c r="S71" s="337"/>
      <c r="T71" s="337"/>
      <c r="U71" s="337"/>
      <c r="V71" s="337"/>
      <c r="W71" s="338"/>
    </row>
    <row r="72" spans="1:23" s="197" customFormat="1" ht="14" customHeight="1" x14ac:dyDescent="0.4">
      <c r="A72" s="329" t="s">
        <v>200</v>
      </c>
      <c r="B72" s="329"/>
      <c r="C72" s="330"/>
      <c r="D72" s="442" t="s">
        <v>399</v>
      </c>
      <c r="E72" s="331"/>
      <c r="F72" s="331"/>
      <c r="G72" s="167">
        <f>G71/H71</f>
        <v>429948.80507246387</v>
      </c>
      <c r="H72" s="447">
        <f>(SUM(H52:H57)+SUM(H59:H61)+SUM(H63:H68))/H71</f>
        <v>15</v>
      </c>
      <c r="I72" s="167">
        <f>I71/J71</f>
        <v>242767.93901895208</v>
      </c>
      <c r="J72" s="447">
        <f>(SUM(J52:J57)+SUM(J59:J61)+SUM(J63:J68))/J71</f>
        <v>9.0769230769230766</v>
      </c>
      <c r="K72" s="167">
        <f>K71/L71</f>
        <v>116353.55517598343</v>
      </c>
      <c r="L72" s="447">
        <f>(SUM(L52:L57)+SUM(L59:L61)+SUM(L63:L68))/L71</f>
        <v>6.1428571428571432</v>
      </c>
      <c r="M72" s="167">
        <f>M71/N71</f>
        <v>25695.192954911432</v>
      </c>
      <c r="N72" s="447">
        <f>(SUM(N52:N57)+SUM(N59:N61)+SUM(N63:N68))/N71</f>
        <v>1.9444444444444444</v>
      </c>
      <c r="O72" s="339"/>
      <c r="P72" s="340" t="s">
        <v>201</v>
      </c>
      <c r="Q72" s="340"/>
      <c r="R72" s="167">
        <f>SUM(G71,I71,K71,M71,O71)</f>
        <v>7414690.4782608701</v>
      </c>
      <c r="S72" s="337"/>
      <c r="T72" s="337"/>
      <c r="U72" s="337"/>
      <c r="V72" s="337"/>
      <c r="W72" s="341">
        <f>SUM(W52:W70)</f>
        <v>7414690.4782608692</v>
      </c>
    </row>
    <row r="73" spans="1:23" ht="14" customHeight="1" x14ac:dyDescent="0.35">
      <c r="A73" s="342">
        <v>42032</v>
      </c>
      <c r="B73" s="195" t="s">
        <v>364</v>
      </c>
      <c r="C73" s="195" t="s">
        <v>181</v>
      </c>
      <c r="D73" s="195" t="s">
        <v>350</v>
      </c>
      <c r="E73" s="195"/>
      <c r="F73" s="343" t="s">
        <v>179</v>
      </c>
      <c r="G73" s="74">
        <f>R73+V73</f>
        <v>5000</v>
      </c>
      <c r="H73" s="192">
        <v>5</v>
      </c>
      <c r="I73" s="77">
        <f>S73+V73</f>
        <v>6250</v>
      </c>
      <c r="J73" s="192">
        <v>4</v>
      </c>
      <c r="K73" s="78">
        <f>T73+V73</f>
        <v>6250</v>
      </c>
      <c r="L73" s="192">
        <v>5</v>
      </c>
      <c r="M73" s="77">
        <f>U73+V73</f>
        <v>6250</v>
      </c>
      <c r="N73" s="171">
        <v>4</v>
      </c>
      <c r="P73" s="304">
        <f t="shared" ref="P73:P93" si="20">H73+J73+L73+N73</f>
        <v>18</v>
      </c>
      <c r="Q73" s="171">
        <v>20</v>
      </c>
      <c r="R73" s="234">
        <f>$E$9</f>
        <v>5000</v>
      </c>
      <c r="S73" s="234">
        <f>$E$8</f>
        <v>6250</v>
      </c>
      <c r="T73" s="234">
        <f>$E$8</f>
        <v>6250</v>
      </c>
      <c r="U73" s="234">
        <f>$E$8</f>
        <v>6250</v>
      </c>
      <c r="V73" s="81">
        <f t="shared" ref="V73:V93" si="21">($E73*($E$13/$Q73))</f>
        <v>0</v>
      </c>
      <c r="W73" s="78">
        <f t="shared" ref="W73:W93" si="22">(G73*H73)+(I73*J73)+(K73*L73)+(M73*N73)</f>
        <v>106250</v>
      </c>
    </row>
    <row r="74" spans="1:23" ht="14" customHeight="1" x14ac:dyDescent="0.35">
      <c r="A74" s="342">
        <v>42043</v>
      </c>
      <c r="B74" s="195" t="s">
        <v>354</v>
      </c>
      <c r="C74" s="195" t="s">
        <v>172</v>
      </c>
      <c r="D74" s="195" t="s">
        <v>334</v>
      </c>
      <c r="E74" s="344">
        <v>20271</v>
      </c>
      <c r="F74" s="195"/>
      <c r="G74" s="74">
        <f>R74+V74</f>
        <v>11064.25</v>
      </c>
      <c r="H74" s="192">
        <v>5</v>
      </c>
      <c r="I74" s="77">
        <f>S74+V74</f>
        <v>11064.25</v>
      </c>
      <c r="J74" s="192">
        <v>4</v>
      </c>
      <c r="K74" s="78">
        <f>T74+V74</f>
        <v>11064.25</v>
      </c>
      <c r="L74" s="192">
        <v>5</v>
      </c>
      <c r="M74" s="77">
        <f>U74+V74</f>
        <v>11064.25</v>
      </c>
      <c r="N74" s="171">
        <v>4</v>
      </c>
      <c r="P74" s="304">
        <f t="shared" si="20"/>
        <v>18</v>
      </c>
      <c r="Q74" s="171">
        <v>18</v>
      </c>
      <c r="R74" s="234">
        <f>$E$5</f>
        <v>9375</v>
      </c>
      <c r="S74" s="234">
        <f>$E$5</f>
        <v>9375</v>
      </c>
      <c r="T74" s="234">
        <f>$E$5</f>
        <v>9375</v>
      </c>
      <c r="U74" s="234">
        <f>$E$5</f>
        <v>9375</v>
      </c>
      <c r="V74" s="81">
        <f t="shared" si="21"/>
        <v>1689.25</v>
      </c>
      <c r="W74" s="78">
        <f t="shared" si="22"/>
        <v>199156.5</v>
      </c>
    </row>
    <row r="75" spans="1:23" ht="14" customHeight="1" x14ac:dyDescent="0.35">
      <c r="A75" s="342">
        <v>42088</v>
      </c>
      <c r="B75" s="195" t="s">
        <v>182</v>
      </c>
      <c r="C75" s="195" t="s">
        <v>181</v>
      </c>
      <c r="D75" s="195" t="s">
        <v>350</v>
      </c>
      <c r="E75" s="195"/>
      <c r="F75" s="195" t="s">
        <v>174</v>
      </c>
      <c r="G75" s="74">
        <f t="shared" ref="G75:G93" si="23">R75+V75</f>
        <v>5000</v>
      </c>
      <c r="H75" s="192">
        <v>5</v>
      </c>
      <c r="I75" s="77">
        <f t="shared" ref="I75:I93" si="24">S75+V75</f>
        <v>6250</v>
      </c>
      <c r="J75" s="192">
        <v>6</v>
      </c>
      <c r="K75" s="78">
        <f t="shared" ref="K75:K93" si="25">T75+V75</f>
        <v>6250</v>
      </c>
      <c r="L75" s="192">
        <v>5</v>
      </c>
      <c r="M75" s="77">
        <f t="shared" ref="M75:M93" si="26">U75+V75</f>
        <v>6250</v>
      </c>
      <c r="N75" s="171">
        <v>4</v>
      </c>
      <c r="P75" s="304">
        <f t="shared" si="20"/>
        <v>20</v>
      </c>
      <c r="Q75" s="192">
        <v>20</v>
      </c>
      <c r="R75" s="234">
        <f>$E$9</f>
        <v>5000</v>
      </c>
      <c r="S75" s="234">
        <f>$E$8</f>
        <v>6250</v>
      </c>
      <c r="T75" s="234">
        <f>$E$8</f>
        <v>6250</v>
      </c>
      <c r="U75" s="234">
        <f>$E$8</f>
        <v>6250</v>
      </c>
      <c r="V75" s="81">
        <f t="shared" si="21"/>
        <v>0</v>
      </c>
      <c r="W75" s="78">
        <f t="shared" si="22"/>
        <v>118750</v>
      </c>
    </row>
    <row r="76" spans="1:23" ht="14" customHeight="1" x14ac:dyDescent="0.35">
      <c r="A76" s="342">
        <v>42094</v>
      </c>
      <c r="B76" s="195" t="s">
        <v>186</v>
      </c>
      <c r="C76" s="195" t="s">
        <v>177</v>
      </c>
      <c r="D76" s="195" t="s">
        <v>350</v>
      </c>
      <c r="E76" s="195"/>
      <c r="F76" s="343" t="s">
        <v>174</v>
      </c>
      <c r="G76" s="74">
        <f t="shared" si="23"/>
        <v>8125</v>
      </c>
      <c r="H76" s="192">
        <v>5</v>
      </c>
      <c r="I76" s="77">
        <f t="shared" si="24"/>
        <v>8125</v>
      </c>
      <c r="J76" s="192">
        <v>6</v>
      </c>
      <c r="K76" s="78">
        <f t="shared" si="25"/>
        <v>8125</v>
      </c>
      <c r="L76" s="192">
        <v>5</v>
      </c>
      <c r="M76" s="77">
        <f t="shared" si="26"/>
        <v>8125</v>
      </c>
      <c r="N76" s="171">
        <v>4</v>
      </c>
      <c r="P76" s="304">
        <f t="shared" si="20"/>
        <v>20</v>
      </c>
      <c r="Q76" s="192">
        <v>20</v>
      </c>
      <c r="R76" s="234">
        <f>$E$6</f>
        <v>8125</v>
      </c>
      <c r="S76" s="234">
        <f>$E$6</f>
        <v>8125</v>
      </c>
      <c r="T76" s="234">
        <f>$E$6</f>
        <v>8125</v>
      </c>
      <c r="U76" s="234">
        <f>$E$6</f>
        <v>8125</v>
      </c>
      <c r="V76" s="81">
        <f t="shared" si="21"/>
        <v>0</v>
      </c>
      <c r="W76" s="78">
        <f t="shared" si="22"/>
        <v>162500</v>
      </c>
    </row>
    <row r="77" spans="1:23" ht="14" customHeight="1" x14ac:dyDescent="0.35">
      <c r="A77" s="342">
        <v>42109</v>
      </c>
      <c r="B77" s="195" t="s">
        <v>187</v>
      </c>
      <c r="C77" s="195" t="s">
        <v>172</v>
      </c>
      <c r="D77" s="195" t="s">
        <v>334</v>
      </c>
      <c r="E77" s="344">
        <v>64369</v>
      </c>
      <c r="F77" s="195" t="s">
        <v>174</v>
      </c>
      <c r="G77" s="74">
        <f t="shared" si="23"/>
        <v>22989.083333333332</v>
      </c>
      <c r="H77" s="192">
        <v>5</v>
      </c>
      <c r="I77" s="77">
        <f t="shared" si="24"/>
        <v>22989.083333333332</v>
      </c>
      <c r="J77" s="192">
        <v>7</v>
      </c>
      <c r="K77" s="78">
        <f t="shared" si="25"/>
        <v>22989.083333333332</v>
      </c>
      <c r="L77" s="192">
        <v>5</v>
      </c>
      <c r="M77" s="77">
        <f t="shared" si="26"/>
        <v>22989.083333333332</v>
      </c>
      <c r="N77" s="171">
        <v>1</v>
      </c>
      <c r="P77" s="304">
        <f t="shared" si="20"/>
        <v>18</v>
      </c>
      <c r="Q77" s="192">
        <v>18</v>
      </c>
      <c r="R77" s="234">
        <f>$E$3</f>
        <v>17625</v>
      </c>
      <c r="S77" s="234">
        <f>$E$3</f>
        <v>17625</v>
      </c>
      <c r="T77" s="234">
        <f>$E$3</f>
        <v>17625</v>
      </c>
      <c r="U77" s="234">
        <f>$E$3</f>
        <v>17625</v>
      </c>
      <c r="V77" s="81">
        <f t="shared" si="21"/>
        <v>5364.083333333333</v>
      </c>
      <c r="W77" s="78">
        <f t="shared" si="22"/>
        <v>413803.49999999994</v>
      </c>
    </row>
    <row r="78" spans="1:23" ht="14" customHeight="1" x14ac:dyDescent="0.35">
      <c r="A78" s="342">
        <v>42160</v>
      </c>
      <c r="B78" s="195" t="s">
        <v>223</v>
      </c>
      <c r="C78" s="195" t="s">
        <v>172</v>
      </c>
      <c r="D78" s="195" t="s">
        <v>350</v>
      </c>
      <c r="E78" s="195"/>
      <c r="F78" s="343" t="s">
        <v>179</v>
      </c>
      <c r="G78" s="74">
        <f t="shared" si="23"/>
        <v>12500</v>
      </c>
      <c r="H78" s="192">
        <v>5</v>
      </c>
      <c r="I78" s="77">
        <f t="shared" si="24"/>
        <v>12500</v>
      </c>
      <c r="J78" s="192">
        <v>7</v>
      </c>
      <c r="K78" s="78">
        <f t="shared" si="25"/>
        <v>12500</v>
      </c>
      <c r="L78" s="192">
        <v>5</v>
      </c>
      <c r="M78" s="77">
        <f t="shared" si="26"/>
        <v>12500</v>
      </c>
      <c r="N78" s="171">
        <v>3</v>
      </c>
      <c r="P78" s="304">
        <f t="shared" si="20"/>
        <v>20</v>
      </c>
      <c r="Q78" s="192">
        <v>20</v>
      </c>
      <c r="R78" s="234">
        <f>$E$4</f>
        <v>12500</v>
      </c>
      <c r="S78" s="234">
        <f>$E$4</f>
        <v>12500</v>
      </c>
      <c r="T78" s="234">
        <f>$E$4</f>
        <v>12500</v>
      </c>
      <c r="U78" s="234">
        <f>$E$4</f>
        <v>12500</v>
      </c>
      <c r="V78" s="81">
        <f t="shared" si="21"/>
        <v>0</v>
      </c>
      <c r="W78" s="78">
        <f t="shared" si="22"/>
        <v>250000</v>
      </c>
    </row>
    <row r="79" spans="1:23" ht="14" customHeight="1" x14ac:dyDescent="0.35">
      <c r="A79" s="342">
        <v>42165</v>
      </c>
      <c r="B79" s="195" t="s">
        <v>211</v>
      </c>
      <c r="C79" s="195" t="s">
        <v>172</v>
      </c>
      <c r="D79" s="195" t="s">
        <v>350</v>
      </c>
      <c r="E79" s="195"/>
      <c r="F79" s="343" t="s">
        <v>179</v>
      </c>
      <c r="G79" s="74">
        <f t="shared" si="23"/>
        <v>12500</v>
      </c>
      <c r="H79" s="192">
        <v>5</v>
      </c>
      <c r="I79" s="77">
        <f t="shared" si="24"/>
        <v>12500</v>
      </c>
      <c r="J79" s="192">
        <v>7</v>
      </c>
      <c r="K79" s="78">
        <f t="shared" si="25"/>
        <v>12500</v>
      </c>
      <c r="L79" s="192">
        <v>5</v>
      </c>
      <c r="M79" s="77">
        <f t="shared" si="26"/>
        <v>12500</v>
      </c>
      <c r="N79" s="171">
        <v>3</v>
      </c>
      <c r="P79" s="304">
        <f t="shared" si="20"/>
        <v>20</v>
      </c>
      <c r="Q79" s="192">
        <v>20</v>
      </c>
      <c r="R79" s="234">
        <f>$E$4</f>
        <v>12500</v>
      </c>
      <c r="S79" s="234">
        <f>$E$4</f>
        <v>12500</v>
      </c>
      <c r="T79" s="234">
        <f>$E$4</f>
        <v>12500</v>
      </c>
      <c r="U79" s="234">
        <f>$E$4</f>
        <v>12500</v>
      </c>
      <c r="V79" s="81">
        <f t="shared" si="21"/>
        <v>0</v>
      </c>
      <c r="W79" s="78">
        <f t="shared" si="22"/>
        <v>250000</v>
      </c>
    </row>
    <row r="80" spans="1:23" ht="14" customHeight="1" x14ac:dyDescent="0.35">
      <c r="A80" s="342">
        <v>42188</v>
      </c>
      <c r="B80" s="195" t="s">
        <v>190</v>
      </c>
      <c r="C80" s="195" t="s">
        <v>172</v>
      </c>
      <c r="D80" s="195" t="s">
        <v>334</v>
      </c>
      <c r="E80" s="344">
        <v>44835</v>
      </c>
      <c r="F80" s="195"/>
      <c r="G80" s="74">
        <f t="shared" si="23"/>
        <v>12299.021739130434</v>
      </c>
      <c r="H80" s="192">
        <v>5</v>
      </c>
      <c r="I80" s="77">
        <f t="shared" si="24"/>
        <v>12299.021739130434</v>
      </c>
      <c r="J80" s="192">
        <v>8</v>
      </c>
      <c r="K80" s="78">
        <f t="shared" si="25"/>
        <v>12299.021739130434</v>
      </c>
      <c r="L80" s="192">
        <v>8</v>
      </c>
      <c r="M80" s="77">
        <f t="shared" si="26"/>
        <v>12299.021739130434</v>
      </c>
      <c r="N80" s="171">
        <v>2</v>
      </c>
      <c r="P80" s="304">
        <f t="shared" si="20"/>
        <v>23</v>
      </c>
      <c r="Q80" s="192">
        <v>23</v>
      </c>
      <c r="R80" s="234">
        <f>$E$5</f>
        <v>9375</v>
      </c>
      <c r="S80" s="234">
        <f>$E$5</f>
        <v>9375</v>
      </c>
      <c r="T80" s="234">
        <f>$E$5</f>
        <v>9375</v>
      </c>
      <c r="U80" s="234">
        <f>$E$5</f>
        <v>9375</v>
      </c>
      <c r="V80" s="81">
        <f t="shared" si="21"/>
        <v>2924.0217391304345</v>
      </c>
      <c r="W80" s="78">
        <f t="shared" si="22"/>
        <v>282877.5</v>
      </c>
    </row>
    <row r="81" spans="1:23" s="395" customFormat="1" ht="14" customHeight="1" x14ac:dyDescent="0.35">
      <c r="A81" s="392">
        <v>42192</v>
      </c>
      <c r="B81" s="393" t="s">
        <v>353</v>
      </c>
      <c r="C81" s="393" t="s">
        <v>172</v>
      </c>
      <c r="D81" s="393" t="s">
        <v>385</v>
      </c>
      <c r="E81" s="394">
        <v>22357</v>
      </c>
      <c r="F81" s="393"/>
      <c r="G81" s="400">
        <f t="shared" si="23"/>
        <v>10833.065217391304</v>
      </c>
      <c r="H81" s="395">
        <v>5</v>
      </c>
      <c r="I81" s="400">
        <f t="shared" si="24"/>
        <v>10833.065217391304</v>
      </c>
      <c r="J81" s="395">
        <v>8</v>
      </c>
      <c r="K81" s="431">
        <f t="shared" si="25"/>
        <v>10833.065217391304</v>
      </c>
      <c r="L81" s="395">
        <v>8</v>
      </c>
      <c r="M81" s="400">
        <f t="shared" si="26"/>
        <v>10833.065217391304</v>
      </c>
      <c r="N81" s="395">
        <v>2</v>
      </c>
      <c r="P81" s="428">
        <f t="shared" si="20"/>
        <v>23</v>
      </c>
      <c r="Q81" s="395">
        <v>23</v>
      </c>
      <c r="R81" s="396">
        <f>$H$4</f>
        <v>9375</v>
      </c>
      <c r="S81" s="396">
        <f>$H$4</f>
        <v>9375</v>
      </c>
      <c r="T81" s="396">
        <f>$H$4</f>
        <v>9375</v>
      </c>
      <c r="U81" s="396">
        <f>$H$4</f>
        <v>9375</v>
      </c>
      <c r="V81" s="81">
        <f t="shared" si="21"/>
        <v>1458.0652173913043</v>
      </c>
      <c r="W81" s="78">
        <f t="shared" si="22"/>
        <v>249160.5</v>
      </c>
    </row>
    <row r="82" spans="1:23" s="395" customFormat="1" ht="14" customHeight="1" x14ac:dyDescent="0.35">
      <c r="A82" s="392">
        <v>42195</v>
      </c>
      <c r="B82" s="393" t="s">
        <v>191</v>
      </c>
      <c r="C82" s="393" t="s">
        <v>172</v>
      </c>
      <c r="D82" s="393" t="s">
        <v>385</v>
      </c>
      <c r="E82" s="394">
        <v>46720</v>
      </c>
      <c r="F82" s="393"/>
      <c r="G82" s="400">
        <f t="shared" si="23"/>
        <v>12421.95652173913</v>
      </c>
      <c r="H82" s="395">
        <v>5</v>
      </c>
      <c r="I82" s="400">
        <f t="shared" si="24"/>
        <v>12421.95652173913</v>
      </c>
      <c r="J82" s="395">
        <v>8</v>
      </c>
      <c r="K82" s="431">
        <f t="shared" si="25"/>
        <v>12421.95652173913</v>
      </c>
      <c r="L82" s="395">
        <v>8</v>
      </c>
      <c r="M82" s="400">
        <f t="shared" si="26"/>
        <v>12421.95652173913</v>
      </c>
      <c r="N82" s="395">
        <v>2</v>
      </c>
      <c r="P82" s="428">
        <f t="shared" si="20"/>
        <v>23</v>
      </c>
      <c r="Q82" s="395">
        <v>23</v>
      </c>
      <c r="R82" s="396">
        <f>$H$4</f>
        <v>9375</v>
      </c>
      <c r="S82" s="396">
        <f>$H$4</f>
        <v>9375</v>
      </c>
      <c r="T82" s="396">
        <f>$H$4</f>
        <v>9375</v>
      </c>
      <c r="U82" s="396">
        <f>$H$4</f>
        <v>9375</v>
      </c>
      <c r="V82" s="81">
        <f t="shared" si="21"/>
        <v>3046.9565217391305</v>
      </c>
      <c r="W82" s="78">
        <f t="shared" si="22"/>
        <v>285705</v>
      </c>
    </row>
    <row r="83" spans="1:23" s="395" customFormat="1" ht="14" customHeight="1" x14ac:dyDescent="0.35">
      <c r="A83" s="392">
        <v>42198</v>
      </c>
      <c r="B83" s="393" t="s">
        <v>354</v>
      </c>
      <c r="C83" s="393" t="s">
        <v>177</v>
      </c>
      <c r="D83" s="393" t="s">
        <v>385</v>
      </c>
      <c r="E83" s="394">
        <v>18467</v>
      </c>
      <c r="F83" s="393"/>
      <c r="G83" s="400">
        <f t="shared" si="23"/>
        <v>7767.369565217391</v>
      </c>
      <c r="H83" s="395">
        <v>5</v>
      </c>
      <c r="I83" s="400">
        <f t="shared" si="24"/>
        <v>7767.369565217391</v>
      </c>
      <c r="J83" s="395">
        <v>8</v>
      </c>
      <c r="K83" s="431">
        <f t="shared" si="25"/>
        <v>7767.369565217391</v>
      </c>
      <c r="L83" s="395">
        <v>8</v>
      </c>
      <c r="M83" s="400">
        <f t="shared" si="26"/>
        <v>7767.369565217391</v>
      </c>
      <c r="N83" s="395">
        <v>2</v>
      </c>
      <c r="P83" s="428">
        <f t="shared" si="20"/>
        <v>23</v>
      </c>
      <c r="Q83" s="395">
        <v>23</v>
      </c>
      <c r="R83" s="396">
        <f>$H$5</f>
        <v>6563</v>
      </c>
      <c r="S83" s="396">
        <f>$H$5</f>
        <v>6563</v>
      </c>
      <c r="T83" s="396">
        <f>$H$5</f>
        <v>6563</v>
      </c>
      <c r="U83" s="396">
        <f>$H$5</f>
        <v>6563</v>
      </c>
      <c r="V83" s="81">
        <f t="shared" si="21"/>
        <v>1204.3695652173913</v>
      </c>
      <c r="W83" s="78">
        <f t="shared" si="22"/>
        <v>178649.5</v>
      </c>
    </row>
    <row r="84" spans="1:23" s="395" customFormat="1" ht="14" customHeight="1" x14ac:dyDescent="0.35">
      <c r="A84" s="392">
        <v>42203</v>
      </c>
      <c r="B84" s="393" t="s">
        <v>363</v>
      </c>
      <c r="C84" s="393" t="s">
        <v>172</v>
      </c>
      <c r="D84" s="393" t="s">
        <v>338</v>
      </c>
      <c r="E84" s="394">
        <v>37994</v>
      </c>
      <c r="F84" s="393"/>
      <c r="G84" s="400">
        <f t="shared" si="23"/>
        <v>11852.869565217392</v>
      </c>
      <c r="H84" s="395">
        <v>5</v>
      </c>
      <c r="I84" s="400">
        <f t="shared" si="24"/>
        <v>11852.869565217392</v>
      </c>
      <c r="J84" s="395">
        <v>8</v>
      </c>
      <c r="K84" s="431">
        <f t="shared" si="25"/>
        <v>11852.869565217392</v>
      </c>
      <c r="L84" s="395">
        <v>8</v>
      </c>
      <c r="M84" s="400">
        <f t="shared" si="26"/>
        <v>11852.869565217392</v>
      </c>
      <c r="N84" s="395">
        <v>2</v>
      </c>
      <c r="P84" s="428">
        <f t="shared" si="20"/>
        <v>23</v>
      </c>
      <c r="Q84" s="395">
        <v>23</v>
      </c>
      <c r="R84" s="396">
        <f>$H$4</f>
        <v>9375</v>
      </c>
      <c r="S84" s="396">
        <f>$H$4</f>
        <v>9375</v>
      </c>
      <c r="T84" s="396">
        <f>$H$4</f>
        <v>9375</v>
      </c>
      <c r="U84" s="396">
        <f>$H$4</f>
        <v>9375</v>
      </c>
      <c r="V84" s="81">
        <f t="shared" si="21"/>
        <v>2477.869565217391</v>
      </c>
      <c r="W84" s="78">
        <f t="shared" si="22"/>
        <v>272616</v>
      </c>
    </row>
    <row r="85" spans="1:23" s="395" customFormat="1" ht="14" customHeight="1" x14ac:dyDescent="0.35">
      <c r="A85" s="392">
        <v>42207</v>
      </c>
      <c r="B85" s="393" t="s">
        <v>352</v>
      </c>
      <c r="C85" s="393" t="s">
        <v>181</v>
      </c>
      <c r="D85" s="393" t="s">
        <v>339</v>
      </c>
      <c r="E85" s="394">
        <v>70511</v>
      </c>
      <c r="F85" s="393"/>
      <c r="G85" s="400">
        <f t="shared" si="23"/>
        <v>9598.5434782608681</v>
      </c>
      <c r="H85" s="395">
        <v>5</v>
      </c>
      <c r="I85" s="400">
        <f t="shared" si="24"/>
        <v>9598.5434782608681</v>
      </c>
      <c r="J85" s="395">
        <v>8</v>
      </c>
      <c r="K85" s="431">
        <f t="shared" si="25"/>
        <v>9598.5434782608681</v>
      </c>
      <c r="L85" s="395">
        <v>8</v>
      </c>
      <c r="M85" s="400">
        <f t="shared" si="26"/>
        <v>9598.5434782608681</v>
      </c>
      <c r="N85" s="395">
        <v>2</v>
      </c>
      <c r="P85" s="428">
        <f t="shared" si="20"/>
        <v>23</v>
      </c>
      <c r="Q85" s="395">
        <v>23</v>
      </c>
      <c r="R85" s="396">
        <f>$H$6</f>
        <v>5000</v>
      </c>
      <c r="S85" s="396">
        <f>$H$6</f>
        <v>5000</v>
      </c>
      <c r="T85" s="396">
        <f>$H$6</f>
        <v>5000</v>
      </c>
      <c r="U85" s="396">
        <f>$H$6</f>
        <v>5000</v>
      </c>
      <c r="V85" s="81">
        <f t="shared" si="21"/>
        <v>4598.5434782608691</v>
      </c>
      <c r="W85" s="78">
        <f t="shared" si="22"/>
        <v>220766.49999999994</v>
      </c>
    </row>
    <row r="86" spans="1:23" s="395" customFormat="1" ht="14" customHeight="1" x14ac:dyDescent="0.35">
      <c r="A86" s="392">
        <v>42210</v>
      </c>
      <c r="B86" s="393" t="s">
        <v>354</v>
      </c>
      <c r="C86" s="393" t="s">
        <v>177</v>
      </c>
      <c r="D86" s="393" t="s">
        <v>340</v>
      </c>
      <c r="E86" s="394">
        <v>12598</v>
      </c>
      <c r="F86" s="393"/>
      <c r="G86" s="400">
        <f t="shared" si="23"/>
        <v>7384.608695652174</v>
      </c>
      <c r="H86" s="395">
        <v>5</v>
      </c>
      <c r="I86" s="400">
        <f t="shared" si="24"/>
        <v>7384.608695652174</v>
      </c>
      <c r="J86" s="395">
        <v>8</v>
      </c>
      <c r="K86" s="431">
        <f t="shared" si="25"/>
        <v>7384.608695652174</v>
      </c>
      <c r="L86" s="395">
        <v>8</v>
      </c>
      <c r="M86" s="400">
        <f t="shared" si="26"/>
        <v>7384.608695652174</v>
      </c>
      <c r="N86" s="395">
        <v>2</v>
      </c>
      <c r="P86" s="428">
        <f t="shared" si="20"/>
        <v>23</v>
      </c>
      <c r="Q86" s="395">
        <v>23</v>
      </c>
      <c r="R86" s="396">
        <f>$H$5</f>
        <v>6563</v>
      </c>
      <c r="S86" s="396">
        <f>$H$5</f>
        <v>6563</v>
      </c>
      <c r="T86" s="396">
        <f>$H$5</f>
        <v>6563</v>
      </c>
      <c r="U86" s="396">
        <f>$H$5</f>
        <v>6563</v>
      </c>
      <c r="V86" s="81">
        <f t="shared" si="21"/>
        <v>821.60869565217388</v>
      </c>
      <c r="W86" s="78">
        <f t="shared" si="22"/>
        <v>169846.00000000003</v>
      </c>
    </row>
    <row r="87" spans="1:23" s="395" customFormat="1" ht="14" customHeight="1" x14ac:dyDescent="0.35">
      <c r="A87" s="392"/>
      <c r="B87" s="418" t="s">
        <v>391</v>
      </c>
      <c r="C87" s="418"/>
      <c r="D87" s="418"/>
      <c r="E87" s="418"/>
      <c r="F87" s="418"/>
      <c r="G87" s="400">
        <f t="shared" si="23"/>
        <v>5000</v>
      </c>
      <c r="H87" s="395">
        <v>5</v>
      </c>
      <c r="I87" s="400">
        <f t="shared" si="24"/>
        <v>5000</v>
      </c>
      <c r="J87" s="395">
        <v>8</v>
      </c>
      <c r="K87" s="431">
        <f t="shared" si="25"/>
        <v>5000</v>
      </c>
      <c r="L87" s="395">
        <v>8</v>
      </c>
      <c r="M87" s="400">
        <f t="shared" si="26"/>
        <v>5000</v>
      </c>
      <c r="N87" s="395">
        <v>2</v>
      </c>
      <c r="P87" s="428">
        <f t="shared" si="20"/>
        <v>23</v>
      </c>
      <c r="Q87" s="395">
        <v>23</v>
      </c>
      <c r="R87" s="396">
        <f>$H$9</f>
        <v>5000</v>
      </c>
      <c r="S87" s="396">
        <f>$H$9</f>
        <v>5000</v>
      </c>
      <c r="T87" s="396">
        <f>$H$9</f>
        <v>5000</v>
      </c>
      <c r="U87" s="396">
        <f>$H$9</f>
        <v>5000</v>
      </c>
      <c r="V87" s="81">
        <f t="shared" si="21"/>
        <v>0</v>
      </c>
      <c r="W87" s="78">
        <f t="shared" si="22"/>
        <v>115000</v>
      </c>
    </row>
    <row r="88" spans="1:23" ht="14" customHeight="1" x14ac:dyDescent="0.35">
      <c r="A88" s="342">
        <v>42251</v>
      </c>
      <c r="B88" s="195" t="s">
        <v>365</v>
      </c>
      <c r="C88" s="195" t="s">
        <v>172</v>
      </c>
      <c r="D88" s="195" t="s">
        <v>334</v>
      </c>
      <c r="E88" s="344">
        <v>28896</v>
      </c>
      <c r="F88" s="343" t="s">
        <v>179</v>
      </c>
      <c r="G88" s="74">
        <f t="shared" si="23"/>
        <v>14908</v>
      </c>
      <c r="H88" s="192">
        <v>5</v>
      </c>
      <c r="I88" s="77">
        <f t="shared" si="24"/>
        <v>14908</v>
      </c>
      <c r="J88" s="192">
        <v>4</v>
      </c>
      <c r="K88" s="78">
        <f t="shared" si="25"/>
        <v>14908</v>
      </c>
      <c r="L88" s="192">
        <v>5</v>
      </c>
      <c r="M88" s="77">
        <f t="shared" si="26"/>
        <v>14908</v>
      </c>
      <c r="N88" s="192">
        <v>4</v>
      </c>
      <c r="P88" s="304">
        <f t="shared" si="20"/>
        <v>18</v>
      </c>
      <c r="Q88" s="192">
        <v>18</v>
      </c>
      <c r="R88" s="234">
        <f>$E$4</f>
        <v>12500</v>
      </c>
      <c r="S88" s="234">
        <f>$E$4</f>
        <v>12500</v>
      </c>
      <c r="T88" s="234">
        <f>$E$4</f>
        <v>12500</v>
      </c>
      <c r="U88" s="234">
        <f>$E$4</f>
        <v>12500</v>
      </c>
      <c r="V88" s="81">
        <f t="shared" si="21"/>
        <v>2408</v>
      </c>
      <c r="W88" s="78">
        <f t="shared" si="22"/>
        <v>268344</v>
      </c>
    </row>
    <row r="89" spans="1:23" ht="14" customHeight="1" x14ac:dyDescent="0.35">
      <c r="A89" s="342">
        <v>42255</v>
      </c>
      <c r="B89" s="195" t="s">
        <v>194</v>
      </c>
      <c r="C89" s="195" t="s">
        <v>181</v>
      </c>
      <c r="D89" s="195" t="s">
        <v>334</v>
      </c>
      <c r="E89" s="344">
        <v>29308</v>
      </c>
      <c r="F89" s="195" t="s">
        <v>174</v>
      </c>
      <c r="G89" s="74">
        <f t="shared" si="23"/>
        <v>7442.333333333333</v>
      </c>
      <c r="H89" s="192">
        <v>5</v>
      </c>
      <c r="I89" s="77">
        <f t="shared" si="24"/>
        <v>8692.3333333333321</v>
      </c>
      <c r="J89" s="192">
        <v>4</v>
      </c>
      <c r="K89" s="78">
        <f t="shared" si="25"/>
        <v>8692.3333333333321</v>
      </c>
      <c r="L89" s="192">
        <v>5</v>
      </c>
      <c r="M89" s="77">
        <f t="shared" si="26"/>
        <v>8692.3333333333321</v>
      </c>
      <c r="N89" s="192">
        <v>4</v>
      </c>
      <c r="P89" s="304">
        <f t="shared" si="20"/>
        <v>18</v>
      </c>
      <c r="Q89" s="192">
        <v>18</v>
      </c>
      <c r="R89" s="234">
        <f>$E$9</f>
        <v>5000</v>
      </c>
      <c r="S89" s="234">
        <f>$E$8</f>
        <v>6250</v>
      </c>
      <c r="T89" s="234">
        <f>$E$8</f>
        <v>6250</v>
      </c>
      <c r="U89" s="234">
        <f>$E$8</f>
        <v>6250</v>
      </c>
      <c r="V89" s="81">
        <f t="shared" si="21"/>
        <v>2442.333333333333</v>
      </c>
      <c r="W89" s="78">
        <f t="shared" si="22"/>
        <v>150212</v>
      </c>
    </row>
    <row r="90" spans="1:23" s="395" customFormat="1" ht="14" customHeight="1" x14ac:dyDescent="0.35">
      <c r="A90" s="392">
        <v>42287</v>
      </c>
      <c r="B90" s="393" t="s">
        <v>187</v>
      </c>
      <c r="C90" s="393" t="s">
        <v>177</v>
      </c>
      <c r="D90" s="393" t="s">
        <v>347</v>
      </c>
      <c r="E90" s="394">
        <v>93723</v>
      </c>
      <c r="F90" s="393" t="s">
        <v>174</v>
      </c>
      <c r="G90" s="400">
        <f t="shared" si="23"/>
        <v>6112.369565217391</v>
      </c>
      <c r="H90" s="395">
        <v>5</v>
      </c>
      <c r="I90" s="400">
        <f t="shared" si="24"/>
        <v>6112.369565217391</v>
      </c>
      <c r="J90" s="395">
        <v>9</v>
      </c>
      <c r="K90" s="431">
        <f t="shared" si="25"/>
        <v>6112.369565217391</v>
      </c>
      <c r="L90" s="395">
        <v>6</v>
      </c>
      <c r="M90" s="400">
        <f t="shared" si="26"/>
        <v>6112.369565217391</v>
      </c>
      <c r="N90" s="395">
        <v>3</v>
      </c>
      <c r="P90" s="428">
        <f t="shared" si="20"/>
        <v>23</v>
      </c>
      <c r="Q90" s="395">
        <v>23</v>
      </c>
      <c r="R90" s="396">
        <v>0</v>
      </c>
      <c r="S90" s="396">
        <v>0</v>
      </c>
      <c r="T90" s="396">
        <v>0</v>
      </c>
      <c r="U90" s="396">
        <v>0</v>
      </c>
      <c r="V90" s="81">
        <f t="shared" si="21"/>
        <v>6112.369565217391</v>
      </c>
      <c r="W90" s="78">
        <f t="shared" si="22"/>
        <v>140584.49999999997</v>
      </c>
    </row>
    <row r="91" spans="1:23" ht="14" customHeight="1" x14ac:dyDescent="0.35">
      <c r="A91" s="342">
        <v>42290</v>
      </c>
      <c r="B91" s="195" t="s">
        <v>192</v>
      </c>
      <c r="C91" s="195" t="s">
        <v>181</v>
      </c>
      <c r="D91" s="195" t="s">
        <v>334</v>
      </c>
      <c r="E91" s="344">
        <v>9214</v>
      </c>
      <c r="F91" s="195"/>
      <c r="G91" s="74">
        <f t="shared" si="23"/>
        <v>5767.833333333333</v>
      </c>
      <c r="H91" s="192">
        <v>5</v>
      </c>
      <c r="I91" s="77">
        <f t="shared" si="24"/>
        <v>7017.833333333333</v>
      </c>
      <c r="J91" s="192">
        <v>5</v>
      </c>
      <c r="K91" s="78">
        <f t="shared" si="25"/>
        <v>7017.833333333333</v>
      </c>
      <c r="L91" s="192">
        <v>5</v>
      </c>
      <c r="M91" s="77">
        <f t="shared" si="26"/>
        <v>7017.833333333333</v>
      </c>
      <c r="N91" s="192">
        <v>3</v>
      </c>
      <c r="P91" s="304">
        <f t="shared" si="20"/>
        <v>18</v>
      </c>
      <c r="Q91" s="192">
        <v>18</v>
      </c>
      <c r="R91" s="234">
        <f>$E$9</f>
        <v>5000</v>
      </c>
      <c r="S91" s="234">
        <f>$E$8</f>
        <v>6250</v>
      </c>
      <c r="T91" s="234">
        <f>$E$8</f>
        <v>6250</v>
      </c>
      <c r="U91" s="234">
        <f>$E$8</f>
        <v>6250</v>
      </c>
      <c r="V91" s="81">
        <f t="shared" si="21"/>
        <v>767.83333333333326</v>
      </c>
      <c r="W91" s="78">
        <f t="shared" si="22"/>
        <v>120071</v>
      </c>
    </row>
    <row r="92" spans="1:23" s="380" customFormat="1" ht="14" customHeight="1" x14ac:dyDescent="0.35">
      <c r="A92" s="389">
        <v>42321</v>
      </c>
      <c r="B92" s="390" t="s">
        <v>372</v>
      </c>
      <c r="C92" s="390" t="s">
        <v>172</v>
      </c>
      <c r="D92" s="390" t="s">
        <v>342</v>
      </c>
      <c r="E92" s="391">
        <v>43433</v>
      </c>
      <c r="F92" s="390"/>
      <c r="G92" s="379">
        <f t="shared" si="23"/>
        <v>18457.58695652174</v>
      </c>
      <c r="H92" s="380">
        <v>5</v>
      </c>
      <c r="I92" s="379">
        <f t="shared" si="24"/>
        <v>18457.58695652174</v>
      </c>
      <c r="J92" s="380">
        <v>9</v>
      </c>
      <c r="K92" s="388">
        <f t="shared" si="25"/>
        <v>18457.58695652174</v>
      </c>
      <c r="L92" s="380">
        <v>7</v>
      </c>
      <c r="M92" s="379">
        <f t="shared" si="26"/>
        <v>18457.58695652174</v>
      </c>
      <c r="N92" s="380">
        <v>2</v>
      </c>
      <c r="P92" s="427">
        <f t="shared" si="20"/>
        <v>23</v>
      </c>
      <c r="Q92" s="380">
        <v>23</v>
      </c>
      <c r="R92" s="382">
        <f>$M$3</f>
        <v>15625</v>
      </c>
      <c r="S92" s="382">
        <f>$M$3</f>
        <v>15625</v>
      </c>
      <c r="T92" s="382">
        <f>$M$3</f>
        <v>15625</v>
      </c>
      <c r="U92" s="382">
        <f>$M$3</f>
        <v>15625</v>
      </c>
      <c r="V92" s="81">
        <f t="shared" si="21"/>
        <v>2832.586956521739</v>
      </c>
      <c r="W92" s="78">
        <f t="shared" si="22"/>
        <v>424524.5</v>
      </c>
    </row>
    <row r="93" spans="1:23" s="380" customFormat="1" ht="14" customHeight="1" x14ac:dyDescent="0.35">
      <c r="A93" s="389">
        <v>42325</v>
      </c>
      <c r="B93" s="390" t="s">
        <v>373</v>
      </c>
      <c r="C93" s="390" t="s">
        <v>177</v>
      </c>
      <c r="D93" s="390" t="s">
        <v>341</v>
      </c>
      <c r="E93" s="390"/>
      <c r="F93" s="390"/>
      <c r="G93" s="379">
        <f t="shared" si="23"/>
        <v>7500</v>
      </c>
      <c r="H93" s="380">
        <v>5</v>
      </c>
      <c r="I93" s="379">
        <f t="shared" si="24"/>
        <v>7500</v>
      </c>
      <c r="J93" s="380">
        <v>9</v>
      </c>
      <c r="K93" s="388">
        <f t="shared" si="25"/>
        <v>7500</v>
      </c>
      <c r="L93" s="380">
        <v>7</v>
      </c>
      <c r="M93" s="379">
        <f t="shared" si="26"/>
        <v>7500</v>
      </c>
      <c r="N93" s="380">
        <v>2</v>
      </c>
      <c r="P93" s="427">
        <f t="shared" si="20"/>
        <v>23</v>
      </c>
      <c r="Q93" s="380">
        <v>23</v>
      </c>
      <c r="R93" s="382">
        <f>$M$4</f>
        <v>7500</v>
      </c>
      <c r="S93" s="382">
        <f>$M$4</f>
        <v>7500</v>
      </c>
      <c r="T93" s="382">
        <f>$M$4</f>
        <v>7500</v>
      </c>
      <c r="U93" s="382">
        <f>$M$4</f>
        <v>7500</v>
      </c>
      <c r="V93" s="81">
        <f t="shared" si="21"/>
        <v>0</v>
      </c>
      <c r="W93" s="78">
        <f t="shared" si="22"/>
        <v>172500</v>
      </c>
    </row>
    <row r="94" spans="1:23" s="411" customFormat="1" ht="14" customHeight="1" x14ac:dyDescent="0.35">
      <c r="A94" s="450"/>
      <c r="B94" s="451" t="s">
        <v>196</v>
      </c>
      <c r="C94" s="451"/>
      <c r="D94" s="451"/>
      <c r="E94" s="451"/>
      <c r="F94" s="451"/>
      <c r="G94" s="104">
        <f>$B$3</f>
        <v>0</v>
      </c>
      <c r="H94" s="107">
        <v>5</v>
      </c>
      <c r="I94" s="104">
        <f>$B$4</f>
        <v>0</v>
      </c>
      <c r="J94" s="411">
        <v>10</v>
      </c>
      <c r="K94" s="106"/>
      <c r="L94" s="107"/>
      <c r="M94" s="104"/>
      <c r="N94" s="107"/>
      <c r="O94" s="106">
        <f>$B$8</f>
        <v>1875</v>
      </c>
      <c r="P94" s="107"/>
      <c r="Q94" s="107">
        <v>6</v>
      </c>
      <c r="R94" s="104"/>
      <c r="S94" s="104"/>
      <c r="T94" s="104"/>
      <c r="U94" s="104"/>
      <c r="V94" s="104"/>
      <c r="W94" s="106">
        <f>(G94*H94)+(I94*J94)+(O94*Q94)</f>
        <v>11250</v>
      </c>
    </row>
    <row r="95" spans="1:23" s="411" customFormat="1" ht="14" customHeight="1" x14ac:dyDescent="0.35">
      <c r="A95" s="450"/>
      <c r="B95" s="451" t="s">
        <v>235</v>
      </c>
      <c r="C95" s="451"/>
      <c r="D95" s="451"/>
      <c r="E95" s="451"/>
      <c r="F95" s="451"/>
      <c r="G95" s="104">
        <f>$E$12/($H96+$J96+$L96)</f>
        <v>0</v>
      </c>
      <c r="H95" s="107">
        <v>5</v>
      </c>
      <c r="I95" s="104">
        <f>$E$12/($H96+$J96+$L96)</f>
        <v>0</v>
      </c>
      <c r="J95" s="411">
        <v>10</v>
      </c>
      <c r="K95" s="106">
        <f>$E$12/($H96+$J96+$L96)</f>
        <v>0</v>
      </c>
      <c r="L95" s="107">
        <v>6</v>
      </c>
      <c r="M95" s="104"/>
      <c r="N95" s="107"/>
      <c r="O95" s="106"/>
      <c r="P95" s="107"/>
      <c r="Q95" s="107"/>
      <c r="R95" s="104"/>
      <c r="S95" s="104"/>
      <c r="T95" s="104"/>
      <c r="U95" s="104"/>
      <c r="V95" s="104"/>
      <c r="W95" s="106">
        <f t="shared" ref="W95" si="27">(G95*H95)+(I95*J95)+(K95*L95)+(M95*N95)</f>
        <v>0</v>
      </c>
    </row>
    <row r="96" spans="1:23" s="176" customFormat="1" ht="14" customHeight="1" x14ac:dyDescent="0.4">
      <c r="A96" s="274" t="s">
        <v>214</v>
      </c>
      <c r="B96" s="275"/>
      <c r="C96" s="123"/>
      <c r="D96" s="200" t="s">
        <v>198</v>
      </c>
      <c r="E96" s="195"/>
      <c r="F96" s="195"/>
      <c r="G96" s="112">
        <f>SUMPRODUCT(G73:G95,H73:H95)</f>
        <v>1072619.4565217388</v>
      </c>
      <c r="H96" s="113">
        <v>5</v>
      </c>
      <c r="I96" s="112">
        <f>SUMPRODUCT(I73:I95,J73:J95)</f>
        <v>1526810.170289855</v>
      </c>
      <c r="J96" s="113">
        <v>10</v>
      </c>
      <c r="K96" s="112">
        <f>SUMPRODUCT(K73:K95,L73:L95)</f>
        <v>1387119.3043478262</v>
      </c>
      <c r="L96" s="113">
        <v>14</v>
      </c>
      <c r="M96" s="112">
        <f>SUMPRODUCT(M73:M95,N73:N95)</f>
        <v>564768.0688405796</v>
      </c>
      <c r="N96" s="113">
        <v>24</v>
      </c>
      <c r="O96" s="128">
        <f>O94*Q94</f>
        <v>11250</v>
      </c>
      <c r="P96" s="276" t="s">
        <v>199</v>
      </c>
      <c r="Q96" s="275"/>
      <c r="R96" s="129">
        <f>H96+J96+L96+N96</f>
        <v>53</v>
      </c>
      <c r="S96" s="130"/>
      <c r="T96" s="130"/>
      <c r="U96" s="130"/>
      <c r="V96" s="130"/>
      <c r="W96" s="130"/>
    </row>
    <row r="97" spans="1:23" s="176" customFormat="1" ht="14" customHeight="1" x14ac:dyDescent="0.4">
      <c r="A97" s="274" t="s">
        <v>215</v>
      </c>
      <c r="B97" s="275"/>
      <c r="C97" s="123"/>
      <c r="D97" s="443" t="s">
        <v>399</v>
      </c>
      <c r="E97" s="275"/>
      <c r="F97" s="275"/>
      <c r="G97" s="114">
        <f>G96/H96</f>
        <v>214523.89130434775</v>
      </c>
      <c r="H97" s="448">
        <f>(SUM(H73:H86)+SUM(H88:H93))/H96</f>
        <v>20</v>
      </c>
      <c r="I97" s="114">
        <f>I96/J96</f>
        <v>152681.01702898549</v>
      </c>
      <c r="J97" s="448">
        <f>(SUM(J73:J86)+SUM(J88:J93))/J96</f>
        <v>13.7</v>
      </c>
      <c r="K97" s="114">
        <f>K96/L96</f>
        <v>99079.950310559012</v>
      </c>
      <c r="L97" s="448">
        <f>(SUM(L73:L86)+SUM(L88:L93))/L96</f>
        <v>9</v>
      </c>
      <c r="M97" s="114">
        <f>M96/N96</f>
        <v>23532.002868357482</v>
      </c>
      <c r="N97" s="448">
        <f>(SUM(N73:N86)+SUM(N88:N93))/N96</f>
        <v>2.2916666666666665</v>
      </c>
      <c r="O97" s="131"/>
      <c r="P97" s="278" t="s">
        <v>201</v>
      </c>
      <c r="Q97" s="275"/>
      <c r="R97" s="181">
        <f>SUM(G96,I96,K96,M96,O96)</f>
        <v>4562567</v>
      </c>
      <c r="S97" s="130"/>
      <c r="T97" s="130"/>
      <c r="U97" s="130"/>
      <c r="V97" s="130"/>
      <c r="W97" s="132">
        <f>SUM(W73:W95)</f>
        <v>4562567</v>
      </c>
    </row>
    <row r="98" spans="1:23" ht="14" customHeight="1" x14ac:dyDescent="0.35">
      <c r="A98" s="345">
        <v>42400</v>
      </c>
      <c r="B98" s="346" t="s">
        <v>204</v>
      </c>
      <c r="C98" s="346" t="s">
        <v>172</v>
      </c>
      <c r="D98" s="346" t="s">
        <v>334</v>
      </c>
      <c r="E98" s="347">
        <v>8803</v>
      </c>
      <c r="F98" s="346"/>
      <c r="G98" s="74">
        <f t="shared" ref="G98:G99" si="28">R98+V98</f>
        <v>10035.225</v>
      </c>
      <c r="H98" s="192">
        <v>5</v>
      </c>
      <c r="I98" s="77">
        <f t="shared" ref="I98:I99" si="29">S98+V98</f>
        <v>10035.225</v>
      </c>
      <c r="J98" s="75">
        <v>3</v>
      </c>
      <c r="K98" s="78">
        <f t="shared" ref="K98:K99" si="30">T98+V98</f>
        <v>10035.225</v>
      </c>
      <c r="L98" s="192">
        <v>5</v>
      </c>
      <c r="M98" s="77">
        <f t="shared" ref="M98:M99" si="31">U98+V98</f>
        <v>10035.225</v>
      </c>
      <c r="N98" s="171">
        <v>7</v>
      </c>
      <c r="P98" s="304">
        <f t="shared" ref="P98:P118" si="32">H98+J98+L98+N98</f>
        <v>20</v>
      </c>
      <c r="Q98" s="171">
        <v>20</v>
      </c>
      <c r="R98" s="234">
        <f>$E$5</f>
        <v>9375</v>
      </c>
      <c r="S98" s="234">
        <f>$E$5</f>
        <v>9375</v>
      </c>
      <c r="T98" s="234">
        <f>$E$5</f>
        <v>9375</v>
      </c>
      <c r="U98" s="234">
        <f>$E$5</f>
        <v>9375</v>
      </c>
      <c r="V98" s="81">
        <f t="shared" ref="V98:V142" si="33">($E98*($E$13/$Q98))</f>
        <v>660.22500000000002</v>
      </c>
      <c r="W98" s="78">
        <f t="shared" ref="W98:W118" si="34">(G98*H98)+(I98*J98)+(K98*L98)+(M98*N98)</f>
        <v>200704.5</v>
      </c>
    </row>
    <row r="99" spans="1:23" ht="14" customHeight="1" x14ac:dyDescent="0.35">
      <c r="A99" s="345">
        <v>42405</v>
      </c>
      <c r="B99" s="346" t="s">
        <v>171</v>
      </c>
      <c r="C99" s="346" t="s">
        <v>172</v>
      </c>
      <c r="D99" s="346" t="s">
        <v>334</v>
      </c>
      <c r="E99" s="347">
        <v>9274</v>
      </c>
      <c r="F99" s="346"/>
      <c r="G99" s="74">
        <f t="shared" si="28"/>
        <v>10147.833333333334</v>
      </c>
      <c r="H99" s="192">
        <v>5</v>
      </c>
      <c r="I99" s="77">
        <f t="shared" si="29"/>
        <v>10147.833333333334</v>
      </c>
      <c r="J99" s="75">
        <v>3</v>
      </c>
      <c r="K99" s="78">
        <f t="shared" si="30"/>
        <v>10147.833333333334</v>
      </c>
      <c r="L99" s="192">
        <v>3</v>
      </c>
      <c r="M99" s="77">
        <f t="shared" si="31"/>
        <v>10147.833333333334</v>
      </c>
      <c r="N99" s="171">
        <v>7</v>
      </c>
      <c r="P99" s="304">
        <f t="shared" si="32"/>
        <v>18</v>
      </c>
      <c r="Q99" s="171">
        <v>18</v>
      </c>
      <c r="R99" s="234">
        <f>$E$5</f>
        <v>9375</v>
      </c>
      <c r="S99" s="234">
        <f>$E$5</f>
        <v>9375</v>
      </c>
      <c r="T99" s="234">
        <f>$E$5</f>
        <v>9375</v>
      </c>
      <c r="U99" s="234">
        <f>$E$5</f>
        <v>9375</v>
      </c>
      <c r="V99" s="81">
        <f t="shared" si="33"/>
        <v>772.83333333333326</v>
      </c>
      <c r="W99" s="78">
        <f t="shared" si="34"/>
        <v>182661</v>
      </c>
    </row>
    <row r="100" spans="1:23" s="380" customFormat="1" ht="14" customHeight="1" x14ac:dyDescent="0.35">
      <c r="A100" s="412">
        <v>42454</v>
      </c>
      <c r="B100" s="413" t="s">
        <v>190</v>
      </c>
      <c r="C100" s="413" t="s">
        <v>181</v>
      </c>
      <c r="D100" s="413" t="s">
        <v>341</v>
      </c>
      <c r="E100" s="413"/>
      <c r="F100" s="413"/>
      <c r="G100" s="379">
        <f t="shared" ref="G100:G118" si="35">R100+V100</f>
        <v>5000</v>
      </c>
      <c r="H100" s="380">
        <v>5</v>
      </c>
      <c r="I100" s="379">
        <f t="shared" ref="I100:I118" si="36">S100+V100</f>
        <v>5000</v>
      </c>
      <c r="J100" s="380">
        <v>7</v>
      </c>
      <c r="K100" s="388">
        <f t="shared" ref="K100:K118" si="37">T100+V100</f>
        <v>5000</v>
      </c>
      <c r="L100" s="380">
        <v>7</v>
      </c>
      <c r="M100" s="379">
        <f t="shared" ref="M100:M118" si="38">U100+V100</f>
        <v>5000</v>
      </c>
      <c r="N100" s="380">
        <v>4</v>
      </c>
      <c r="P100" s="427">
        <f t="shared" si="32"/>
        <v>23</v>
      </c>
      <c r="Q100" s="380">
        <v>23</v>
      </c>
      <c r="R100" s="382">
        <f>$M$5</f>
        <v>5000</v>
      </c>
      <c r="S100" s="382">
        <f>$M$5</f>
        <v>5000</v>
      </c>
      <c r="T100" s="382">
        <f>$M$5</f>
        <v>5000</v>
      </c>
      <c r="U100" s="382">
        <f>$M$5</f>
        <v>5000</v>
      </c>
      <c r="V100" s="81">
        <f t="shared" si="33"/>
        <v>0</v>
      </c>
      <c r="W100" s="78">
        <f t="shared" si="34"/>
        <v>115000</v>
      </c>
    </row>
    <row r="101" spans="1:23" s="380" customFormat="1" ht="14" customHeight="1" x14ac:dyDescent="0.35">
      <c r="A101" s="412">
        <v>42458</v>
      </c>
      <c r="B101" s="413" t="s">
        <v>190</v>
      </c>
      <c r="C101" s="413" t="s">
        <v>172</v>
      </c>
      <c r="D101" s="413" t="s">
        <v>342</v>
      </c>
      <c r="E101" s="414">
        <v>20624</v>
      </c>
      <c r="F101" s="413"/>
      <c r="G101" s="379">
        <f t="shared" si="35"/>
        <v>16970.043478260868</v>
      </c>
      <c r="H101" s="380">
        <v>5</v>
      </c>
      <c r="I101" s="379">
        <f t="shared" si="36"/>
        <v>16970.043478260868</v>
      </c>
      <c r="J101" s="380">
        <v>7</v>
      </c>
      <c r="K101" s="388">
        <f t="shared" si="37"/>
        <v>16970.043478260868</v>
      </c>
      <c r="L101" s="380">
        <v>7</v>
      </c>
      <c r="M101" s="379">
        <f t="shared" si="38"/>
        <v>16970.043478260868</v>
      </c>
      <c r="N101" s="380">
        <v>4</v>
      </c>
      <c r="P101" s="427">
        <f t="shared" si="32"/>
        <v>23</v>
      </c>
      <c r="Q101" s="380">
        <v>23</v>
      </c>
      <c r="R101" s="382">
        <f>$M$3</f>
        <v>15625</v>
      </c>
      <c r="S101" s="382">
        <f>$M$3</f>
        <v>15625</v>
      </c>
      <c r="T101" s="382">
        <f>$M$3</f>
        <v>15625</v>
      </c>
      <c r="U101" s="382">
        <f>$M$3</f>
        <v>15625</v>
      </c>
      <c r="V101" s="81">
        <f t="shared" si="33"/>
        <v>1345.0434782608695</v>
      </c>
      <c r="W101" s="78">
        <f t="shared" si="34"/>
        <v>390311</v>
      </c>
    </row>
    <row r="102" spans="1:23" ht="14" customHeight="1" x14ac:dyDescent="0.35">
      <c r="A102" s="345">
        <v>42512</v>
      </c>
      <c r="B102" s="346" t="s">
        <v>217</v>
      </c>
      <c r="C102" s="346" t="s">
        <v>172</v>
      </c>
      <c r="D102" s="346" t="s">
        <v>350</v>
      </c>
      <c r="E102" s="346"/>
      <c r="F102" s="346"/>
      <c r="G102" s="74">
        <f t="shared" si="35"/>
        <v>9375</v>
      </c>
      <c r="H102" s="192">
        <v>5</v>
      </c>
      <c r="I102" s="77">
        <f t="shared" si="36"/>
        <v>9375</v>
      </c>
      <c r="J102" s="192">
        <v>8</v>
      </c>
      <c r="K102" s="78">
        <f t="shared" si="37"/>
        <v>9375</v>
      </c>
      <c r="L102" s="192">
        <v>7</v>
      </c>
      <c r="M102" s="77">
        <f t="shared" si="38"/>
        <v>9375</v>
      </c>
      <c r="N102" s="171">
        <v>3</v>
      </c>
      <c r="P102" s="304">
        <f t="shared" si="32"/>
        <v>23</v>
      </c>
      <c r="Q102" s="171">
        <v>23</v>
      </c>
      <c r="R102" s="234">
        <f>$E$5</f>
        <v>9375</v>
      </c>
      <c r="S102" s="234">
        <f>$E$5</f>
        <v>9375</v>
      </c>
      <c r="T102" s="234">
        <f>$E$5</f>
        <v>9375</v>
      </c>
      <c r="U102" s="234">
        <f>$E$5</f>
        <v>9375</v>
      </c>
      <c r="V102" s="81">
        <f t="shared" si="33"/>
        <v>0</v>
      </c>
      <c r="W102" s="78">
        <f t="shared" si="34"/>
        <v>215625</v>
      </c>
    </row>
    <row r="103" spans="1:23" ht="14" customHeight="1" x14ac:dyDescent="0.35">
      <c r="A103" s="345">
        <v>42515</v>
      </c>
      <c r="B103" s="346" t="s">
        <v>360</v>
      </c>
      <c r="C103" s="346" t="s">
        <v>172</v>
      </c>
      <c r="D103" s="346" t="s">
        <v>334</v>
      </c>
      <c r="E103" s="347">
        <v>9893</v>
      </c>
      <c r="F103" s="346"/>
      <c r="G103" s="74">
        <f t="shared" si="35"/>
        <v>10020.195652173912</v>
      </c>
      <c r="H103" s="192">
        <v>5</v>
      </c>
      <c r="I103" s="77">
        <f t="shared" si="36"/>
        <v>10020.195652173912</v>
      </c>
      <c r="J103" s="192">
        <v>8</v>
      </c>
      <c r="K103" s="78">
        <f t="shared" si="37"/>
        <v>10020.195652173912</v>
      </c>
      <c r="L103" s="192">
        <v>7</v>
      </c>
      <c r="M103" s="77">
        <f t="shared" si="38"/>
        <v>10020.195652173912</v>
      </c>
      <c r="N103" s="192">
        <v>3</v>
      </c>
      <c r="P103" s="304">
        <f t="shared" si="32"/>
        <v>23</v>
      </c>
      <c r="Q103" s="171">
        <v>23</v>
      </c>
      <c r="R103" s="234">
        <f>$E$5</f>
        <v>9375</v>
      </c>
      <c r="S103" s="234">
        <f>$E$5</f>
        <v>9375</v>
      </c>
      <c r="T103" s="234">
        <f>$E$5</f>
        <v>9375</v>
      </c>
      <c r="U103" s="234">
        <f>$E$5</f>
        <v>9375</v>
      </c>
      <c r="V103" s="81">
        <f t="shared" si="33"/>
        <v>645.195652173913</v>
      </c>
      <c r="W103" s="78">
        <f t="shared" si="34"/>
        <v>230464.49999999997</v>
      </c>
    </row>
    <row r="104" spans="1:23" ht="14" customHeight="1" x14ac:dyDescent="0.35">
      <c r="A104" s="345">
        <v>42518</v>
      </c>
      <c r="B104" s="346" t="s">
        <v>361</v>
      </c>
      <c r="C104" s="346" t="s">
        <v>172</v>
      </c>
      <c r="D104" s="346" t="s">
        <v>334</v>
      </c>
      <c r="E104" s="347">
        <v>8894</v>
      </c>
      <c r="F104" s="346"/>
      <c r="G104" s="74">
        <f t="shared" si="35"/>
        <v>9955.04347826087</v>
      </c>
      <c r="H104" s="192">
        <v>5</v>
      </c>
      <c r="I104" s="77">
        <f t="shared" si="36"/>
        <v>9955.04347826087</v>
      </c>
      <c r="J104" s="192">
        <v>8</v>
      </c>
      <c r="K104" s="78">
        <f t="shared" si="37"/>
        <v>9955.04347826087</v>
      </c>
      <c r="L104" s="192">
        <v>7</v>
      </c>
      <c r="M104" s="77">
        <f t="shared" si="38"/>
        <v>9955.04347826087</v>
      </c>
      <c r="N104" s="192">
        <v>3</v>
      </c>
      <c r="P104" s="304">
        <f t="shared" si="32"/>
        <v>23</v>
      </c>
      <c r="Q104" s="192">
        <v>23</v>
      </c>
      <c r="R104" s="234">
        <f>$E$5</f>
        <v>9375</v>
      </c>
      <c r="S104" s="234">
        <f>$E$5</f>
        <v>9375</v>
      </c>
      <c r="T104" s="234">
        <f>$E$5</f>
        <v>9375</v>
      </c>
      <c r="U104" s="234">
        <f>$E$5</f>
        <v>9375</v>
      </c>
      <c r="V104" s="81">
        <f t="shared" si="33"/>
        <v>580.04347826086951</v>
      </c>
      <c r="W104" s="78">
        <f t="shared" si="34"/>
        <v>228966</v>
      </c>
    </row>
    <row r="105" spans="1:23" s="395" customFormat="1" ht="14" customHeight="1" x14ac:dyDescent="0.35">
      <c r="A105" s="415">
        <v>42524</v>
      </c>
      <c r="B105" s="416" t="s">
        <v>210</v>
      </c>
      <c r="C105" s="416" t="s">
        <v>181</v>
      </c>
      <c r="D105" s="416" t="s">
        <v>343</v>
      </c>
      <c r="E105" s="417">
        <v>67439</v>
      </c>
      <c r="F105" s="416" t="s">
        <v>179</v>
      </c>
      <c r="G105" s="400">
        <f t="shared" si="35"/>
        <v>10961.195652173912</v>
      </c>
      <c r="H105" s="395">
        <v>5</v>
      </c>
      <c r="I105" s="400">
        <f t="shared" si="36"/>
        <v>10961.195652173912</v>
      </c>
      <c r="J105" s="395">
        <v>8</v>
      </c>
      <c r="K105" s="431">
        <f t="shared" si="37"/>
        <v>10961.195652173912</v>
      </c>
      <c r="L105" s="395">
        <v>7</v>
      </c>
      <c r="M105" s="400">
        <f t="shared" si="38"/>
        <v>10961.195652173912</v>
      </c>
      <c r="N105" s="395">
        <v>3</v>
      </c>
      <c r="P105" s="428">
        <f t="shared" si="32"/>
        <v>23</v>
      </c>
      <c r="Q105" s="395">
        <v>23</v>
      </c>
      <c r="R105" s="396">
        <f>$J$6</f>
        <v>6563</v>
      </c>
      <c r="S105" s="396">
        <f>$J$6</f>
        <v>6563</v>
      </c>
      <c r="T105" s="396">
        <f>$J$6</f>
        <v>6563</v>
      </c>
      <c r="U105" s="396">
        <f>$J$6</f>
        <v>6563</v>
      </c>
      <c r="V105" s="81">
        <f t="shared" si="33"/>
        <v>4398.195652173913</v>
      </c>
      <c r="W105" s="78">
        <f t="shared" si="34"/>
        <v>252107.49999999997</v>
      </c>
    </row>
    <row r="106" spans="1:23" s="395" customFormat="1" ht="14" customHeight="1" x14ac:dyDescent="0.35">
      <c r="A106" s="415">
        <v>42528</v>
      </c>
      <c r="B106" s="416" t="s">
        <v>192</v>
      </c>
      <c r="C106" s="416" t="s">
        <v>172</v>
      </c>
      <c r="D106" s="416" t="s">
        <v>343</v>
      </c>
      <c r="E106" s="417">
        <v>39642</v>
      </c>
      <c r="F106" s="416"/>
      <c r="G106" s="400">
        <f t="shared" si="35"/>
        <v>16710.347826086956</v>
      </c>
      <c r="H106" s="395">
        <v>5</v>
      </c>
      <c r="I106" s="400">
        <f t="shared" si="36"/>
        <v>16710.347826086956</v>
      </c>
      <c r="J106" s="395">
        <v>8</v>
      </c>
      <c r="K106" s="431">
        <f t="shared" si="37"/>
        <v>16710.347826086956</v>
      </c>
      <c r="L106" s="395">
        <v>7</v>
      </c>
      <c r="M106" s="400">
        <f t="shared" si="38"/>
        <v>16710.347826086956</v>
      </c>
      <c r="N106" s="395">
        <v>3</v>
      </c>
      <c r="P106" s="428">
        <f t="shared" si="32"/>
        <v>23</v>
      </c>
      <c r="Q106" s="395">
        <v>23</v>
      </c>
      <c r="R106" s="396">
        <f>$J$4</f>
        <v>14125</v>
      </c>
      <c r="S106" s="396">
        <f>$J$4</f>
        <v>14125</v>
      </c>
      <c r="T106" s="396">
        <f>$J$4</f>
        <v>14125</v>
      </c>
      <c r="U106" s="396">
        <f>$J$4</f>
        <v>14125</v>
      </c>
      <c r="V106" s="81">
        <f t="shared" si="33"/>
        <v>2585.3478260869565</v>
      </c>
      <c r="W106" s="78">
        <f t="shared" si="34"/>
        <v>384338</v>
      </c>
    </row>
    <row r="107" spans="1:23" s="395" customFormat="1" ht="14" customHeight="1" x14ac:dyDescent="0.35">
      <c r="A107" s="415">
        <v>42532</v>
      </c>
      <c r="B107" s="416" t="s">
        <v>362</v>
      </c>
      <c r="C107" s="416" t="s">
        <v>172</v>
      </c>
      <c r="D107" s="416" t="s">
        <v>343</v>
      </c>
      <c r="E107" s="417">
        <v>51041</v>
      </c>
      <c r="F107" s="416"/>
      <c r="G107" s="400">
        <f t="shared" si="35"/>
        <v>17453.760869565216</v>
      </c>
      <c r="H107" s="395">
        <v>5</v>
      </c>
      <c r="I107" s="400">
        <f t="shared" si="36"/>
        <v>17453.760869565216</v>
      </c>
      <c r="J107" s="395">
        <v>8</v>
      </c>
      <c r="K107" s="431">
        <f t="shared" si="37"/>
        <v>17453.760869565216</v>
      </c>
      <c r="L107" s="395">
        <v>7</v>
      </c>
      <c r="M107" s="400">
        <f t="shared" si="38"/>
        <v>17453.760869565216</v>
      </c>
      <c r="N107" s="395">
        <v>3</v>
      </c>
      <c r="P107" s="428">
        <f t="shared" si="32"/>
        <v>23</v>
      </c>
      <c r="Q107" s="395">
        <v>23</v>
      </c>
      <c r="R107" s="396">
        <f>$J$4</f>
        <v>14125</v>
      </c>
      <c r="S107" s="396">
        <f>$J$4</f>
        <v>14125</v>
      </c>
      <c r="T107" s="396">
        <f>$J$4</f>
        <v>14125</v>
      </c>
      <c r="U107" s="396">
        <f>$J$4</f>
        <v>14125</v>
      </c>
      <c r="V107" s="81">
        <f t="shared" si="33"/>
        <v>3328.7608695652175</v>
      </c>
      <c r="W107" s="78">
        <f t="shared" si="34"/>
        <v>401436.5</v>
      </c>
    </row>
    <row r="108" spans="1:23" s="395" customFormat="1" ht="14" customHeight="1" x14ac:dyDescent="0.35">
      <c r="A108" s="415"/>
      <c r="B108" s="420" t="s">
        <v>376</v>
      </c>
      <c r="C108" s="420"/>
      <c r="D108" s="420"/>
      <c r="E108" s="420"/>
      <c r="F108" s="420"/>
      <c r="G108" s="400">
        <f t="shared" si="35"/>
        <v>12500</v>
      </c>
      <c r="H108" s="395">
        <v>5</v>
      </c>
      <c r="I108" s="400">
        <f t="shared" si="36"/>
        <v>12500</v>
      </c>
      <c r="J108" s="395">
        <v>8</v>
      </c>
      <c r="K108" s="431">
        <f t="shared" si="37"/>
        <v>12500</v>
      </c>
      <c r="L108" s="395">
        <v>7</v>
      </c>
      <c r="M108" s="400">
        <f t="shared" si="38"/>
        <v>12500</v>
      </c>
      <c r="N108" s="395">
        <v>3</v>
      </c>
      <c r="P108" s="428">
        <f t="shared" si="32"/>
        <v>23</v>
      </c>
      <c r="Q108" s="395">
        <v>23</v>
      </c>
      <c r="R108" s="396">
        <f>$J$7</f>
        <v>12500</v>
      </c>
      <c r="S108" s="396">
        <f>$J$7</f>
        <v>12500</v>
      </c>
      <c r="T108" s="396">
        <f>$J$7</f>
        <v>12500</v>
      </c>
      <c r="U108" s="396">
        <f>$J$7</f>
        <v>12500</v>
      </c>
      <c r="V108" s="81">
        <f t="shared" si="33"/>
        <v>0</v>
      </c>
      <c r="W108" s="78">
        <f t="shared" si="34"/>
        <v>287500</v>
      </c>
    </row>
    <row r="109" spans="1:23" s="395" customFormat="1" ht="14" customHeight="1" x14ac:dyDescent="0.35">
      <c r="A109" s="415">
        <v>42537</v>
      </c>
      <c r="B109" s="416" t="s">
        <v>360</v>
      </c>
      <c r="C109" s="416" t="s">
        <v>172</v>
      </c>
      <c r="D109" s="416" t="s">
        <v>344</v>
      </c>
      <c r="E109" s="417">
        <v>47322</v>
      </c>
      <c r="F109" s="416"/>
      <c r="G109" s="400">
        <f t="shared" si="35"/>
        <v>17211.217391304348</v>
      </c>
      <c r="H109" s="395">
        <v>5</v>
      </c>
      <c r="I109" s="400">
        <f t="shared" si="36"/>
        <v>17211.217391304348</v>
      </c>
      <c r="J109" s="395">
        <v>8</v>
      </c>
      <c r="K109" s="431">
        <f t="shared" si="37"/>
        <v>17211.217391304348</v>
      </c>
      <c r="L109" s="395">
        <v>7</v>
      </c>
      <c r="M109" s="400">
        <f t="shared" si="38"/>
        <v>17211.217391304348</v>
      </c>
      <c r="N109" s="395">
        <v>3</v>
      </c>
      <c r="P109" s="428">
        <f t="shared" si="32"/>
        <v>23</v>
      </c>
      <c r="Q109" s="395">
        <v>23</v>
      </c>
      <c r="R109" s="396">
        <f>$J$4</f>
        <v>14125</v>
      </c>
      <c r="S109" s="396">
        <f>$J$4</f>
        <v>14125</v>
      </c>
      <c r="T109" s="396">
        <f>$J$4</f>
        <v>14125</v>
      </c>
      <c r="U109" s="396">
        <f>$J$4</f>
        <v>14125</v>
      </c>
      <c r="V109" s="81">
        <f t="shared" si="33"/>
        <v>3086.2173913043475</v>
      </c>
      <c r="W109" s="78">
        <f t="shared" si="34"/>
        <v>395858</v>
      </c>
    </row>
    <row r="110" spans="1:23" s="395" customFormat="1" ht="14" customHeight="1" x14ac:dyDescent="0.35">
      <c r="A110" s="415">
        <v>42542</v>
      </c>
      <c r="B110" s="416" t="s">
        <v>195</v>
      </c>
      <c r="C110" s="416" t="s">
        <v>181</v>
      </c>
      <c r="D110" s="416" t="s">
        <v>345</v>
      </c>
      <c r="E110" s="417">
        <v>70858</v>
      </c>
      <c r="F110" s="416" t="s">
        <v>179</v>
      </c>
      <c r="G110" s="400">
        <f t="shared" si="35"/>
        <v>11184.173913043478</v>
      </c>
      <c r="H110" s="395">
        <v>5</v>
      </c>
      <c r="I110" s="400">
        <f t="shared" si="36"/>
        <v>11184.173913043478</v>
      </c>
      <c r="J110" s="395">
        <v>8</v>
      </c>
      <c r="K110" s="431">
        <f t="shared" si="37"/>
        <v>11184.173913043478</v>
      </c>
      <c r="L110" s="395">
        <v>7</v>
      </c>
      <c r="M110" s="400">
        <f t="shared" si="38"/>
        <v>11184.173913043478</v>
      </c>
      <c r="N110" s="395">
        <v>3</v>
      </c>
      <c r="P110" s="428">
        <f t="shared" si="32"/>
        <v>23</v>
      </c>
      <c r="Q110" s="395">
        <v>23</v>
      </c>
      <c r="R110" s="396">
        <f>$J$6</f>
        <v>6563</v>
      </c>
      <c r="S110" s="396">
        <f>$J$6</f>
        <v>6563</v>
      </c>
      <c r="T110" s="396">
        <f>$J$6</f>
        <v>6563</v>
      </c>
      <c r="U110" s="396">
        <f>$J$6</f>
        <v>6563</v>
      </c>
      <c r="V110" s="81">
        <f t="shared" si="33"/>
        <v>4621.173913043478</v>
      </c>
      <c r="W110" s="78">
        <f t="shared" si="34"/>
        <v>257236</v>
      </c>
    </row>
    <row r="111" spans="1:23" s="395" customFormat="1" ht="14" customHeight="1" x14ac:dyDescent="0.35">
      <c r="A111" s="415">
        <v>42546</v>
      </c>
      <c r="B111" s="416" t="s">
        <v>210</v>
      </c>
      <c r="C111" s="416" t="s">
        <v>181</v>
      </c>
      <c r="D111" s="416" t="s">
        <v>346</v>
      </c>
      <c r="E111" s="417">
        <v>29041</v>
      </c>
      <c r="F111" s="416" t="s">
        <v>179</v>
      </c>
      <c r="G111" s="400">
        <f t="shared" si="35"/>
        <v>8456.9782608695659</v>
      </c>
      <c r="H111" s="395">
        <v>5</v>
      </c>
      <c r="I111" s="400">
        <f t="shared" si="36"/>
        <v>8456.9782608695659</v>
      </c>
      <c r="J111" s="395">
        <v>8</v>
      </c>
      <c r="K111" s="431">
        <f t="shared" si="37"/>
        <v>8456.9782608695659</v>
      </c>
      <c r="L111" s="395">
        <v>7</v>
      </c>
      <c r="M111" s="400">
        <f t="shared" si="38"/>
        <v>8456.9782608695659</v>
      </c>
      <c r="N111" s="395">
        <v>3</v>
      </c>
      <c r="P111" s="428">
        <f t="shared" si="32"/>
        <v>23</v>
      </c>
      <c r="Q111" s="395">
        <v>23</v>
      </c>
      <c r="R111" s="396">
        <f>$J$6</f>
        <v>6563</v>
      </c>
      <c r="S111" s="396">
        <f>$J$6</f>
        <v>6563</v>
      </c>
      <c r="T111" s="396">
        <f>$J$6</f>
        <v>6563</v>
      </c>
      <c r="U111" s="396">
        <f>$J$6</f>
        <v>6563</v>
      </c>
      <c r="V111" s="81">
        <f t="shared" si="33"/>
        <v>1893.9782608695652</v>
      </c>
      <c r="W111" s="78">
        <f t="shared" si="34"/>
        <v>194510.5</v>
      </c>
    </row>
    <row r="112" spans="1:23" s="395" customFormat="1" ht="14" customHeight="1" x14ac:dyDescent="0.35">
      <c r="A112" s="415"/>
      <c r="B112" s="420" t="s">
        <v>380</v>
      </c>
      <c r="C112" s="420"/>
      <c r="D112" s="420"/>
      <c r="E112" s="420"/>
      <c r="F112" s="420"/>
      <c r="G112" s="400">
        <f t="shared" si="35"/>
        <v>6875</v>
      </c>
      <c r="H112" s="395">
        <v>5</v>
      </c>
      <c r="I112" s="400">
        <f t="shared" si="36"/>
        <v>6875</v>
      </c>
      <c r="J112" s="395">
        <v>8</v>
      </c>
      <c r="K112" s="431">
        <f t="shared" si="37"/>
        <v>6875</v>
      </c>
      <c r="L112" s="395">
        <v>7</v>
      </c>
      <c r="M112" s="400">
        <f t="shared" si="38"/>
        <v>6875</v>
      </c>
      <c r="N112" s="395">
        <v>3</v>
      </c>
      <c r="P112" s="428">
        <f t="shared" si="32"/>
        <v>23</v>
      </c>
      <c r="Q112" s="395">
        <v>23</v>
      </c>
      <c r="R112" s="396">
        <f>$J$11</f>
        <v>6875</v>
      </c>
      <c r="S112" s="396">
        <f>$J$11</f>
        <v>6875</v>
      </c>
      <c r="T112" s="396">
        <f>$J$11</f>
        <v>6875</v>
      </c>
      <c r="U112" s="396">
        <f>$J$11</f>
        <v>6875</v>
      </c>
      <c r="V112" s="81">
        <f t="shared" si="33"/>
        <v>0</v>
      </c>
      <c r="W112" s="78">
        <f t="shared" si="34"/>
        <v>158125</v>
      </c>
    </row>
    <row r="113" spans="1:23" s="380" customFormat="1" ht="14" customHeight="1" x14ac:dyDescent="0.35">
      <c r="A113" s="412">
        <v>42615</v>
      </c>
      <c r="B113" s="413" t="s">
        <v>372</v>
      </c>
      <c r="C113" s="413" t="s">
        <v>172</v>
      </c>
      <c r="D113" s="413" t="s">
        <v>341</v>
      </c>
      <c r="E113" s="413"/>
      <c r="F113" s="413"/>
      <c r="G113" s="379">
        <f t="shared" si="35"/>
        <v>15625</v>
      </c>
      <c r="H113" s="380">
        <v>5</v>
      </c>
      <c r="I113" s="379">
        <f t="shared" si="36"/>
        <v>15625</v>
      </c>
      <c r="J113" s="380">
        <v>7</v>
      </c>
      <c r="K113" s="388">
        <f t="shared" si="37"/>
        <v>15625</v>
      </c>
      <c r="L113" s="380">
        <v>7</v>
      </c>
      <c r="M113" s="379">
        <f t="shared" si="38"/>
        <v>15625</v>
      </c>
      <c r="N113" s="380">
        <v>4</v>
      </c>
      <c r="P113" s="427">
        <f t="shared" si="32"/>
        <v>23</v>
      </c>
      <c r="Q113" s="380">
        <v>23</v>
      </c>
      <c r="R113" s="382">
        <f>$M$3</f>
        <v>15625</v>
      </c>
      <c r="S113" s="382">
        <f>$M$3</f>
        <v>15625</v>
      </c>
      <c r="T113" s="382">
        <f>$M$3</f>
        <v>15625</v>
      </c>
      <c r="U113" s="382">
        <f>$M$3</f>
        <v>15625</v>
      </c>
      <c r="V113" s="81">
        <f t="shared" si="33"/>
        <v>0</v>
      </c>
      <c r="W113" s="78">
        <f t="shared" si="34"/>
        <v>359375</v>
      </c>
    </row>
    <row r="114" spans="1:23" s="380" customFormat="1" ht="14" customHeight="1" x14ac:dyDescent="0.35">
      <c r="A114" s="412">
        <v>42619</v>
      </c>
      <c r="B114" s="413" t="s">
        <v>373</v>
      </c>
      <c r="C114" s="413" t="s">
        <v>172</v>
      </c>
      <c r="D114" s="413" t="s">
        <v>342</v>
      </c>
      <c r="E114" s="414">
        <v>19410</v>
      </c>
      <c r="F114" s="413"/>
      <c r="G114" s="379">
        <f t="shared" si="35"/>
        <v>16890.869565217392</v>
      </c>
      <c r="H114" s="380">
        <v>5</v>
      </c>
      <c r="I114" s="379">
        <f t="shared" si="36"/>
        <v>16890.869565217392</v>
      </c>
      <c r="J114" s="380">
        <v>7</v>
      </c>
      <c r="K114" s="388">
        <f t="shared" si="37"/>
        <v>16890.869565217392</v>
      </c>
      <c r="L114" s="380">
        <v>7</v>
      </c>
      <c r="M114" s="379">
        <f t="shared" si="38"/>
        <v>16890.869565217392</v>
      </c>
      <c r="N114" s="380">
        <v>4</v>
      </c>
      <c r="P114" s="427">
        <f t="shared" si="32"/>
        <v>23</v>
      </c>
      <c r="Q114" s="380">
        <v>23</v>
      </c>
      <c r="R114" s="382">
        <f>$M$3</f>
        <v>15625</v>
      </c>
      <c r="S114" s="382">
        <f>$M$3</f>
        <v>15625</v>
      </c>
      <c r="T114" s="382">
        <f>$M$3</f>
        <v>15625</v>
      </c>
      <c r="U114" s="382">
        <f>$M$3</f>
        <v>15625</v>
      </c>
      <c r="V114" s="81">
        <f t="shared" si="33"/>
        <v>1265.8695652173913</v>
      </c>
      <c r="W114" s="78">
        <f t="shared" si="34"/>
        <v>388490</v>
      </c>
    </row>
    <row r="115" spans="1:23" ht="14" customHeight="1" x14ac:dyDescent="0.35">
      <c r="A115" s="345">
        <v>42650</v>
      </c>
      <c r="B115" s="346" t="s">
        <v>363</v>
      </c>
      <c r="C115" s="346" t="s">
        <v>172</v>
      </c>
      <c r="D115" s="346" t="s">
        <v>350</v>
      </c>
      <c r="E115" s="346"/>
      <c r="F115" s="346"/>
      <c r="G115" s="74">
        <f t="shared" si="35"/>
        <v>9375</v>
      </c>
      <c r="H115" s="192">
        <v>5</v>
      </c>
      <c r="I115" s="77">
        <f t="shared" si="36"/>
        <v>9375</v>
      </c>
      <c r="J115" s="192">
        <v>4</v>
      </c>
      <c r="K115" s="78">
        <f t="shared" si="37"/>
        <v>9375</v>
      </c>
      <c r="L115" s="192">
        <v>5</v>
      </c>
      <c r="M115" s="77">
        <f t="shared" si="38"/>
        <v>9375</v>
      </c>
      <c r="N115" s="192">
        <v>6</v>
      </c>
      <c r="P115" s="304">
        <f t="shared" si="32"/>
        <v>20</v>
      </c>
      <c r="Q115" s="192">
        <v>20</v>
      </c>
      <c r="R115" s="234">
        <f>$E$5</f>
        <v>9375</v>
      </c>
      <c r="S115" s="234">
        <f>$E$5</f>
        <v>9375</v>
      </c>
      <c r="T115" s="234">
        <f>$E$5</f>
        <v>9375</v>
      </c>
      <c r="U115" s="234">
        <f>$E$5</f>
        <v>9375</v>
      </c>
      <c r="V115" s="81">
        <f t="shared" si="33"/>
        <v>0</v>
      </c>
      <c r="W115" s="78">
        <f t="shared" si="34"/>
        <v>187500</v>
      </c>
    </row>
    <row r="116" spans="1:23" ht="14" customHeight="1" x14ac:dyDescent="0.35">
      <c r="A116" s="345">
        <v>42654</v>
      </c>
      <c r="B116" s="346" t="s">
        <v>205</v>
      </c>
      <c r="C116" s="346" t="s">
        <v>177</v>
      </c>
      <c r="D116" s="346" t="s">
        <v>334</v>
      </c>
      <c r="E116" s="347">
        <v>9012</v>
      </c>
      <c r="F116" s="346"/>
      <c r="G116" s="74">
        <f t="shared" si="35"/>
        <v>6925.9</v>
      </c>
      <c r="H116" s="192">
        <v>5</v>
      </c>
      <c r="I116" s="77">
        <f t="shared" si="36"/>
        <v>6925.9</v>
      </c>
      <c r="J116" s="192">
        <v>4</v>
      </c>
      <c r="K116" s="78">
        <f t="shared" si="37"/>
        <v>6925.9</v>
      </c>
      <c r="L116" s="192">
        <v>5</v>
      </c>
      <c r="M116" s="77">
        <f t="shared" si="38"/>
        <v>6925.9</v>
      </c>
      <c r="N116" s="192">
        <v>6</v>
      </c>
      <c r="P116" s="304">
        <f t="shared" si="32"/>
        <v>20</v>
      </c>
      <c r="Q116" s="192">
        <v>20</v>
      </c>
      <c r="R116" s="234">
        <f>$E$8</f>
        <v>6250</v>
      </c>
      <c r="S116" s="234">
        <f>$E$7</f>
        <v>6250</v>
      </c>
      <c r="T116" s="234">
        <f>$E$7</f>
        <v>6250</v>
      </c>
      <c r="U116" s="234">
        <f>$E$7</f>
        <v>6250</v>
      </c>
      <c r="V116" s="81">
        <f t="shared" si="33"/>
        <v>675.9</v>
      </c>
      <c r="W116" s="78">
        <f t="shared" si="34"/>
        <v>138518</v>
      </c>
    </row>
    <row r="117" spans="1:23" s="380" customFormat="1" ht="14" customHeight="1" x14ac:dyDescent="0.35">
      <c r="A117" s="412">
        <v>42685</v>
      </c>
      <c r="B117" s="413" t="s">
        <v>187</v>
      </c>
      <c r="C117" s="413" t="s">
        <v>181</v>
      </c>
      <c r="D117" s="413" t="s">
        <v>336</v>
      </c>
      <c r="E117" s="414">
        <v>24650</v>
      </c>
      <c r="F117" s="413" t="s">
        <v>174</v>
      </c>
      <c r="G117" s="379">
        <f t="shared" si="35"/>
        <v>6607.608695652174</v>
      </c>
      <c r="H117" s="380">
        <v>5</v>
      </c>
      <c r="I117" s="379">
        <f t="shared" si="36"/>
        <v>6607.608695652174</v>
      </c>
      <c r="J117" s="380">
        <v>8</v>
      </c>
      <c r="K117" s="388">
        <f t="shared" si="37"/>
        <v>6607.608695652174</v>
      </c>
      <c r="L117" s="380">
        <v>7</v>
      </c>
      <c r="M117" s="379">
        <f t="shared" si="38"/>
        <v>6607.608695652174</v>
      </c>
      <c r="N117" s="380">
        <v>3</v>
      </c>
      <c r="P117" s="427">
        <f t="shared" si="32"/>
        <v>23</v>
      </c>
      <c r="Q117" s="380">
        <v>23</v>
      </c>
      <c r="R117" s="382">
        <f>$N$5</f>
        <v>5000</v>
      </c>
      <c r="S117" s="382">
        <f>$N$5</f>
        <v>5000</v>
      </c>
      <c r="T117" s="382">
        <f>$N$5</f>
        <v>5000</v>
      </c>
      <c r="U117" s="382">
        <f>$N$5</f>
        <v>5000</v>
      </c>
      <c r="V117" s="81">
        <f t="shared" si="33"/>
        <v>1607.6086956521738</v>
      </c>
      <c r="W117" s="78">
        <f t="shared" si="34"/>
        <v>151975</v>
      </c>
    </row>
    <row r="118" spans="1:23" s="380" customFormat="1" ht="14" customHeight="1" x14ac:dyDescent="0.35">
      <c r="A118" s="412">
        <v>42689</v>
      </c>
      <c r="B118" s="413" t="s">
        <v>192</v>
      </c>
      <c r="C118" s="413" t="s">
        <v>181</v>
      </c>
      <c r="D118" s="413" t="s">
        <v>337</v>
      </c>
      <c r="E118" s="413"/>
      <c r="F118" s="413"/>
      <c r="G118" s="379">
        <f t="shared" si="35"/>
        <v>5000</v>
      </c>
      <c r="H118" s="380">
        <v>5</v>
      </c>
      <c r="I118" s="379">
        <f t="shared" si="36"/>
        <v>5000</v>
      </c>
      <c r="J118" s="380">
        <v>8</v>
      </c>
      <c r="K118" s="388">
        <f t="shared" si="37"/>
        <v>5000</v>
      </c>
      <c r="L118" s="380">
        <v>7</v>
      </c>
      <c r="M118" s="379">
        <f t="shared" si="38"/>
        <v>5000</v>
      </c>
      <c r="N118" s="380">
        <v>3</v>
      </c>
      <c r="P118" s="427">
        <f t="shared" si="32"/>
        <v>23</v>
      </c>
      <c r="Q118" s="380">
        <v>23</v>
      </c>
      <c r="R118" s="382">
        <f>$N$5</f>
        <v>5000</v>
      </c>
      <c r="S118" s="382">
        <f>$N$5</f>
        <v>5000</v>
      </c>
      <c r="T118" s="382">
        <f>$N$5</f>
        <v>5000</v>
      </c>
      <c r="U118" s="382">
        <f>$N$5</f>
        <v>5000</v>
      </c>
      <c r="V118" s="81">
        <f t="shared" si="33"/>
        <v>0</v>
      </c>
      <c r="W118" s="78">
        <f t="shared" si="34"/>
        <v>115000</v>
      </c>
    </row>
    <row r="119" spans="1:23" s="411" customFormat="1" ht="14" customHeight="1" x14ac:dyDescent="0.35">
      <c r="A119" s="452"/>
      <c r="B119" s="453" t="s">
        <v>196</v>
      </c>
      <c r="C119" s="453"/>
      <c r="D119" s="453"/>
      <c r="E119" s="453"/>
      <c r="F119" s="453"/>
      <c r="G119" s="104">
        <f>$B$3</f>
        <v>0</v>
      </c>
      <c r="H119" s="107">
        <v>5</v>
      </c>
      <c r="I119" s="104">
        <f>$B$4</f>
        <v>0</v>
      </c>
      <c r="J119" s="107">
        <v>10</v>
      </c>
      <c r="K119" s="106"/>
      <c r="L119" s="107"/>
      <c r="M119" s="104"/>
      <c r="N119" s="107"/>
      <c r="O119" s="106">
        <f>$B$8</f>
        <v>1875</v>
      </c>
      <c r="P119" s="107"/>
      <c r="Q119" s="107">
        <v>6</v>
      </c>
      <c r="R119" s="104"/>
      <c r="S119" s="104"/>
      <c r="T119" s="104"/>
      <c r="U119" s="104"/>
      <c r="V119" s="81"/>
      <c r="W119" s="106">
        <f>(G119*H119)+(I119*J119)+(O119*Q119)</f>
        <v>11250</v>
      </c>
    </row>
    <row r="120" spans="1:23" s="411" customFormat="1" ht="14" customHeight="1" x14ac:dyDescent="0.35">
      <c r="A120" s="452"/>
      <c r="B120" s="453" t="s">
        <v>235</v>
      </c>
      <c r="C120" s="453"/>
      <c r="D120" s="453"/>
      <c r="E120" s="453"/>
      <c r="F120" s="453"/>
      <c r="G120" s="104">
        <f>$E$12/($H121+$J121+$L121)</f>
        <v>0</v>
      </c>
      <c r="H120" s="107">
        <v>5</v>
      </c>
      <c r="I120" s="104">
        <f>$E$12/($H121+$J121+$L121)</f>
        <v>0</v>
      </c>
      <c r="J120" s="107">
        <v>10</v>
      </c>
      <c r="K120" s="106">
        <f>$E$12/($H121+$J121+$L121)</f>
        <v>0</v>
      </c>
      <c r="L120" s="107">
        <v>15</v>
      </c>
      <c r="M120" s="104"/>
      <c r="N120" s="107"/>
      <c r="O120" s="106"/>
      <c r="P120" s="107"/>
      <c r="Q120" s="107"/>
      <c r="R120" s="104"/>
      <c r="S120" s="104"/>
      <c r="T120" s="104"/>
      <c r="U120" s="104"/>
      <c r="V120" s="81"/>
      <c r="W120" s="106">
        <f t="shared" ref="W120" si="39">(G120*H120)+(I120*J120)+(K120*L120)+(M120*N120)</f>
        <v>0</v>
      </c>
    </row>
    <row r="121" spans="1:23" s="346" customFormat="1" ht="14" customHeight="1" x14ac:dyDescent="0.4">
      <c r="A121" s="348" t="s">
        <v>225</v>
      </c>
      <c r="B121" s="349"/>
      <c r="C121" s="350"/>
      <c r="D121" s="351" t="s">
        <v>198</v>
      </c>
      <c r="E121" s="349"/>
      <c r="F121" s="349"/>
      <c r="G121" s="352">
        <f>SUMPRODUCT(G98:G120,H98:H120)</f>
        <v>1166401.9655797102</v>
      </c>
      <c r="H121" s="353">
        <v>5</v>
      </c>
      <c r="I121" s="352">
        <f>SUMPRODUCT(I98:I120,J98:J120)</f>
        <v>1645638.3402173913</v>
      </c>
      <c r="J121" s="353">
        <v>10</v>
      </c>
      <c r="K121" s="352">
        <f>SUMPRODUCT(K98:K120,L98:L120)</f>
        <v>1539699.1684782607</v>
      </c>
      <c r="L121" s="353">
        <v>15</v>
      </c>
      <c r="M121" s="352">
        <f>SUMPRODUCT(M98:M120,N98:N120)</f>
        <v>883962.02572463767</v>
      </c>
      <c r="N121" s="353">
        <v>20</v>
      </c>
      <c r="O121" s="460">
        <f>$O119*Q119</f>
        <v>11250</v>
      </c>
      <c r="P121" s="354" t="s">
        <v>199</v>
      </c>
      <c r="Q121" s="349"/>
      <c r="R121" s="355">
        <f>H121+J121+L121+N121</f>
        <v>50</v>
      </c>
      <c r="S121" s="356"/>
      <c r="T121" s="356"/>
      <c r="U121" s="356"/>
      <c r="V121" s="356"/>
      <c r="W121" s="356"/>
    </row>
    <row r="122" spans="1:23" s="346" customFormat="1" ht="14" customHeight="1" x14ac:dyDescent="0.4">
      <c r="A122" s="348" t="s">
        <v>226</v>
      </c>
      <c r="B122" s="349"/>
      <c r="C122" s="350"/>
      <c r="D122" s="444" t="s">
        <v>399</v>
      </c>
      <c r="E122" s="349"/>
      <c r="F122" s="349"/>
      <c r="G122" s="357">
        <f>G121/H121</f>
        <v>233280.39311594205</v>
      </c>
      <c r="H122" s="449">
        <f>(SUM(H98:H107)+SUM(H109:H111)+SUM(H113:H118))/H121</f>
        <v>19</v>
      </c>
      <c r="I122" s="357">
        <f>I121/J121</f>
        <v>164563.83402173914</v>
      </c>
      <c r="J122" s="449">
        <f>(SUM(J98:J107)+SUM(J109:J111)+SUM(J113:J118))/J121</f>
        <v>13</v>
      </c>
      <c r="K122" s="357">
        <f>K121/L121</f>
        <v>102646.61123188405</v>
      </c>
      <c r="L122" s="449">
        <f>(SUM(L98:L107)+SUM(L109:L111)+SUM(L113:L118))/L121</f>
        <v>8.1999999999999993</v>
      </c>
      <c r="M122" s="357">
        <f>M121/N121</f>
        <v>44198.101286231882</v>
      </c>
      <c r="N122" s="449">
        <f>(SUM(N98:N107)+SUM(N109:N111)+SUM(N113:N118))/N121</f>
        <v>3.75</v>
      </c>
      <c r="O122" s="358"/>
      <c r="P122" s="359" t="s">
        <v>201</v>
      </c>
      <c r="Q122" s="349"/>
      <c r="R122" s="360">
        <f>SUM(G121,I121,K121,M121,O121)</f>
        <v>5246951.4999999991</v>
      </c>
      <c r="S122" s="356"/>
      <c r="T122" s="356"/>
      <c r="U122" s="356"/>
      <c r="V122" s="356"/>
      <c r="W122" s="361">
        <f>SUM(W98:W120)</f>
        <v>5246951.5</v>
      </c>
    </row>
    <row r="123" spans="1:23" ht="14" customHeight="1" x14ac:dyDescent="0.35">
      <c r="A123" s="326">
        <v>42764</v>
      </c>
      <c r="B123" s="197" t="s">
        <v>351</v>
      </c>
      <c r="C123" s="197" t="s">
        <v>177</v>
      </c>
      <c r="D123" s="197" t="s">
        <v>334</v>
      </c>
      <c r="E123" s="327">
        <v>20079</v>
      </c>
      <c r="F123" s="197"/>
      <c r="G123" s="74">
        <f t="shared" ref="G123:G124" si="40">R123+V123</f>
        <v>7755.9250000000002</v>
      </c>
      <c r="H123" s="192">
        <v>5</v>
      </c>
      <c r="I123" s="77">
        <f t="shared" ref="I123:I124" si="41">S123+V123</f>
        <v>7755.9250000000002</v>
      </c>
      <c r="J123" s="192">
        <v>3</v>
      </c>
      <c r="K123" s="78">
        <f t="shared" ref="K123:K124" si="42">T123+V123</f>
        <v>7755.9250000000002</v>
      </c>
      <c r="L123" s="192">
        <v>2</v>
      </c>
      <c r="M123" s="77">
        <f t="shared" ref="M123:M124" si="43">U123+V123</f>
        <v>7755.9250000000002</v>
      </c>
      <c r="N123" s="171">
        <v>10</v>
      </c>
      <c r="P123" s="304">
        <f t="shared" ref="P123:P142" si="44">H123+J123+L123+N123</f>
        <v>20</v>
      </c>
      <c r="Q123" s="171">
        <v>20</v>
      </c>
      <c r="R123" s="234">
        <f>$E$8</f>
        <v>6250</v>
      </c>
      <c r="S123" s="234">
        <f>$E$7</f>
        <v>6250</v>
      </c>
      <c r="T123" s="234">
        <f>$E$7</f>
        <v>6250</v>
      </c>
      <c r="U123" s="234">
        <f>$E$7</f>
        <v>6250</v>
      </c>
      <c r="V123" s="81">
        <f t="shared" si="33"/>
        <v>1505.925</v>
      </c>
      <c r="W123" s="78">
        <f t="shared" ref="W123:W142" si="45">(G123*H123)+(I123*J123)+(K123*L123)+(M123*N123)</f>
        <v>155118.5</v>
      </c>
    </row>
    <row r="124" spans="1:23" ht="14" customHeight="1" x14ac:dyDescent="0.35">
      <c r="A124" s="326">
        <v>42769</v>
      </c>
      <c r="B124" s="197" t="s">
        <v>352</v>
      </c>
      <c r="C124" s="197" t="s">
        <v>172</v>
      </c>
      <c r="D124" s="197" t="s">
        <v>334</v>
      </c>
      <c r="E124" s="327">
        <v>17903</v>
      </c>
      <c r="F124" s="197"/>
      <c r="G124" s="74">
        <f t="shared" si="40"/>
        <v>10717.725</v>
      </c>
      <c r="H124" s="192">
        <v>5</v>
      </c>
      <c r="I124" s="77">
        <f t="shared" si="41"/>
        <v>10717.725</v>
      </c>
      <c r="J124" s="192">
        <v>3</v>
      </c>
      <c r="K124" s="78">
        <f t="shared" si="42"/>
        <v>10717.725</v>
      </c>
      <c r="L124" s="192">
        <v>2</v>
      </c>
      <c r="M124" s="77">
        <f t="shared" si="43"/>
        <v>10717.725</v>
      </c>
      <c r="N124" s="171">
        <v>10</v>
      </c>
      <c r="P124" s="304">
        <f t="shared" si="44"/>
        <v>20</v>
      </c>
      <c r="Q124" s="171">
        <v>20</v>
      </c>
      <c r="R124" s="234">
        <f>$E$5</f>
        <v>9375</v>
      </c>
      <c r="S124" s="234">
        <f>$E$5</f>
        <v>9375</v>
      </c>
      <c r="T124" s="234">
        <f>$E$5</f>
        <v>9375</v>
      </c>
      <c r="U124" s="234">
        <f>$E$5</f>
        <v>9375</v>
      </c>
      <c r="V124" s="81">
        <f t="shared" si="33"/>
        <v>1342.7249999999999</v>
      </c>
      <c r="W124" s="78">
        <f t="shared" si="45"/>
        <v>214354.5</v>
      </c>
    </row>
    <row r="125" spans="1:23" s="380" customFormat="1" ht="14" customHeight="1" x14ac:dyDescent="0.35">
      <c r="A125" s="386">
        <v>42818</v>
      </c>
      <c r="B125" s="387" t="s">
        <v>353</v>
      </c>
      <c r="C125" s="387" t="s">
        <v>172</v>
      </c>
      <c r="D125" s="387" t="s">
        <v>336</v>
      </c>
      <c r="E125" s="432">
        <v>17729</v>
      </c>
      <c r="F125" s="387"/>
      <c r="G125" s="379">
        <f t="shared" ref="G125:G142" si="46">R125+V125</f>
        <v>19281.239130434784</v>
      </c>
      <c r="H125" s="380">
        <v>5</v>
      </c>
      <c r="I125" s="379">
        <f t="shared" ref="I125:I142" si="47">S125+V125</f>
        <v>19281.239130434784</v>
      </c>
      <c r="J125" s="380">
        <v>7</v>
      </c>
      <c r="K125" s="388">
        <f t="shared" ref="K125:K142" si="48">T125+V125</f>
        <v>19281.239130434784</v>
      </c>
      <c r="L125" s="380">
        <v>7</v>
      </c>
      <c r="M125" s="379">
        <f t="shared" ref="M125:M142" si="49">U125+V125</f>
        <v>19281.239130434784</v>
      </c>
      <c r="N125" s="380">
        <v>4</v>
      </c>
      <c r="P125" s="427">
        <f t="shared" si="44"/>
        <v>23</v>
      </c>
      <c r="Q125" s="380">
        <v>23</v>
      </c>
      <c r="R125" s="382">
        <f>$N$3</f>
        <v>18125</v>
      </c>
      <c r="S125" s="382">
        <f>$N$3</f>
        <v>18125</v>
      </c>
      <c r="T125" s="382">
        <f>$N$3</f>
        <v>18125</v>
      </c>
      <c r="U125" s="382">
        <f>$N$3</f>
        <v>18125</v>
      </c>
      <c r="V125" s="81">
        <f t="shared" si="33"/>
        <v>1156.2391304347825</v>
      </c>
      <c r="W125" s="78">
        <f t="shared" si="45"/>
        <v>443468.5</v>
      </c>
    </row>
    <row r="126" spans="1:23" s="380" customFormat="1" ht="14" customHeight="1" x14ac:dyDescent="0.35">
      <c r="A126" s="386">
        <v>42822</v>
      </c>
      <c r="B126" s="387" t="s">
        <v>354</v>
      </c>
      <c r="C126" s="387" t="s">
        <v>177</v>
      </c>
      <c r="D126" s="387" t="s">
        <v>337</v>
      </c>
      <c r="E126" s="387"/>
      <c r="F126" s="387"/>
      <c r="G126" s="379">
        <f t="shared" si="46"/>
        <v>10000</v>
      </c>
      <c r="H126" s="380">
        <v>5</v>
      </c>
      <c r="I126" s="379">
        <f t="shared" si="47"/>
        <v>10000</v>
      </c>
      <c r="J126" s="380">
        <v>7</v>
      </c>
      <c r="K126" s="388">
        <f t="shared" si="48"/>
        <v>10000</v>
      </c>
      <c r="L126" s="380">
        <v>7</v>
      </c>
      <c r="M126" s="379">
        <f t="shared" si="49"/>
        <v>10000</v>
      </c>
      <c r="N126" s="380">
        <v>4</v>
      </c>
      <c r="P126" s="427">
        <f t="shared" si="44"/>
        <v>23</v>
      </c>
      <c r="Q126" s="380">
        <v>23</v>
      </c>
      <c r="R126" s="382">
        <f>$N$4</f>
        <v>10000</v>
      </c>
      <c r="S126" s="382">
        <f>$N$4</f>
        <v>10000</v>
      </c>
      <c r="T126" s="382">
        <f>$N$4</f>
        <v>10000</v>
      </c>
      <c r="U126" s="382">
        <f>$N$4</f>
        <v>10000</v>
      </c>
      <c r="V126" s="81">
        <f t="shared" si="33"/>
        <v>0</v>
      </c>
      <c r="W126" s="78">
        <f t="shared" si="45"/>
        <v>230000</v>
      </c>
    </row>
    <row r="127" spans="1:23" ht="14" customHeight="1" x14ac:dyDescent="0.35">
      <c r="A127" s="326">
        <v>42889</v>
      </c>
      <c r="B127" s="197" t="s">
        <v>355</v>
      </c>
      <c r="C127" s="197" t="s">
        <v>177</v>
      </c>
      <c r="D127" s="197" t="s">
        <v>334</v>
      </c>
      <c r="E127" s="327">
        <v>17315</v>
      </c>
      <c r="F127" s="197"/>
      <c r="G127" s="74">
        <f t="shared" si="46"/>
        <v>7548.625</v>
      </c>
      <c r="H127" s="192">
        <v>5</v>
      </c>
      <c r="I127" s="77">
        <f t="shared" si="47"/>
        <v>7548.625</v>
      </c>
      <c r="J127" s="192">
        <v>6</v>
      </c>
      <c r="K127" s="78">
        <f t="shared" si="48"/>
        <v>7548.625</v>
      </c>
      <c r="L127" s="192">
        <v>7</v>
      </c>
      <c r="M127" s="77">
        <f t="shared" si="49"/>
        <v>7548.625</v>
      </c>
      <c r="N127" s="192">
        <v>2</v>
      </c>
      <c r="P127" s="304">
        <f t="shared" si="44"/>
        <v>20</v>
      </c>
      <c r="Q127" s="192">
        <v>20</v>
      </c>
      <c r="R127" s="234">
        <f>$E$8</f>
        <v>6250</v>
      </c>
      <c r="S127" s="234">
        <f>$E$7</f>
        <v>6250</v>
      </c>
      <c r="T127" s="234">
        <f>$E$7</f>
        <v>6250</v>
      </c>
      <c r="U127" s="234">
        <f>$E$7</f>
        <v>6250</v>
      </c>
      <c r="V127" s="81">
        <f t="shared" si="33"/>
        <v>1298.625</v>
      </c>
      <c r="W127" s="78">
        <f t="shared" si="45"/>
        <v>150972.5</v>
      </c>
    </row>
    <row r="128" spans="1:23" s="380" customFormat="1" ht="14" customHeight="1" x14ac:dyDescent="0.35">
      <c r="A128" s="386">
        <v>42894</v>
      </c>
      <c r="B128" s="387" t="s">
        <v>373</v>
      </c>
      <c r="C128" s="387" t="s">
        <v>172</v>
      </c>
      <c r="D128" s="387" t="s">
        <v>336</v>
      </c>
      <c r="E128" s="432">
        <v>19188</v>
      </c>
      <c r="F128" s="387"/>
      <c r="G128" s="379">
        <f t="shared" si="46"/>
        <v>19376.391304347824</v>
      </c>
      <c r="H128" s="380">
        <v>5</v>
      </c>
      <c r="I128" s="379">
        <f t="shared" si="47"/>
        <v>19376.391304347824</v>
      </c>
      <c r="J128" s="380">
        <v>8</v>
      </c>
      <c r="K128" s="388">
        <f t="shared" si="48"/>
        <v>19376.391304347824</v>
      </c>
      <c r="L128" s="380">
        <v>7</v>
      </c>
      <c r="M128" s="379">
        <f t="shared" si="49"/>
        <v>19376.391304347824</v>
      </c>
      <c r="N128" s="380">
        <v>3</v>
      </c>
      <c r="P128" s="427">
        <f t="shared" si="44"/>
        <v>23</v>
      </c>
      <c r="Q128" s="380">
        <v>23</v>
      </c>
      <c r="R128" s="382">
        <f>$N$3</f>
        <v>18125</v>
      </c>
      <c r="S128" s="382">
        <f>$N$3</f>
        <v>18125</v>
      </c>
      <c r="T128" s="382">
        <f>$N$3</f>
        <v>18125</v>
      </c>
      <c r="U128" s="382">
        <f>$N$3</f>
        <v>18125</v>
      </c>
      <c r="V128" s="81">
        <f t="shared" si="33"/>
        <v>1251.391304347826</v>
      </c>
      <c r="W128" s="78">
        <f t="shared" si="45"/>
        <v>445656.99999999994</v>
      </c>
    </row>
    <row r="129" spans="1:23" s="380" customFormat="1" ht="14" customHeight="1" x14ac:dyDescent="0.35">
      <c r="A129" s="386">
        <v>42897</v>
      </c>
      <c r="B129" s="387" t="s">
        <v>187</v>
      </c>
      <c r="C129" s="387" t="s">
        <v>177</v>
      </c>
      <c r="D129" s="387" t="s">
        <v>337</v>
      </c>
      <c r="E129" s="387"/>
      <c r="F129" s="387" t="s">
        <v>174</v>
      </c>
      <c r="G129" s="379">
        <f t="shared" si="46"/>
        <v>10000</v>
      </c>
      <c r="H129" s="380">
        <v>5</v>
      </c>
      <c r="I129" s="379">
        <f t="shared" si="47"/>
        <v>10000</v>
      </c>
      <c r="J129" s="380">
        <v>8</v>
      </c>
      <c r="K129" s="388">
        <f t="shared" si="48"/>
        <v>10000</v>
      </c>
      <c r="L129" s="380">
        <v>7</v>
      </c>
      <c r="M129" s="379">
        <f t="shared" si="49"/>
        <v>10000</v>
      </c>
      <c r="N129" s="380">
        <v>3</v>
      </c>
      <c r="P129" s="427">
        <f t="shared" si="44"/>
        <v>23</v>
      </c>
      <c r="Q129" s="380">
        <v>23</v>
      </c>
      <c r="R129" s="382">
        <f>$N$4</f>
        <v>10000</v>
      </c>
      <c r="S129" s="382">
        <f>$N$4</f>
        <v>10000</v>
      </c>
      <c r="T129" s="382">
        <f>$N$4</f>
        <v>10000</v>
      </c>
      <c r="U129" s="382">
        <f>$N$4</f>
        <v>10000</v>
      </c>
      <c r="V129" s="81">
        <f t="shared" si="33"/>
        <v>0</v>
      </c>
      <c r="W129" s="78">
        <f t="shared" si="45"/>
        <v>230000</v>
      </c>
    </row>
    <row r="130" spans="1:23" ht="14" customHeight="1" x14ac:dyDescent="0.35">
      <c r="A130" s="326">
        <v>42917</v>
      </c>
      <c r="B130" s="197" t="s">
        <v>356</v>
      </c>
      <c r="C130" s="197" t="s">
        <v>172</v>
      </c>
      <c r="D130" s="197" t="s">
        <v>334</v>
      </c>
      <c r="E130" s="327">
        <v>28754</v>
      </c>
      <c r="F130" s="197"/>
      <c r="G130" s="74">
        <f t="shared" si="46"/>
        <v>11250.260869565218</v>
      </c>
      <c r="H130" s="192">
        <v>5</v>
      </c>
      <c r="I130" s="77">
        <f t="shared" si="47"/>
        <v>11250.260869565218</v>
      </c>
      <c r="J130" s="192">
        <v>10</v>
      </c>
      <c r="K130" s="78">
        <f t="shared" si="48"/>
        <v>11250.260869565218</v>
      </c>
      <c r="L130" s="192">
        <v>7</v>
      </c>
      <c r="M130" s="77">
        <f t="shared" si="49"/>
        <v>11250.260869565218</v>
      </c>
      <c r="N130" s="192">
        <v>1</v>
      </c>
      <c r="P130" s="304">
        <f t="shared" si="44"/>
        <v>23</v>
      </c>
      <c r="Q130" s="192">
        <v>23</v>
      </c>
      <c r="R130" s="234">
        <f>$E$5</f>
        <v>9375</v>
      </c>
      <c r="S130" s="234">
        <f>$E$5</f>
        <v>9375</v>
      </c>
      <c r="T130" s="234">
        <f>$E$5</f>
        <v>9375</v>
      </c>
      <c r="U130" s="234">
        <f>$E$5</f>
        <v>9375</v>
      </c>
      <c r="V130" s="81">
        <f t="shared" si="33"/>
        <v>1875.2608695652173</v>
      </c>
      <c r="W130" s="78">
        <f t="shared" si="45"/>
        <v>258756.00000000003</v>
      </c>
    </row>
    <row r="131" spans="1:23" s="395" customFormat="1" ht="14" customHeight="1" x14ac:dyDescent="0.35">
      <c r="A131" s="433">
        <v>42924</v>
      </c>
      <c r="B131" s="434" t="s">
        <v>354</v>
      </c>
      <c r="C131" s="434" t="s">
        <v>177</v>
      </c>
      <c r="D131" s="434" t="s">
        <v>385</v>
      </c>
      <c r="E131" s="435">
        <v>47622</v>
      </c>
      <c r="F131" s="434"/>
      <c r="G131" s="400">
        <f t="shared" si="46"/>
        <v>9668.782608695652</v>
      </c>
      <c r="H131" s="395">
        <v>5</v>
      </c>
      <c r="I131" s="400">
        <f t="shared" si="47"/>
        <v>9668.782608695652</v>
      </c>
      <c r="J131" s="395">
        <v>10</v>
      </c>
      <c r="K131" s="431">
        <f t="shared" si="48"/>
        <v>9668.782608695652</v>
      </c>
      <c r="L131" s="395">
        <v>7</v>
      </c>
      <c r="M131" s="400">
        <f t="shared" si="49"/>
        <v>9668.782608695652</v>
      </c>
      <c r="N131" s="395">
        <v>1</v>
      </c>
      <c r="P131" s="428">
        <f t="shared" si="44"/>
        <v>23</v>
      </c>
      <c r="Q131" s="395">
        <v>23</v>
      </c>
      <c r="R131" s="396">
        <f>$H$5</f>
        <v>6563</v>
      </c>
      <c r="S131" s="396">
        <f>$H$5</f>
        <v>6563</v>
      </c>
      <c r="T131" s="396">
        <f>$H$5</f>
        <v>6563</v>
      </c>
      <c r="U131" s="396">
        <f>$H$5</f>
        <v>6563</v>
      </c>
      <c r="V131" s="81">
        <f t="shared" si="33"/>
        <v>3105.782608695652</v>
      </c>
      <c r="W131" s="78">
        <f t="shared" si="45"/>
        <v>222381.99999999997</v>
      </c>
    </row>
    <row r="132" spans="1:23" s="395" customFormat="1" ht="14" customHeight="1" x14ac:dyDescent="0.35">
      <c r="A132" s="433">
        <v>42928</v>
      </c>
      <c r="B132" s="434" t="s">
        <v>357</v>
      </c>
      <c r="C132" s="434" t="s">
        <v>172</v>
      </c>
      <c r="D132" s="434" t="s">
        <v>385</v>
      </c>
      <c r="E132" s="435">
        <v>23368</v>
      </c>
      <c r="F132" s="434"/>
      <c r="G132" s="400">
        <f t="shared" si="46"/>
        <v>10899</v>
      </c>
      <c r="H132" s="395">
        <v>5</v>
      </c>
      <c r="I132" s="400">
        <f t="shared" si="47"/>
        <v>10899</v>
      </c>
      <c r="J132" s="395">
        <v>10</v>
      </c>
      <c r="K132" s="431">
        <f t="shared" si="48"/>
        <v>10899</v>
      </c>
      <c r="L132" s="395">
        <v>7</v>
      </c>
      <c r="M132" s="400">
        <f t="shared" si="49"/>
        <v>10899</v>
      </c>
      <c r="N132" s="395">
        <v>1</v>
      </c>
      <c r="P132" s="428">
        <f t="shared" si="44"/>
        <v>23</v>
      </c>
      <c r="Q132" s="395">
        <v>23</v>
      </c>
      <c r="R132" s="396">
        <f>$H$4</f>
        <v>9375</v>
      </c>
      <c r="S132" s="396">
        <f>$H$4</f>
        <v>9375</v>
      </c>
      <c r="T132" s="396">
        <f>$H$4</f>
        <v>9375</v>
      </c>
      <c r="U132" s="396">
        <f>$H$4</f>
        <v>9375</v>
      </c>
      <c r="V132" s="81">
        <f t="shared" si="33"/>
        <v>1524</v>
      </c>
      <c r="W132" s="78">
        <f t="shared" si="45"/>
        <v>250677</v>
      </c>
    </row>
    <row r="133" spans="1:23" s="395" customFormat="1" ht="14" customHeight="1" x14ac:dyDescent="0.35">
      <c r="A133" s="433">
        <v>42931</v>
      </c>
      <c r="B133" s="434" t="s">
        <v>358</v>
      </c>
      <c r="C133" s="434" t="s">
        <v>172</v>
      </c>
      <c r="D133" s="434" t="s">
        <v>385</v>
      </c>
      <c r="E133" s="435">
        <v>27934</v>
      </c>
      <c r="F133" s="434"/>
      <c r="G133" s="400">
        <f t="shared" si="46"/>
        <v>11196.782608695652</v>
      </c>
      <c r="H133" s="395">
        <v>5</v>
      </c>
      <c r="I133" s="400">
        <f t="shared" si="47"/>
        <v>11196.782608695652</v>
      </c>
      <c r="J133" s="395">
        <v>10</v>
      </c>
      <c r="K133" s="431">
        <f t="shared" si="48"/>
        <v>11196.782608695652</v>
      </c>
      <c r="L133" s="395">
        <v>7</v>
      </c>
      <c r="M133" s="400">
        <f t="shared" si="49"/>
        <v>11196.782608695652</v>
      </c>
      <c r="N133" s="395">
        <v>1</v>
      </c>
      <c r="P133" s="428">
        <f t="shared" si="44"/>
        <v>23</v>
      </c>
      <c r="Q133" s="395">
        <v>23</v>
      </c>
      <c r="R133" s="396">
        <f>$H$4</f>
        <v>9375</v>
      </c>
      <c r="S133" s="396">
        <f>$H$4</f>
        <v>9375</v>
      </c>
      <c r="T133" s="396">
        <f>$H$4</f>
        <v>9375</v>
      </c>
      <c r="U133" s="396">
        <f>$H$4</f>
        <v>9375</v>
      </c>
      <c r="V133" s="81">
        <f t="shared" si="33"/>
        <v>1821.782608695652</v>
      </c>
      <c r="W133" s="78">
        <f t="shared" si="45"/>
        <v>257525.99999999997</v>
      </c>
    </row>
    <row r="134" spans="1:23" s="395" customFormat="1" ht="14" customHeight="1" x14ac:dyDescent="0.35">
      <c r="A134" s="433">
        <v>42935</v>
      </c>
      <c r="B134" s="434" t="s">
        <v>371</v>
      </c>
      <c r="C134" s="434" t="s">
        <v>172</v>
      </c>
      <c r="D134" s="434" t="s">
        <v>338</v>
      </c>
      <c r="E134" s="435">
        <v>31615</v>
      </c>
      <c r="F134" s="434"/>
      <c r="G134" s="400">
        <f t="shared" si="46"/>
        <v>11436.847826086956</v>
      </c>
      <c r="H134" s="395">
        <v>5</v>
      </c>
      <c r="I134" s="400">
        <f t="shared" si="47"/>
        <v>11436.847826086956</v>
      </c>
      <c r="J134" s="395">
        <v>10</v>
      </c>
      <c r="K134" s="431">
        <f t="shared" si="48"/>
        <v>11436.847826086956</v>
      </c>
      <c r="L134" s="395">
        <v>7</v>
      </c>
      <c r="M134" s="400">
        <f t="shared" si="49"/>
        <v>11436.847826086956</v>
      </c>
      <c r="N134" s="395">
        <v>1</v>
      </c>
      <c r="P134" s="428">
        <f t="shared" si="44"/>
        <v>23</v>
      </c>
      <c r="Q134" s="395">
        <v>23</v>
      </c>
      <c r="R134" s="396">
        <f>$H$4</f>
        <v>9375</v>
      </c>
      <c r="S134" s="396">
        <f>$H$4</f>
        <v>9375</v>
      </c>
      <c r="T134" s="396">
        <f>$H$4</f>
        <v>9375</v>
      </c>
      <c r="U134" s="396">
        <f>$H$4</f>
        <v>9375</v>
      </c>
      <c r="V134" s="81">
        <f t="shared" si="33"/>
        <v>2061.8478260869565</v>
      </c>
      <c r="W134" s="78">
        <f t="shared" si="45"/>
        <v>263047.5</v>
      </c>
    </row>
    <row r="135" spans="1:23" s="395" customFormat="1" ht="14" customHeight="1" x14ac:dyDescent="0.35">
      <c r="A135" s="433">
        <v>42938</v>
      </c>
      <c r="B135" s="434" t="s">
        <v>192</v>
      </c>
      <c r="C135" s="434" t="s">
        <v>172</v>
      </c>
      <c r="D135" s="434" t="s">
        <v>339</v>
      </c>
      <c r="E135" s="435">
        <v>45516</v>
      </c>
      <c r="F135" s="434"/>
      <c r="G135" s="400">
        <f t="shared" si="46"/>
        <v>12343.434782608696</v>
      </c>
      <c r="H135" s="395">
        <v>5</v>
      </c>
      <c r="I135" s="400">
        <f t="shared" si="47"/>
        <v>12343.434782608696</v>
      </c>
      <c r="J135" s="395">
        <v>10</v>
      </c>
      <c r="K135" s="431">
        <f t="shared" si="48"/>
        <v>12343.434782608696</v>
      </c>
      <c r="L135" s="395">
        <v>7</v>
      </c>
      <c r="M135" s="400">
        <f t="shared" si="49"/>
        <v>12343.434782608696</v>
      </c>
      <c r="N135" s="395">
        <v>1</v>
      </c>
      <c r="P135" s="428">
        <f t="shared" si="44"/>
        <v>23</v>
      </c>
      <c r="Q135" s="395">
        <v>23</v>
      </c>
      <c r="R135" s="396">
        <f>$H$4</f>
        <v>9375</v>
      </c>
      <c r="S135" s="396">
        <f>$H$4</f>
        <v>9375</v>
      </c>
      <c r="T135" s="396">
        <f>$H$4</f>
        <v>9375</v>
      </c>
      <c r="U135" s="396">
        <f>$H$4</f>
        <v>9375</v>
      </c>
      <c r="V135" s="81">
        <f t="shared" si="33"/>
        <v>2968.4347826086955</v>
      </c>
      <c r="W135" s="78">
        <f t="shared" si="45"/>
        <v>283899</v>
      </c>
    </row>
    <row r="136" spans="1:23" s="395" customFormat="1" ht="14" customHeight="1" x14ac:dyDescent="0.35">
      <c r="A136" s="433">
        <v>42942</v>
      </c>
      <c r="B136" s="434" t="s">
        <v>352</v>
      </c>
      <c r="C136" s="434" t="s">
        <v>172</v>
      </c>
      <c r="D136" s="434" t="s">
        <v>340</v>
      </c>
      <c r="E136" s="435">
        <v>63032</v>
      </c>
      <c r="F136" s="434"/>
      <c r="G136" s="400">
        <f t="shared" si="46"/>
        <v>13485.782608695652</v>
      </c>
      <c r="H136" s="395">
        <v>5</v>
      </c>
      <c r="I136" s="400">
        <f t="shared" si="47"/>
        <v>13485.782608695652</v>
      </c>
      <c r="J136" s="395">
        <v>10</v>
      </c>
      <c r="K136" s="431">
        <f t="shared" si="48"/>
        <v>13485.782608695652</v>
      </c>
      <c r="L136" s="395">
        <v>7</v>
      </c>
      <c r="M136" s="400">
        <f t="shared" si="49"/>
        <v>13485.782608695652</v>
      </c>
      <c r="N136" s="395">
        <v>1</v>
      </c>
      <c r="P136" s="428">
        <f t="shared" si="44"/>
        <v>23</v>
      </c>
      <c r="Q136" s="395">
        <v>23</v>
      </c>
      <c r="R136" s="396">
        <f>$H$4</f>
        <v>9375</v>
      </c>
      <c r="S136" s="396">
        <f>$H$4</f>
        <v>9375</v>
      </c>
      <c r="T136" s="396">
        <f>$H$4</f>
        <v>9375</v>
      </c>
      <c r="U136" s="396">
        <f>$H$4</f>
        <v>9375</v>
      </c>
      <c r="V136" s="81">
        <f t="shared" si="33"/>
        <v>4110.782608695652</v>
      </c>
      <c r="W136" s="78">
        <f t="shared" si="45"/>
        <v>310173</v>
      </c>
    </row>
    <row r="137" spans="1:23" s="395" customFormat="1" ht="14" customHeight="1" x14ac:dyDescent="0.35">
      <c r="A137" s="433"/>
      <c r="B137" s="436" t="s">
        <v>375</v>
      </c>
      <c r="C137" s="436"/>
      <c r="D137" s="436"/>
      <c r="E137" s="436"/>
      <c r="F137" s="436"/>
      <c r="G137" s="400">
        <f t="shared" si="46"/>
        <v>11250</v>
      </c>
      <c r="H137" s="395">
        <v>5</v>
      </c>
      <c r="I137" s="400">
        <f t="shared" si="47"/>
        <v>11250</v>
      </c>
      <c r="J137" s="395">
        <v>10</v>
      </c>
      <c r="K137" s="431">
        <f t="shared" si="48"/>
        <v>11250</v>
      </c>
      <c r="L137" s="395">
        <v>7</v>
      </c>
      <c r="M137" s="400">
        <f t="shared" si="49"/>
        <v>11250</v>
      </c>
      <c r="N137" s="395">
        <v>1</v>
      </c>
      <c r="P137" s="428">
        <f t="shared" si="44"/>
        <v>23</v>
      </c>
      <c r="Q137" s="395">
        <v>23</v>
      </c>
      <c r="R137" s="396">
        <f>$H$8</f>
        <v>11250</v>
      </c>
      <c r="S137" s="396">
        <f>$H$8</f>
        <v>11250</v>
      </c>
      <c r="T137" s="396">
        <f>$H$8</f>
        <v>11250</v>
      </c>
      <c r="U137" s="396">
        <f>$H$8</f>
        <v>11250</v>
      </c>
      <c r="V137" s="81">
        <f t="shared" si="33"/>
        <v>0</v>
      </c>
      <c r="W137" s="78">
        <f t="shared" si="45"/>
        <v>258750</v>
      </c>
    </row>
    <row r="138" spans="1:23" s="380" customFormat="1" ht="14" customHeight="1" x14ac:dyDescent="0.35">
      <c r="A138" s="386">
        <v>42979</v>
      </c>
      <c r="B138" s="387" t="s">
        <v>192</v>
      </c>
      <c r="C138" s="387" t="s">
        <v>181</v>
      </c>
      <c r="D138" s="387" t="s">
        <v>336</v>
      </c>
      <c r="E138" s="432">
        <v>26500</v>
      </c>
      <c r="F138" s="387"/>
      <c r="G138" s="379">
        <f t="shared" si="46"/>
        <v>6728.260869565217</v>
      </c>
      <c r="H138" s="380">
        <v>5</v>
      </c>
      <c r="I138" s="379">
        <f t="shared" si="47"/>
        <v>6728.260869565217</v>
      </c>
      <c r="J138" s="380">
        <v>7</v>
      </c>
      <c r="K138" s="388">
        <f t="shared" si="48"/>
        <v>6728.260869565217</v>
      </c>
      <c r="L138" s="380">
        <v>7</v>
      </c>
      <c r="M138" s="379">
        <f t="shared" si="49"/>
        <v>6728.260869565217</v>
      </c>
      <c r="N138" s="380">
        <v>4</v>
      </c>
      <c r="P138" s="427">
        <f t="shared" si="44"/>
        <v>23</v>
      </c>
      <c r="Q138" s="380">
        <v>23</v>
      </c>
      <c r="R138" s="382">
        <f>$N$5</f>
        <v>5000</v>
      </c>
      <c r="S138" s="382">
        <f>$N$5</f>
        <v>5000</v>
      </c>
      <c r="T138" s="382">
        <f>$N$5</f>
        <v>5000</v>
      </c>
      <c r="U138" s="382">
        <f>$N$5</f>
        <v>5000</v>
      </c>
      <c r="V138" s="81">
        <f t="shared" si="33"/>
        <v>1728.2608695652173</v>
      </c>
      <c r="W138" s="78">
        <f t="shared" si="45"/>
        <v>154750</v>
      </c>
    </row>
    <row r="139" spans="1:23" s="380" customFormat="1" ht="14" customHeight="1" x14ac:dyDescent="0.35">
      <c r="A139" s="386">
        <v>42983</v>
      </c>
      <c r="B139" s="387" t="s">
        <v>353</v>
      </c>
      <c r="C139" s="387" t="s">
        <v>177</v>
      </c>
      <c r="D139" s="387" t="s">
        <v>337</v>
      </c>
      <c r="E139" s="387"/>
      <c r="F139" s="387"/>
      <c r="G139" s="379">
        <f t="shared" si="46"/>
        <v>10000</v>
      </c>
      <c r="H139" s="380">
        <v>5</v>
      </c>
      <c r="I139" s="379">
        <f t="shared" si="47"/>
        <v>10000</v>
      </c>
      <c r="J139" s="380">
        <v>7</v>
      </c>
      <c r="K139" s="388">
        <f t="shared" si="48"/>
        <v>10000</v>
      </c>
      <c r="L139" s="380">
        <v>7</v>
      </c>
      <c r="M139" s="379">
        <f t="shared" si="49"/>
        <v>10000</v>
      </c>
      <c r="N139" s="380">
        <v>4</v>
      </c>
      <c r="P139" s="427">
        <f t="shared" si="44"/>
        <v>23</v>
      </c>
      <c r="Q139" s="380">
        <v>23</v>
      </c>
      <c r="R139" s="382">
        <f>$N$4</f>
        <v>10000</v>
      </c>
      <c r="S139" s="382">
        <f>$N$4</f>
        <v>10000</v>
      </c>
      <c r="T139" s="382">
        <f>$N$4</f>
        <v>10000</v>
      </c>
      <c r="U139" s="382">
        <f>$N$4</f>
        <v>10000</v>
      </c>
      <c r="V139" s="81">
        <f t="shared" si="33"/>
        <v>0</v>
      </c>
      <c r="W139" s="78">
        <f t="shared" si="45"/>
        <v>230000</v>
      </c>
    </row>
    <row r="140" spans="1:23" s="380" customFormat="1" ht="14" customHeight="1" x14ac:dyDescent="0.35">
      <c r="A140" s="386">
        <v>43014</v>
      </c>
      <c r="B140" s="387" t="s">
        <v>354</v>
      </c>
      <c r="C140" s="387" t="s">
        <v>172</v>
      </c>
      <c r="D140" s="387" t="s">
        <v>336</v>
      </c>
      <c r="E140" s="432">
        <v>25303</v>
      </c>
      <c r="F140" s="387"/>
      <c r="G140" s="379">
        <f t="shared" si="46"/>
        <v>19775.195652173912</v>
      </c>
      <c r="H140" s="380">
        <v>5</v>
      </c>
      <c r="I140" s="379">
        <f t="shared" si="47"/>
        <v>19775.195652173912</v>
      </c>
      <c r="J140" s="380">
        <v>7</v>
      </c>
      <c r="K140" s="388">
        <f t="shared" si="48"/>
        <v>19775.195652173912</v>
      </c>
      <c r="L140" s="380">
        <v>7</v>
      </c>
      <c r="M140" s="379">
        <f t="shared" si="49"/>
        <v>19775.195652173912</v>
      </c>
      <c r="N140" s="380">
        <v>4</v>
      </c>
      <c r="P140" s="427">
        <f t="shared" si="44"/>
        <v>23</v>
      </c>
      <c r="Q140" s="380">
        <v>23</v>
      </c>
      <c r="R140" s="382">
        <f>$N$3</f>
        <v>18125</v>
      </c>
      <c r="S140" s="382">
        <f>$N$3</f>
        <v>18125</v>
      </c>
      <c r="T140" s="382">
        <f>$N$3</f>
        <v>18125</v>
      </c>
      <c r="U140" s="382">
        <f>$N$3</f>
        <v>18125</v>
      </c>
      <c r="V140" s="81">
        <f t="shared" si="33"/>
        <v>1650.195652173913</v>
      </c>
      <c r="W140" s="78">
        <f t="shared" si="45"/>
        <v>454829.5</v>
      </c>
    </row>
    <row r="141" spans="1:23" s="380" customFormat="1" ht="14" customHeight="1" x14ac:dyDescent="0.35">
      <c r="A141" s="386">
        <v>43018</v>
      </c>
      <c r="B141" s="387" t="s">
        <v>373</v>
      </c>
      <c r="C141" s="387" t="s">
        <v>181</v>
      </c>
      <c r="D141" s="387" t="s">
        <v>337</v>
      </c>
      <c r="E141" s="387"/>
      <c r="F141" s="387"/>
      <c r="G141" s="379">
        <f t="shared" si="46"/>
        <v>5000</v>
      </c>
      <c r="H141" s="380">
        <v>5</v>
      </c>
      <c r="I141" s="379">
        <f t="shared" si="47"/>
        <v>5000</v>
      </c>
      <c r="J141" s="380">
        <v>7</v>
      </c>
      <c r="K141" s="388">
        <f t="shared" si="48"/>
        <v>5000</v>
      </c>
      <c r="L141" s="380">
        <v>7</v>
      </c>
      <c r="M141" s="379">
        <f t="shared" si="49"/>
        <v>5000</v>
      </c>
      <c r="N141" s="380">
        <v>4</v>
      </c>
      <c r="P141" s="427">
        <f t="shared" si="44"/>
        <v>23</v>
      </c>
      <c r="Q141" s="380">
        <v>23</v>
      </c>
      <c r="R141" s="382">
        <f>$N$5</f>
        <v>5000</v>
      </c>
      <c r="S141" s="382">
        <f>$N$5</f>
        <v>5000</v>
      </c>
      <c r="T141" s="382">
        <f>$N$5</f>
        <v>5000</v>
      </c>
      <c r="U141" s="382">
        <f>$N$5</f>
        <v>5000</v>
      </c>
      <c r="V141" s="81">
        <f t="shared" si="33"/>
        <v>0</v>
      </c>
      <c r="W141" s="78">
        <f t="shared" si="45"/>
        <v>115000</v>
      </c>
    </row>
    <row r="142" spans="1:23" ht="14" customHeight="1" x14ac:dyDescent="0.35">
      <c r="A142" s="326">
        <v>43053</v>
      </c>
      <c r="B142" s="197" t="s">
        <v>359</v>
      </c>
      <c r="C142" s="197" t="s">
        <v>177</v>
      </c>
      <c r="D142" s="197" t="s">
        <v>350</v>
      </c>
      <c r="E142" s="197"/>
      <c r="F142" s="197" t="s">
        <v>174</v>
      </c>
      <c r="G142" s="74">
        <f t="shared" si="46"/>
        <v>8125</v>
      </c>
      <c r="H142" s="192">
        <v>5</v>
      </c>
      <c r="I142" s="77">
        <f t="shared" si="47"/>
        <v>8125</v>
      </c>
      <c r="J142" s="192">
        <v>7</v>
      </c>
      <c r="K142" s="78">
        <f t="shared" si="48"/>
        <v>8125</v>
      </c>
      <c r="L142" s="192">
        <v>2</v>
      </c>
      <c r="M142" s="77">
        <f t="shared" si="49"/>
        <v>8125</v>
      </c>
      <c r="N142" s="192">
        <v>6</v>
      </c>
      <c r="P142" s="304">
        <f t="shared" si="44"/>
        <v>20</v>
      </c>
      <c r="Q142" s="192">
        <v>20</v>
      </c>
      <c r="R142" s="234">
        <f>$E$6</f>
        <v>8125</v>
      </c>
      <c r="S142" s="234">
        <f>$E$6</f>
        <v>8125</v>
      </c>
      <c r="T142" s="234">
        <f>$E$6</f>
        <v>8125</v>
      </c>
      <c r="U142" s="234">
        <f>$E$6</f>
        <v>8125</v>
      </c>
      <c r="V142" s="81">
        <f t="shared" si="33"/>
        <v>0</v>
      </c>
      <c r="W142" s="78">
        <f t="shared" si="45"/>
        <v>162500</v>
      </c>
    </row>
    <row r="143" spans="1:23" ht="14" customHeight="1" x14ac:dyDescent="0.35">
      <c r="A143" s="151"/>
      <c r="B143" s="423" t="s">
        <v>196</v>
      </c>
      <c r="C143" s="423"/>
      <c r="D143" s="423"/>
      <c r="E143" s="423"/>
      <c r="F143" s="423"/>
      <c r="G143" s="104">
        <f>$B$3</f>
        <v>0</v>
      </c>
      <c r="H143" s="107">
        <v>5</v>
      </c>
      <c r="I143" s="104">
        <f>$B$4</f>
        <v>0</v>
      </c>
      <c r="J143" s="107">
        <v>12</v>
      </c>
      <c r="K143" s="106"/>
      <c r="L143" s="107"/>
      <c r="M143" s="104"/>
      <c r="N143" s="107"/>
      <c r="O143" s="106">
        <f>$B$9</f>
        <v>2500</v>
      </c>
      <c r="P143" s="107"/>
      <c r="Q143" s="107">
        <v>6</v>
      </c>
      <c r="R143" s="104"/>
      <c r="S143" s="81"/>
      <c r="T143" s="81"/>
      <c r="U143" s="81"/>
      <c r="V143" s="81"/>
      <c r="W143" s="78">
        <f>(G143*H143)+(I143*J143)+(O143*Q143)</f>
        <v>15000</v>
      </c>
    </row>
    <row r="144" spans="1:23" ht="14" customHeight="1" x14ac:dyDescent="0.35">
      <c r="A144" s="151"/>
      <c r="B144" s="423" t="s">
        <v>235</v>
      </c>
      <c r="C144" s="423"/>
      <c r="D144" s="423"/>
      <c r="E144" s="423"/>
      <c r="F144" s="423"/>
      <c r="G144" s="104">
        <f>$E$12/($H145+$J145+$L145)</f>
        <v>0</v>
      </c>
      <c r="H144" s="107">
        <v>5</v>
      </c>
      <c r="I144" s="104">
        <f>$E$12/($H145+$J145+$L145)</f>
        <v>0</v>
      </c>
      <c r="J144" s="107">
        <v>12</v>
      </c>
      <c r="K144" s="106">
        <f>$E$12/($H145+$J145+$L145)</f>
        <v>0</v>
      </c>
      <c r="L144" s="107">
        <v>15</v>
      </c>
      <c r="M144" s="104"/>
      <c r="N144" s="107"/>
      <c r="O144" s="106"/>
      <c r="P144" s="107"/>
      <c r="Q144" s="107"/>
      <c r="R144" s="104"/>
      <c r="S144" s="81"/>
      <c r="T144" s="81"/>
      <c r="U144" s="81"/>
      <c r="V144" s="81"/>
      <c r="W144" s="78">
        <f t="shared" ref="W144" si="50">(G144*H144)+(I144*J144)+(K144*L144)+(M144*N144)</f>
        <v>0</v>
      </c>
    </row>
    <row r="145" spans="1:23" s="177" customFormat="1" ht="14" customHeight="1" x14ac:dyDescent="0.4">
      <c r="A145" s="264" t="s">
        <v>227</v>
      </c>
      <c r="B145" s="265"/>
      <c r="C145" s="160"/>
      <c r="D145" s="266" t="s">
        <v>198</v>
      </c>
      <c r="E145" s="265"/>
      <c r="F145" s="265"/>
      <c r="G145" s="161">
        <f>SUMPRODUCT(G123:G144,H123:H144)</f>
        <v>1129196.2663043479</v>
      </c>
      <c r="H145" s="162">
        <v>5</v>
      </c>
      <c r="I145" s="161">
        <f>SUMPRODUCT(I123:I144,J123:J144)</f>
        <v>1803400.6130434782</v>
      </c>
      <c r="J145" s="162">
        <v>12</v>
      </c>
      <c r="K145" s="161">
        <f>SUMPRODUCT(K123:K144,L123:L144)</f>
        <v>1447881.5228260867</v>
      </c>
      <c r="L145" s="162">
        <v>15</v>
      </c>
      <c r="M145" s="161">
        <f>SUMPRODUCT(M123:M144,N123:N144)</f>
        <v>711382.59782608703</v>
      </c>
      <c r="N145" s="162">
        <v>18</v>
      </c>
      <c r="O145" s="163">
        <f>O143*Q143</f>
        <v>15000</v>
      </c>
      <c r="P145" s="273" t="s">
        <v>199</v>
      </c>
      <c r="Q145" s="265"/>
      <c r="R145" s="164">
        <f>H145+J145+L145+N145</f>
        <v>50</v>
      </c>
      <c r="S145" s="165"/>
      <c r="T145" s="165"/>
      <c r="U145" s="165"/>
      <c r="V145" s="165"/>
      <c r="W145" s="165"/>
    </row>
    <row r="146" spans="1:23" s="177" customFormat="1" ht="14" customHeight="1" x14ac:dyDescent="0.4">
      <c r="A146" s="264" t="s">
        <v>228</v>
      </c>
      <c r="B146" s="265"/>
      <c r="C146" s="160"/>
      <c r="D146" s="445" t="s">
        <v>399</v>
      </c>
      <c r="E146" s="265"/>
      <c r="F146" s="265"/>
      <c r="G146" s="167">
        <f>G145/H145</f>
        <v>225839.25326086959</v>
      </c>
      <c r="H146" s="447">
        <f>(SUM(H123:H136)+SUM(H138:H142))/H145</f>
        <v>19</v>
      </c>
      <c r="I146" s="167">
        <f>I145/J145</f>
        <v>150283.38442028986</v>
      </c>
      <c r="J146" s="447">
        <f>(SUM(J123:J136)+SUM(J138:J142))/J145</f>
        <v>12.25</v>
      </c>
      <c r="K146" s="167">
        <f>K145/L145</f>
        <v>96525.434855072454</v>
      </c>
      <c r="L146" s="447">
        <f>(SUM(L123:L136)+SUM(L138:L142))/L145</f>
        <v>7.8666666666666663</v>
      </c>
      <c r="M146" s="167">
        <f>M145/N145</f>
        <v>39521.255434782615</v>
      </c>
      <c r="N146" s="447">
        <f>(SUM(N123:N136)+SUM(N138:N142))/N145</f>
        <v>3.6111111111111112</v>
      </c>
      <c r="O146" s="168"/>
      <c r="P146" s="267" t="s">
        <v>201</v>
      </c>
      <c r="Q146" s="265"/>
      <c r="R146" s="182">
        <f>SUM(G145,I145,K145,M145,O145)</f>
        <v>5106861</v>
      </c>
      <c r="S146" s="165"/>
      <c r="T146" s="165"/>
      <c r="U146" s="165"/>
      <c r="V146" s="165"/>
      <c r="W146" s="169">
        <f>SUM(W123:W144)</f>
        <v>5106861</v>
      </c>
    </row>
    <row r="147" spans="1:23" s="192" customFormat="1" ht="14" customHeight="1" x14ac:dyDescent="0.35">
      <c r="A147" s="342">
        <v>43128</v>
      </c>
      <c r="B147" s="195" t="s">
        <v>384</v>
      </c>
      <c r="C147" s="195" t="s">
        <v>333</v>
      </c>
      <c r="D147" s="195" t="s">
        <v>334</v>
      </c>
      <c r="E147" s="344">
        <v>11161</v>
      </c>
      <c r="F147" s="195"/>
      <c r="G147" s="74">
        <f t="shared" ref="G147:G151" si="51">R147+V147</f>
        <v>7087.0749999999998</v>
      </c>
      <c r="H147" s="192">
        <v>3</v>
      </c>
      <c r="I147" s="77">
        <f t="shared" ref="I147:I151" si="52">S147+V147</f>
        <v>7087.0749999999998</v>
      </c>
      <c r="J147" s="192">
        <v>6</v>
      </c>
      <c r="K147" s="78">
        <f t="shared" ref="K147:K151" si="53">T147+V147</f>
        <v>7087.0749999999998</v>
      </c>
      <c r="L147" s="192">
        <v>6</v>
      </c>
      <c r="M147" s="77">
        <f t="shared" ref="M147:M151" si="54">U147+V147</f>
        <v>7087.0749999999998</v>
      </c>
      <c r="N147" s="192">
        <v>5</v>
      </c>
      <c r="P147" s="304">
        <f t="shared" ref="P147:P157" si="55">H147+J147+L147+N147</f>
        <v>20</v>
      </c>
      <c r="Q147" s="192">
        <v>20</v>
      </c>
      <c r="R147" s="234">
        <f>$E$8</f>
        <v>6250</v>
      </c>
      <c r="S147" s="234">
        <f>$E$7</f>
        <v>6250</v>
      </c>
      <c r="T147" s="234">
        <f>$E$7</f>
        <v>6250</v>
      </c>
      <c r="U147" s="234">
        <f>$E$7</f>
        <v>6250</v>
      </c>
      <c r="V147" s="81">
        <f t="shared" ref="V143:V157" si="56">($E147*($E$13/$Q147))</f>
        <v>837.07499999999993</v>
      </c>
      <c r="W147" s="78">
        <f t="shared" ref="W147:W157" si="57">(G147*H147)+(I147*J147)+(K147*L147)+(M147*N147)</f>
        <v>141741.5</v>
      </c>
    </row>
    <row r="148" spans="1:23" s="192" customFormat="1" ht="14" customHeight="1" x14ac:dyDescent="0.35">
      <c r="A148" s="342">
        <v>43186</v>
      </c>
      <c r="B148" s="195" t="s">
        <v>362</v>
      </c>
      <c r="C148" s="344" t="s">
        <v>172</v>
      </c>
      <c r="D148" s="195" t="s">
        <v>334</v>
      </c>
      <c r="E148" s="344">
        <v>9895</v>
      </c>
      <c r="F148" s="195"/>
      <c r="G148" s="74">
        <f t="shared" si="51"/>
        <v>10117.125</v>
      </c>
      <c r="H148" s="192">
        <v>3</v>
      </c>
      <c r="I148" s="77">
        <f t="shared" si="52"/>
        <v>10117.125</v>
      </c>
      <c r="J148" s="192">
        <v>6</v>
      </c>
      <c r="K148" s="78">
        <f t="shared" si="53"/>
        <v>10117.125</v>
      </c>
      <c r="L148" s="192">
        <v>6</v>
      </c>
      <c r="M148" s="77">
        <f t="shared" si="54"/>
        <v>10117.125</v>
      </c>
      <c r="N148" s="192">
        <v>5</v>
      </c>
      <c r="P148" s="304">
        <f t="shared" si="55"/>
        <v>20</v>
      </c>
      <c r="Q148" s="192">
        <v>20</v>
      </c>
      <c r="R148" s="234">
        <f>$E$5</f>
        <v>9375</v>
      </c>
      <c r="S148" s="234">
        <f>$E$5</f>
        <v>9375</v>
      </c>
      <c r="T148" s="234">
        <f>$E$5</f>
        <v>9375</v>
      </c>
      <c r="U148" s="234">
        <f>$E$5</f>
        <v>9375</v>
      </c>
      <c r="V148" s="81">
        <f t="shared" si="56"/>
        <v>742.125</v>
      </c>
      <c r="W148" s="78">
        <f t="shared" si="57"/>
        <v>202342.5</v>
      </c>
    </row>
    <row r="149" spans="1:23" s="192" customFormat="1" ht="14" customHeight="1" x14ac:dyDescent="0.35">
      <c r="A149" s="342">
        <v>43248</v>
      </c>
      <c r="B149" s="195" t="s">
        <v>361</v>
      </c>
      <c r="C149" s="344" t="s">
        <v>172</v>
      </c>
      <c r="D149" s="195" t="s">
        <v>334</v>
      </c>
      <c r="E149" s="344">
        <v>11882</v>
      </c>
      <c r="F149" s="195"/>
      <c r="G149" s="74">
        <f t="shared" si="51"/>
        <v>10266.15</v>
      </c>
      <c r="H149" s="192">
        <v>3</v>
      </c>
      <c r="I149" s="77">
        <f t="shared" si="52"/>
        <v>19016.150000000001</v>
      </c>
      <c r="J149" s="192">
        <v>6</v>
      </c>
      <c r="K149" s="78">
        <f t="shared" si="53"/>
        <v>19016.150000000001</v>
      </c>
      <c r="L149" s="192">
        <v>6</v>
      </c>
      <c r="M149" s="77">
        <f t="shared" si="54"/>
        <v>19016.150000000001</v>
      </c>
      <c r="N149" s="192">
        <v>5</v>
      </c>
      <c r="P149" s="304">
        <f t="shared" si="55"/>
        <v>20</v>
      </c>
      <c r="Q149" s="192">
        <v>20</v>
      </c>
      <c r="R149" s="234">
        <f>$E$5</f>
        <v>9375</v>
      </c>
      <c r="S149" s="234">
        <f>$N$3</f>
        <v>18125</v>
      </c>
      <c r="T149" s="234">
        <f>$N$3</f>
        <v>18125</v>
      </c>
      <c r="U149" s="234">
        <f>$N$3</f>
        <v>18125</v>
      </c>
      <c r="V149" s="81">
        <f t="shared" si="56"/>
        <v>891.15</v>
      </c>
      <c r="W149" s="78">
        <f t="shared" si="57"/>
        <v>354073</v>
      </c>
    </row>
    <row r="150" spans="1:23" s="192" customFormat="1" ht="14" customHeight="1" x14ac:dyDescent="0.35">
      <c r="A150" s="342">
        <v>43257</v>
      </c>
      <c r="B150" s="195" t="s">
        <v>206</v>
      </c>
      <c r="C150" s="195" t="s">
        <v>181</v>
      </c>
      <c r="D150" s="195" t="s">
        <v>350</v>
      </c>
      <c r="E150" s="344"/>
      <c r="F150" s="195"/>
      <c r="G150" s="74">
        <f t="shared" si="51"/>
        <v>5000</v>
      </c>
      <c r="H150" s="192">
        <v>3</v>
      </c>
      <c r="I150" s="77">
        <f t="shared" si="52"/>
        <v>10000</v>
      </c>
      <c r="J150" s="192">
        <v>6</v>
      </c>
      <c r="K150" s="78">
        <f t="shared" si="53"/>
        <v>10000</v>
      </c>
      <c r="L150" s="192">
        <v>6</v>
      </c>
      <c r="M150" s="77">
        <f t="shared" si="54"/>
        <v>10000</v>
      </c>
      <c r="N150" s="192">
        <v>5</v>
      </c>
      <c r="P150" s="304">
        <f t="shared" si="55"/>
        <v>20</v>
      </c>
      <c r="Q150" s="192">
        <v>20</v>
      </c>
      <c r="R150" s="234">
        <f>$E$9</f>
        <v>5000</v>
      </c>
      <c r="S150" s="234">
        <f>$N$4</f>
        <v>10000</v>
      </c>
      <c r="T150" s="234">
        <f>$N$4</f>
        <v>10000</v>
      </c>
      <c r="U150" s="234">
        <f>$N$4</f>
        <v>10000</v>
      </c>
      <c r="V150" s="81">
        <f t="shared" si="56"/>
        <v>0</v>
      </c>
      <c r="W150" s="78">
        <f t="shared" si="57"/>
        <v>185000</v>
      </c>
    </row>
    <row r="151" spans="1:23" s="192" customFormat="1" ht="14" customHeight="1" x14ac:dyDescent="0.35">
      <c r="A151" s="342">
        <v>43260</v>
      </c>
      <c r="B151" s="195" t="s">
        <v>185</v>
      </c>
      <c r="C151" s="344" t="s">
        <v>333</v>
      </c>
      <c r="D151" s="195" t="s">
        <v>350</v>
      </c>
      <c r="E151" s="344"/>
      <c r="F151" s="195" t="s">
        <v>174</v>
      </c>
      <c r="G151" s="74">
        <f t="shared" si="51"/>
        <v>8125</v>
      </c>
      <c r="H151" s="192">
        <v>3</v>
      </c>
      <c r="I151" s="77">
        <f t="shared" si="52"/>
        <v>6250</v>
      </c>
      <c r="J151" s="192">
        <v>6</v>
      </c>
      <c r="K151" s="78">
        <f t="shared" si="53"/>
        <v>6250</v>
      </c>
      <c r="L151" s="192">
        <v>6</v>
      </c>
      <c r="M151" s="77">
        <f t="shared" si="54"/>
        <v>6250</v>
      </c>
      <c r="N151" s="192">
        <v>5</v>
      </c>
      <c r="P151" s="304">
        <f t="shared" si="55"/>
        <v>20</v>
      </c>
      <c r="Q151" s="192">
        <v>20</v>
      </c>
      <c r="R151" s="234">
        <f>$E$6</f>
        <v>8125</v>
      </c>
      <c r="S151" s="234">
        <f>$E$7</f>
        <v>6250</v>
      </c>
      <c r="T151" s="234">
        <f>$E$7</f>
        <v>6250</v>
      </c>
      <c r="U151" s="234">
        <f>$E$7</f>
        <v>6250</v>
      </c>
      <c r="V151" s="81">
        <f t="shared" si="56"/>
        <v>0</v>
      </c>
      <c r="W151" s="78">
        <f t="shared" si="57"/>
        <v>130625</v>
      </c>
    </row>
    <row r="152" spans="1:23" s="192" customFormat="1" ht="14" customHeight="1" x14ac:dyDescent="0.35">
      <c r="A152" s="342">
        <v>43350</v>
      </c>
      <c r="B152" s="195" t="s">
        <v>194</v>
      </c>
      <c r="C152" s="344" t="s">
        <v>181</v>
      </c>
      <c r="D152" s="195" t="s">
        <v>334</v>
      </c>
      <c r="E152" s="344">
        <v>32489</v>
      </c>
      <c r="F152" s="195" t="s">
        <v>174</v>
      </c>
      <c r="G152" s="74">
        <f t="shared" ref="G152:G157" si="58">R152+V152</f>
        <v>7436.6749999999993</v>
      </c>
      <c r="H152" s="192">
        <v>3</v>
      </c>
      <c r="I152" s="77">
        <f t="shared" ref="I152:I157" si="59">S152+V152</f>
        <v>20561.674999999999</v>
      </c>
      <c r="J152" s="192">
        <v>6</v>
      </c>
      <c r="K152" s="78">
        <f t="shared" ref="K152:K157" si="60">T152+V152</f>
        <v>20561.674999999999</v>
      </c>
      <c r="L152" s="192">
        <v>6</v>
      </c>
      <c r="M152" s="77">
        <f t="shared" ref="M152:M157" si="61">U152+V152</f>
        <v>20561.674999999999</v>
      </c>
      <c r="N152" s="192">
        <v>5</v>
      </c>
      <c r="P152" s="304">
        <f t="shared" si="55"/>
        <v>20</v>
      </c>
      <c r="Q152" s="192">
        <v>20</v>
      </c>
      <c r="R152" s="234">
        <f>$E$9</f>
        <v>5000</v>
      </c>
      <c r="S152" s="234">
        <f>$N$3</f>
        <v>18125</v>
      </c>
      <c r="T152" s="234">
        <f>$N$3</f>
        <v>18125</v>
      </c>
      <c r="U152" s="234">
        <f>$N$3</f>
        <v>18125</v>
      </c>
      <c r="V152" s="81">
        <f t="shared" si="56"/>
        <v>2436.6749999999997</v>
      </c>
      <c r="W152" s="78">
        <f t="shared" si="57"/>
        <v>371858.5</v>
      </c>
    </row>
    <row r="153" spans="1:23" s="192" customFormat="1" ht="14" customHeight="1" x14ac:dyDescent="0.35">
      <c r="A153" s="342">
        <v>43354</v>
      </c>
      <c r="B153" s="195" t="s">
        <v>187</v>
      </c>
      <c r="C153" s="195" t="s">
        <v>172</v>
      </c>
      <c r="D153" s="195" t="s">
        <v>334</v>
      </c>
      <c r="E153" s="344">
        <v>40194</v>
      </c>
      <c r="F153" s="195" t="s">
        <v>174</v>
      </c>
      <c r="G153" s="74">
        <f t="shared" si="58"/>
        <v>20639.55</v>
      </c>
      <c r="H153" s="192">
        <v>3</v>
      </c>
      <c r="I153" s="77">
        <f t="shared" si="59"/>
        <v>13014.55</v>
      </c>
      <c r="J153" s="192">
        <v>6</v>
      </c>
      <c r="K153" s="78">
        <f t="shared" si="60"/>
        <v>13014.55</v>
      </c>
      <c r="L153" s="192">
        <v>6</v>
      </c>
      <c r="M153" s="77">
        <f t="shared" si="61"/>
        <v>13014.55</v>
      </c>
      <c r="N153" s="192">
        <v>5</v>
      </c>
      <c r="P153" s="304">
        <f t="shared" si="55"/>
        <v>20</v>
      </c>
      <c r="Q153" s="192">
        <v>20</v>
      </c>
      <c r="R153" s="234">
        <f>$E$3</f>
        <v>17625</v>
      </c>
      <c r="S153" s="234">
        <f>$N$4</f>
        <v>10000</v>
      </c>
      <c r="T153" s="234">
        <f>$N$4</f>
        <v>10000</v>
      </c>
      <c r="U153" s="234">
        <f>$N$4</f>
        <v>10000</v>
      </c>
      <c r="V153" s="81">
        <f t="shared" si="56"/>
        <v>3014.5499999999997</v>
      </c>
      <c r="W153" s="78">
        <f t="shared" si="57"/>
        <v>283166</v>
      </c>
    </row>
    <row r="154" spans="1:23" s="192" customFormat="1" ht="14" customHeight="1" x14ac:dyDescent="0.35">
      <c r="A154" s="342">
        <v>43384</v>
      </c>
      <c r="B154" s="195" t="s">
        <v>210</v>
      </c>
      <c r="C154" s="344" t="s">
        <v>181</v>
      </c>
      <c r="D154" s="195" t="s">
        <v>334</v>
      </c>
      <c r="E154" s="344">
        <v>38631</v>
      </c>
      <c r="F154" s="195" t="s">
        <v>179</v>
      </c>
      <c r="G154" s="74">
        <f t="shared" si="58"/>
        <v>7897.3249999999998</v>
      </c>
      <c r="H154" s="192">
        <v>3</v>
      </c>
      <c r="I154" s="77">
        <f t="shared" si="59"/>
        <v>12272.325000000001</v>
      </c>
      <c r="J154" s="192">
        <v>6</v>
      </c>
      <c r="K154" s="78">
        <f t="shared" si="60"/>
        <v>12272.325000000001</v>
      </c>
      <c r="L154" s="192">
        <v>6</v>
      </c>
      <c r="M154" s="77">
        <f t="shared" si="61"/>
        <v>12272.325000000001</v>
      </c>
      <c r="N154" s="192">
        <v>5</v>
      </c>
      <c r="P154" s="304">
        <f t="shared" si="55"/>
        <v>20</v>
      </c>
      <c r="Q154" s="192">
        <v>20</v>
      </c>
      <c r="R154" s="234">
        <f>$E$9</f>
        <v>5000</v>
      </c>
      <c r="S154" s="234">
        <f>$E$5</f>
        <v>9375</v>
      </c>
      <c r="T154" s="234">
        <f>$E$5</f>
        <v>9375</v>
      </c>
      <c r="U154" s="234">
        <f>$E$5</f>
        <v>9375</v>
      </c>
      <c r="V154" s="81">
        <f t="shared" si="56"/>
        <v>2897.3249999999998</v>
      </c>
      <c r="W154" s="78">
        <f t="shared" si="57"/>
        <v>232321.50000000003</v>
      </c>
    </row>
    <row r="155" spans="1:23" s="192" customFormat="1" ht="14" customHeight="1" x14ac:dyDescent="0.35">
      <c r="A155" s="342">
        <v>43389</v>
      </c>
      <c r="B155" s="195" t="s">
        <v>365</v>
      </c>
      <c r="C155" s="344" t="s">
        <v>333</v>
      </c>
      <c r="D155" s="195" t="s">
        <v>334</v>
      </c>
      <c r="E155" s="344">
        <v>24959</v>
      </c>
      <c r="F155" s="195" t="s">
        <v>179</v>
      </c>
      <c r="G155" s="74">
        <f t="shared" si="58"/>
        <v>8121.9250000000002</v>
      </c>
      <c r="H155" s="192">
        <v>3</v>
      </c>
      <c r="I155" s="77">
        <f t="shared" si="59"/>
        <v>8434.9249999999993</v>
      </c>
      <c r="J155" s="192">
        <v>6</v>
      </c>
      <c r="K155" s="78">
        <f t="shared" si="60"/>
        <v>8434.9249999999993</v>
      </c>
      <c r="L155" s="192">
        <v>6</v>
      </c>
      <c r="M155" s="77">
        <f t="shared" si="61"/>
        <v>8434.9249999999993</v>
      </c>
      <c r="N155" s="192">
        <v>5</v>
      </c>
      <c r="P155" s="304">
        <f t="shared" si="55"/>
        <v>20</v>
      </c>
      <c r="Q155" s="192">
        <v>20</v>
      </c>
      <c r="R155" s="234">
        <f>$E$7</f>
        <v>6250</v>
      </c>
      <c r="S155" s="234">
        <f>$H$5</f>
        <v>6563</v>
      </c>
      <c r="T155" s="234">
        <f>$H$5</f>
        <v>6563</v>
      </c>
      <c r="U155" s="234">
        <f>$H$5</f>
        <v>6563</v>
      </c>
      <c r="V155" s="81">
        <f t="shared" si="56"/>
        <v>1871.925</v>
      </c>
      <c r="W155" s="78">
        <f t="shared" si="57"/>
        <v>167759.5</v>
      </c>
    </row>
    <row r="156" spans="1:23" s="215" customFormat="1" ht="14" customHeight="1" x14ac:dyDescent="0.35">
      <c r="A156" s="657">
        <v>43419</v>
      </c>
      <c r="B156" s="343" t="s">
        <v>202</v>
      </c>
      <c r="C156" s="658" t="s">
        <v>181</v>
      </c>
      <c r="D156" s="343" t="s">
        <v>350</v>
      </c>
      <c r="E156" s="658"/>
      <c r="F156" s="343" t="s">
        <v>174</v>
      </c>
      <c r="G156" s="77">
        <f t="shared" si="58"/>
        <v>5000</v>
      </c>
      <c r="H156" s="215">
        <v>3</v>
      </c>
      <c r="I156" s="77">
        <f t="shared" si="59"/>
        <v>9375</v>
      </c>
      <c r="J156" s="215">
        <v>6</v>
      </c>
      <c r="K156" s="78">
        <f t="shared" si="60"/>
        <v>9375</v>
      </c>
      <c r="L156" s="215">
        <v>6</v>
      </c>
      <c r="M156" s="77">
        <f t="shared" si="61"/>
        <v>9375</v>
      </c>
      <c r="N156" s="215">
        <v>5</v>
      </c>
      <c r="P156" s="659">
        <f t="shared" si="55"/>
        <v>20</v>
      </c>
      <c r="Q156" s="215">
        <v>20</v>
      </c>
      <c r="R156" s="660">
        <f>$E$9</f>
        <v>5000</v>
      </c>
      <c r="S156" s="660">
        <f>$H$4</f>
        <v>9375</v>
      </c>
      <c r="T156" s="660">
        <f>$H$4</f>
        <v>9375</v>
      </c>
      <c r="U156" s="660">
        <f>$H$4</f>
        <v>9375</v>
      </c>
      <c r="V156" s="77">
        <f t="shared" si="56"/>
        <v>0</v>
      </c>
      <c r="W156" s="78">
        <f t="shared" si="57"/>
        <v>174375</v>
      </c>
    </row>
    <row r="157" spans="1:23" s="215" customFormat="1" ht="14" customHeight="1" x14ac:dyDescent="0.35">
      <c r="A157" s="657">
        <v>43424</v>
      </c>
      <c r="B157" s="343" t="s">
        <v>370</v>
      </c>
      <c r="C157" s="658" t="s">
        <v>181</v>
      </c>
      <c r="D157" s="343" t="s">
        <v>350</v>
      </c>
      <c r="E157" s="658"/>
      <c r="F157" s="343" t="s">
        <v>179</v>
      </c>
      <c r="G157" s="77">
        <f t="shared" si="58"/>
        <v>5000</v>
      </c>
      <c r="H157" s="215">
        <v>3</v>
      </c>
      <c r="I157" s="77">
        <f t="shared" si="59"/>
        <v>9375</v>
      </c>
      <c r="J157" s="215">
        <v>6</v>
      </c>
      <c r="K157" s="78">
        <f t="shared" si="60"/>
        <v>9375</v>
      </c>
      <c r="L157" s="215">
        <v>6</v>
      </c>
      <c r="M157" s="77">
        <f t="shared" si="61"/>
        <v>9375</v>
      </c>
      <c r="N157" s="215">
        <v>5</v>
      </c>
      <c r="P157" s="659">
        <f t="shared" si="55"/>
        <v>20</v>
      </c>
      <c r="Q157" s="215">
        <v>20</v>
      </c>
      <c r="R157" s="660">
        <f>$E$9</f>
        <v>5000</v>
      </c>
      <c r="S157" s="660">
        <f>$H$4</f>
        <v>9375</v>
      </c>
      <c r="T157" s="660">
        <f>$H$4</f>
        <v>9375</v>
      </c>
      <c r="U157" s="660">
        <f>$H$4</f>
        <v>9375</v>
      </c>
      <c r="V157" s="77">
        <f t="shared" si="56"/>
        <v>0</v>
      </c>
      <c r="W157" s="78">
        <f t="shared" si="57"/>
        <v>174375</v>
      </c>
    </row>
    <row r="158" spans="1:23" s="411" customFormat="1" ht="14" customHeight="1" x14ac:dyDescent="0.35">
      <c r="A158" s="454"/>
      <c r="B158" s="455" t="s">
        <v>196</v>
      </c>
      <c r="C158" s="456"/>
      <c r="D158" s="457"/>
      <c r="E158" s="458"/>
      <c r="F158" s="459"/>
      <c r="G158" s="104">
        <f>$B$3</f>
        <v>0</v>
      </c>
      <c r="H158" s="411">
        <v>3</v>
      </c>
      <c r="I158" s="104">
        <f>$B$4</f>
        <v>0</v>
      </c>
      <c r="J158" s="107">
        <v>12</v>
      </c>
      <c r="K158" s="106"/>
      <c r="L158" s="107"/>
      <c r="M158" s="104"/>
      <c r="N158" s="107"/>
      <c r="O158" s="106">
        <f>$B$8</f>
        <v>1875</v>
      </c>
      <c r="P158" s="107"/>
      <c r="Q158" s="107">
        <v>6</v>
      </c>
      <c r="R158" s="104"/>
      <c r="S158" s="104"/>
      <c r="T158" s="104"/>
      <c r="U158" s="104"/>
      <c r="V158" s="104"/>
      <c r="W158" s="106">
        <f>(G158*H158)+(I158*J158)+(O158*Q158)</f>
        <v>11250</v>
      </c>
    </row>
    <row r="159" spans="1:23" s="411" customFormat="1" ht="14" customHeight="1" x14ac:dyDescent="0.35">
      <c r="A159" s="454"/>
      <c r="B159" s="455" t="s">
        <v>235</v>
      </c>
      <c r="C159" s="456"/>
      <c r="D159" s="457"/>
      <c r="E159" s="458"/>
      <c r="F159" s="459"/>
      <c r="G159" s="104">
        <f>$E$12/($H160+$J160+$L160)</f>
        <v>0</v>
      </c>
      <c r="H159" s="411">
        <v>3</v>
      </c>
      <c r="I159" s="104">
        <f>$E$12/($H160+$J160+$L160)</f>
        <v>0</v>
      </c>
      <c r="J159" s="107">
        <v>12</v>
      </c>
      <c r="K159" s="106">
        <f>$E$12/($H160+$J160+$L160)</f>
        <v>0</v>
      </c>
      <c r="L159" s="107">
        <v>15</v>
      </c>
      <c r="M159" s="104"/>
      <c r="N159" s="107"/>
      <c r="O159" s="106"/>
      <c r="P159" s="107"/>
      <c r="Q159" s="107"/>
      <c r="R159" s="104"/>
      <c r="S159" s="104"/>
      <c r="T159" s="104"/>
      <c r="U159" s="104"/>
      <c r="V159" s="104"/>
      <c r="W159" s="106">
        <f t="shared" ref="W159" si="62">(G159*H159)+(I159*J159)+(K159*L159)+(M159*N159)</f>
        <v>0</v>
      </c>
    </row>
    <row r="160" spans="1:23" s="195" customFormat="1" ht="14" customHeight="1" x14ac:dyDescent="0.4">
      <c r="A160" s="362" t="s">
        <v>389</v>
      </c>
      <c r="B160" s="275"/>
      <c r="C160" s="363"/>
      <c r="D160" s="364" t="s">
        <v>198</v>
      </c>
      <c r="E160" s="275"/>
      <c r="F160" s="275"/>
      <c r="G160" s="365">
        <f>SUMPRODUCT(G147:G159,H147:H159)</f>
        <v>284072.47499999998</v>
      </c>
      <c r="H160" s="366">
        <v>3</v>
      </c>
      <c r="I160" s="365">
        <f>SUMPRODUCT(I147:I159,J147:J159)</f>
        <v>753022.95</v>
      </c>
      <c r="J160" s="366">
        <v>12</v>
      </c>
      <c r="K160" s="365">
        <f>SUMPRODUCT(K147:K159,L147:L159)</f>
        <v>753022.95</v>
      </c>
      <c r="L160" s="366">
        <v>15</v>
      </c>
      <c r="M160" s="365">
        <f>SUMPRODUCT(M147:M159,N147:N159)</f>
        <v>627519.125</v>
      </c>
      <c r="N160" s="366">
        <v>24</v>
      </c>
      <c r="O160" s="367">
        <f>O158*Q158</f>
        <v>11250</v>
      </c>
      <c r="P160" s="368" t="s">
        <v>199</v>
      </c>
      <c r="Q160" s="275"/>
      <c r="R160" s="369">
        <f>H160+J160+L160+N160</f>
        <v>54</v>
      </c>
      <c r="S160" s="370"/>
      <c r="T160" s="370"/>
      <c r="U160" s="370"/>
      <c r="V160" s="370"/>
      <c r="W160" s="370"/>
    </row>
    <row r="161" spans="1:23" s="195" customFormat="1" ht="14" customHeight="1" x14ac:dyDescent="0.4">
      <c r="A161" s="362" t="s">
        <v>390</v>
      </c>
      <c r="B161" s="275"/>
      <c r="C161" s="363"/>
      <c r="D161" s="446" t="s">
        <v>399</v>
      </c>
      <c r="E161" s="275"/>
      <c r="F161" s="275"/>
      <c r="G161" s="114">
        <f>G160/H160</f>
        <v>94690.824999999997</v>
      </c>
      <c r="H161" s="448">
        <f>(SUM(H147:H157))/H160</f>
        <v>11</v>
      </c>
      <c r="I161" s="114">
        <f>I160/J160</f>
        <v>62751.912499999999</v>
      </c>
      <c r="J161" s="448">
        <f>(SUM(J147:J157))/J160</f>
        <v>5.5</v>
      </c>
      <c r="K161" s="114">
        <f>K160/L160</f>
        <v>50201.53</v>
      </c>
      <c r="L161" s="448">
        <f>(SUM(L147:L157))/L160</f>
        <v>4.4000000000000004</v>
      </c>
      <c r="M161" s="114">
        <f>M160/N160</f>
        <v>26146.630208333332</v>
      </c>
      <c r="N161" s="448">
        <f>(SUM(N147:N157))/N160</f>
        <v>2.2916666666666665</v>
      </c>
      <c r="O161" s="371"/>
      <c r="P161" s="372" t="s">
        <v>201</v>
      </c>
      <c r="Q161" s="275"/>
      <c r="R161" s="373">
        <f>SUM(G160,I160,K160,M160,O160)</f>
        <v>2428887.5</v>
      </c>
      <c r="S161" s="370"/>
      <c r="T161" s="370"/>
      <c r="U161" s="370"/>
      <c r="V161" s="370"/>
      <c r="W161" s="374">
        <f>SUM(W147:W159)</f>
        <v>2428887.5</v>
      </c>
    </row>
    <row r="162" spans="1:23" ht="14" customHeight="1" x14ac:dyDescent="0.4">
      <c r="A162" s="180"/>
      <c r="B162" s="180"/>
      <c r="C162" s="180"/>
      <c r="D162" s="180"/>
      <c r="E162" s="180"/>
      <c r="F162" s="180"/>
      <c r="G162" s="77"/>
      <c r="H162" s="109"/>
      <c r="I162" s="109"/>
      <c r="J162" s="109"/>
      <c r="K162" s="109"/>
      <c r="L162" s="109"/>
      <c r="M162" s="109"/>
    </row>
  </sheetData>
  <sortState ref="A52:Z68">
    <sortCondition ref="A52:A68"/>
  </sortState>
  <mergeCells count="87">
    <mergeCell ref="B137:F137"/>
    <mergeCell ref="B143:F143"/>
    <mergeCell ref="B144:F144"/>
    <mergeCell ref="K20:L20"/>
    <mergeCell ref="B108:F108"/>
    <mergeCell ref="B112:F112"/>
    <mergeCell ref="B119:F119"/>
    <mergeCell ref="B120:F120"/>
    <mergeCell ref="B94:F94"/>
    <mergeCell ref="B95:F95"/>
    <mergeCell ref="B39:F39"/>
    <mergeCell ref="B45:F45"/>
    <mergeCell ref="B87:F87"/>
    <mergeCell ref="B58:F58"/>
    <mergeCell ref="B62:F62"/>
    <mergeCell ref="B69:F69"/>
    <mergeCell ref="B70:F70"/>
    <mergeCell ref="B48:F48"/>
    <mergeCell ref="B49:F49"/>
    <mergeCell ref="A1:O1"/>
    <mergeCell ref="Q2:R2"/>
    <mergeCell ref="S2:T2"/>
    <mergeCell ref="D14:E14"/>
    <mergeCell ref="A15:T15"/>
    <mergeCell ref="S3:T3"/>
    <mergeCell ref="A10:B10"/>
    <mergeCell ref="L13:N13"/>
    <mergeCell ref="S13:T13"/>
    <mergeCell ref="A16:T16"/>
    <mergeCell ref="G18:H18"/>
    <mergeCell ref="I18:J18"/>
    <mergeCell ref="K18:L18"/>
    <mergeCell ref="M18:N18"/>
    <mergeCell ref="P18:Q18"/>
    <mergeCell ref="G19:H19"/>
    <mergeCell ref="I19:J19"/>
    <mergeCell ref="K19:L19"/>
    <mergeCell ref="M19:N19"/>
    <mergeCell ref="P19:Q19"/>
    <mergeCell ref="P20:Q20"/>
    <mergeCell ref="A21:F21"/>
    <mergeCell ref="G21:H21"/>
    <mergeCell ref="I21:J21"/>
    <mergeCell ref="M21:N21"/>
    <mergeCell ref="P21:Q21"/>
    <mergeCell ref="A20:F20"/>
    <mergeCell ref="G20:H20"/>
    <mergeCell ref="I20:J20"/>
    <mergeCell ref="K21:L21"/>
    <mergeCell ref="M20:N20"/>
    <mergeCell ref="A121:B121"/>
    <mergeCell ref="D121:F121"/>
    <mergeCell ref="P121:Q121"/>
    <mergeCell ref="R21:V21"/>
    <mergeCell ref="A71:B71"/>
    <mergeCell ref="D71:F71"/>
    <mergeCell ref="P71:Q71"/>
    <mergeCell ref="A72:B72"/>
    <mergeCell ref="D72:F72"/>
    <mergeCell ref="P72:Q72"/>
    <mergeCell ref="A50:B50"/>
    <mergeCell ref="D50:F50"/>
    <mergeCell ref="P50:Q50"/>
    <mergeCell ref="A51:B51"/>
    <mergeCell ref="D51:F51"/>
    <mergeCell ref="P51:Q51"/>
    <mergeCell ref="A146:B146"/>
    <mergeCell ref="D146:F146"/>
    <mergeCell ref="P146:Q146"/>
    <mergeCell ref="A160:B160"/>
    <mergeCell ref="D160:F160"/>
    <mergeCell ref="P160:Q160"/>
    <mergeCell ref="A161:B161"/>
    <mergeCell ref="D161:F161"/>
    <mergeCell ref="P161:Q161"/>
    <mergeCell ref="S14:T14"/>
    <mergeCell ref="A122:B122"/>
    <mergeCell ref="D122:F122"/>
    <mergeCell ref="P122:Q122"/>
    <mergeCell ref="A145:B145"/>
    <mergeCell ref="D145:F145"/>
    <mergeCell ref="P145:Q145"/>
    <mergeCell ref="A96:B96"/>
    <mergeCell ref="P96:Q96"/>
    <mergeCell ref="A97:B97"/>
    <mergeCell ref="D97:F97"/>
    <mergeCell ref="P97:Q97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Z194"/>
  <sheetViews>
    <sheetView topLeftCell="A155" workbookViewId="0">
      <selection activeCell="E182" sqref="A160:F182"/>
    </sheetView>
  </sheetViews>
  <sheetFormatPr defaultColWidth="14.3984375" defaultRowHeight="14" customHeight="1" x14ac:dyDescent="0.35"/>
  <cols>
    <col min="1" max="1" width="17.1328125" customWidth="1"/>
    <col min="2" max="2" width="11.86328125" customWidth="1"/>
    <col min="3" max="3" width="4.73046875" customWidth="1"/>
    <col min="4" max="4" width="11.3984375" customWidth="1"/>
    <col min="5" max="5" width="9.1328125" style="600" customWidth="1"/>
    <col min="6" max="6" width="5.265625" customWidth="1"/>
    <col min="7" max="7" width="10.796875" customWidth="1"/>
    <col min="8" max="8" width="7.19921875" customWidth="1"/>
    <col min="9" max="9" width="10.19921875" customWidth="1"/>
    <col min="10" max="10" width="10.1328125" customWidth="1"/>
    <col min="11" max="11" width="9.9296875" customWidth="1"/>
    <col min="12" max="12" width="11.1328125" customWidth="1"/>
    <col min="13" max="13" width="10.796875" customWidth="1"/>
    <col min="14" max="14" width="7.19921875" customWidth="1"/>
    <col min="15" max="15" width="10.3984375" customWidth="1"/>
    <col min="16" max="17" width="10.6640625" style="215" customWidth="1"/>
    <col min="18" max="19" width="11.265625" style="215" customWidth="1"/>
    <col min="20" max="20" width="11.73046875" style="215" customWidth="1"/>
    <col min="21" max="21" width="12.265625" style="215" customWidth="1"/>
    <col min="22" max="22" width="10.06640625" style="215" customWidth="1"/>
    <col min="23" max="23" width="14.3984375" style="215"/>
  </cols>
  <sheetData>
    <row r="1" spans="1:23" ht="18.399999999999999" customHeight="1" x14ac:dyDescent="0.4">
      <c r="A1" s="299" t="s">
        <v>1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7"/>
      <c r="Q1" s="631"/>
      <c r="R1" s="631"/>
      <c r="S1" s="631"/>
      <c r="T1" s="631"/>
      <c r="U1" s="29"/>
      <c r="V1" s="29"/>
      <c r="W1" s="29"/>
    </row>
    <row r="2" spans="1:23" ht="14" customHeight="1" x14ac:dyDescent="0.4">
      <c r="A2" s="470" t="str">
        <f>main!A5</f>
        <v>Salaries</v>
      </c>
      <c r="B2" s="187"/>
      <c r="C2" s="187"/>
      <c r="D2" s="470" t="str">
        <f>main!D5</f>
        <v>Friendlies</v>
      </c>
      <c r="E2" s="186"/>
      <c r="F2" s="222"/>
      <c r="G2" s="470" t="str">
        <f>main!G5</f>
        <v>Tourneys</v>
      </c>
      <c r="H2" s="204" t="str">
        <f>main!H5</f>
        <v>Nat Lg</v>
      </c>
      <c r="I2" s="204" t="str">
        <f>main!I5</f>
        <v>SheB Cp</v>
      </c>
      <c r="J2" s="204" t="str">
        <f>main!J5</f>
        <v>Others</v>
      </c>
      <c r="K2" s="223"/>
      <c r="L2" s="470" t="str">
        <f>main!L5</f>
        <v>WCQ/OlyQ</v>
      </c>
      <c r="M2" s="205" t="str">
        <f>main!M5</f>
        <v>1st rd</v>
      </c>
      <c r="N2" s="205" t="str">
        <f>main!N5</f>
        <v>2nd rd</v>
      </c>
      <c r="O2" s="224"/>
      <c r="P2" s="470" t="str">
        <f>main!P5</f>
        <v>Majors</v>
      </c>
      <c r="Q2" s="632" t="str">
        <f>main!Q5</f>
        <v>World Cup</v>
      </c>
      <c r="R2" s="300"/>
      <c r="S2" s="632" t="str">
        <f>main!S5</f>
        <v>Olympics</v>
      </c>
      <c r="T2" s="300"/>
      <c r="U2" s="22"/>
      <c r="V2" s="22"/>
      <c r="W2" s="22"/>
    </row>
    <row r="3" spans="1:23" ht="14" customHeight="1" x14ac:dyDescent="0.4">
      <c r="A3" s="202" t="str">
        <f>main!A6</f>
        <v>Tier 1 (top 10)</v>
      </c>
      <c r="B3" s="187">
        <f>main!B6</f>
        <v>100000</v>
      </c>
      <c r="C3" s="187"/>
      <c r="D3" s="202" t="str">
        <f>main!D6</f>
        <v>W (T4/Can)</v>
      </c>
      <c r="E3" s="187">
        <f>main!E6</f>
        <v>8500</v>
      </c>
      <c r="F3" s="222"/>
      <c r="G3" s="202" t="str">
        <f>main!G6</f>
        <v>Quarters</v>
      </c>
      <c r="H3" s="188" t="str">
        <f>main!H6</f>
        <v>na</v>
      </c>
      <c r="I3" s="188" t="str">
        <f>main!I6</f>
        <v>na</v>
      </c>
      <c r="J3" s="188" t="str">
        <f>main!J6</f>
        <v>na</v>
      </c>
      <c r="K3" s="218"/>
      <c r="L3" s="202" t="str">
        <f>main!L6</f>
        <v>Win</v>
      </c>
      <c r="M3" s="187">
        <f>main!M6</f>
        <v>0</v>
      </c>
      <c r="N3" s="187">
        <f>main!N6</f>
        <v>3000</v>
      </c>
      <c r="O3" s="224"/>
      <c r="P3" s="202" t="str">
        <f>main!P6</f>
        <v>Roster</v>
      </c>
      <c r="Q3" s="187">
        <f>main!Q6</f>
        <v>37500</v>
      </c>
      <c r="R3" s="187"/>
      <c r="S3" s="187">
        <f>main!S6</f>
        <v>25000</v>
      </c>
      <c r="T3" s="202"/>
      <c r="U3" s="22"/>
      <c r="V3" s="22"/>
      <c r="W3" s="22"/>
    </row>
    <row r="4" spans="1:23" ht="14" customHeight="1" x14ac:dyDescent="0.4">
      <c r="A4" s="202" t="str">
        <f>main!A7</f>
        <v>Tier 2 (7-10)</v>
      </c>
      <c r="B4" s="187">
        <f>main!B7</f>
        <v>100000</v>
      </c>
      <c r="C4" s="187"/>
      <c r="D4" s="202" t="str">
        <f>main!D7</f>
        <v>W (5th-8th)</v>
      </c>
      <c r="E4" s="187">
        <f>main!E7</f>
        <v>6500</v>
      </c>
      <c r="F4" s="222"/>
      <c r="G4" s="202" t="str">
        <f>main!G7</f>
        <v>Fourth place</v>
      </c>
      <c r="H4" s="188" t="str">
        <f>main!H7</f>
        <v>na</v>
      </c>
      <c r="I4" s="188" t="str">
        <f>main!I7</f>
        <v>na</v>
      </c>
      <c r="J4" s="188" t="str">
        <f>main!J7</f>
        <v>na</v>
      </c>
      <c r="K4" s="218"/>
      <c r="L4" s="202" t="str">
        <f>main!L7</f>
        <v>Draw</v>
      </c>
      <c r="M4" s="187">
        <f>main!M7</f>
        <v>0</v>
      </c>
      <c r="N4" s="187">
        <f>main!N7</f>
        <v>500</v>
      </c>
      <c r="O4" s="224"/>
      <c r="P4" s="202"/>
      <c r="Q4" s="202" t="str">
        <f>main!Q7</f>
        <v>Individual</v>
      </c>
      <c r="R4" s="202" t="str">
        <f>main!R7</f>
        <v>Team x1m</v>
      </c>
      <c r="S4" s="202" t="str">
        <f>main!S7</f>
        <v>Individual</v>
      </c>
      <c r="T4" s="202" t="str">
        <f>main!T7</f>
        <v>Team x1m</v>
      </c>
      <c r="U4" s="22"/>
      <c r="V4" s="22"/>
      <c r="W4" s="22"/>
    </row>
    <row r="5" spans="1:23" ht="14" customHeight="1" x14ac:dyDescent="0.4">
      <c r="A5" s="202">
        <f>main!A8</f>
        <v>0</v>
      </c>
      <c r="B5" s="187">
        <f>main!B8</f>
        <v>0</v>
      </c>
      <c r="C5" s="187"/>
      <c r="D5" s="202" t="str">
        <f>main!D8</f>
        <v>W (9th+)</v>
      </c>
      <c r="E5" s="187">
        <f>main!E8</f>
        <v>5250</v>
      </c>
      <c r="F5" s="222"/>
      <c r="G5" s="202" t="str">
        <f>main!G8</f>
        <v>Third place</v>
      </c>
      <c r="H5" s="188" t="str">
        <f>main!H8</f>
        <v>na</v>
      </c>
      <c r="I5" s="188" t="str">
        <f>main!I8</f>
        <v>na</v>
      </c>
      <c r="J5" s="188" t="str">
        <f>main!J8</f>
        <v>na</v>
      </c>
      <c r="K5" s="218"/>
      <c r="L5" s="202" t="str">
        <f>main!L8</f>
        <v>Loss</v>
      </c>
      <c r="M5" s="187">
        <f>main!M8</f>
        <v>0</v>
      </c>
      <c r="N5" s="187">
        <f>main!N8</f>
        <v>0</v>
      </c>
      <c r="O5" s="224"/>
      <c r="P5" s="202" t="str">
        <f>main!P8</f>
        <v>Point/grp</v>
      </c>
      <c r="Q5" s="187">
        <f>main!Q8</f>
        <v>0</v>
      </c>
      <c r="R5" s="189">
        <f>main!R8</f>
        <v>0</v>
      </c>
      <c r="S5" s="187">
        <f>main!S8</f>
        <v>0</v>
      </c>
      <c r="T5" s="189">
        <f>main!T8</f>
        <v>0</v>
      </c>
      <c r="U5" s="22"/>
      <c r="V5" s="22"/>
      <c r="W5" s="22"/>
    </row>
    <row r="6" spans="1:23" ht="14" customHeight="1" x14ac:dyDescent="0.4">
      <c r="A6" s="202"/>
      <c r="B6" s="187"/>
      <c r="C6" s="187"/>
      <c r="D6" s="202" t="str">
        <f>main!D9</f>
        <v>D (T4/Can)</v>
      </c>
      <c r="E6" s="187">
        <f>main!E9</f>
        <v>1750</v>
      </c>
      <c r="F6" s="222"/>
      <c r="G6" s="202" t="str">
        <f>main!G9</f>
        <v>Runner-up</v>
      </c>
      <c r="H6" s="188" t="str">
        <f>main!H9</f>
        <v>na</v>
      </c>
      <c r="I6" s="188" t="str">
        <f>main!I9</f>
        <v>na</v>
      </c>
      <c r="J6" s="188" t="str">
        <f>main!J9</f>
        <v>na</v>
      </c>
      <c r="K6" s="218"/>
      <c r="L6" s="202"/>
      <c r="M6" s="187"/>
      <c r="N6" s="187"/>
      <c r="O6" s="224"/>
      <c r="P6" s="202" t="str">
        <f>main!P9</f>
        <v>Knockout rd</v>
      </c>
      <c r="Q6" s="187">
        <f>main!Q9</f>
        <v>0</v>
      </c>
      <c r="R6" s="189">
        <f>main!R9</f>
        <v>0</v>
      </c>
      <c r="S6" s="187">
        <f>main!S9</f>
        <v>0</v>
      </c>
      <c r="T6" s="189">
        <f>main!T9</f>
        <v>0</v>
      </c>
      <c r="U6" s="22"/>
      <c r="V6" s="22"/>
      <c r="W6" s="22"/>
    </row>
    <row r="7" spans="1:23" ht="14" customHeight="1" x14ac:dyDescent="0.4">
      <c r="A7" s="470" t="str">
        <f>main!A10</f>
        <v>Non-salaried</v>
      </c>
      <c r="B7" s="187"/>
      <c r="C7" s="187"/>
      <c r="D7" s="202" t="str">
        <f>main!D10</f>
        <v>D (5th-8th)</v>
      </c>
      <c r="E7" s="187">
        <f>main!E10</f>
        <v>1250</v>
      </c>
      <c r="F7" s="222"/>
      <c r="G7" s="202" t="str">
        <f>main!G10</f>
        <v>Champion</v>
      </c>
      <c r="H7" s="187" t="str">
        <f>main!H10</f>
        <v>na</v>
      </c>
      <c r="I7" s="187">
        <f>main!I10</f>
        <v>5000</v>
      </c>
      <c r="J7" s="187">
        <f>main!J10</f>
        <v>5000</v>
      </c>
      <c r="K7" s="218"/>
      <c r="L7" s="470" t="str">
        <f>main!L10</f>
        <v>Qual bonus</v>
      </c>
      <c r="M7" s="205" t="str">
        <f>main!M10</f>
        <v>per player</v>
      </c>
      <c r="N7" s="205" t="str">
        <f>main!N10</f>
        <v># players</v>
      </c>
      <c r="O7" s="224"/>
      <c r="P7" s="202" t="str">
        <f>main!P10</f>
        <v>Quarters</v>
      </c>
      <c r="Q7" s="187">
        <f>main!Q10</f>
        <v>0</v>
      </c>
      <c r="R7" s="189">
        <f>main!R10</f>
        <v>0</v>
      </c>
      <c r="S7" s="187">
        <f>main!S10</f>
        <v>0</v>
      </c>
      <c r="T7" s="189">
        <f>main!T10</f>
        <v>0</v>
      </c>
      <c r="U7" s="22"/>
      <c r="V7" s="22"/>
      <c r="W7" s="22"/>
    </row>
    <row r="8" spans="1:23" ht="14" customHeight="1" x14ac:dyDescent="0.4">
      <c r="A8" s="202" t="str">
        <f>main!A11</f>
        <v>First camp &lt;11 days</v>
      </c>
      <c r="B8" s="187">
        <f>main!B11</f>
        <v>1500</v>
      </c>
      <c r="C8" s="187"/>
      <c r="D8" s="202" t="str">
        <f>main!D11</f>
        <v>D (9th+)</v>
      </c>
      <c r="E8" s="187">
        <f>main!E11</f>
        <v>0</v>
      </c>
      <c r="F8" s="222"/>
      <c r="G8" s="202"/>
      <c r="H8" s="202"/>
      <c r="I8" s="202"/>
      <c r="J8" s="202"/>
      <c r="K8" s="218"/>
      <c r="L8" s="202" t="str">
        <f>main!L11</f>
        <v>World Cup</v>
      </c>
      <c r="M8" s="187">
        <f>main!M11</f>
        <v>37500</v>
      </c>
      <c r="N8" s="206">
        <f>main!N11</f>
        <v>20</v>
      </c>
      <c r="O8" s="224"/>
      <c r="P8" s="202" t="str">
        <f>main!P11</f>
        <v>Semifinals</v>
      </c>
      <c r="Q8" s="187">
        <f>main!Q11</f>
        <v>0</v>
      </c>
      <c r="R8" s="189">
        <f>main!R11</f>
        <v>0</v>
      </c>
      <c r="S8" s="187">
        <f>main!S11</f>
        <v>0</v>
      </c>
      <c r="T8" s="189">
        <f>main!T11</f>
        <v>0</v>
      </c>
      <c r="U8" s="22"/>
      <c r="V8" s="22"/>
      <c r="W8" s="22"/>
    </row>
    <row r="9" spans="1:23" ht="14" customHeight="1" x14ac:dyDescent="0.4">
      <c r="A9" s="202" t="str">
        <f>main!A12</f>
        <v>First camp &gt;10 days</v>
      </c>
      <c r="B9" s="187">
        <f>main!B12</f>
        <v>2000</v>
      </c>
      <c r="C9" s="187"/>
      <c r="D9" s="202" t="str">
        <f>main!D12</f>
        <v>Loss</v>
      </c>
      <c r="E9" s="187">
        <f>main!E12</f>
        <v>0</v>
      </c>
      <c r="F9" s="222"/>
      <c r="G9" s="202"/>
      <c r="H9" s="187"/>
      <c r="I9" s="187"/>
      <c r="J9" s="187"/>
      <c r="K9" s="218"/>
      <c r="L9" s="202" t="str">
        <f>main!L12</f>
        <v>Olympics</v>
      </c>
      <c r="M9" s="187">
        <f>main!M12</f>
        <v>25000</v>
      </c>
      <c r="N9" s="206">
        <f>main!N12</f>
        <v>20</v>
      </c>
      <c r="O9" s="224"/>
      <c r="P9" s="202" t="str">
        <f>main!P12</f>
        <v>Third place</v>
      </c>
      <c r="Q9" s="187">
        <f>main!Q12</f>
        <v>25000</v>
      </c>
      <c r="R9" s="189">
        <f>main!R12</f>
        <v>0.57499999999999996</v>
      </c>
      <c r="S9" s="187">
        <f>main!S12</f>
        <v>25000</v>
      </c>
      <c r="T9" s="189">
        <f>main!T12</f>
        <v>0.45</v>
      </c>
      <c r="U9" s="22"/>
      <c r="V9" s="22"/>
      <c r="W9" s="22"/>
    </row>
    <row r="10" spans="1:23" ht="14" customHeight="1" x14ac:dyDescent="0.4">
      <c r="A10" s="202" t="str">
        <f>main!A13</f>
        <v>Future camps &lt;11 d</v>
      </c>
      <c r="B10" s="187">
        <f>main!B13</f>
        <v>2500</v>
      </c>
      <c r="C10" s="187"/>
      <c r="D10" s="203"/>
      <c r="E10" s="186"/>
      <c r="F10" s="222"/>
      <c r="G10" s="225"/>
      <c r="H10" s="217"/>
      <c r="I10" s="217"/>
      <c r="J10" s="217"/>
      <c r="K10" s="218"/>
      <c r="L10" s="225"/>
      <c r="M10" s="217"/>
      <c r="N10" s="217"/>
      <c r="O10" s="224"/>
      <c r="P10" s="202" t="str">
        <f>main!P13</f>
        <v>Runner-up</v>
      </c>
      <c r="Q10" s="187">
        <f>main!Q13</f>
        <v>50000</v>
      </c>
      <c r="R10" s="189">
        <f>main!R13</f>
        <v>1.1499999999999999</v>
      </c>
      <c r="S10" s="187">
        <f>main!S13</f>
        <v>55500</v>
      </c>
      <c r="T10" s="189">
        <f>main!T13</f>
        <v>0.999</v>
      </c>
      <c r="U10" s="22"/>
      <c r="V10" s="22"/>
      <c r="W10" s="22"/>
    </row>
    <row r="11" spans="1:23" ht="14" customHeight="1" x14ac:dyDescent="0.4">
      <c r="A11" s="202" t="str">
        <f>main!A14</f>
        <v>Future camps &gt;10 d</v>
      </c>
      <c r="B11" s="187">
        <f>main!B14</f>
        <v>3000</v>
      </c>
      <c r="C11" s="187"/>
      <c r="D11" s="470" t="str">
        <f>main!D14</f>
        <v>Pool pay</v>
      </c>
      <c r="E11" s="186"/>
      <c r="F11" s="222"/>
      <c r="G11" s="202"/>
      <c r="H11" s="470" t="str">
        <f>main!H14</f>
        <v>Tour</v>
      </c>
      <c r="I11" s="205" t="str">
        <f>main!I14</f>
        <v>Wrld Cup</v>
      </c>
      <c r="J11" s="205" t="str">
        <f>main!J14</f>
        <v>Team x1m</v>
      </c>
      <c r="K11" s="208"/>
      <c r="L11" s="205" t="str">
        <f>main!L14</f>
        <v>Olympics</v>
      </c>
      <c r="M11" s="205" t="str">
        <f>main!M14</f>
        <v>Team x1m</v>
      </c>
      <c r="N11" s="205"/>
      <c r="O11" s="224"/>
      <c r="P11" s="202" t="str">
        <f>main!P14</f>
        <v>Champion</v>
      </c>
      <c r="Q11" s="187">
        <f>main!Q14</f>
        <v>110000</v>
      </c>
      <c r="R11" s="189">
        <f>main!R14</f>
        <v>2.5299999999999998</v>
      </c>
      <c r="S11" s="187">
        <f>main!S14</f>
        <v>100000</v>
      </c>
      <c r="T11" s="189">
        <f>main!T14</f>
        <v>1.8</v>
      </c>
      <c r="U11" s="22"/>
      <c r="V11" s="22"/>
      <c r="W11" s="22"/>
    </row>
    <row r="12" spans="1:23" ht="14" customHeight="1" x14ac:dyDescent="0.4">
      <c r="A12" s="202" t="str">
        <f>main!A15</f>
        <v>Game roster &lt;8th</v>
      </c>
      <c r="B12" s="187">
        <f>main!B15</f>
        <v>3250</v>
      </c>
      <c r="C12" s="187"/>
      <c r="D12" s="202" t="str">
        <f>main!D15</f>
        <v>Likenesses</v>
      </c>
      <c r="E12" s="187">
        <f>main!E15</f>
        <v>350000</v>
      </c>
      <c r="F12" s="222"/>
      <c r="G12" s="471" t="str">
        <f>main!G15</f>
        <v>post-event tour</v>
      </c>
      <c r="H12" s="203" t="str">
        <f>main!H15</f>
        <v>Gold</v>
      </c>
      <c r="I12" s="187">
        <f>main!I15</f>
        <v>60869.565217391304</v>
      </c>
      <c r="J12" s="189">
        <f>main!J15</f>
        <v>1.4</v>
      </c>
      <c r="K12" s="187"/>
      <c r="L12" s="187">
        <f>main!L15</f>
        <v>66666.666666666672</v>
      </c>
      <c r="M12" s="189">
        <f>main!M15</f>
        <v>1.2</v>
      </c>
      <c r="N12" s="187"/>
      <c r="O12" s="224"/>
      <c r="P12" s="202" t="str">
        <f>main!P15</f>
        <v>Per game*</v>
      </c>
      <c r="Q12" s="187">
        <f>main!Q15</f>
        <v>4500</v>
      </c>
      <c r="R12" s="189">
        <f>main!R15</f>
        <v>0</v>
      </c>
      <c r="S12" s="187">
        <f>main!S15</f>
        <v>0</v>
      </c>
      <c r="T12" s="189">
        <f>main!T15</f>
        <v>0</v>
      </c>
      <c r="U12" s="22"/>
      <c r="V12" s="22"/>
      <c r="W12" s="22"/>
    </row>
    <row r="13" spans="1:23" ht="14" customHeight="1" x14ac:dyDescent="0.4">
      <c r="A13" s="202" t="str">
        <f>main!A16</f>
        <v>Game roster 8th+</v>
      </c>
      <c r="B13" s="187">
        <f>main!B16</f>
        <v>3750</v>
      </c>
      <c r="C13" s="187"/>
      <c r="D13" s="202" t="str">
        <f>main!D16</f>
        <v>Attendance</v>
      </c>
      <c r="E13" s="190">
        <f>main!E16</f>
        <v>1.5</v>
      </c>
      <c r="F13" s="222"/>
      <c r="G13" s="471" t="str">
        <f>main!G16</f>
        <v>4 games</v>
      </c>
      <c r="H13" s="203" t="str">
        <f>main!H16</f>
        <v>Silver</v>
      </c>
      <c r="I13" s="187">
        <f>main!I16</f>
        <v>52173.913043478264</v>
      </c>
      <c r="J13" s="189">
        <f>main!J16</f>
        <v>1.2</v>
      </c>
      <c r="K13" s="187"/>
      <c r="L13" s="187">
        <f>main!L16</f>
        <v>55555.555555555555</v>
      </c>
      <c r="M13" s="189">
        <f>main!M16</f>
        <v>1</v>
      </c>
      <c r="N13" s="187"/>
      <c r="O13" s="224"/>
      <c r="P13" s="203" t="str">
        <f>main!P16</f>
        <v xml:space="preserve">Max </v>
      </c>
      <c r="Q13" s="187">
        <f>main!Q16</f>
        <v>141500</v>
      </c>
      <c r="R13" s="189">
        <f>main!R16</f>
        <v>2.5299999999999998</v>
      </c>
      <c r="S13" s="187">
        <f>main!S16</f>
        <v>100000</v>
      </c>
      <c r="T13" s="189">
        <f>main!T16</f>
        <v>1.8</v>
      </c>
      <c r="U13" s="22"/>
      <c r="V13" s="22"/>
      <c r="W13" s="22"/>
    </row>
    <row r="14" spans="1:23" ht="14" customHeight="1" x14ac:dyDescent="0.4">
      <c r="A14" s="202" t="str">
        <f>main!A17</f>
        <v>WCup roster per/gm</v>
      </c>
      <c r="B14" s="187">
        <f>main!B17</f>
        <v>4500</v>
      </c>
      <c r="C14" s="187"/>
      <c r="D14" s="302" t="str">
        <f>main!D17</f>
        <v>per ticket / home games</v>
      </c>
      <c r="E14" s="303">
        <f>main!E17</f>
        <v>0</v>
      </c>
      <c r="F14" s="222"/>
      <c r="G14" s="202"/>
      <c r="H14" s="203" t="str">
        <f>main!H17</f>
        <v>Bronze</v>
      </c>
      <c r="I14" s="187">
        <f>main!I17</f>
        <v>43478.260869565216</v>
      </c>
      <c r="J14" s="189">
        <f>main!J17</f>
        <v>1</v>
      </c>
      <c r="K14" s="187"/>
      <c r="L14" s="187">
        <f>main!L17</f>
        <v>44444.444444444445</v>
      </c>
      <c r="M14" s="189">
        <f>main!M17</f>
        <v>0.8</v>
      </c>
      <c r="N14" s="187"/>
      <c r="O14" s="224"/>
      <c r="P14" s="202" t="str">
        <f>main!P17</f>
        <v>* if no salary</v>
      </c>
      <c r="Q14" s="202"/>
      <c r="R14" s="202"/>
      <c r="S14" s="202"/>
      <c r="T14" s="202"/>
      <c r="U14" s="22"/>
      <c r="V14" s="22"/>
      <c r="W14" s="22"/>
    </row>
    <row r="15" spans="1:23" ht="14" customHeight="1" x14ac:dyDescent="0.35">
      <c r="A15" s="301" t="s">
        <v>127</v>
      </c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3" ht="14" customHeight="1" x14ac:dyDescent="0.4">
      <c r="A16" s="301" t="s">
        <v>128</v>
      </c>
      <c r="B16" s="24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2"/>
      <c r="V16" s="22"/>
      <c r="W16" s="22"/>
    </row>
    <row r="17" spans="1:23" ht="14" customHeight="1" x14ac:dyDescent="0.4">
      <c r="A17" s="3"/>
      <c r="B17" s="51"/>
      <c r="C17" s="51"/>
      <c r="D17" s="3"/>
      <c r="E17" s="51"/>
      <c r="F17" s="51"/>
      <c r="G17" s="32"/>
      <c r="H17" s="51"/>
      <c r="I17" s="51"/>
      <c r="J17" s="51"/>
      <c r="K17" s="51"/>
      <c r="L17" s="51"/>
      <c r="M17" s="51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4" customHeight="1" x14ac:dyDescent="0.4">
      <c r="A18" s="3"/>
      <c r="B18" s="3"/>
      <c r="D18" s="52"/>
      <c r="F18" s="51"/>
      <c r="G18" s="288" t="s">
        <v>130</v>
      </c>
      <c r="H18" s="244"/>
      <c r="I18" s="289" t="s">
        <v>131</v>
      </c>
      <c r="J18" s="244"/>
      <c r="K18" s="289" t="s">
        <v>132</v>
      </c>
      <c r="L18" s="244"/>
      <c r="M18" s="289" t="s">
        <v>133</v>
      </c>
      <c r="N18" s="244"/>
      <c r="O18" s="53" t="s">
        <v>134</v>
      </c>
      <c r="P18" s="290" t="s">
        <v>135</v>
      </c>
      <c r="Q18" s="298"/>
      <c r="R18" s="51"/>
      <c r="S18" s="51"/>
      <c r="T18" s="51"/>
      <c r="V18" s="22"/>
      <c r="W18" s="54" t="s">
        <v>136</v>
      </c>
    </row>
    <row r="19" spans="1:23" ht="14" customHeight="1" x14ac:dyDescent="0.4">
      <c r="A19" s="3"/>
      <c r="B19" s="3"/>
      <c r="D19" s="52"/>
      <c r="F19" s="51"/>
      <c r="G19" s="284" t="s">
        <v>137</v>
      </c>
      <c r="H19" s="244"/>
      <c r="I19" s="285" t="s">
        <v>138</v>
      </c>
      <c r="J19" s="244"/>
      <c r="K19" s="285" t="s">
        <v>92</v>
      </c>
      <c r="L19" s="244"/>
      <c r="M19" s="285" t="s">
        <v>92</v>
      </c>
      <c r="N19" s="244"/>
      <c r="O19" s="57"/>
      <c r="P19" s="283" t="s">
        <v>139</v>
      </c>
      <c r="Q19" s="298"/>
      <c r="R19" s="51"/>
      <c r="S19" s="51"/>
      <c r="T19" s="51"/>
      <c r="V19" s="22"/>
      <c r="W19" s="59" t="s">
        <v>140</v>
      </c>
    </row>
    <row r="20" spans="1:23" ht="14" customHeight="1" x14ac:dyDescent="0.4">
      <c r="A20" s="258" t="s">
        <v>141</v>
      </c>
      <c r="B20" s="244"/>
      <c r="C20" s="244"/>
      <c r="D20" s="244"/>
      <c r="E20" s="244"/>
      <c r="F20" s="244"/>
      <c r="G20" s="284" t="s">
        <v>142</v>
      </c>
      <c r="H20" s="244"/>
      <c r="I20" s="285" t="s">
        <v>143</v>
      </c>
      <c r="J20" s="244"/>
      <c r="K20" s="285" t="s">
        <v>144</v>
      </c>
      <c r="L20" s="244"/>
      <c r="M20" s="285" t="s">
        <v>145</v>
      </c>
      <c r="N20" s="244"/>
      <c r="O20" s="56" t="s">
        <v>146</v>
      </c>
      <c r="P20" s="283" t="s">
        <v>147</v>
      </c>
      <c r="Q20" s="298"/>
      <c r="R20" s="51"/>
      <c r="S20" s="51"/>
      <c r="T20" s="51"/>
      <c r="V20" s="22"/>
    </row>
    <row r="21" spans="1:23" ht="14" customHeight="1" x14ac:dyDescent="0.4">
      <c r="A21" s="258" t="s">
        <v>148</v>
      </c>
      <c r="B21" s="244"/>
      <c r="C21" s="244"/>
      <c r="D21" s="244"/>
      <c r="E21" s="244"/>
      <c r="F21" s="244"/>
      <c r="G21" s="284" t="s">
        <v>149</v>
      </c>
      <c r="H21" s="244"/>
      <c r="I21" s="285" t="s">
        <v>150</v>
      </c>
      <c r="J21" s="244"/>
      <c r="K21" s="285" t="s">
        <v>151</v>
      </c>
      <c r="L21" s="244"/>
      <c r="M21" s="285" t="s">
        <v>152</v>
      </c>
      <c r="N21" s="244"/>
      <c r="O21" s="56" t="s">
        <v>153</v>
      </c>
      <c r="P21" s="283" t="s">
        <v>154</v>
      </c>
      <c r="Q21" s="298"/>
      <c r="R21" s="279" t="s">
        <v>155</v>
      </c>
      <c r="S21" s="298"/>
      <c r="T21" s="298"/>
      <c r="U21" s="298"/>
      <c r="V21" s="298"/>
    </row>
    <row r="22" spans="1:23" ht="14" customHeight="1" x14ac:dyDescent="0.4">
      <c r="A22" s="60" t="s">
        <v>156</v>
      </c>
      <c r="B22" s="61" t="s">
        <v>157</v>
      </c>
      <c r="C22" s="61" t="s">
        <v>158</v>
      </c>
      <c r="D22" s="62" t="s">
        <v>159</v>
      </c>
      <c r="E22" s="63" t="s">
        <v>160</v>
      </c>
      <c r="F22" s="64" t="s">
        <v>161</v>
      </c>
      <c r="G22" s="65" t="s">
        <v>162</v>
      </c>
      <c r="H22" s="66" t="s">
        <v>163</v>
      </c>
      <c r="I22" s="51" t="s">
        <v>162</v>
      </c>
      <c r="J22" s="67" t="s">
        <v>163</v>
      </c>
      <c r="K22" s="51" t="s">
        <v>162</v>
      </c>
      <c r="L22" s="67" t="s">
        <v>163</v>
      </c>
      <c r="M22" s="51" t="s">
        <v>162</v>
      </c>
      <c r="N22" s="67" t="s">
        <v>163</v>
      </c>
      <c r="O22" s="1" t="s">
        <v>162</v>
      </c>
      <c r="P22" s="109" t="s">
        <v>164</v>
      </c>
      <c r="Q22" s="109" t="s">
        <v>165</v>
      </c>
      <c r="R22" s="109" t="s">
        <v>166</v>
      </c>
      <c r="S22" s="109" t="s">
        <v>167</v>
      </c>
      <c r="T22" s="109" t="s">
        <v>168</v>
      </c>
      <c r="U22" s="194" t="s">
        <v>169</v>
      </c>
      <c r="V22" s="109" t="s">
        <v>170</v>
      </c>
    </row>
    <row r="23" spans="1:23" s="192" customFormat="1" ht="14" customHeight="1" x14ac:dyDescent="0.35">
      <c r="A23" s="309">
        <v>41314</v>
      </c>
      <c r="B23" s="310" t="s">
        <v>382</v>
      </c>
      <c r="C23" s="604" t="s">
        <v>172</v>
      </c>
      <c r="D23" s="586" t="s">
        <v>334</v>
      </c>
      <c r="E23" s="603">
        <v>18656</v>
      </c>
      <c r="F23" s="311"/>
      <c r="G23" s="78">
        <f>R23+V23</f>
        <v>6466.695652173913</v>
      </c>
      <c r="H23" s="75">
        <v>10</v>
      </c>
      <c r="I23" s="77">
        <f>S23+V23</f>
        <v>6466.695652173913</v>
      </c>
      <c r="J23" s="75">
        <v>8</v>
      </c>
      <c r="K23" s="78">
        <f t="shared" ref="K23:K39" si="0">T23+V23</f>
        <v>10216.695652173912</v>
      </c>
      <c r="L23" s="75">
        <v>3</v>
      </c>
      <c r="M23" s="77">
        <f t="shared" ref="M23:M39" si="1">U23+V23</f>
        <v>9716.6956521739121</v>
      </c>
      <c r="N23" s="75">
        <v>2</v>
      </c>
      <c r="P23" s="199">
        <f t="shared" ref="P23:P39" si="2">H23+J23+L23+N23</f>
        <v>23</v>
      </c>
      <c r="Q23" s="80">
        <v>23</v>
      </c>
      <c r="R23" s="77">
        <f>IF($B$3&gt;0,$E$5,($B$13+$E$5))</f>
        <v>5250</v>
      </c>
      <c r="S23" s="77">
        <f>IF($B$4&gt;0,$E$5,($B$13+$E$5))</f>
        <v>5250</v>
      </c>
      <c r="T23" s="77">
        <f>$B$13+$E$5</f>
        <v>9000</v>
      </c>
      <c r="U23" s="77">
        <f>$B$12+$E$5</f>
        <v>8500</v>
      </c>
      <c r="V23" s="77">
        <f>($E23*($E$13/$Q23))</f>
        <v>1216.695652173913</v>
      </c>
      <c r="W23" s="78">
        <f t="shared" ref="W23:W39" si="3">(G23*H23)+(I23*J23)+(K23*L23)+(M23*N23)</f>
        <v>166484</v>
      </c>
    </row>
    <row r="24" spans="1:23" s="192" customFormat="1" ht="14" customHeight="1" x14ac:dyDescent="0.35">
      <c r="A24" s="309">
        <v>41318</v>
      </c>
      <c r="B24" s="584" t="s">
        <v>382</v>
      </c>
      <c r="C24" s="604" t="s">
        <v>172</v>
      </c>
      <c r="D24" s="586" t="s">
        <v>334</v>
      </c>
      <c r="E24" s="603">
        <v>14224</v>
      </c>
      <c r="F24" s="311"/>
      <c r="G24" s="78">
        <f t="shared" ref="G24:G39" si="4">R24+V24</f>
        <v>6177.652173913044</v>
      </c>
      <c r="H24" s="75">
        <v>10</v>
      </c>
      <c r="I24" s="77">
        <f t="shared" ref="I24:I39" si="5">S24+V24</f>
        <v>6177.652173913044</v>
      </c>
      <c r="J24" s="75">
        <v>8</v>
      </c>
      <c r="K24" s="78">
        <f t="shared" si="0"/>
        <v>9927.652173913044</v>
      </c>
      <c r="L24" s="75">
        <v>3</v>
      </c>
      <c r="M24" s="77">
        <f t="shared" si="1"/>
        <v>9427.652173913044</v>
      </c>
      <c r="N24" s="75">
        <v>2</v>
      </c>
      <c r="P24" s="199">
        <f t="shared" si="2"/>
        <v>23</v>
      </c>
      <c r="Q24" s="80">
        <v>23</v>
      </c>
      <c r="R24" s="77">
        <f t="shared" ref="R24:R25" si="6">IF($B$3&gt;0,$E$5,($B$13+$E$5))</f>
        <v>5250</v>
      </c>
      <c r="S24" s="77">
        <f t="shared" ref="S24:S25" si="7">IF($B$4&gt;0,$E$5,($B$13+$E$5))</f>
        <v>5250</v>
      </c>
      <c r="T24" s="77">
        <f t="shared" ref="T24:T25" si="8">$B$13+$E$5</f>
        <v>9000</v>
      </c>
      <c r="U24" s="77">
        <f t="shared" ref="U24:U25" si="9">$B$12+$E$5</f>
        <v>8500</v>
      </c>
      <c r="V24" s="77">
        <f t="shared" ref="V24:V39" si="10">($E24*($E$13/$Q24))</f>
        <v>927.6521739130435</v>
      </c>
      <c r="W24" s="78">
        <f t="shared" si="3"/>
        <v>159836</v>
      </c>
    </row>
    <row r="25" spans="1:23" s="395" customFormat="1" ht="14" customHeight="1" x14ac:dyDescent="0.35">
      <c r="A25" s="593">
        <v>41339</v>
      </c>
      <c r="B25" s="594" t="s">
        <v>204</v>
      </c>
      <c r="C25" s="605" t="s">
        <v>172</v>
      </c>
      <c r="D25" s="595" t="s">
        <v>350</v>
      </c>
      <c r="E25" s="596"/>
      <c r="F25" s="597"/>
      <c r="G25" s="431">
        <f t="shared" si="4"/>
        <v>5250</v>
      </c>
      <c r="H25" s="401">
        <v>10</v>
      </c>
      <c r="I25" s="400">
        <f t="shared" si="5"/>
        <v>5250</v>
      </c>
      <c r="J25" s="401">
        <v>8</v>
      </c>
      <c r="K25" s="431">
        <f t="shared" si="0"/>
        <v>9000</v>
      </c>
      <c r="L25" s="401">
        <v>3</v>
      </c>
      <c r="M25" s="400">
        <f t="shared" si="1"/>
        <v>8500</v>
      </c>
      <c r="N25" s="401">
        <v>2</v>
      </c>
      <c r="P25" s="401">
        <f t="shared" si="2"/>
        <v>23</v>
      </c>
      <c r="Q25" s="428">
        <v>23</v>
      </c>
      <c r="R25" s="400">
        <f t="shared" si="6"/>
        <v>5250</v>
      </c>
      <c r="S25" s="400">
        <f t="shared" si="7"/>
        <v>5250</v>
      </c>
      <c r="T25" s="400">
        <f t="shared" si="8"/>
        <v>9000</v>
      </c>
      <c r="U25" s="400">
        <f t="shared" si="9"/>
        <v>8500</v>
      </c>
      <c r="V25" s="400">
        <f t="shared" si="10"/>
        <v>0</v>
      </c>
      <c r="W25" s="431">
        <f t="shared" si="3"/>
        <v>138500</v>
      </c>
    </row>
    <row r="26" spans="1:23" s="395" customFormat="1" ht="14" customHeight="1" x14ac:dyDescent="0.35">
      <c r="A26" s="593">
        <v>41341</v>
      </c>
      <c r="B26" s="594" t="s">
        <v>184</v>
      </c>
      <c r="C26" s="605" t="s">
        <v>172</v>
      </c>
      <c r="D26" s="595" t="s">
        <v>350</v>
      </c>
      <c r="E26" s="596"/>
      <c r="F26" s="597"/>
      <c r="G26" s="431">
        <f t="shared" si="4"/>
        <v>5250</v>
      </c>
      <c r="H26" s="401">
        <v>10</v>
      </c>
      <c r="I26" s="400">
        <f t="shared" si="5"/>
        <v>5250</v>
      </c>
      <c r="J26" s="401">
        <v>8</v>
      </c>
      <c r="K26" s="431">
        <f t="shared" si="0"/>
        <v>9000</v>
      </c>
      <c r="L26" s="401">
        <v>3</v>
      </c>
      <c r="M26" s="400">
        <f t="shared" si="1"/>
        <v>8500</v>
      </c>
      <c r="N26" s="401">
        <v>2</v>
      </c>
      <c r="O26" s="528"/>
      <c r="P26" s="401">
        <f t="shared" si="2"/>
        <v>23</v>
      </c>
      <c r="Q26" s="401">
        <v>23</v>
      </c>
      <c r="R26" s="400">
        <f>IF($B$3&gt;0,$E$5,($B$13+$E$5))</f>
        <v>5250</v>
      </c>
      <c r="S26" s="400">
        <f>IF($B$4&gt;0,$E$5,($B$13+$E$5))</f>
        <v>5250</v>
      </c>
      <c r="T26" s="400">
        <f>$B$13+$E$5</f>
        <v>9000</v>
      </c>
      <c r="U26" s="400">
        <f>$B$12+$E$5</f>
        <v>8500</v>
      </c>
      <c r="V26" s="400">
        <f t="shared" si="10"/>
        <v>0</v>
      </c>
      <c r="W26" s="431">
        <f t="shared" si="3"/>
        <v>138500</v>
      </c>
    </row>
    <row r="27" spans="1:23" s="395" customFormat="1" ht="14" customHeight="1" x14ac:dyDescent="0.35">
      <c r="A27" s="593">
        <v>41344</v>
      </c>
      <c r="B27" s="598" t="s">
        <v>180</v>
      </c>
      <c r="C27" s="605" t="s">
        <v>177</v>
      </c>
      <c r="D27" s="595" t="s">
        <v>350</v>
      </c>
      <c r="E27" s="596"/>
      <c r="F27" s="597"/>
      <c r="G27" s="431">
        <f t="shared" si="4"/>
        <v>0</v>
      </c>
      <c r="H27" s="401">
        <v>10</v>
      </c>
      <c r="I27" s="400">
        <f t="shared" si="5"/>
        <v>0</v>
      </c>
      <c r="J27" s="401">
        <v>8</v>
      </c>
      <c r="K27" s="431">
        <f t="shared" si="0"/>
        <v>3750</v>
      </c>
      <c r="L27" s="401">
        <v>3</v>
      </c>
      <c r="M27" s="400">
        <f t="shared" si="1"/>
        <v>3250</v>
      </c>
      <c r="N27" s="401">
        <v>2</v>
      </c>
      <c r="O27" s="528"/>
      <c r="P27" s="401">
        <f t="shared" si="2"/>
        <v>23</v>
      </c>
      <c r="Q27" s="401">
        <v>23</v>
      </c>
      <c r="R27" s="400">
        <f>IF($B$3&gt;0,$E$8,($B$13+$E$8))</f>
        <v>0</v>
      </c>
      <c r="S27" s="400">
        <f>IF($B$4&gt;0,$E$8,($B$13+$E$8))</f>
        <v>0</v>
      </c>
      <c r="T27" s="400">
        <f>$B$13+$E$8</f>
        <v>3750</v>
      </c>
      <c r="U27" s="400">
        <f>$B$12+$E$8</f>
        <v>3250</v>
      </c>
      <c r="V27" s="400">
        <f t="shared" si="10"/>
        <v>0</v>
      </c>
      <c r="W27" s="431">
        <f t="shared" si="3"/>
        <v>17750</v>
      </c>
    </row>
    <row r="28" spans="1:23" s="395" customFormat="1" ht="14" customHeight="1" x14ac:dyDescent="0.35">
      <c r="A28" s="593">
        <v>41346</v>
      </c>
      <c r="B28" s="598" t="s">
        <v>211</v>
      </c>
      <c r="C28" s="605" t="s">
        <v>172</v>
      </c>
      <c r="D28" s="595" t="s">
        <v>350</v>
      </c>
      <c r="E28" s="596"/>
      <c r="F28" s="599" t="s">
        <v>174</v>
      </c>
      <c r="G28" s="431">
        <f t="shared" si="4"/>
        <v>8500</v>
      </c>
      <c r="H28" s="401">
        <v>10</v>
      </c>
      <c r="I28" s="400">
        <f t="shared" si="5"/>
        <v>8500</v>
      </c>
      <c r="J28" s="401">
        <v>8</v>
      </c>
      <c r="K28" s="431">
        <f t="shared" si="0"/>
        <v>12250</v>
      </c>
      <c r="L28" s="401">
        <v>3</v>
      </c>
      <c r="M28" s="400">
        <f t="shared" si="1"/>
        <v>11750</v>
      </c>
      <c r="N28" s="401">
        <v>2</v>
      </c>
      <c r="O28" s="528"/>
      <c r="P28" s="401">
        <f t="shared" si="2"/>
        <v>23</v>
      </c>
      <c r="Q28" s="401">
        <v>23</v>
      </c>
      <c r="R28" s="400">
        <f>IF($B$3&gt;0,$E$3,($B$13+$E$3))</f>
        <v>8500</v>
      </c>
      <c r="S28" s="400">
        <f>IF($B$4&gt;0,$E$3,($B$13+$E$3))</f>
        <v>8500</v>
      </c>
      <c r="T28" s="400">
        <f>$B$13+$E$3</f>
        <v>12250</v>
      </c>
      <c r="U28" s="400">
        <f>$B$12+$E$3</f>
        <v>11750</v>
      </c>
      <c r="V28" s="400">
        <f t="shared" si="10"/>
        <v>0</v>
      </c>
      <c r="W28" s="431">
        <f t="shared" si="3"/>
        <v>213250</v>
      </c>
    </row>
    <row r="29" spans="1:23" s="395" customFormat="1" ht="14" customHeight="1" x14ac:dyDescent="0.35">
      <c r="A29" s="593"/>
      <c r="B29" s="607" t="s">
        <v>241</v>
      </c>
      <c r="C29" s="607"/>
      <c r="D29" s="607"/>
      <c r="E29" s="607"/>
      <c r="F29" s="607"/>
      <c r="G29" s="431">
        <f t="shared" si="4"/>
        <v>5000</v>
      </c>
      <c r="H29" s="401">
        <v>10</v>
      </c>
      <c r="I29" s="400">
        <f t="shared" si="5"/>
        <v>5000</v>
      </c>
      <c r="J29" s="401">
        <v>8</v>
      </c>
      <c r="K29" s="431">
        <f t="shared" ref="K29" si="11">T29+V29</f>
        <v>5000</v>
      </c>
      <c r="L29" s="401">
        <v>3</v>
      </c>
      <c r="M29" s="400">
        <f t="shared" ref="M29" si="12">U29+V29</f>
        <v>5000</v>
      </c>
      <c r="N29" s="401">
        <v>2</v>
      </c>
      <c r="O29" s="528"/>
      <c r="P29" s="401">
        <f t="shared" ref="P29" si="13">H29+J29+L29+N29</f>
        <v>23</v>
      </c>
      <c r="Q29" s="401">
        <v>23</v>
      </c>
      <c r="R29" s="400">
        <f>$J$7</f>
        <v>5000</v>
      </c>
      <c r="S29" s="400">
        <f>$J$7</f>
        <v>5000</v>
      </c>
      <c r="T29" s="400">
        <f>$J$7</f>
        <v>5000</v>
      </c>
      <c r="U29" s="400">
        <f>$J$7</f>
        <v>5000</v>
      </c>
      <c r="V29" s="400">
        <f t="shared" si="10"/>
        <v>0</v>
      </c>
      <c r="W29" s="431">
        <f t="shared" ref="W29" si="14">(G29*H29)+(I29*J29)+(K29*L29)+(M29*N29)</f>
        <v>115000</v>
      </c>
    </row>
    <row r="30" spans="1:23" s="215" customFormat="1" ht="14" customHeight="1" x14ac:dyDescent="0.35">
      <c r="A30" s="429">
        <v>41369</v>
      </c>
      <c r="B30" s="585" t="s">
        <v>211</v>
      </c>
      <c r="C30" s="606" t="s">
        <v>177</v>
      </c>
      <c r="D30" s="586" t="s">
        <v>350</v>
      </c>
      <c r="E30" s="592"/>
      <c r="F30" s="588" t="s">
        <v>174</v>
      </c>
      <c r="G30" s="78">
        <f t="shared" si="4"/>
        <v>1750</v>
      </c>
      <c r="H30" s="75">
        <v>10</v>
      </c>
      <c r="I30" s="77">
        <f t="shared" si="5"/>
        <v>1750</v>
      </c>
      <c r="J30" s="199">
        <v>7</v>
      </c>
      <c r="K30" s="78">
        <f t="shared" si="0"/>
        <v>5500</v>
      </c>
      <c r="L30" s="199">
        <v>2</v>
      </c>
      <c r="M30" s="77">
        <f t="shared" si="1"/>
        <v>5000</v>
      </c>
      <c r="N30" s="199">
        <v>1</v>
      </c>
      <c r="O30" s="465"/>
      <c r="P30" s="199">
        <f t="shared" si="2"/>
        <v>20</v>
      </c>
      <c r="Q30" s="199">
        <v>20</v>
      </c>
      <c r="R30" s="77">
        <f>IF($B$3&gt;0,$E$6,($B$13+$E$6))</f>
        <v>1750</v>
      </c>
      <c r="S30" s="77">
        <f>IF($B$4&gt;0,$E$6,($B$13+$E$6))</f>
        <v>1750</v>
      </c>
      <c r="T30" s="77">
        <f>$B$13+$E$6</f>
        <v>5500</v>
      </c>
      <c r="U30" s="77">
        <f>$B$12+$E$6</f>
        <v>5000</v>
      </c>
      <c r="V30" s="77">
        <f t="shared" si="10"/>
        <v>0</v>
      </c>
      <c r="W30" s="78">
        <f t="shared" si="3"/>
        <v>45750</v>
      </c>
    </row>
    <row r="31" spans="1:23" s="215" customFormat="1" ht="14" customHeight="1" x14ac:dyDescent="0.35">
      <c r="A31" s="429">
        <v>41373</v>
      </c>
      <c r="B31" s="585" t="s">
        <v>223</v>
      </c>
      <c r="C31" s="604" t="s">
        <v>172</v>
      </c>
      <c r="D31" s="586" t="s">
        <v>350</v>
      </c>
      <c r="E31" s="592"/>
      <c r="F31" s="588" t="s">
        <v>179</v>
      </c>
      <c r="G31" s="78">
        <f t="shared" si="4"/>
        <v>6500</v>
      </c>
      <c r="H31" s="75">
        <v>10</v>
      </c>
      <c r="I31" s="77">
        <f t="shared" si="5"/>
        <v>6500</v>
      </c>
      <c r="J31" s="199">
        <v>7</v>
      </c>
      <c r="K31" s="78">
        <f t="shared" si="0"/>
        <v>10250</v>
      </c>
      <c r="L31" s="199">
        <v>2</v>
      </c>
      <c r="M31" s="77">
        <f t="shared" si="1"/>
        <v>9750</v>
      </c>
      <c r="N31" s="199">
        <v>1</v>
      </c>
      <c r="P31" s="199">
        <f t="shared" si="2"/>
        <v>20</v>
      </c>
      <c r="Q31" s="80">
        <v>20</v>
      </c>
      <c r="R31" s="77">
        <f>IF($B$3&gt;0,$E$4,($B$13+$E$4))</f>
        <v>6500</v>
      </c>
      <c r="S31" s="77">
        <f>IF($B$4&gt;0,$E$4,($B$13+$E$4))</f>
        <v>6500</v>
      </c>
      <c r="T31" s="77">
        <f>$B$13+$E$4</f>
        <v>10250</v>
      </c>
      <c r="U31" s="77">
        <f>$B$12+$E$4</f>
        <v>9750</v>
      </c>
      <c r="V31" s="77">
        <f t="shared" si="10"/>
        <v>0</v>
      </c>
      <c r="W31" s="78">
        <f t="shared" si="3"/>
        <v>140750</v>
      </c>
    </row>
    <row r="32" spans="1:23" s="192" customFormat="1" ht="14" customHeight="1" x14ac:dyDescent="0.35">
      <c r="A32" s="309">
        <v>41427</v>
      </c>
      <c r="B32" s="310" t="s">
        <v>171</v>
      </c>
      <c r="C32" s="604" t="s">
        <v>172</v>
      </c>
      <c r="D32" s="586" t="s">
        <v>350</v>
      </c>
      <c r="E32" s="591"/>
      <c r="F32" s="588" t="s">
        <v>174</v>
      </c>
      <c r="G32" s="78">
        <f t="shared" si="4"/>
        <v>8500</v>
      </c>
      <c r="H32" s="75">
        <v>10</v>
      </c>
      <c r="I32" s="77">
        <f t="shared" si="5"/>
        <v>8500</v>
      </c>
      <c r="J32" s="75">
        <v>7</v>
      </c>
      <c r="K32" s="78">
        <f t="shared" si="0"/>
        <v>12250</v>
      </c>
      <c r="L32" s="75">
        <v>2</v>
      </c>
      <c r="M32" s="77">
        <f t="shared" si="1"/>
        <v>11750</v>
      </c>
      <c r="N32" s="75">
        <v>1</v>
      </c>
      <c r="P32" s="199">
        <f t="shared" si="2"/>
        <v>20</v>
      </c>
      <c r="Q32" s="80">
        <v>20</v>
      </c>
      <c r="R32" s="77">
        <f>IF($B$3&gt;0,$E$3,($B$13+$E$3))</f>
        <v>8500</v>
      </c>
      <c r="S32" s="77">
        <f>IF($B$4&gt;0,$E$3,($B$13+$E$3))</f>
        <v>8500</v>
      </c>
      <c r="T32" s="77">
        <f>$B$13+$E$3</f>
        <v>12250</v>
      </c>
      <c r="U32" s="77">
        <f>$B$12+$E$3</f>
        <v>11750</v>
      </c>
      <c r="V32" s="77">
        <f t="shared" si="10"/>
        <v>0</v>
      </c>
      <c r="W32" s="78">
        <f t="shared" si="3"/>
        <v>180750</v>
      </c>
    </row>
    <row r="33" spans="1:23" s="192" customFormat="1" ht="14" customHeight="1" x14ac:dyDescent="0.35">
      <c r="A33" s="309">
        <v>41440</v>
      </c>
      <c r="B33" s="585" t="s">
        <v>207</v>
      </c>
      <c r="C33" s="604" t="s">
        <v>172</v>
      </c>
      <c r="D33" s="586" t="s">
        <v>334</v>
      </c>
      <c r="E33" s="591">
        <v>13035</v>
      </c>
      <c r="F33" s="590"/>
      <c r="G33" s="78">
        <f t="shared" si="4"/>
        <v>6336.25</v>
      </c>
      <c r="H33" s="75">
        <v>10</v>
      </c>
      <c r="I33" s="77">
        <f t="shared" si="5"/>
        <v>6336.25</v>
      </c>
      <c r="J33" s="75">
        <v>5</v>
      </c>
      <c r="K33" s="78">
        <f t="shared" si="0"/>
        <v>10086.25</v>
      </c>
      <c r="L33" s="75">
        <v>1</v>
      </c>
      <c r="M33" s="77">
        <f t="shared" si="1"/>
        <v>9586.25</v>
      </c>
      <c r="N33" s="75">
        <v>2</v>
      </c>
      <c r="P33" s="199">
        <f t="shared" si="2"/>
        <v>18</v>
      </c>
      <c r="Q33" s="80">
        <v>18</v>
      </c>
      <c r="R33" s="77">
        <f>IF($B$3&gt;0,$E$5,($B$13+$E$5))</f>
        <v>5250</v>
      </c>
      <c r="S33" s="77">
        <f>IF($B$4&gt;0,$E$5,($B$13+$E$5))</f>
        <v>5250</v>
      </c>
      <c r="T33" s="77">
        <f>$B$13+$E$5</f>
        <v>9000</v>
      </c>
      <c r="U33" s="77">
        <f>$B$12+$E$5</f>
        <v>8500</v>
      </c>
      <c r="V33" s="77">
        <f t="shared" si="10"/>
        <v>1086.25</v>
      </c>
      <c r="W33" s="78">
        <f t="shared" si="3"/>
        <v>124302.5</v>
      </c>
    </row>
    <row r="34" spans="1:23" s="192" customFormat="1" ht="14" customHeight="1" x14ac:dyDescent="0.35">
      <c r="A34" s="309">
        <v>41445</v>
      </c>
      <c r="B34" s="585" t="s">
        <v>207</v>
      </c>
      <c r="C34" s="604" t="s">
        <v>172</v>
      </c>
      <c r="D34" s="586" t="s">
        <v>334</v>
      </c>
      <c r="E34" s="591">
        <v>18961</v>
      </c>
      <c r="F34" s="590"/>
      <c r="G34" s="78">
        <f t="shared" si="4"/>
        <v>6830.083333333333</v>
      </c>
      <c r="H34" s="75">
        <v>10</v>
      </c>
      <c r="I34" s="77">
        <f t="shared" si="5"/>
        <v>6830.083333333333</v>
      </c>
      <c r="J34" s="75">
        <v>5</v>
      </c>
      <c r="K34" s="78">
        <f t="shared" si="0"/>
        <v>10580.083333333334</v>
      </c>
      <c r="L34" s="75">
        <v>1</v>
      </c>
      <c r="M34" s="77">
        <f t="shared" si="1"/>
        <v>10080.083333333334</v>
      </c>
      <c r="N34" s="75">
        <v>2</v>
      </c>
      <c r="P34" s="199">
        <f t="shared" si="2"/>
        <v>18</v>
      </c>
      <c r="Q34" s="80">
        <v>18</v>
      </c>
      <c r="R34" s="77">
        <f t="shared" ref="R34" si="15">IF($B$3&gt;0,$E$5,($B$13+$E$5))</f>
        <v>5250</v>
      </c>
      <c r="S34" s="77">
        <f t="shared" ref="S34" si="16">IF($B$4&gt;0,$E$5,($B$13+$E$5))</f>
        <v>5250</v>
      </c>
      <c r="T34" s="77">
        <f t="shared" ref="T34" si="17">$B$13+$E$5</f>
        <v>9000</v>
      </c>
      <c r="U34" s="77">
        <f t="shared" ref="U34" si="18">$B$12+$E$5</f>
        <v>8500</v>
      </c>
      <c r="V34" s="77">
        <f t="shared" si="10"/>
        <v>1580.0833333333333</v>
      </c>
      <c r="W34" s="78">
        <f t="shared" si="3"/>
        <v>133191.5</v>
      </c>
    </row>
    <row r="35" spans="1:23" s="192" customFormat="1" ht="14" customHeight="1" x14ac:dyDescent="0.35">
      <c r="A35" s="309">
        <v>41520</v>
      </c>
      <c r="B35" s="310" t="s">
        <v>187</v>
      </c>
      <c r="C35" s="604" t="s">
        <v>172</v>
      </c>
      <c r="D35" s="586" t="s">
        <v>334</v>
      </c>
      <c r="E35" s="591">
        <v>12594</v>
      </c>
      <c r="F35" s="311"/>
      <c r="G35" s="78">
        <f t="shared" si="4"/>
        <v>6299.5</v>
      </c>
      <c r="H35" s="75">
        <v>10</v>
      </c>
      <c r="I35" s="77">
        <f t="shared" si="5"/>
        <v>6299.5</v>
      </c>
      <c r="J35" s="75">
        <v>5</v>
      </c>
      <c r="K35" s="78">
        <f t="shared" si="0"/>
        <v>10049.5</v>
      </c>
      <c r="L35" s="75">
        <v>1</v>
      </c>
      <c r="M35" s="77">
        <f t="shared" si="1"/>
        <v>9549.5</v>
      </c>
      <c r="N35" s="75">
        <v>2</v>
      </c>
      <c r="P35" s="199">
        <f t="shared" si="2"/>
        <v>18</v>
      </c>
      <c r="Q35" s="80">
        <v>18</v>
      </c>
      <c r="R35" s="77">
        <f>IF($B$3&gt;0,$E$5,($B$13+$E$5))</f>
        <v>5250</v>
      </c>
      <c r="S35" s="77">
        <f>IF($B$4&gt;0,$E$5,($B$13+$E$5))</f>
        <v>5250</v>
      </c>
      <c r="T35" s="77">
        <f>$B$13+$E$5</f>
        <v>9000</v>
      </c>
      <c r="U35" s="77">
        <f>$B$12+$E$5</f>
        <v>8500</v>
      </c>
      <c r="V35" s="77">
        <f t="shared" si="10"/>
        <v>1049.5</v>
      </c>
      <c r="W35" s="78">
        <f t="shared" si="3"/>
        <v>123641</v>
      </c>
    </row>
    <row r="36" spans="1:23" s="192" customFormat="1" ht="14" customHeight="1" x14ac:dyDescent="0.35">
      <c r="A36" s="309">
        <v>41567</v>
      </c>
      <c r="B36" s="310" t="s">
        <v>208</v>
      </c>
      <c r="C36" s="604" t="s">
        <v>172</v>
      </c>
      <c r="D36" s="586" t="s">
        <v>334</v>
      </c>
      <c r="E36" s="591">
        <v>19109</v>
      </c>
      <c r="F36" s="587" t="s">
        <v>179</v>
      </c>
      <c r="G36" s="78">
        <f t="shared" si="4"/>
        <v>8092.4166666666661</v>
      </c>
      <c r="H36" s="75">
        <v>10</v>
      </c>
      <c r="I36" s="77">
        <f t="shared" si="5"/>
        <v>8092.4166666666661</v>
      </c>
      <c r="J36" s="75">
        <v>5</v>
      </c>
      <c r="K36" s="78">
        <f t="shared" si="0"/>
        <v>11842.416666666666</v>
      </c>
      <c r="L36" s="75">
        <v>1</v>
      </c>
      <c r="M36" s="77">
        <f t="shared" si="1"/>
        <v>11342.416666666666</v>
      </c>
      <c r="N36" s="75">
        <v>2</v>
      </c>
      <c r="P36" s="199">
        <f t="shared" si="2"/>
        <v>18</v>
      </c>
      <c r="Q36" s="80">
        <v>18</v>
      </c>
      <c r="R36" s="77">
        <f>IF($B$3&gt;0,$E$4,($B$13+$E$4))</f>
        <v>6500</v>
      </c>
      <c r="S36" s="77">
        <f>IF($B$4&gt;0,$E$4,($B$13+$E$4))</f>
        <v>6500</v>
      </c>
      <c r="T36" s="77">
        <f>$B$13+$E$4</f>
        <v>10250</v>
      </c>
      <c r="U36" s="77">
        <f>$B$12+$E$4</f>
        <v>9750</v>
      </c>
      <c r="V36" s="77">
        <f t="shared" si="10"/>
        <v>1592.4166666666665</v>
      </c>
      <c r="W36" s="78">
        <f t="shared" si="3"/>
        <v>155913.5</v>
      </c>
    </row>
    <row r="37" spans="1:23" s="192" customFormat="1" ht="14" customHeight="1" x14ac:dyDescent="0.35">
      <c r="A37" s="309">
        <v>41574</v>
      </c>
      <c r="B37" s="585" t="s">
        <v>205</v>
      </c>
      <c r="C37" s="604" t="s">
        <v>172</v>
      </c>
      <c r="D37" s="586" t="s">
        <v>334</v>
      </c>
      <c r="E37" s="591">
        <v>16315</v>
      </c>
      <c r="F37" s="589"/>
      <c r="G37" s="78">
        <f t="shared" si="4"/>
        <v>6609.583333333333</v>
      </c>
      <c r="H37" s="75">
        <v>10</v>
      </c>
      <c r="I37" s="77">
        <f t="shared" si="5"/>
        <v>6609.583333333333</v>
      </c>
      <c r="J37" s="75">
        <v>5</v>
      </c>
      <c r="K37" s="78">
        <f t="shared" si="0"/>
        <v>10359.583333333334</v>
      </c>
      <c r="L37" s="75">
        <v>1</v>
      </c>
      <c r="M37" s="77">
        <f t="shared" si="1"/>
        <v>9859.5833333333339</v>
      </c>
      <c r="N37" s="75">
        <v>2</v>
      </c>
      <c r="P37" s="199">
        <f t="shared" si="2"/>
        <v>18</v>
      </c>
      <c r="Q37" s="80">
        <v>18</v>
      </c>
      <c r="R37" s="77">
        <f>IF($B$3&gt;0,$E$5,($B$13+$E$5))</f>
        <v>5250</v>
      </c>
      <c r="S37" s="77">
        <f>IF($B$4&gt;0,$E$5,($B$13+$E$5))</f>
        <v>5250</v>
      </c>
      <c r="T37" s="77">
        <f>$B$13+$E$5</f>
        <v>9000</v>
      </c>
      <c r="U37" s="77">
        <f>$B$12+$E$5</f>
        <v>8500</v>
      </c>
      <c r="V37" s="77">
        <f t="shared" si="10"/>
        <v>1359.5833333333333</v>
      </c>
      <c r="W37" s="78">
        <f t="shared" si="3"/>
        <v>129222.5</v>
      </c>
    </row>
    <row r="38" spans="1:23" s="192" customFormat="1" ht="14" customHeight="1" x14ac:dyDescent="0.35">
      <c r="A38" s="309">
        <v>41577</v>
      </c>
      <c r="B38" s="585" t="s">
        <v>205</v>
      </c>
      <c r="C38" s="606" t="s">
        <v>177</v>
      </c>
      <c r="D38" s="586" t="s">
        <v>334</v>
      </c>
      <c r="E38" s="591">
        <v>15139</v>
      </c>
      <c r="F38" s="311"/>
      <c r="G38" s="78">
        <f t="shared" si="4"/>
        <v>1261.5833333333333</v>
      </c>
      <c r="H38" s="75">
        <v>10</v>
      </c>
      <c r="I38" s="77">
        <f t="shared" si="5"/>
        <v>1261.5833333333333</v>
      </c>
      <c r="J38" s="75">
        <v>5</v>
      </c>
      <c r="K38" s="78">
        <f t="shared" si="0"/>
        <v>5011.583333333333</v>
      </c>
      <c r="L38" s="75">
        <v>1</v>
      </c>
      <c r="M38" s="77">
        <f t="shared" si="1"/>
        <v>4511.583333333333</v>
      </c>
      <c r="N38" s="75">
        <v>2</v>
      </c>
      <c r="P38" s="199">
        <f t="shared" si="2"/>
        <v>18</v>
      </c>
      <c r="Q38" s="80">
        <v>18</v>
      </c>
      <c r="R38" s="77">
        <f>IF($B$3&gt;0,$E$8,($B$13+$E$8))</f>
        <v>0</v>
      </c>
      <c r="S38" s="77">
        <f>IF($B$4&gt;0,$E$8,($B$13+$E$8))</f>
        <v>0</v>
      </c>
      <c r="T38" s="77">
        <f>$B$13+$E$8</f>
        <v>3750</v>
      </c>
      <c r="U38" s="77">
        <f>$B$12+$E$8</f>
        <v>3250</v>
      </c>
      <c r="V38" s="77">
        <f t="shared" si="10"/>
        <v>1261.5833333333333</v>
      </c>
      <c r="W38" s="78">
        <f t="shared" si="3"/>
        <v>32958.5</v>
      </c>
    </row>
    <row r="39" spans="1:23" s="194" customFormat="1" ht="14" customHeight="1" x14ac:dyDescent="0.35">
      <c r="A39" s="429">
        <v>41588</v>
      </c>
      <c r="B39" s="585" t="s">
        <v>194</v>
      </c>
      <c r="C39" s="606" t="s">
        <v>172</v>
      </c>
      <c r="D39" s="586" t="s">
        <v>334</v>
      </c>
      <c r="E39" s="320">
        <v>20274</v>
      </c>
      <c r="F39" s="588"/>
      <c r="G39" s="78">
        <f t="shared" si="4"/>
        <v>6939.5</v>
      </c>
      <c r="H39" s="75">
        <v>10</v>
      </c>
      <c r="I39" s="77">
        <f t="shared" si="5"/>
        <v>6939.5</v>
      </c>
      <c r="J39" s="199">
        <v>5</v>
      </c>
      <c r="K39" s="78">
        <f t="shared" si="0"/>
        <v>10689.5</v>
      </c>
      <c r="L39" s="199">
        <v>2</v>
      </c>
      <c r="M39" s="77">
        <f t="shared" si="1"/>
        <v>10189.5</v>
      </c>
      <c r="N39" s="199">
        <v>1</v>
      </c>
      <c r="O39" s="465"/>
      <c r="P39" s="199">
        <f t="shared" si="2"/>
        <v>18</v>
      </c>
      <c r="Q39" s="80">
        <v>18</v>
      </c>
      <c r="R39" s="77">
        <f>IF($B$3&gt;0,$E$5,($B$13+$E$5))</f>
        <v>5250</v>
      </c>
      <c r="S39" s="77">
        <f>IF($B$4&gt;0,$E$5,($B$13+$E$5))</f>
        <v>5250</v>
      </c>
      <c r="T39" s="77">
        <f>$B$13+$E$5</f>
        <v>9000</v>
      </c>
      <c r="U39" s="77">
        <f>$B$12+$E$5</f>
        <v>8500</v>
      </c>
      <c r="V39" s="77">
        <f t="shared" si="10"/>
        <v>1689.5</v>
      </c>
      <c r="W39" s="78">
        <f t="shared" si="3"/>
        <v>135661</v>
      </c>
    </row>
    <row r="40" spans="1:23" s="411" customFormat="1" ht="14" customHeight="1" x14ac:dyDescent="0.35">
      <c r="A40" s="405"/>
      <c r="B40" s="406" t="s">
        <v>196</v>
      </c>
      <c r="C40" s="407"/>
      <c r="D40" s="408"/>
      <c r="E40" s="409"/>
      <c r="F40" s="410"/>
      <c r="G40" s="104">
        <f>$B$3</f>
        <v>100000</v>
      </c>
      <c r="H40" s="107">
        <v>10</v>
      </c>
      <c r="I40" s="104">
        <f>$B$4</f>
        <v>100000</v>
      </c>
      <c r="J40" s="107">
        <v>10</v>
      </c>
      <c r="K40" s="106"/>
      <c r="L40" s="107"/>
      <c r="M40" s="104"/>
      <c r="N40" s="107"/>
      <c r="O40" s="106">
        <f>$B$8</f>
        <v>1500</v>
      </c>
      <c r="P40" s="199"/>
      <c r="Q40" s="199">
        <v>6</v>
      </c>
      <c r="R40" s="77"/>
      <c r="S40" s="77"/>
      <c r="T40" s="77"/>
      <c r="U40" s="77"/>
      <c r="V40" s="77"/>
      <c r="W40" s="78">
        <f>(G40*H40)+(I40*J40)+(O40*Q40)</f>
        <v>2009000</v>
      </c>
    </row>
    <row r="41" spans="1:23" s="411" customFormat="1" ht="14" customHeight="1" x14ac:dyDescent="0.35">
      <c r="A41" s="405"/>
      <c r="B41" s="406" t="s">
        <v>235</v>
      </c>
      <c r="C41" s="407"/>
      <c r="D41" s="408"/>
      <c r="E41" s="409"/>
      <c r="F41" s="410"/>
      <c r="G41" s="104">
        <f>$E$12/($H42+$J42+$L42)</f>
        <v>14583.333333333334</v>
      </c>
      <c r="H41" s="107">
        <v>10</v>
      </c>
      <c r="I41" s="104">
        <f>$E$12/($H42+$J42+$L42)</f>
        <v>14583.333333333334</v>
      </c>
      <c r="J41" s="107">
        <v>10</v>
      </c>
      <c r="K41" s="106">
        <f>$E$12/($H42+$J42+$L42)</f>
        <v>14583.333333333334</v>
      </c>
      <c r="L41" s="107">
        <v>4</v>
      </c>
      <c r="M41" s="104"/>
      <c r="N41" s="107"/>
      <c r="O41" s="106"/>
      <c r="P41" s="199"/>
      <c r="Q41" s="199"/>
      <c r="R41" s="77"/>
      <c r="S41" s="77"/>
      <c r="T41" s="77"/>
      <c r="U41" s="77"/>
      <c r="V41" s="77"/>
      <c r="W41" s="78">
        <f t="shared" ref="W41" si="19">(G41*H41)+(I41*J41)+(K41*L41)+(M41*N41)</f>
        <v>350000</v>
      </c>
    </row>
    <row r="42" spans="1:23" s="196" customFormat="1" ht="14" customHeight="1" x14ac:dyDescent="0.4">
      <c r="A42" s="312" t="s">
        <v>387</v>
      </c>
      <c r="B42" s="313"/>
      <c r="C42" s="314"/>
      <c r="D42" s="315" t="s">
        <v>198</v>
      </c>
      <c r="E42" s="315"/>
      <c r="F42" s="315"/>
      <c r="G42" s="316">
        <f>SUMPRODUCT(G23:G41,H23:H41)</f>
        <v>2103465.9782608696</v>
      </c>
      <c r="H42" s="317">
        <v>10</v>
      </c>
      <c r="I42" s="316">
        <f>SUMPRODUCT(I23:I41,J23:J41)</f>
        <v>1768082.6992753621</v>
      </c>
      <c r="J42" s="317">
        <v>10</v>
      </c>
      <c r="K42" s="316">
        <f>SUMPRODUCT(K23:K41,L23:L41)</f>
        <v>371074.79347826086</v>
      </c>
      <c r="L42" s="317">
        <v>4</v>
      </c>
      <c r="M42" s="316">
        <f>SUMPRODUCT(M23:M41,N23:N41)</f>
        <v>258837.02898550723</v>
      </c>
      <c r="N42" s="317">
        <v>5</v>
      </c>
      <c r="O42" s="318">
        <f>O40*Q40</f>
        <v>9000</v>
      </c>
      <c r="P42" s="633" t="s">
        <v>199</v>
      </c>
      <c r="Q42" s="633"/>
      <c r="R42" s="320">
        <f>H42+J42+L42+N42</f>
        <v>29</v>
      </c>
      <c r="S42" s="634"/>
      <c r="T42" s="634"/>
      <c r="U42" s="634"/>
      <c r="V42" s="634"/>
      <c r="W42" s="322"/>
    </row>
    <row r="43" spans="1:23" s="196" customFormat="1" ht="14" customHeight="1" x14ac:dyDescent="0.4">
      <c r="A43" s="312" t="s">
        <v>388</v>
      </c>
      <c r="B43" s="313"/>
      <c r="C43" s="314"/>
      <c r="D43" s="315" t="s">
        <v>399</v>
      </c>
      <c r="E43" s="315"/>
      <c r="F43" s="315"/>
      <c r="G43" s="148">
        <f>G42/H42</f>
        <v>210346.59782608697</v>
      </c>
      <c r="H43" s="653">
        <f>(SUM(H23:H28)+SUM(H30:H39))/H42</f>
        <v>16</v>
      </c>
      <c r="I43" s="148">
        <f>I42/J42</f>
        <v>176808.2699275362</v>
      </c>
      <c r="J43" s="653">
        <f>(SUM(J23:J28)+SUM(J30:J39))/J42</f>
        <v>10.4</v>
      </c>
      <c r="K43" s="148">
        <f>K42/L42</f>
        <v>92768.698369565216</v>
      </c>
      <c r="L43" s="653">
        <f>(SUM(L23:L28)+SUM(L30:L39))/L42</f>
        <v>8</v>
      </c>
      <c r="M43" s="148">
        <f>M42/N42</f>
        <v>51767.405797101448</v>
      </c>
      <c r="N43" s="653">
        <f>(SUM(N23:N28)+SUM(N30:N39))/N42</f>
        <v>5.6</v>
      </c>
      <c r="O43" s="323"/>
      <c r="P43" s="324" t="s">
        <v>201</v>
      </c>
      <c r="Q43" s="324"/>
      <c r="R43" s="635">
        <f>SUM(G42,I42,K42,M42,O42)</f>
        <v>4510460.4999999991</v>
      </c>
      <c r="S43" s="634"/>
      <c r="T43" s="634"/>
      <c r="U43" s="634"/>
      <c r="V43" s="634"/>
      <c r="W43" s="325">
        <f>SUM(W23:W41)</f>
        <v>4510460.5</v>
      </c>
    </row>
    <row r="44" spans="1:23" ht="14" customHeight="1" x14ac:dyDescent="0.35">
      <c r="A44" s="70">
        <v>41670</v>
      </c>
      <c r="B44" s="71" t="s">
        <v>171</v>
      </c>
      <c r="C44" s="71" t="s">
        <v>172</v>
      </c>
      <c r="D44" s="72" t="s">
        <v>173</v>
      </c>
      <c r="E44" s="83">
        <v>20862</v>
      </c>
      <c r="F44" s="73" t="s">
        <v>174</v>
      </c>
      <c r="G44" s="74">
        <f t="shared" ref="G44:G68" si="20">R44+V44</f>
        <v>10064.65</v>
      </c>
      <c r="H44" s="75">
        <v>10</v>
      </c>
      <c r="I44" s="77">
        <f t="shared" ref="I44:I68" si="21">S44+V44</f>
        <v>10064.65</v>
      </c>
      <c r="J44" s="75">
        <v>6</v>
      </c>
      <c r="K44" s="78">
        <f t="shared" ref="K44:K68" si="22">T44+V44</f>
        <v>13814.65</v>
      </c>
      <c r="L44" s="75">
        <v>2</v>
      </c>
      <c r="M44" s="77">
        <f t="shared" ref="M44:M68" si="23">U44+V44</f>
        <v>13314.65</v>
      </c>
      <c r="N44" s="75">
        <v>2</v>
      </c>
      <c r="P44" s="199">
        <f t="shared" ref="P44:P68" si="24">H44+J44+L44+N44</f>
        <v>20</v>
      </c>
      <c r="Q44" s="80">
        <v>20</v>
      </c>
      <c r="R44" s="77">
        <f>IF($B$3&gt;0,$E$3,($B$13+$E$3))</f>
        <v>8500</v>
      </c>
      <c r="S44" s="77">
        <f>IF($B$4&gt;0,$E$3,($B$13+$E$3))</f>
        <v>8500</v>
      </c>
      <c r="T44" s="77">
        <f>$B$13+$E$3</f>
        <v>12250</v>
      </c>
      <c r="U44" s="77">
        <f>$B$12+$E$3</f>
        <v>11750</v>
      </c>
      <c r="V44" s="77">
        <f>($E44*($E$13/$Q44))</f>
        <v>1564.6499999999999</v>
      </c>
      <c r="W44" s="78">
        <f t="shared" ref="W44:W68" si="25">(G44*H44)+(I44*J44)+(K44*L44)+(M44*N44)</f>
        <v>215292.99999999997</v>
      </c>
    </row>
    <row r="45" spans="1:23" ht="14" customHeight="1" x14ac:dyDescent="0.35">
      <c r="A45" s="70">
        <v>41678</v>
      </c>
      <c r="B45" s="71" t="s">
        <v>175</v>
      </c>
      <c r="C45" s="82" t="s">
        <v>172</v>
      </c>
      <c r="D45" s="72" t="s">
        <v>173</v>
      </c>
      <c r="E45" s="83">
        <v>8857</v>
      </c>
      <c r="F45" s="84"/>
      <c r="G45" s="74">
        <f t="shared" si="20"/>
        <v>5914.2749999999996</v>
      </c>
      <c r="H45" s="75">
        <v>10</v>
      </c>
      <c r="I45" s="77">
        <f t="shared" si="21"/>
        <v>5914.2749999999996</v>
      </c>
      <c r="J45" s="75">
        <v>6</v>
      </c>
      <c r="K45" s="78">
        <f t="shared" si="22"/>
        <v>9664.2749999999996</v>
      </c>
      <c r="L45" s="75">
        <v>2</v>
      </c>
      <c r="M45" s="77">
        <f t="shared" si="23"/>
        <v>9164.2749999999996</v>
      </c>
      <c r="N45" s="75">
        <v>2</v>
      </c>
      <c r="P45" s="199">
        <f t="shared" si="24"/>
        <v>20</v>
      </c>
      <c r="Q45" s="80">
        <v>20</v>
      </c>
      <c r="R45" s="77">
        <f t="shared" ref="R45:R46" si="26">IF($B$3&gt;0,$E$5,($B$13+$E$5))</f>
        <v>5250</v>
      </c>
      <c r="S45" s="77">
        <f t="shared" ref="S45:S46" si="27">IF($B$4&gt;0,$E$5,($B$13+$E$5))</f>
        <v>5250</v>
      </c>
      <c r="T45" s="77">
        <f t="shared" ref="T45:T46" si="28">$B$13+$E$5</f>
        <v>9000</v>
      </c>
      <c r="U45" s="77">
        <f t="shared" ref="U45:U46" si="29">$B$12+$E$5</f>
        <v>8500</v>
      </c>
      <c r="V45" s="77">
        <f t="shared" ref="V45:V68" si="30">($E45*($E$13/$Q45))</f>
        <v>664.27499999999998</v>
      </c>
      <c r="W45" s="78">
        <f t="shared" si="25"/>
        <v>132285.5</v>
      </c>
    </row>
    <row r="46" spans="1:23" s="215" customFormat="1" ht="14" customHeight="1" x14ac:dyDescent="0.35">
      <c r="A46" s="461">
        <v>41683</v>
      </c>
      <c r="B46" s="462" t="s">
        <v>175</v>
      </c>
      <c r="C46" s="462" t="s">
        <v>172</v>
      </c>
      <c r="D46" s="463" t="s">
        <v>173</v>
      </c>
      <c r="E46" s="100">
        <v>16133</v>
      </c>
      <c r="F46" s="464"/>
      <c r="G46" s="77">
        <f t="shared" si="20"/>
        <v>6459.9750000000004</v>
      </c>
      <c r="H46" s="199">
        <v>10</v>
      </c>
      <c r="I46" s="77">
        <f t="shared" si="21"/>
        <v>6459.9750000000004</v>
      </c>
      <c r="J46" s="199">
        <v>6</v>
      </c>
      <c r="K46" s="78">
        <f t="shared" si="22"/>
        <v>10209.975</v>
      </c>
      <c r="L46" s="199">
        <v>2</v>
      </c>
      <c r="M46" s="77">
        <f t="shared" si="23"/>
        <v>9709.9750000000004</v>
      </c>
      <c r="N46" s="199">
        <v>2</v>
      </c>
      <c r="P46" s="199">
        <f t="shared" si="24"/>
        <v>20</v>
      </c>
      <c r="Q46" s="80">
        <v>20</v>
      </c>
      <c r="R46" s="77">
        <f t="shared" si="26"/>
        <v>5250</v>
      </c>
      <c r="S46" s="77">
        <f t="shared" si="27"/>
        <v>5250</v>
      </c>
      <c r="T46" s="77">
        <f t="shared" si="28"/>
        <v>9000</v>
      </c>
      <c r="U46" s="77">
        <f t="shared" si="29"/>
        <v>8500</v>
      </c>
      <c r="V46" s="77">
        <f t="shared" si="30"/>
        <v>1209.9749999999999</v>
      </c>
      <c r="W46" s="78">
        <f t="shared" si="25"/>
        <v>143199.5</v>
      </c>
    </row>
    <row r="47" spans="1:23" s="215" customFormat="1" ht="14" customHeight="1" x14ac:dyDescent="0.35">
      <c r="A47" s="461">
        <v>41703</v>
      </c>
      <c r="B47" s="462" t="s">
        <v>176</v>
      </c>
      <c r="C47" s="462" t="s">
        <v>177</v>
      </c>
      <c r="D47" s="463" t="s">
        <v>178</v>
      </c>
      <c r="E47" s="464"/>
      <c r="F47" s="464" t="s">
        <v>179</v>
      </c>
      <c r="G47" s="77">
        <f t="shared" si="20"/>
        <v>1250</v>
      </c>
      <c r="H47" s="199">
        <v>10</v>
      </c>
      <c r="I47" s="77">
        <f t="shared" si="21"/>
        <v>1250</v>
      </c>
      <c r="J47" s="199">
        <v>8</v>
      </c>
      <c r="K47" s="78">
        <f t="shared" si="22"/>
        <v>5000</v>
      </c>
      <c r="L47" s="199">
        <v>2</v>
      </c>
      <c r="M47" s="77">
        <f t="shared" si="23"/>
        <v>4500</v>
      </c>
      <c r="N47" s="199">
        <v>0</v>
      </c>
      <c r="O47" s="465"/>
      <c r="P47" s="199">
        <f t="shared" si="24"/>
        <v>20</v>
      </c>
      <c r="Q47" s="199">
        <v>20</v>
      </c>
      <c r="R47" s="77">
        <f>IF($B$3&gt;0,$E$7,($B$13+$E$7))</f>
        <v>1250</v>
      </c>
      <c r="S47" s="77">
        <f>IF($B$4&gt;0,$E$7,($B$13+$E$7))</f>
        <v>1250</v>
      </c>
      <c r="T47" s="77">
        <f>$B$13+$E$7</f>
        <v>5000</v>
      </c>
      <c r="U47" s="77">
        <f>$B$12+$E$7</f>
        <v>4500</v>
      </c>
      <c r="V47" s="77">
        <f t="shared" si="30"/>
        <v>0</v>
      </c>
      <c r="W47" s="78">
        <f t="shared" si="25"/>
        <v>32500</v>
      </c>
    </row>
    <row r="48" spans="1:23" s="215" customFormat="1" ht="14" customHeight="1" x14ac:dyDescent="0.35">
      <c r="A48" s="461">
        <v>41705</v>
      </c>
      <c r="B48" s="462" t="s">
        <v>180</v>
      </c>
      <c r="C48" s="466" t="s">
        <v>181</v>
      </c>
      <c r="D48" s="463" t="s">
        <v>178</v>
      </c>
      <c r="E48" s="468"/>
      <c r="F48" s="464"/>
      <c r="G48" s="77">
        <f t="shared" si="20"/>
        <v>0</v>
      </c>
      <c r="H48" s="199">
        <v>10</v>
      </c>
      <c r="I48" s="77">
        <f t="shared" si="21"/>
        <v>0</v>
      </c>
      <c r="J48" s="199">
        <v>8</v>
      </c>
      <c r="K48" s="78">
        <f t="shared" si="22"/>
        <v>3750</v>
      </c>
      <c r="L48" s="199">
        <v>2</v>
      </c>
      <c r="M48" s="77">
        <f t="shared" si="23"/>
        <v>3250</v>
      </c>
      <c r="N48" s="199">
        <v>0</v>
      </c>
      <c r="O48" s="465"/>
      <c r="P48" s="199">
        <f t="shared" si="24"/>
        <v>20</v>
      </c>
      <c r="Q48" s="199">
        <v>20</v>
      </c>
      <c r="R48" s="77">
        <f t="shared" ref="R48:R49" si="31">IF($B$3&gt;0,$E$9,($B$13+$E$9))</f>
        <v>0</v>
      </c>
      <c r="S48" s="77">
        <f t="shared" ref="S48:S49" si="32">IF($B$4&gt;0,$E$9,($B$13+$E$9))</f>
        <v>0</v>
      </c>
      <c r="T48" s="77">
        <f t="shared" ref="T48:T49" si="33">$B$13+$E$9</f>
        <v>3750</v>
      </c>
      <c r="U48" s="77">
        <f t="shared" ref="U48:U49" si="34">$B$12+$E$9</f>
        <v>3250</v>
      </c>
      <c r="V48" s="77">
        <f t="shared" si="30"/>
        <v>0</v>
      </c>
      <c r="W48" s="78">
        <f t="shared" si="25"/>
        <v>7500</v>
      </c>
    </row>
    <row r="49" spans="1:23" s="215" customFormat="1" ht="14" customHeight="1" x14ac:dyDescent="0.35">
      <c r="A49" s="461">
        <v>41708</v>
      </c>
      <c r="B49" s="466" t="s">
        <v>182</v>
      </c>
      <c r="C49" s="466" t="s">
        <v>181</v>
      </c>
      <c r="D49" s="467" t="s">
        <v>178</v>
      </c>
      <c r="E49" s="469"/>
      <c r="F49" s="468"/>
      <c r="G49" s="77">
        <f t="shared" si="20"/>
        <v>0</v>
      </c>
      <c r="H49" s="199">
        <v>10</v>
      </c>
      <c r="I49" s="77">
        <f t="shared" si="21"/>
        <v>0</v>
      </c>
      <c r="J49" s="199">
        <v>8</v>
      </c>
      <c r="K49" s="78">
        <f t="shared" si="22"/>
        <v>3750</v>
      </c>
      <c r="L49" s="199">
        <v>2</v>
      </c>
      <c r="M49" s="77">
        <f t="shared" si="23"/>
        <v>3250</v>
      </c>
      <c r="N49" s="199">
        <v>0</v>
      </c>
      <c r="O49" s="465"/>
      <c r="P49" s="199">
        <f t="shared" si="24"/>
        <v>20</v>
      </c>
      <c r="Q49" s="199">
        <v>20</v>
      </c>
      <c r="R49" s="77">
        <f t="shared" si="31"/>
        <v>0</v>
      </c>
      <c r="S49" s="77">
        <f t="shared" si="32"/>
        <v>0</v>
      </c>
      <c r="T49" s="77">
        <f t="shared" si="33"/>
        <v>3750</v>
      </c>
      <c r="U49" s="77">
        <f t="shared" si="34"/>
        <v>3250</v>
      </c>
      <c r="V49" s="77">
        <f t="shared" si="30"/>
        <v>0</v>
      </c>
      <c r="W49" s="78">
        <f t="shared" si="25"/>
        <v>7500</v>
      </c>
    </row>
    <row r="50" spans="1:23" s="215" customFormat="1" ht="14" customHeight="1" x14ac:dyDescent="0.35">
      <c r="A50" s="461">
        <v>41710</v>
      </c>
      <c r="B50" s="466" t="s">
        <v>183</v>
      </c>
      <c r="C50" s="466" t="s">
        <v>172</v>
      </c>
      <c r="D50" s="467" t="s">
        <v>178</v>
      </c>
      <c r="E50" s="469"/>
      <c r="F50" s="469"/>
      <c r="G50" s="77">
        <f t="shared" si="20"/>
        <v>5250</v>
      </c>
      <c r="H50" s="199">
        <v>10</v>
      </c>
      <c r="I50" s="77">
        <f t="shared" si="21"/>
        <v>5250</v>
      </c>
      <c r="J50" s="199">
        <v>8</v>
      </c>
      <c r="K50" s="78">
        <f t="shared" si="22"/>
        <v>9000</v>
      </c>
      <c r="L50" s="199">
        <v>2</v>
      </c>
      <c r="M50" s="77">
        <f t="shared" si="23"/>
        <v>8500</v>
      </c>
      <c r="N50" s="199">
        <v>0</v>
      </c>
      <c r="O50" s="465"/>
      <c r="P50" s="199">
        <f t="shared" si="24"/>
        <v>20</v>
      </c>
      <c r="Q50" s="199">
        <v>20</v>
      </c>
      <c r="R50" s="77">
        <f t="shared" ref="R50:R52" si="35">IF($B$3&gt;0,$E$5,($B$13+$E$5))</f>
        <v>5250</v>
      </c>
      <c r="S50" s="77">
        <f t="shared" ref="S50:S52" si="36">IF($B$4&gt;0,$E$5,($B$13+$E$5))</f>
        <v>5250</v>
      </c>
      <c r="T50" s="77">
        <f t="shared" ref="T50:T52" si="37">$B$13+$E$5</f>
        <v>9000</v>
      </c>
      <c r="U50" s="77">
        <f t="shared" ref="U50:U52" si="38">$B$12+$E$5</f>
        <v>8500</v>
      </c>
      <c r="V50" s="77">
        <f t="shared" si="30"/>
        <v>0</v>
      </c>
      <c r="W50" s="78">
        <f t="shared" si="25"/>
        <v>112500</v>
      </c>
    </row>
    <row r="51" spans="1:23" s="215" customFormat="1" ht="14" customHeight="1" x14ac:dyDescent="0.35">
      <c r="A51" s="461">
        <v>41735</v>
      </c>
      <c r="B51" s="466" t="s">
        <v>184</v>
      </c>
      <c r="C51" s="466" t="s">
        <v>172</v>
      </c>
      <c r="D51" s="467" t="s">
        <v>173</v>
      </c>
      <c r="E51" s="100">
        <v>14903</v>
      </c>
      <c r="F51" s="469"/>
      <c r="G51" s="77">
        <f t="shared" si="20"/>
        <v>6491.9166666666661</v>
      </c>
      <c r="H51" s="199">
        <v>10</v>
      </c>
      <c r="I51" s="77">
        <f t="shared" si="21"/>
        <v>6491.9166666666661</v>
      </c>
      <c r="J51" s="199">
        <v>6</v>
      </c>
      <c r="K51" s="78">
        <f t="shared" si="22"/>
        <v>10241.916666666666</v>
      </c>
      <c r="L51" s="199">
        <v>1</v>
      </c>
      <c r="M51" s="77">
        <f t="shared" si="23"/>
        <v>9741.9166666666661</v>
      </c>
      <c r="N51" s="199">
        <v>1</v>
      </c>
      <c r="P51" s="199">
        <f t="shared" si="24"/>
        <v>18</v>
      </c>
      <c r="Q51" s="80">
        <v>18</v>
      </c>
      <c r="R51" s="77">
        <f t="shared" si="35"/>
        <v>5250</v>
      </c>
      <c r="S51" s="77">
        <f t="shared" si="36"/>
        <v>5250</v>
      </c>
      <c r="T51" s="77">
        <f t="shared" si="37"/>
        <v>9000</v>
      </c>
      <c r="U51" s="77">
        <f t="shared" si="38"/>
        <v>8500</v>
      </c>
      <c r="V51" s="77">
        <f t="shared" si="30"/>
        <v>1241.9166666666665</v>
      </c>
      <c r="W51" s="78">
        <f t="shared" si="25"/>
        <v>123854.5</v>
      </c>
    </row>
    <row r="52" spans="1:23" ht="14" customHeight="1" x14ac:dyDescent="0.35">
      <c r="A52" s="70">
        <v>41739</v>
      </c>
      <c r="B52" s="85" t="s">
        <v>184</v>
      </c>
      <c r="C52" s="71" t="s">
        <v>172</v>
      </c>
      <c r="D52" s="86" t="s">
        <v>173</v>
      </c>
      <c r="E52" s="83">
        <v>12857</v>
      </c>
      <c r="F52" s="84"/>
      <c r="G52" s="74">
        <f t="shared" si="20"/>
        <v>6321.4166666666661</v>
      </c>
      <c r="H52" s="75">
        <v>10</v>
      </c>
      <c r="I52" s="77">
        <f t="shared" si="21"/>
        <v>6321.4166666666661</v>
      </c>
      <c r="J52" s="75">
        <v>6</v>
      </c>
      <c r="K52" s="78">
        <f t="shared" si="22"/>
        <v>10071.416666666666</v>
      </c>
      <c r="L52" s="75">
        <v>1</v>
      </c>
      <c r="M52" s="77">
        <f t="shared" si="23"/>
        <v>9571.4166666666661</v>
      </c>
      <c r="N52" s="75">
        <v>1</v>
      </c>
      <c r="P52" s="199">
        <f t="shared" si="24"/>
        <v>18</v>
      </c>
      <c r="Q52" s="80">
        <v>18</v>
      </c>
      <c r="R52" s="77">
        <f t="shared" si="35"/>
        <v>5250</v>
      </c>
      <c r="S52" s="77">
        <f t="shared" si="36"/>
        <v>5250</v>
      </c>
      <c r="T52" s="77">
        <f t="shared" si="37"/>
        <v>9000</v>
      </c>
      <c r="U52" s="77">
        <f t="shared" si="38"/>
        <v>8500</v>
      </c>
      <c r="V52" s="77">
        <f t="shared" si="30"/>
        <v>1071.4166666666665</v>
      </c>
      <c r="W52" s="78">
        <f t="shared" si="25"/>
        <v>120785.5</v>
      </c>
    </row>
    <row r="53" spans="1:23" ht="14" customHeight="1" x14ac:dyDescent="0.35">
      <c r="A53" s="70">
        <v>41767</v>
      </c>
      <c r="B53" s="71" t="s">
        <v>171</v>
      </c>
      <c r="C53" s="71" t="s">
        <v>177</v>
      </c>
      <c r="D53" s="72" t="s">
        <v>178</v>
      </c>
      <c r="E53" s="90"/>
      <c r="F53" s="91" t="s">
        <v>174</v>
      </c>
      <c r="G53" s="74">
        <f t="shared" si="20"/>
        <v>1750</v>
      </c>
      <c r="H53" s="75">
        <v>10</v>
      </c>
      <c r="I53" s="77">
        <f t="shared" si="21"/>
        <v>1750</v>
      </c>
      <c r="J53" s="75">
        <v>8</v>
      </c>
      <c r="K53" s="78">
        <f t="shared" si="22"/>
        <v>5500</v>
      </c>
      <c r="L53" s="75">
        <v>1</v>
      </c>
      <c r="M53" s="77">
        <f t="shared" si="23"/>
        <v>5000</v>
      </c>
      <c r="N53" s="75">
        <v>1</v>
      </c>
      <c r="P53" s="199">
        <f t="shared" si="24"/>
        <v>20</v>
      </c>
      <c r="Q53" s="199">
        <v>20</v>
      </c>
      <c r="R53" s="77">
        <f>IF($B$3&gt;0,$E$6,($B$13+$E$6))</f>
        <v>1750</v>
      </c>
      <c r="S53" s="77">
        <f>IF($B$4&gt;0,$E$6,($B$13+$E$6))</f>
        <v>1750</v>
      </c>
      <c r="T53" s="77">
        <f>$B$13+$E$6</f>
        <v>5500</v>
      </c>
      <c r="U53" s="77">
        <f>$B$12+$E$6</f>
        <v>5000</v>
      </c>
      <c r="V53" s="77">
        <f t="shared" si="30"/>
        <v>0</v>
      </c>
      <c r="W53" s="78">
        <f t="shared" si="25"/>
        <v>42000</v>
      </c>
    </row>
    <row r="54" spans="1:23" ht="14" customHeight="1" x14ac:dyDescent="0.35">
      <c r="A54" s="70">
        <v>41804</v>
      </c>
      <c r="B54" s="71" t="s">
        <v>185</v>
      </c>
      <c r="C54" s="71" t="s">
        <v>172</v>
      </c>
      <c r="D54" s="72" t="s">
        <v>173</v>
      </c>
      <c r="E54" s="83">
        <v>9799</v>
      </c>
      <c r="F54" s="91" t="s">
        <v>174</v>
      </c>
      <c r="G54" s="74">
        <f t="shared" si="20"/>
        <v>9234.9249999999993</v>
      </c>
      <c r="H54" s="75">
        <v>10</v>
      </c>
      <c r="I54" s="77">
        <f t="shared" si="21"/>
        <v>9234.9249999999993</v>
      </c>
      <c r="J54" s="75">
        <v>8</v>
      </c>
      <c r="K54" s="78">
        <f t="shared" si="22"/>
        <v>12984.924999999999</v>
      </c>
      <c r="L54" s="75">
        <v>2</v>
      </c>
      <c r="M54" s="77">
        <f t="shared" si="23"/>
        <v>12484.924999999999</v>
      </c>
      <c r="N54" s="75">
        <v>0</v>
      </c>
      <c r="P54" s="199">
        <f t="shared" si="24"/>
        <v>20</v>
      </c>
      <c r="Q54" s="80">
        <v>20</v>
      </c>
      <c r="R54" s="77">
        <f>IF($B$3&gt;0,$E$3,($B$13+$E$3))</f>
        <v>8500</v>
      </c>
      <c r="S54" s="77">
        <f>IF($B$4&gt;0,$E$3,($B$13+$E$3))</f>
        <v>8500</v>
      </c>
      <c r="T54" s="77">
        <f>$B$13+$E$3</f>
        <v>12250</v>
      </c>
      <c r="U54" s="77">
        <f>$B$12+$E$3</f>
        <v>11750</v>
      </c>
      <c r="V54" s="77">
        <f t="shared" si="30"/>
        <v>734.92499999999995</v>
      </c>
      <c r="W54" s="78">
        <f t="shared" si="25"/>
        <v>192198.5</v>
      </c>
    </row>
    <row r="55" spans="1:23" ht="14" customHeight="1" x14ac:dyDescent="0.35">
      <c r="A55" s="70">
        <v>41809</v>
      </c>
      <c r="B55" s="71" t="s">
        <v>185</v>
      </c>
      <c r="C55" s="71" t="s">
        <v>177</v>
      </c>
      <c r="D55" s="72" t="s">
        <v>173</v>
      </c>
      <c r="E55" s="83">
        <v>14695</v>
      </c>
      <c r="F55" s="73" t="s">
        <v>174</v>
      </c>
      <c r="G55" s="74">
        <f t="shared" si="20"/>
        <v>2852.125</v>
      </c>
      <c r="H55" s="75">
        <v>10</v>
      </c>
      <c r="I55" s="77">
        <f t="shared" si="21"/>
        <v>2852.125</v>
      </c>
      <c r="J55" s="75">
        <v>8</v>
      </c>
      <c r="K55" s="78">
        <f t="shared" si="22"/>
        <v>6602.125</v>
      </c>
      <c r="L55" s="75">
        <v>2</v>
      </c>
      <c r="M55" s="77">
        <f t="shared" si="23"/>
        <v>6102.125</v>
      </c>
      <c r="N55" s="75">
        <v>0</v>
      </c>
      <c r="P55" s="199">
        <f t="shared" si="24"/>
        <v>20</v>
      </c>
      <c r="Q55" s="80">
        <v>20</v>
      </c>
      <c r="R55" s="77">
        <f>IF($B$3&gt;0,$E$6,($B$13+$E$6))</f>
        <v>1750</v>
      </c>
      <c r="S55" s="77">
        <f>IF($B$4&gt;0,$E$6,($B$13+$E$6))</f>
        <v>1750</v>
      </c>
      <c r="T55" s="77">
        <f>$B$13+$E$6</f>
        <v>5500</v>
      </c>
      <c r="U55" s="77">
        <f>$B$12+$E$6</f>
        <v>5000</v>
      </c>
      <c r="V55" s="77">
        <f t="shared" si="30"/>
        <v>1102.125</v>
      </c>
      <c r="W55" s="78">
        <f t="shared" si="25"/>
        <v>64542.5</v>
      </c>
    </row>
    <row r="56" spans="1:23" ht="14" customHeight="1" x14ac:dyDescent="0.35">
      <c r="A56" s="70">
        <v>41871</v>
      </c>
      <c r="B56" s="71" t="s">
        <v>186</v>
      </c>
      <c r="C56" s="71" t="s">
        <v>172</v>
      </c>
      <c r="D56" s="72" t="s">
        <v>173</v>
      </c>
      <c r="E56" s="83">
        <v>9992</v>
      </c>
      <c r="F56" s="90"/>
      <c r="G56" s="74">
        <f t="shared" si="20"/>
        <v>6082.666666666667</v>
      </c>
      <c r="H56" s="75">
        <v>10</v>
      </c>
      <c r="I56" s="77">
        <f t="shared" si="21"/>
        <v>6082.666666666667</v>
      </c>
      <c r="J56" s="75">
        <v>6</v>
      </c>
      <c r="K56" s="78">
        <f t="shared" si="22"/>
        <v>9832.6666666666661</v>
      </c>
      <c r="L56" s="75">
        <v>1</v>
      </c>
      <c r="M56" s="77">
        <f t="shared" si="23"/>
        <v>9332.6666666666661</v>
      </c>
      <c r="N56" s="75">
        <v>1</v>
      </c>
      <c r="P56" s="199">
        <f t="shared" si="24"/>
        <v>18</v>
      </c>
      <c r="Q56" s="80">
        <v>18</v>
      </c>
      <c r="R56" s="77">
        <f t="shared" ref="R56:R58" si="39">IF($B$3&gt;0,$E$5,($B$13+$E$5))</f>
        <v>5250</v>
      </c>
      <c r="S56" s="77">
        <f t="shared" ref="S56:S58" si="40">IF($B$4&gt;0,$E$5,($B$13+$E$5))</f>
        <v>5250</v>
      </c>
      <c r="T56" s="77">
        <f t="shared" ref="T56:T58" si="41">$B$13+$E$5</f>
        <v>9000</v>
      </c>
      <c r="U56" s="77">
        <f t="shared" ref="U56:U58" si="42">$B$12+$E$5</f>
        <v>8500</v>
      </c>
      <c r="V56" s="77">
        <f t="shared" si="30"/>
        <v>832.66666666666663</v>
      </c>
      <c r="W56" s="78">
        <f t="shared" si="25"/>
        <v>116488.00000000001</v>
      </c>
    </row>
    <row r="57" spans="1:23" ht="14" customHeight="1" x14ac:dyDescent="0.35">
      <c r="A57" s="92">
        <v>41895</v>
      </c>
      <c r="B57" s="71" t="s">
        <v>187</v>
      </c>
      <c r="C57" s="71" t="s">
        <v>172</v>
      </c>
      <c r="D57" s="72" t="s">
        <v>173</v>
      </c>
      <c r="E57" s="83">
        <v>8849</v>
      </c>
      <c r="F57" s="90"/>
      <c r="G57" s="74">
        <f t="shared" si="20"/>
        <v>5913.6750000000002</v>
      </c>
      <c r="H57" s="75">
        <v>10</v>
      </c>
      <c r="I57" s="77">
        <f t="shared" si="21"/>
        <v>5913.6750000000002</v>
      </c>
      <c r="J57" s="75">
        <v>8</v>
      </c>
      <c r="K57" s="78">
        <f t="shared" si="22"/>
        <v>9663.6749999999993</v>
      </c>
      <c r="L57" s="75">
        <v>2</v>
      </c>
      <c r="M57" s="77">
        <f t="shared" si="23"/>
        <v>9163.6749999999993</v>
      </c>
      <c r="N57" s="75">
        <v>0</v>
      </c>
      <c r="P57" s="199">
        <f t="shared" si="24"/>
        <v>20</v>
      </c>
      <c r="Q57" s="80">
        <v>20</v>
      </c>
      <c r="R57" s="77">
        <f t="shared" si="39"/>
        <v>5250</v>
      </c>
      <c r="S57" s="77">
        <f t="shared" si="40"/>
        <v>5250</v>
      </c>
      <c r="T57" s="77">
        <f t="shared" si="41"/>
        <v>9000</v>
      </c>
      <c r="U57" s="77">
        <f t="shared" si="42"/>
        <v>8500</v>
      </c>
      <c r="V57" s="77">
        <f t="shared" si="30"/>
        <v>663.67499999999995</v>
      </c>
      <c r="W57" s="78">
        <f t="shared" si="25"/>
        <v>125773.5</v>
      </c>
    </row>
    <row r="58" spans="1:23" ht="14" customHeight="1" x14ac:dyDescent="0.35">
      <c r="A58" s="92">
        <v>41900</v>
      </c>
      <c r="B58" s="71" t="s">
        <v>187</v>
      </c>
      <c r="C58" s="71" t="s">
        <v>172</v>
      </c>
      <c r="D58" s="72" t="s">
        <v>173</v>
      </c>
      <c r="E58" s="83">
        <v>5680</v>
      </c>
      <c r="F58" s="84"/>
      <c r="G58" s="74">
        <f t="shared" si="20"/>
        <v>5676</v>
      </c>
      <c r="H58" s="75">
        <v>10</v>
      </c>
      <c r="I58" s="77">
        <f t="shared" si="21"/>
        <v>5676</v>
      </c>
      <c r="J58" s="75">
        <v>8</v>
      </c>
      <c r="K58" s="78">
        <f t="shared" si="22"/>
        <v>9426</v>
      </c>
      <c r="L58" s="75">
        <v>2</v>
      </c>
      <c r="M58" s="77">
        <f t="shared" si="23"/>
        <v>8926</v>
      </c>
      <c r="N58" s="75">
        <v>0</v>
      </c>
      <c r="P58" s="199">
        <f t="shared" si="24"/>
        <v>20</v>
      </c>
      <c r="Q58" s="80">
        <v>20</v>
      </c>
      <c r="R58" s="77">
        <f t="shared" si="39"/>
        <v>5250</v>
      </c>
      <c r="S58" s="77">
        <f t="shared" si="40"/>
        <v>5250</v>
      </c>
      <c r="T58" s="77">
        <f t="shared" si="41"/>
        <v>9000</v>
      </c>
      <c r="U58" s="77">
        <f t="shared" si="42"/>
        <v>8500</v>
      </c>
      <c r="V58" s="77">
        <f t="shared" si="30"/>
        <v>426</v>
      </c>
      <c r="W58" s="78">
        <f t="shared" si="25"/>
        <v>121020</v>
      </c>
    </row>
    <row r="59" spans="1:23" s="380" customFormat="1" ht="14" customHeight="1" x14ac:dyDescent="0.35">
      <c r="A59" s="472">
        <v>41927</v>
      </c>
      <c r="B59" s="473" t="s">
        <v>188</v>
      </c>
      <c r="C59" s="473" t="s">
        <v>172</v>
      </c>
      <c r="D59" s="474" t="s">
        <v>189</v>
      </c>
      <c r="E59" s="475">
        <v>3621</v>
      </c>
      <c r="F59" s="476"/>
      <c r="G59" s="379">
        <f t="shared" si="20"/>
        <v>3271.5749999999998</v>
      </c>
      <c r="H59" s="381">
        <v>10</v>
      </c>
      <c r="I59" s="379">
        <f t="shared" si="21"/>
        <v>3271.5749999999998</v>
      </c>
      <c r="J59" s="381">
        <v>8</v>
      </c>
      <c r="K59" s="388">
        <f t="shared" si="22"/>
        <v>7021.5749999999998</v>
      </c>
      <c r="L59" s="381">
        <v>2</v>
      </c>
      <c r="M59" s="379">
        <f t="shared" si="23"/>
        <v>6521.5749999999998</v>
      </c>
      <c r="N59" s="381">
        <v>0</v>
      </c>
      <c r="O59" s="477"/>
      <c r="P59" s="381">
        <f t="shared" si="24"/>
        <v>20</v>
      </c>
      <c r="Q59" s="427">
        <v>20</v>
      </c>
      <c r="R59" s="379">
        <f t="shared" ref="R59:R63" si="43">IF($B$3&gt;0,$N$3,($B$13+$N$3))</f>
        <v>3000</v>
      </c>
      <c r="S59" s="379">
        <f t="shared" ref="S59:S63" si="44">IF($B$4&gt;0,$N$3,($B$13+$N$3))</f>
        <v>3000</v>
      </c>
      <c r="T59" s="379">
        <f t="shared" ref="T59:T63" si="45">$B$13+$N$3</f>
        <v>6750</v>
      </c>
      <c r="U59" s="379">
        <f t="shared" ref="U59:U63" si="46">$B$12+$N$3</f>
        <v>6250</v>
      </c>
      <c r="V59" s="379">
        <f t="shared" si="30"/>
        <v>271.57499999999999</v>
      </c>
      <c r="W59" s="388">
        <f t="shared" si="25"/>
        <v>72931.5</v>
      </c>
    </row>
    <row r="60" spans="1:23" s="380" customFormat="1" ht="14" customHeight="1" x14ac:dyDescent="0.35">
      <c r="A60" s="472">
        <v>41929</v>
      </c>
      <c r="B60" s="473" t="s">
        <v>190</v>
      </c>
      <c r="C60" s="473" t="s">
        <v>172</v>
      </c>
      <c r="D60" s="474" t="s">
        <v>189</v>
      </c>
      <c r="E60" s="475">
        <v>6796</v>
      </c>
      <c r="F60" s="476"/>
      <c r="G60" s="379">
        <f t="shared" si="20"/>
        <v>3509.7</v>
      </c>
      <c r="H60" s="381">
        <v>10</v>
      </c>
      <c r="I60" s="379">
        <f t="shared" si="21"/>
        <v>3509.7</v>
      </c>
      <c r="J60" s="381">
        <v>8</v>
      </c>
      <c r="K60" s="388">
        <f t="shared" si="22"/>
        <v>7259.7</v>
      </c>
      <c r="L60" s="381">
        <v>2</v>
      </c>
      <c r="M60" s="379">
        <f t="shared" si="23"/>
        <v>6759.7</v>
      </c>
      <c r="N60" s="381">
        <v>0</v>
      </c>
      <c r="O60" s="477"/>
      <c r="P60" s="381">
        <f t="shared" si="24"/>
        <v>20</v>
      </c>
      <c r="Q60" s="427">
        <v>20</v>
      </c>
      <c r="R60" s="379">
        <f t="shared" si="43"/>
        <v>3000</v>
      </c>
      <c r="S60" s="379">
        <f t="shared" si="44"/>
        <v>3000</v>
      </c>
      <c r="T60" s="379">
        <f t="shared" si="45"/>
        <v>6750</v>
      </c>
      <c r="U60" s="379">
        <f t="shared" si="46"/>
        <v>6250</v>
      </c>
      <c r="V60" s="379">
        <f t="shared" si="30"/>
        <v>509.7</v>
      </c>
      <c r="W60" s="388">
        <f t="shared" si="25"/>
        <v>77694</v>
      </c>
    </row>
    <row r="61" spans="1:23" s="380" customFormat="1" ht="14" customHeight="1" x14ac:dyDescent="0.35">
      <c r="A61" s="472">
        <v>41932</v>
      </c>
      <c r="B61" s="473" t="s">
        <v>191</v>
      </c>
      <c r="C61" s="473" t="s">
        <v>172</v>
      </c>
      <c r="D61" s="474" t="s">
        <v>189</v>
      </c>
      <c r="E61" s="475">
        <v>6421</v>
      </c>
      <c r="F61" s="476"/>
      <c r="G61" s="379">
        <f t="shared" si="20"/>
        <v>3481.5749999999998</v>
      </c>
      <c r="H61" s="381">
        <v>10</v>
      </c>
      <c r="I61" s="379">
        <f t="shared" si="21"/>
        <v>3481.5749999999998</v>
      </c>
      <c r="J61" s="381">
        <v>8</v>
      </c>
      <c r="K61" s="388">
        <f t="shared" si="22"/>
        <v>7231.5749999999998</v>
      </c>
      <c r="L61" s="381">
        <v>2</v>
      </c>
      <c r="M61" s="379">
        <f t="shared" si="23"/>
        <v>6731.5749999999998</v>
      </c>
      <c r="N61" s="381">
        <v>0</v>
      </c>
      <c r="O61" s="477"/>
      <c r="P61" s="381">
        <f t="shared" si="24"/>
        <v>20</v>
      </c>
      <c r="Q61" s="427">
        <v>20</v>
      </c>
      <c r="R61" s="379">
        <f t="shared" si="43"/>
        <v>3000</v>
      </c>
      <c r="S61" s="379">
        <f t="shared" si="44"/>
        <v>3000</v>
      </c>
      <c r="T61" s="379">
        <f t="shared" si="45"/>
        <v>6750</v>
      </c>
      <c r="U61" s="379">
        <f t="shared" si="46"/>
        <v>6250</v>
      </c>
      <c r="V61" s="379">
        <f t="shared" si="30"/>
        <v>481.57499999999999</v>
      </c>
      <c r="W61" s="388">
        <f t="shared" si="25"/>
        <v>77131.5</v>
      </c>
    </row>
    <row r="62" spans="1:23" s="380" customFormat="1" ht="14" customHeight="1" x14ac:dyDescent="0.35">
      <c r="A62" s="472">
        <v>41936</v>
      </c>
      <c r="B62" s="473" t="s">
        <v>187</v>
      </c>
      <c r="C62" s="473" t="s">
        <v>172</v>
      </c>
      <c r="D62" s="474" t="s">
        <v>189</v>
      </c>
      <c r="E62" s="475">
        <v>8773</v>
      </c>
      <c r="F62" s="476"/>
      <c r="G62" s="379">
        <f t="shared" si="20"/>
        <v>3657.9749999999999</v>
      </c>
      <c r="H62" s="381">
        <v>10</v>
      </c>
      <c r="I62" s="379">
        <f t="shared" si="21"/>
        <v>3657.9749999999999</v>
      </c>
      <c r="J62" s="381">
        <v>8</v>
      </c>
      <c r="K62" s="388">
        <f t="shared" si="22"/>
        <v>7407.9750000000004</v>
      </c>
      <c r="L62" s="381">
        <v>2</v>
      </c>
      <c r="M62" s="379">
        <f t="shared" si="23"/>
        <v>6907.9750000000004</v>
      </c>
      <c r="N62" s="381">
        <v>0</v>
      </c>
      <c r="O62" s="477"/>
      <c r="P62" s="381">
        <f t="shared" si="24"/>
        <v>20</v>
      </c>
      <c r="Q62" s="427">
        <v>20</v>
      </c>
      <c r="R62" s="379">
        <f t="shared" si="43"/>
        <v>3000</v>
      </c>
      <c r="S62" s="379">
        <f t="shared" si="44"/>
        <v>3000</v>
      </c>
      <c r="T62" s="379">
        <f t="shared" si="45"/>
        <v>6750</v>
      </c>
      <c r="U62" s="379">
        <f t="shared" si="46"/>
        <v>6250</v>
      </c>
      <c r="V62" s="379">
        <f t="shared" si="30"/>
        <v>657.97500000000002</v>
      </c>
      <c r="W62" s="388">
        <f t="shared" si="25"/>
        <v>80659.5</v>
      </c>
    </row>
    <row r="63" spans="1:23" s="380" customFormat="1" ht="14" customHeight="1" x14ac:dyDescent="0.35">
      <c r="A63" s="472">
        <v>41938</v>
      </c>
      <c r="B63" s="478" t="s">
        <v>192</v>
      </c>
      <c r="C63" s="473" t="s">
        <v>172</v>
      </c>
      <c r="D63" s="479" t="s">
        <v>189</v>
      </c>
      <c r="E63" s="475">
        <v>11625</v>
      </c>
      <c r="F63" s="476"/>
      <c r="G63" s="379">
        <f t="shared" si="20"/>
        <v>3871.875</v>
      </c>
      <c r="H63" s="381">
        <v>10</v>
      </c>
      <c r="I63" s="379">
        <f t="shared" si="21"/>
        <v>3871.875</v>
      </c>
      <c r="J63" s="381">
        <v>8</v>
      </c>
      <c r="K63" s="388">
        <f t="shared" si="22"/>
        <v>7621.875</v>
      </c>
      <c r="L63" s="381">
        <v>2</v>
      </c>
      <c r="M63" s="379">
        <f t="shared" si="23"/>
        <v>7121.875</v>
      </c>
      <c r="N63" s="381">
        <v>0</v>
      </c>
      <c r="O63" s="477"/>
      <c r="P63" s="381">
        <f t="shared" si="24"/>
        <v>20</v>
      </c>
      <c r="Q63" s="427">
        <v>20</v>
      </c>
      <c r="R63" s="379">
        <f t="shared" si="43"/>
        <v>3000</v>
      </c>
      <c r="S63" s="379">
        <f t="shared" si="44"/>
        <v>3000</v>
      </c>
      <c r="T63" s="379">
        <f t="shared" si="45"/>
        <v>6750</v>
      </c>
      <c r="U63" s="379">
        <f t="shared" si="46"/>
        <v>6250</v>
      </c>
      <c r="V63" s="379">
        <f t="shared" si="30"/>
        <v>871.875</v>
      </c>
      <c r="W63" s="388">
        <f t="shared" si="25"/>
        <v>84937.5</v>
      </c>
    </row>
    <row r="64" spans="1:23" s="380" customFormat="1" ht="14" customHeight="1" x14ac:dyDescent="0.35">
      <c r="A64" s="472"/>
      <c r="B64" s="478" t="s">
        <v>193</v>
      </c>
      <c r="C64" s="473"/>
      <c r="D64" s="479"/>
      <c r="E64" s="475"/>
      <c r="F64" s="476"/>
      <c r="G64" s="379">
        <f t="shared" si="20"/>
        <v>37500</v>
      </c>
      <c r="H64" s="381">
        <v>10</v>
      </c>
      <c r="I64" s="379">
        <f t="shared" si="21"/>
        <v>37500</v>
      </c>
      <c r="J64" s="381">
        <v>8</v>
      </c>
      <c r="K64" s="388">
        <f t="shared" si="22"/>
        <v>37500</v>
      </c>
      <c r="L64" s="381">
        <v>2</v>
      </c>
      <c r="M64" s="379">
        <f t="shared" si="23"/>
        <v>37500</v>
      </c>
      <c r="N64" s="381">
        <v>0</v>
      </c>
      <c r="O64" s="477"/>
      <c r="P64" s="381">
        <f t="shared" si="24"/>
        <v>20</v>
      </c>
      <c r="Q64" s="427">
        <v>20</v>
      </c>
      <c r="R64" s="379">
        <f>$M$8</f>
        <v>37500</v>
      </c>
      <c r="S64" s="379">
        <f t="shared" ref="S64:U64" si="47">$M$8</f>
        <v>37500</v>
      </c>
      <c r="T64" s="379">
        <f t="shared" si="47"/>
        <v>37500</v>
      </c>
      <c r="U64" s="379">
        <f t="shared" si="47"/>
        <v>37500</v>
      </c>
      <c r="V64" s="379">
        <f t="shared" si="30"/>
        <v>0</v>
      </c>
      <c r="W64" s="388">
        <f t="shared" si="25"/>
        <v>750000</v>
      </c>
    </row>
    <row r="65" spans="1:23" ht="14" customHeight="1" x14ac:dyDescent="0.35">
      <c r="A65" s="70">
        <v>41983</v>
      </c>
      <c r="B65" s="71" t="s">
        <v>184</v>
      </c>
      <c r="C65" s="71" t="s">
        <v>177</v>
      </c>
      <c r="D65" s="72" t="s">
        <v>178</v>
      </c>
      <c r="E65" s="84"/>
      <c r="F65" s="87"/>
      <c r="G65" s="74">
        <f t="shared" si="20"/>
        <v>0</v>
      </c>
      <c r="H65" s="75">
        <v>10</v>
      </c>
      <c r="I65" s="77">
        <f t="shared" si="21"/>
        <v>0</v>
      </c>
      <c r="J65" s="75">
        <v>8</v>
      </c>
      <c r="K65" s="78">
        <f t="shared" si="22"/>
        <v>3750</v>
      </c>
      <c r="L65" s="75">
        <v>3</v>
      </c>
      <c r="M65" s="77">
        <f t="shared" si="23"/>
        <v>3250</v>
      </c>
      <c r="N65" s="75">
        <v>2</v>
      </c>
      <c r="P65" s="199">
        <f t="shared" si="24"/>
        <v>23</v>
      </c>
      <c r="Q65" s="199">
        <v>23</v>
      </c>
      <c r="R65" s="77">
        <f>IF($B$3&gt;0,$E$8,($B$13+$E$8))</f>
        <v>0</v>
      </c>
      <c r="S65" s="77">
        <f>IF($B$4&gt;0,$E$8,($B$13+$E$8))</f>
        <v>0</v>
      </c>
      <c r="T65" s="77">
        <f>$B$13+$E$8</f>
        <v>3750</v>
      </c>
      <c r="U65" s="77">
        <f>$B$12+$E$8</f>
        <v>3250</v>
      </c>
      <c r="V65" s="77">
        <f t="shared" si="30"/>
        <v>0</v>
      </c>
      <c r="W65" s="78">
        <f t="shared" si="25"/>
        <v>17750</v>
      </c>
    </row>
    <row r="66" spans="1:23" ht="14" customHeight="1" x14ac:dyDescent="0.35">
      <c r="A66" s="70">
        <v>41987</v>
      </c>
      <c r="B66" s="71" t="s">
        <v>194</v>
      </c>
      <c r="C66" s="71" t="s">
        <v>181</v>
      </c>
      <c r="D66" s="72" t="s">
        <v>178</v>
      </c>
      <c r="E66" s="84"/>
      <c r="F66" s="90"/>
      <c r="G66" s="74">
        <f t="shared" si="20"/>
        <v>0</v>
      </c>
      <c r="H66" s="75">
        <v>10</v>
      </c>
      <c r="I66" s="77">
        <f t="shared" si="21"/>
        <v>0</v>
      </c>
      <c r="J66" s="75">
        <v>8</v>
      </c>
      <c r="K66" s="78">
        <f t="shared" si="22"/>
        <v>3750</v>
      </c>
      <c r="L66" s="75">
        <v>3</v>
      </c>
      <c r="M66" s="77">
        <f t="shared" si="23"/>
        <v>3250</v>
      </c>
      <c r="N66" s="75">
        <v>2</v>
      </c>
      <c r="P66" s="199">
        <f t="shared" si="24"/>
        <v>23</v>
      </c>
      <c r="Q66" s="199">
        <v>23</v>
      </c>
      <c r="R66" s="77">
        <f>IF($B$3&gt;0,$E$9,($B$13+$E$9))</f>
        <v>0</v>
      </c>
      <c r="S66" s="77">
        <f>IF($B$4&gt;0,$E$9,($B$13+$E$9))</f>
        <v>0</v>
      </c>
      <c r="T66" s="77">
        <f>$B$13+$E$9</f>
        <v>3750</v>
      </c>
      <c r="U66" s="77">
        <f>$B$12+$E$9</f>
        <v>3250</v>
      </c>
      <c r="V66" s="77">
        <f t="shared" si="30"/>
        <v>0</v>
      </c>
      <c r="W66" s="78">
        <f t="shared" si="25"/>
        <v>17750</v>
      </c>
    </row>
    <row r="67" spans="1:23" ht="14" customHeight="1" x14ac:dyDescent="0.35">
      <c r="A67" s="70">
        <v>41991</v>
      </c>
      <c r="B67" s="94" t="s">
        <v>195</v>
      </c>
      <c r="C67" s="94" t="s">
        <v>172</v>
      </c>
      <c r="D67" s="95" t="s">
        <v>178</v>
      </c>
      <c r="E67" s="96"/>
      <c r="F67" s="90"/>
      <c r="G67" s="74">
        <f t="shared" si="20"/>
        <v>5250</v>
      </c>
      <c r="H67" s="75">
        <v>10</v>
      </c>
      <c r="I67" s="77">
        <f t="shared" si="21"/>
        <v>5250</v>
      </c>
      <c r="J67" s="75">
        <v>8</v>
      </c>
      <c r="K67" s="78">
        <f t="shared" si="22"/>
        <v>9000</v>
      </c>
      <c r="L67" s="75">
        <v>3</v>
      </c>
      <c r="M67" s="77">
        <f t="shared" si="23"/>
        <v>8500</v>
      </c>
      <c r="N67" s="75">
        <v>2</v>
      </c>
      <c r="P67" s="199">
        <f t="shared" si="24"/>
        <v>23</v>
      </c>
      <c r="Q67" s="199">
        <v>23</v>
      </c>
      <c r="R67" s="77">
        <f>IF($B$3&gt;0,$E$5,($B$13+$E$5))</f>
        <v>5250</v>
      </c>
      <c r="S67" s="77">
        <f>IF($B$4&gt;0,$E$5,($B$13+$E$5))</f>
        <v>5250</v>
      </c>
      <c r="T67" s="77">
        <f>$B$13+$E$5</f>
        <v>9000</v>
      </c>
      <c r="U67" s="77">
        <f>$B$12+$E$5</f>
        <v>8500</v>
      </c>
      <c r="V67" s="77">
        <f t="shared" si="30"/>
        <v>0</v>
      </c>
      <c r="W67" s="78">
        <f t="shared" si="25"/>
        <v>138500</v>
      </c>
    </row>
    <row r="68" spans="1:23" ht="14" customHeight="1" x14ac:dyDescent="0.35">
      <c r="A68" s="70">
        <v>41994</v>
      </c>
      <c r="B68" s="85" t="s">
        <v>194</v>
      </c>
      <c r="C68" s="71" t="s">
        <v>177</v>
      </c>
      <c r="D68" s="86" t="s">
        <v>178</v>
      </c>
      <c r="E68" s="84"/>
      <c r="F68" s="90"/>
      <c r="G68" s="74">
        <f t="shared" si="20"/>
        <v>0</v>
      </c>
      <c r="H68" s="75">
        <v>10</v>
      </c>
      <c r="I68" s="77">
        <f t="shared" si="21"/>
        <v>0</v>
      </c>
      <c r="J68" s="75">
        <v>8</v>
      </c>
      <c r="K68" s="78">
        <f t="shared" si="22"/>
        <v>3750</v>
      </c>
      <c r="L68" s="75">
        <v>3</v>
      </c>
      <c r="M68" s="77">
        <f t="shared" si="23"/>
        <v>3250</v>
      </c>
      <c r="N68" s="75">
        <v>2</v>
      </c>
      <c r="P68" s="199">
        <f t="shared" si="24"/>
        <v>23</v>
      </c>
      <c r="Q68" s="199">
        <v>23</v>
      </c>
      <c r="R68" s="77">
        <f>IF($B$3&gt;0,$E$8,($B$13+$E$8))</f>
        <v>0</v>
      </c>
      <c r="S68" s="77">
        <f>IF($B$4&gt;0,$E$8,($B$13+$E$8))</f>
        <v>0</v>
      </c>
      <c r="T68" s="77">
        <f>$B$13+$E$8</f>
        <v>3750</v>
      </c>
      <c r="U68" s="77">
        <f>$B$12+$E$8</f>
        <v>3250</v>
      </c>
      <c r="V68" s="77">
        <f t="shared" si="30"/>
        <v>0</v>
      </c>
      <c r="W68" s="78">
        <f t="shared" si="25"/>
        <v>17750</v>
      </c>
    </row>
    <row r="69" spans="1:23" s="411" customFormat="1" ht="14" customHeight="1" x14ac:dyDescent="0.35">
      <c r="A69" s="480"/>
      <c r="B69" s="481" t="s">
        <v>196</v>
      </c>
      <c r="C69" s="482"/>
      <c r="D69" s="483"/>
      <c r="E69" s="484"/>
      <c r="F69" s="485"/>
      <c r="G69" s="104">
        <f>$B$3</f>
        <v>100000</v>
      </c>
      <c r="H69" s="107">
        <v>10</v>
      </c>
      <c r="I69" s="104">
        <f>$B$4</f>
        <v>100000</v>
      </c>
      <c r="J69" s="107">
        <v>10</v>
      </c>
      <c r="K69" s="106"/>
      <c r="L69" s="107"/>
      <c r="M69" s="104"/>
      <c r="N69" s="107"/>
      <c r="O69" s="106">
        <f>$B$8</f>
        <v>1500</v>
      </c>
      <c r="P69" s="199"/>
      <c r="Q69" s="199">
        <v>6</v>
      </c>
      <c r="R69" s="77"/>
      <c r="S69" s="77"/>
      <c r="T69" s="77"/>
      <c r="U69" s="77"/>
      <c r="V69" s="77"/>
      <c r="W69" s="78">
        <f>(G69*H69)+(I69*J69)+(O69*Q69)</f>
        <v>2009000</v>
      </c>
    </row>
    <row r="70" spans="1:23" s="411" customFormat="1" ht="14" customHeight="1" x14ac:dyDescent="0.35">
      <c r="A70" s="480"/>
      <c r="B70" s="481" t="s">
        <v>235</v>
      </c>
      <c r="C70" s="482"/>
      <c r="D70" s="483"/>
      <c r="E70" s="484"/>
      <c r="F70" s="485"/>
      <c r="G70" s="104">
        <f>$E$12/($H71+$J71+$L71)</f>
        <v>14583.333333333334</v>
      </c>
      <c r="H70" s="107">
        <v>10</v>
      </c>
      <c r="I70" s="104">
        <f>$E$12/($H71+$J71+$L71)</f>
        <v>14583.333333333334</v>
      </c>
      <c r="J70" s="107">
        <v>10</v>
      </c>
      <c r="K70" s="106">
        <f>$E$12/($H71+$J71+$L71)</f>
        <v>14583.333333333334</v>
      </c>
      <c r="L70" s="107">
        <v>4</v>
      </c>
      <c r="M70" s="104"/>
      <c r="N70" s="107"/>
      <c r="O70" s="106"/>
      <c r="P70" s="199"/>
      <c r="Q70" s="199"/>
      <c r="R70" s="77"/>
      <c r="S70" s="77"/>
      <c r="T70" s="77"/>
      <c r="U70" s="77"/>
      <c r="V70" s="77"/>
      <c r="W70" s="78">
        <f t="shared" ref="W70" si="48">(G70*H70)+(I70*J70)+(K70*L70)+(M70*N70)</f>
        <v>350000</v>
      </c>
    </row>
    <row r="71" spans="1:23" s="110" customFormat="1" ht="14" customHeight="1" x14ac:dyDescent="0.4">
      <c r="A71" s="280" t="s">
        <v>197</v>
      </c>
      <c r="B71" s="280"/>
      <c r="C71" s="93"/>
      <c r="D71" s="281" t="s">
        <v>198</v>
      </c>
      <c r="E71" s="281"/>
      <c r="F71" s="281"/>
      <c r="G71" s="97">
        <f>SUMPRODUCT(G44:G70,H44:H70)</f>
        <v>2483876.5833333335</v>
      </c>
      <c r="H71" s="98">
        <v>10</v>
      </c>
      <c r="I71" s="97">
        <f>SUMPRODUCT(I44:I70,J44:J70)</f>
        <v>2133598.1333333333</v>
      </c>
      <c r="J71" s="98">
        <v>10</v>
      </c>
      <c r="K71" s="97">
        <f>SUMPRODUCT(K44:K70,L44:L70)</f>
        <v>490545.98333333334</v>
      </c>
      <c r="L71" s="98">
        <v>4</v>
      </c>
      <c r="M71" s="97">
        <f>SUMPRODUCT(M44:M70,N44:N70)</f>
        <v>134523.80000000002</v>
      </c>
      <c r="N71" s="98">
        <v>6</v>
      </c>
      <c r="O71" s="99">
        <f>O69*Q69</f>
        <v>9000</v>
      </c>
      <c r="P71" s="636" t="s">
        <v>199</v>
      </c>
      <c r="Q71" s="636"/>
      <c r="R71" s="100">
        <f>H71+J71+L71+N71</f>
        <v>30</v>
      </c>
      <c r="S71" s="637"/>
      <c r="T71" s="637"/>
      <c r="U71" s="637"/>
      <c r="V71" s="637"/>
      <c r="W71" s="101"/>
    </row>
    <row r="72" spans="1:23" s="110" customFormat="1" ht="14" customHeight="1" x14ac:dyDescent="0.4">
      <c r="A72" s="280" t="s">
        <v>200</v>
      </c>
      <c r="B72" s="280"/>
      <c r="C72" s="93"/>
      <c r="D72" s="281" t="s">
        <v>399</v>
      </c>
      <c r="E72" s="281"/>
      <c r="F72" s="281"/>
      <c r="G72" s="111">
        <f>G71/H71</f>
        <v>248387.65833333335</v>
      </c>
      <c r="H72" s="654">
        <f>(SUM(H44:H63)+SUM(H65:H68))/H71</f>
        <v>24</v>
      </c>
      <c r="I72" s="111">
        <f>I71/J71</f>
        <v>213359.81333333332</v>
      </c>
      <c r="J72" s="654">
        <f>(SUM(J44:J63)+SUM(J65:J68))/J71</f>
        <v>18</v>
      </c>
      <c r="K72" s="111">
        <f>K71/L71</f>
        <v>122636.49583333333</v>
      </c>
      <c r="L72" s="654">
        <f>(SUM(L44:L63)+SUM(L65:L68))/L71</f>
        <v>12</v>
      </c>
      <c r="M72" s="111">
        <f>M71/N71</f>
        <v>22420.633333333335</v>
      </c>
      <c r="N72" s="654">
        <f>(SUM(N44:N63)+SUM(N65:N68))/N71</f>
        <v>3</v>
      </c>
      <c r="O72" s="102"/>
      <c r="P72" s="282" t="s">
        <v>201</v>
      </c>
      <c r="Q72" s="282"/>
      <c r="R72" s="638">
        <f>SUM(G71,I71,K71,M71,O71)</f>
        <v>5251544.5</v>
      </c>
      <c r="S72" s="637"/>
      <c r="T72" s="637"/>
      <c r="U72" s="637"/>
      <c r="V72" s="637"/>
      <c r="W72" s="103">
        <f>SUM(W44:W70)</f>
        <v>5251544.5</v>
      </c>
    </row>
    <row r="73" spans="1:23" ht="14" customHeight="1" x14ac:dyDescent="0.35">
      <c r="A73" s="115">
        <v>42043</v>
      </c>
      <c r="B73" s="116" t="s">
        <v>185</v>
      </c>
      <c r="C73" s="116" t="s">
        <v>181</v>
      </c>
      <c r="D73" s="117" t="s">
        <v>178</v>
      </c>
      <c r="E73" s="118"/>
      <c r="F73" s="119" t="s">
        <v>174</v>
      </c>
      <c r="G73" s="74">
        <f t="shared" ref="G73:G102" si="49">R73+V73</f>
        <v>0</v>
      </c>
      <c r="H73" s="75">
        <v>10</v>
      </c>
      <c r="I73" s="77">
        <f t="shared" ref="I73:I102" si="50">S73+V73</f>
        <v>0</v>
      </c>
      <c r="J73" s="75">
        <v>7</v>
      </c>
      <c r="K73" s="78">
        <f t="shared" ref="K73:K102" si="51">T73+V73</f>
        <v>3750</v>
      </c>
      <c r="L73" s="75">
        <v>3</v>
      </c>
      <c r="M73" s="77">
        <f t="shared" ref="M73:M102" si="52">U73+V73</f>
        <v>3250</v>
      </c>
      <c r="N73" s="75">
        <v>3</v>
      </c>
      <c r="P73" s="199">
        <f t="shared" ref="P73:P102" si="53">H73+J73+L73+N73</f>
        <v>23</v>
      </c>
      <c r="Q73" s="80">
        <v>23</v>
      </c>
      <c r="R73" s="77">
        <f>IF($B$3&gt;0,$E$9,($B$13+$E$9))</f>
        <v>0</v>
      </c>
      <c r="S73" s="77">
        <f>IF($B$4&gt;0,$E$9,($B$13+$E$9))</f>
        <v>0</v>
      </c>
      <c r="T73" s="77">
        <f>$B$13+$E$9</f>
        <v>3750</v>
      </c>
      <c r="U73" s="77">
        <f>$B$12+$E$9</f>
        <v>3250</v>
      </c>
      <c r="V73" s="77">
        <f t="shared" ref="V73:V102" si="54">($E73*($E$13/$Q73))</f>
        <v>0</v>
      </c>
      <c r="W73" s="78">
        <f t="shared" ref="W73:W102" si="55">(G73*H73)+(I73*J73)+(K73*L73)+(M73*N73)</f>
        <v>21000</v>
      </c>
    </row>
    <row r="74" spans="1:23" ht="14" customHeight="1" x14ac:dyDescent="0.35">
      <c r="A74" s="115">
        <v>42048</v>
      </c>
      <c r="B74" s="116" t="s">
        <v>202</v>
      </c>
      <c r="C74" s="116" t="s">
        <v>172</v>
      </c>
      <c r="D74" s="117" t="s">
        <v>178</v>
      </c>
      <c r="E74" s="120"/>
      <c r="F74" s="119" t="s">
        <v>174</v>
      </c>
      <c r="G74" s="74">
        <f t="shared" si="49"/>
        <v>8500</v>
      </c>
      <c r="H74" s="75">
        <v>10</v>
      </c>
      <c r="I74" s="77">
        <f t="shared" si="50"/>
        <v>8500</v>
      </c>
      <c r="J74" s="75">
        <v>7</v>
      </c>
      <c r="K74" s="78">
        <f t="shared" si="51"/>
        <v>12250</v>
      </c>
      <c r="L74" s="75">
        <v>3</v>
      </c>
      <c r="M74" s="77">
        <f t="shared" si="52"/>
        <v>11750</v>
      </c>
      <c r="N74" s="75">
        <v>3</v>
      </c>
      <c r="P74" s="199">
        <f t="shared" si="53"/>
        <v>23</v>
      </c>
      <c r="Q74" s="80">
        <v>23</v>
      </c>
      <c r="R74" s="77">
        <f>IF($B$3&gt;0,$E$3,($B$13+$E$3))</f>
        <v>8500</v>
      </c>
      <c r="S74" s="77">
        <f>IF($B$4&gt;0,$E$3,($B$13+$E$3))</f>
        <v>8500</v>
      </c>
      <c r="T74" s="77">
        <f>$B$13+$E$3</f>
        <v>12250</v>
      </c>
      <c r="U74" s="77">
        <f>$B$12+$E$3</f>
        <v>11750</v>
      </c>
      <c r="V74" s="77">
        <f t="shared" si="54"/>
        <v>0</v>
      </c>
      <c r="W74" s="78">
        <f t="shared" si="55"/>
        <v>216500</v>
      </c>
    </row>
    <row r="75" spans="1:23" s="395" customFormat="1" ht="14" customHeight="1" x14ac:dyDescent="0.35">
      <c r="A75" s="523">
        <v>42067</v>
      </c>
      <c r="B75" s="524" t="s">
        <v>203</v>
      </c>
      <c r="C75" s="524" t="s">
        <v>172</v>
      </c>
      <c r="D75" s="525" t="s">
        <v>178</v>
      </c>
      <c r="E75" s="526"/>
      <c r="F75" s="527"/>
      <c r="G75" s="400">
        <f t="shared" si="49"/>
        <v>5250</v>
      </c>
      <c r="H75" s="401">
        <v>10</v>
      </c>
      <c r="I75" s="400">
        <f t="shared" si="50"/>
        <v>5250</v>
      </c>
      <c r="J75" s="401">
        <v>7</v>
      </c>
      <c r="K75" s="431">
        <f t="shared" si="51"/>
        <v>9000</v>
      </c>
      <c r="L75" s="401">
        <v>3</v>
      </c>
      <c r="M75" s="400">
        <f t="shared" si="52"/>
        <v>8500</v>
      </c>
      <c r="N75" s="401">
        <v>3</v>
      </c>
      <c r="O75" s="528"/>
      <c r="P75" s="401">
        <f t="shared" si="53"/>
        <v>23</v>
      </c>
      <c r="Q75" s="428">
        <v>23</v>
      </c>
      <c r="R75" s="400">
        <f t="shared" ref="R75:R76" si="56">IF($B$3&gt;0,$E$5,($B$13+$E$5))</f>
        <v>5250</v>
      </c>
      <c r="S75" s="400">
        <f t="shared" ref="S75:S76" si="57">IF($B$4&gt;0,$E$5,($B$13+$E$5))</f>
        <v>5250</v>
      </c>
      <c r="T75" s="400">
        <f t="shared" ref="T75:T76" si="58">$B$13+$E$5</f>
        <v>9000</v>
      </c>
      <c r="U75" s="400">
        <f t="shared" ref="U75:U76" si="59">$B$12+$E$5</f>
        <v>8500</v>
      </c>
      <c r="V75" s="400">
        <f t="shared" si="54"/>
        <v>0</v>
      </c>
      <c r="W75" s="431">
        <f t="shared" si="55"/>
        <v>141750</v>
      </c>
    </row>
    <row r="76" spans="1:23" s="395" customFormat="1" ht="14" customHeight="1" x14ac:dyDescent="0.35">
      <c r="A76" s="523">
        <v>42069</v>
      </c>
      <c r="B76" s="524" t="s">
        <v>186</v>
      </c>
      <c r="C76" s="524" t="s">
        <v>172</v>
      </c>
      <c r="D76" s="525" t="s">
        <v>178</v>
      </c>
      <c r="E76" s="526"/>
      <c r="F76" s="529"/>
      <c r="G76" s="400">
        <f t="shared" si="49"/>
        <v>5250</v>
      </c>
      <c r="H76" s="401">
        <v>10</v>
      </c>
      <c r="I76" s="400">
        <f t="shared" si="50"/>
        <v>5250</v>
      </c>
      <c r="J76" s="401">
        <v>7</v>
      </c>
      <c r="K76" s="431">
        <f t="shared" si="51"/>
        <v>9000</v>
      </c>
      <c r="L76" s="401">
        <v>3</v>
      </c>
      <c r="M76" s="400">
        <f t="shared" si="52"/>
        <v>8500</v>
      </c>
      <c r="N76" s="401">
        <v>3</v>
      </c>
      <c r="O76" s="528"/>
      <c r="P76" s="401">
        <f t="shared" si="53"/>
        <v>23</v>
      </c>
      <c r="Q76" s="428">
        <v>23</v>
      </c>
      <c r="R76" s="400">
        <f t="shared" si="56"/>
        <v>5250</v>
      </c>
      <c r="S76" s="400">
        <f t="shared" si="57"/>
        <v>5250</v>
      </c>
      <c r="T76" s="400">
        <f t="shared" si="58"/>
        <v>9000</v>
      </c>
      <c r="U76" s="400">
        <f t="shared" si="59"/>
        <v>8500</v>
      </c>
      <c r="V76" s="400">
        <f t="shared" si="54"/>
        <v>0</v>
      </c>
      <c r="W76" s="431">
        <f t="shared" si="55"/>
        <v>141750</v>
      </c>
    </row>
    <row r="77" spans="1:23" s="395" customFormat="1" ht="14" customHeight="1" x14ac:dyDescent="0.35">
      <c r="A77" s="523">
        <v>42072</v>
      </c>
      <c r="B77" s="524" t="s">
        <v>204</v>
      </c>
      <c r="C77" s="524" t="s">
        <v>177</v>
      </c>
      <c r="D77" s="525" t="s">
        <v>178</v>
      </c>
      <c r="E77" s="529"/>
      <c r="F77" s="529"/>
      <c r="G77" s="400">
        <f t="shared" si="49"/>
        <v>0</v>
      </c>
      <c r="H77" s="401">
        <v>10</v>
      </c>
      <c r="I77" s="400">
        <f t="shared" si="50"/>
        <v>0</v>
      </c>
      <c r="J77" s="401">
        <v>7</v>
      </c>
      <c r="K77" s="431">
        <f t="shared" si="51"/>
        <v>3750</v>
      </c>
      <c r="L77" s="401">
        <v>3</v>
      </c>
      <c r="M77" s="400">
        <f t="shared" si="52"/>
        <v>3250</v>
      </c>
      <c r="N77" s="401">
        <v>3</v>
      </c>
      <c r="O77" s="528"/>
      <c r="P77" s="401">
        <f t="shared" si="53"/>
        <v>23</v>
      </c>
      <c r="Q77" s="428">
        <v>23</v>
      </c>
      <c r="R77" s="400">
        <f>IF($B$3&gt;0,$E$8,($B$13+$E$8))</f>
        <v>0</v>
      </c>
      <c r="S77" s="400">
        <f>IF($B$4&gt;0,$E$8,($B$13+$E$8))</f>
        <v>0</v>
      </c>
      <c r="T77" s="400">
        <f>$B$13+$E$8</f>
        <v>3750</v>
      </c>
      <c r="U77" s="400">
        <f>$B$12+$E$8</f>
        <v>3250</v>
      </c>
      <c r="V77" s="400">
        <f t="shared" si="54"/>
        <v>0</v>
      </c>
      <c r="W77" s="431">
        <f t="shared" si="55"/>
        <v>21000</v>
      </c>
    </row>
    <row r="78" spans="1:23" s="395" customFormat="1" ht="14" customHeight="1" x14ac:dyDescent="0.35">
      <c r="A78" s="523">
        <v>42074</v>
      </c>
      <c r="B78" s="524" t="s">
        <v>185</v>
      </c>
      <c r="C78" s="524" t="s">
        <v>172</v>
      </c>
      <c r="D78" s="530" t="s">
        <v>178</v>
      </c>
      <c r="E78" s="526"/>
      <c r="F78" s="526" t="s">
        <v>174</v>
      </c>
      <c r="G78" s="400">
        <f t="shared" si="49"/>
        <v>8500</v>
      </c>
      <c r="H78" s="401">
        <v>10</v>
      </c>
      <c r="I78" s="400">
        <f t="shared" si="50"/>
        <v>8500</v>
      </c>
      <c r="J78" s="401">
        <v>7</v>
      </c>
      <c r="K78" s="431">
        <f t="shared" si="51"/>
        <v>12250</v>
      </c>
      <c r="L78" s="401">
        <v>3</v>
      </c>
      <c r="M78" s="400">
        <f t="shared" si="52"/>
        <v>11750</v>
      </c>
      <c r="N78" s="401">
        <v>3</v>
      </c>
      <c r="O78" s="528"/>
      <c r="P78" s="401">
        <f t="shared" si="53"/>
        <v>23</v>
      </c>
      <c r="Q78" s="428">
        <v>23</v>
      </c>
      <c r="R78" s="400">
        <f>IF($B$3&gt;0,$E$3,($B$13+$E$3))</f>
        <v>8500</v>
      </c>
      <c r="S78" s="400">
        <f>IF($B$4&gt;0,$E$3,($B$13+$E$3))</f>
        <v>8500</v>
      </c>
      <c r="T78" s="400">
        <f>$B$13+$E$3</f>
        <v>12250</v>
      </c>
      <c r="U78" s="400">
        <f>$B$12+$E$3</f>
        <v>11750</v>
      </c>
      <c r="V78" s="400">
        <f t="shared" si="54"/>
        <v>0</v>
      </c>
      <c r="W78" s="431">
        <f t="shared" si="55"/>
        <v>216500</v>
      </c>
    </row>
    <row r="79" spans="1:23" s="395" customFormat="1" ht="14" customHeight="1" x14ac:dyDescent="0.35">
      <c r="A79" s="523"/>
      <c r="B79" s="531" t="s">
        <v>241</v>
      </c>
      <c r="C79" s="531"/>
      <c r="D79" s="531"/>
      <c r="E79" s="526"/>
      <c r="F79" s="526"/>
      <c r="G79" s="400">
        <f t="shared" ref="G79" si="60">R79+V79</f>
        <v>5000</v>
      </c>
      <c r="H79" s="401">
        <v>10</v>
      </c>
      <c r="I79" s="400">
        <f t="shared" ref="I79" si="61">S79+V79</f>
        <v>5000</v>
      </c>
      <c r="J79" s="401">
        <v>7</v>
      </c>
      <c r="K79" s="431">
        <f t="shared" ref="K79" si="62">T79+V79</f>
        <v>5000</v>
      </c>
      <c r="L79" s="401">
        <v>3</v>
      </c>
      <c r="M79" s="400">
        <f t="shared" ref="M79" si="63">U79+V79</f>
        <v>5000</v>
      </c>
      <c r="N79" s="401">
        <v>3</v>
      </c>
      <c r="O79" s="528"/>
      <c r="P79" s="401">
        <f t="shared" ref="P79" si="64">H79+J79+L79+N79</f>
        <v>23</v>
      </c>
      <c r="Q79" s="428">
        <v>23</v>
      </c>
      <c r="R79" s="400">
        <f>$J$7</f>
        <v>5000</v>
      </c>
      <c r="S79" s="400">
        <f>$J$7</f>
        <v>5000</v>
      </c>
      <c r="T79" s="400">
        <f>$J$7</f>
        <v>5000</v>
      </c>
      <c r="U79" s="400">
        <f>$J$7</f>
        <v>5000</v>
      </c>
      <c r="V79" s="400">
        <f t="shared" si="54"/>
        <v>0</v>
      </c>
      <c r="W79" s="431">
        <f t="shared" si="55"/>
        <v>115000</v>
      </c>
    </row>
    <row r="80" spans="1:23" ht="14" customHeight="1" x14ac:dyDescent="0.35">
      <c r="A80" s="115">
        <v>42098</v>
      </c>
      <c r="B80" s="116" t="s">
        <v>205</v>
      </c>
      <c r="C80" s="116" t="s">
        <v>172</v>
      </c>
      <c r="D80" s="121" t="s">
        <v>173</v>
      </c>
      <c r="E80" s="122">
        <v>35817</v>
      </c>
      <c r="F80" s="118"/>
      <c r="G80" s="74">
        <f t="shared" si="49"/>
        <v>7936.2749999999996</v>
      </c>
      <c r="H80" s="75">
        <v>10</v>
      </c>
      <c r="I80" s="77">
        <f t="shared" si="50"/>
        <v>7936.2749999999996</v>
      </c>
      <c r="J80" s="75">
        <v>5</v>
      </c>
      <c r="K80" s="78">
        <f t="shared" si="51"/>
        <v>11686.275</v>
      </c>
      <c r="L80" s="75">
        <v>3</v>
      </c>
      <c r="M80" s="77">
        <f t="shared" si="52"/>
        <v>11186.275</v>
      </c>
      <c r="N80" s="75">
        <v>2</v>
      </c>
      <c r="P80" s="199">
        <f t="shared" si="53"/>
        <v>20</v>
      </c>
      <c r="Q80" s="80">
        <v>20</v>
      </c>
      <c r="R80" s="77">
        <f t="shared" ref="R80:R82" si="65">IF($B$3&gt;0,$E$5,($B$13+$E$5))</f>
        <v>5250</v>
      </c>
      <c r="S80" s="77">
        <f t="shared" ref="S80:S82" si="66">IF($B$4&gt;0,$E$5,($B$13+$E$5))</f>
        <v>5250</v>
      </c>
      <c r="T80" s="77">
        <f t="shared" ref="T80:T82" si="67">$B$13+$E$5</f>
        <v>9000</v>
      </c>
      <c r="U80" s="77">
        <f t="shared" ref="U80:U82" si="68">$B$12+$E$5</f>
        <v>8500</v>
      </c>
      <c r="V80" s="77">
        <f t="shared" si="54"/>
        <v>2686.2750000000001</v>
      </c>
      <c r="W80" s="78">
        <f t="shared" si="55"/>
        <v>176475.5</v>
      </c>
    </row>
    <row r="81" spans="1:23" s="215" customFormat="1" ht="14" customHeight="1" x14ac:dyDescent="0.35">
      <c r="A81" s="486">
        <v>42134</v>
      </c>
      <c r="B81" s="487" t="s">
        <v>206</v>
      </c>
      <c r="C81" s="487" t="s">
        <v>172</v>
      </c>
      <c r="D81" s="492" t="s">
        <v>173</v>
      </c>
      <c r="E81" s="129">
        <v>18000</v>
      </c>
      <c r="F81" s="489"/>
      <c r="G81" s="77">
        <f t="shared" si="49"/>
        <v>6423.913043478261</v>
      </c>
      <c r="H81" s="199">
        <v>10</v>
      </c>
      <c r="I81" s="77">
        <f t="shared" si="50"/>
        <v>6423.913043478261</v>
      </c>
      <c r="J81" s="199">
        <v>8</v>
      </c>
      <c r="K81" s="78">
        <f t="shared" si="51"/>
        <v>10173.91304347826</v>
      </c>
      <c r="L81" s="199">
        <v>4</v>
      </c>
      <c r="M81" s="77">
        <f t="shared" si="52"/>
        <v>9673.9130434782601</v>
      </c>
      <c r="N81" s="199">
        <v>1</v>
      </c>
      <c r="O81" s="465"/>
      <c r="P81" s="199">
        <f t="shared" si="53"/>
        <v>23</v>
      </c>
      <c r="Q81" s="80">
        <v>23</v>
      </c>
      <c r="R81" s="77">
        <f t="shared" si="65"/>
        <v>5250</v>
      </c>
      <c r="S81" s="77">
        <f t="shared" si="66"/>
        <v>5250</v>
      </c>
      <c r="T81" s="77">
        <f t="shared" si="67"/>
        <v>9000</v>
      </c>
      <c r="U81" s="77">
        <f t="shared" si="68"/>
        <v>8500</v>
      </c>
      <c r="V81" s="77">
        <f t="shared" si="54"/>
        <v>1173.9130434782608</v>
      </c>
      <c r="W81" s="78">
        <f t="shared" si="55"/>
        <v>166000</v>
      </c>
    </row>
    <row r="82" spans="1:23" s="215" customFormat="1" ht="14" customHeight="1" x14ac:dyDescent="0.35">
      <c r="A82" s="486">
        <v>42141</v>
      </c>
      <c r="B82" s="487" t="s">
        <v>187</v>
      </c>
      <c r="C82" s="487" t="s">
        <v>172</v>
      </c>
      <c r="D82" s="488" t="s">
        <v>173</v>
      </c>
      <c r="E82" s="129">
        <v>27000</v>
      </c>
      <c r="F82" s="490"/>
      <c r="G82" s="77">
        <f t="shared" si="49"/>
        <v>7010.869565217391</v>
      </c>
      <c r="H82" s="199">
        <v>10</v>
      </c>
      <c r="I82" s="77">
        <f t="shared" si="50"/>
        <v>7010.869565217391</v>
      </c>
      <c r="J82" s="199">
        <v>8</v>
      </c>
      <c r="K82" s="78">
        <f t="shared" si="51"/>
        <v>10760.869565217392</v>
      </c>
      <c r="L82" s="199">
        <v>4</v>
      </c>
      <c r="M82" s="77">
        <f t="shared" si="52"/>
        <v>10260.869565217392</v>
      </c>
      <c r="N82" s="199">
        <v>1</v>
      </c>
      <c r="O82" s="465"/>
      <c r="P82" s="199">
        <f t="shared" si="53"/>
        <v>23</v>
      </c>
      <c r="Q82" s="80">
        <v>23</v>
      </c>
      <c r="R82" s="77">
        <f t="shared" si="65"/>
        <v>5250</v>
      </c>
      <c r="S82" s="77">
        <f t="shared" si="66"/>
        <v>5250</v>
      </c>
      <c r="T82" s="77">
        <f t="shared" si="67"/>
        <v>9000</v>
      </c>
      <c r="U82" s="77">
        <f t="shared" si="68"/>
        <v>8500</v>
      </c>
      <c r="V82" s="77">
        <f t="shared" si="54"/>
        <v>1760.8695652173913</v>
      </c>
      <c r="W82" s="78">
        <f t="shared" si="55"/>
        <v>179500</v>
      </c>
    </row>
    <row r="83" spans="1:23" s="215" customFormat="1" ht="14" customHeight="1" x14ac:dyDescent="0.35">
      <c r="A83" s="486">
        <v>42154</v>
      </c>
      <c r="B83" s="487" t="s">
        <v>207</v>
      </c>
      <c r="C83" s="487" t="s">
        <v>177</v>
      </c>
      <c r="D83" s="488" t="s">
        <v>173</v>
      </c>
      <c r="E83" s="129">
        <v>26467</v>
      </c>
      <c r="F83" s="491"/>
      <c r="G83" s="77">
        <f t="shared" si="49"/>
        <v>1726.1086956521738</v>
      </c>
      <c r="H83" s="199">
        <v>10</v>
      </c>
      <c r="I83" s="77">
        <f t="shared" si="50"/>
        <v>1726.1086956521738</v>
      </c>
      <c r="J83" s="199">
        <v>8</v>
      </c>
      <c r="K83" s="78">
        <f t="shared" si="51"/>
        <v>5476.108695652174</v>
      </c>
      <c r="L83" s="199">
        <v>4</v>
      </c>
      <c r="M83" s="77">
        <f t="shared" si="52"/>
        <v>4976.108695652174</v>
      </c>
      <c r="N83" s="199">
        <v>1</v>
      </c>
      <c r="O83" s="465"/>
      <c r="P83" s="199">
        <f t="shared" si="53"/>
        <v>23</v>
      </c>
      <c r="Q83" s="80">
        <v>23</v>
      </c>
      <c r="R83" s="77">
        <f>IF($B$3&gt;0,$E$8,($B$13+$E$8))</f>
        <v>0</v>
      </c>
      <c r="S83" s="77">
        <f>IF($B$4&gt;0,$E$8,($B$13+$E$8))</f>
        <v>0</v>
      </c>
      <c r="T83" s="77">
        <f>$B$13+$E$8</f>
        <v>3750</v>
      </c>
      <c r="U83" s="77">
        <f>$B$12+$E$8</f>
        <v>3250</v>
      </c>
      <c r="V83" s="77">
        <f t="shared" si="54"/>
        <v>1726.1086956521738</v>
      </c>
      <c r="W83" s="78">
        <f t="shared" si="55"/>
        <v>57950.5</v>
      </c>
    </row>
    <row r="84" spans="1:23" s="380" customFormat="1" ht="14" customHeight="1" x14ac:dyDescent="0.35">
      <c r="A84" s="499"/>
      <c r="B84" s="500" t="s">
        <v>237</v>
      </c>
      <c r="C84" s="500"/>
      <c r="D84" s="501"/>
      <c r="E84" s="502"/>
      <c r="F84" s="503"/>
      <c r="G84" s="379">
        <f t="shared" si="49"/>
        <v>37500</v>
      </c>
      <c r="H84" s="381">
        <v>10</v>
      </c>
      <c r="I84" s="379">
        <f t="shared" si="50"/>
        <v>37500</v>
      </c>
      <c r="J84" s="381">
        <v>8</v>
      </c>
      <c r="K84" s="388">
        <f t="shared" si="51"/>
        <v>37500</v>
      </c>
      <c r="L84" s="381">
        <v>4</v>
      </c>
      <c r="M84" s="379">
        <f t="shared" si="52"/>
        <v>37500</v>
      </c>
      <c r="N84" s="381">
        <v>1</v>
      </c>
      <c r="O84" s="477"/>
      <c r="P84" s="381">
        <f t="shared" si="53"/>
        <v>23</v>
      </c>
      <c r="Q84" s="427">
        <v>23</v>
      </c>
      <c r="R84" s="379">
        <f>$Q$3</f>
        <v>37500</v>
      </c>
      <c r="S84" s="379">
        <f>$Q$3</f>
        <v>37500</v>
      </c>
      <c r="T84" s="379">
        <f>$Q$3</f>
        <v>37500</v>
      </c>
      <c r="U84" s="379">
        <f>$Q$3</f>
        <v>37500</v>
      </c>
      <c r="V84" s="379">
        <f t="shared" si="54"/>
        <v>0</v>
      </c>
      <c r="W84" s="388">
        <f t="shared" si="55"/>
        <v>862500</v>
      </c>
    </row>
    <row r="85" spans="1:23" s="380" customFormat="1" ht="14" customHeight="1" x14ac:dyDescent="0.35">
      <c r="A85" s="499">
        <v>42163</v>
      </c>
      <c r="B85" s="500" t="s">
        <v>208</v>
      </c>
      <c r="C85" s="500" t="s">
        <v>172</v>
      </c>
      <c r="D85" s="501" t="s">
        <v>66</v>
      </c>
      <c r="E85" s="504"/>
      <c r="F85" s="505"/>
      <c r="G85" s="379">
        <f t="shared" si="49"/>
        <v>0</v>
      </c>
      <c r="H85" s="381">
        <v>10</v>
      </c>
      <c r="I85" s="379">
        <f t="shared" si="50"/>
        <v>0</v>
      </c>
      <c r="J85" s="381">
        <v>8</v>
      </c>
      <c r="K85" s="388">
        <f t="shared" si="51"/>
        <v>4500</v>
      </c>
      <c r="L85" s="381">
        <v>4</v>
      </c>
      <c r="M85" s="379">
        <f t="shared" si="52"/>
        <v>4500</v>
      </c>
      <c r="N85" s="381">
        <v>1</v>
      </c>
      <c r="O85" s="477"/>
      <c r="P85" s="381">
        <f t="shared" si="53"/>
        <v>23</v>
      </c>
      <c r="Q85" s="381">
        <v>23</v>
      </c>
      <c r="R85" s="639">
        <f>$Q$5*3</f>
        <v>0</v>
      </c>
      <c r="S85" s="639">
        <f>$Q$5*3</f>
        <v>0</v>
      </c>
      <c r="T85" s="639">
        <f>$B$14+($Q$5*3)</f>
        <v>4500</v>
      </c>
      <c r="U85" s="639">
        <f>$B$14+($Q$5*3)</f>
        <v>4500</v>
      </c>
      <c r="V85" s="379">
        <f t="shared" si="54"/>
        <v>0</v>
      </c>
      <c r="W85" s="388">
        <f t="shared" si="55"/>
        <v>22500</v>
      </c>
    </row>
    <row r="86" spans="1:23" s="380" customFormat="1" ht="14" customHeight="1" x14ac:dyDescent="0.35">
      <c r="A86" s="499">
        <v>42167</v>
      </c>
      <c r="B86" s="500" t="s">
        <v>180</v>
      </c>
      <c r="C86" s="500" t="s">
        <v>177</v>
      </c>
      <c r="D86" s="501" t="s">
        <v>66</v>
      </c>
      <c r="E86" s="504"/>
      <c r="F86" s="503"/>
      <c r="G86" s="379">
        <f t="shared" si="49"/>
        <v>0</v>
      </c>
      <c r="H86" s="381">
        <v>10</v>
      </c>
      <c r="I86" s="379">
        <f t="shared" si="50"/>
        <v>0</v>
      </c>
      <c r="J86" s="381">
        <v>8</v>
      </c>
      <c r="K86" s="388">
        <f t="shared" si="51"/>
        <v>4500</v>
      </c>
      <c r="L86" s="381">
        <v>4</v>
      </c>
      <c r="M86" s="379">
        <f t="shared" si="52"/>
        <v>4500</v>
      </c>
      <c r="N86" s="381">
        <v>1</v>
      </c>
      <c r="O86" s="477"/>
      <c r="P86" s="381">
        <f t="shared" si="53"/>
        <v>23</v>
      </c>
      <c r="Q86" s="381">
        <v>23</v>
      </c>
      <c r="R86" s="639">
        <f>$Q$5*1</f>
        <v>0</v>
      </c>
      <c r="S86" s="639">
        <f>$Q$5*1</f>
        <v>0</v>
      </c>
      <c r="T86" s="639">
        <f>$B$14+($Q$5*1)</f>
        <v>4500</v>
      </c>
      <c r="U86" s="639">
        <f>$B$14+($Q$5*1)</f>
        <v>4500</v>
      </c>
      <c r="V86" s="379">
        <f t="shared" si="54"/>
        <v>0</v>
      </c>
      <c r="W86" s="388">
        <f t="shared" si="55"/>
        <v>22500</v>
      </c>
    </row>
    <row r="87" spans="1:23" s="380" customFormat="1" ht="14" customHeight="1" x14ac:dyDescent="0.35">
      <c r="A87" s="499">
        <v>42171</v>
      </c>
      <c r="B87" s="500" t="s">
        <v>209</v>
      </c>
      <c r="C87" s="500" t="s">
        <v>172</v>
      </c>
      <c r="D87" s="501" t="s">
        <v>66</v>
      </c>
      <c r="E87" s="504"/>
      <c r="F87" s="503"/>
      <c r="G87" s="379">
        <f t="shared" si="49"/>
        <v>0</v>
      </c>
      <c r="H87" s="381">
        <v>10</v>
      </c>
      <c r="I87" s="379">
        <f t="shared" si="50"/>
        <v>0</v>
      </c>
      <c r="J87" s="381">
        <v>8</v>
      </c>
      <c r="K87" s="388">
        <f t="shared" si="51"/>
        <v>4500</v>
      </c>
      <c r="L87" s="381">
        <v>4</v>
      </c>
      <c r="M87" s="379">
        <f t="shared" si="52"/>
        <v>4500</v>
      </c>
      <c r="N87" s="381">
        <v>1</v>
      </c>
      <c r="O87" s="477"/>
      <c r="P87" s="381">
        <f t="shared" si="53"/>
        <v>23</v>
      </c>
      <c r="Q87" s="427">
        <v>23</v>
      </c>
      <c r="R87" s="639">
        <f t="shared" ref="R87:S91" si="69">$Q$5*3</f>
        <v>0</v>
      </c>
      <c r="S87" s="639">
        <f t="shared" si="69"/>
        <v>0</v>
      </c>
      <c r="T87" s="639">
        <f>$B$14+($Q$5*3)</f>
        <v>4500</v>
      </c>
      <c r="U87" s="639">
        <f>$B$14+($Q$5*3)</f>
        <v>4500</v>
      </c>
      <c r="V87" s="379">
        <f t="shared" si="54"/>
        <v>0</v>
      </c>
      <c r="W87" s="388">
        <f t="shared" si="55"/>
        <v>22500</v>
      </c>
    </row>
    <row r="88" spans="1:23" s="380" customFormat="1" ht="14" customHeight="1" x14ac:dyDescent="0.35">
      <c r="A88" s="499">
        <v>42177</v>
      </c>
      <c r="B88" s="500" t="s">
        <v>210</v>
      </c>
      <c r="C88" s="500" t="s">
        <v>172</v>
      </c>
      <c r="D88" s="501" t="s">
        <v>66</v>
      </c>
      <c r="E88" s="504"/>
      <c r="F88" s="503"/>
      <c r="G88" s="379">
        <f t="shared" si="49"/>
        <v>0</v>
      </c>
      <c r="H88" s="381">
        <v>10</v>
      </c>
      <c r="I88" s="379">
        <f t="shared" si="50"/>
        <v>0</v>
      </c>
      <c r="J88" s="381">
        <v>8</v>
      </c>
      <c r="K88" s="388">
        <f t="shared" si="51"/>
        <v>4500</v>
      </c>
      <c r="L88" s="381">
        <v>4</v>
      </c>
      <c r="M88" s="379">
        <f t="shared" si="52"/>
        <v>4500</v>
      </c>
      <c r="N88" s="381">
        <v>1</v>
      </c>
      <c r="O88" s="477"/>
      <c r="P88" s="381">
        <f t="shared" si="53"/>
        <v>23</v>
      </c>
      <c r="Q88" s="427">
        <v>23</v>
      </c>
      <c r="R88" s="639">
        <f t="shared" si="69"/>
        <v>0</v>
      </c>
      <c r="S88" s="639">
        <f t="shared" si="69"/>
        <v>0</v>
      </c>
      <c r="T88" s="639">
        <f t="shared" ref="T88:U91" si="70">$B$14</f>
        <v>4500</v>
      </c>
      <c r="U88" s="639">
        <f t="shared" si="70"/>
        <v>4500</v>
      </c>
      <c r="V88" s="379">
        <f t="shared" si="54"/>
        <v>0</v>
      </c>
      <c r="W88" s="388">
        <f t="shared" si="55"/>
        <v>22500</v>
      </c>
    </row>
    <row r="89" spans="1:23" s="380" customFormat="1" ht="14" customHeight="1" x14ac:dyDescent="0.35">
      <c r="A89" s="499">
        <v>42181</v>
      </c>
      <c r="B89" s="500" t="s">
        <v>184</v>
      </c>
      <c r="C89" s="500" t="s">
        <v>172</v>
      </c>
      <c r="D89" s="501" t="s">
        <v>66</v>
      </c>
      <c r="E89" s="505"/>
      <c r="F89" s="503"/>
      <c r="G89" s="379">
        <f t="shared" si="49"/>
        <v>0</v>
      </c>
      <c r="H89" s="381">
        <v>10</v>
      </c>
      <c r="I89" s="379">
        <f t="shared" si="50"/>
        <v>0</v>
      </c>
      <c r="J89" s="381">
        <v>8</v>
      </c>
      <c r="K89" s="388">
        <f t="shared" si="51"/>
        <v>4500</v>
      </c>
      <c r="L89" s="381">
        <v>4</v>
      </c>
      <c r="M89" s="379">
        <f t="shared" si="52"/>
        <v>4500</v>
      </c>
      <c r="N89" s="381">
        <v>1</v>
      </c>
      <c r="O89" s="477"/>
      <c r="P89" s="381">
        <f t="shared" si="53"/>
        <v>23</v>
      </c>
      <c r="Q89" s="427">
        <v>23</v>
      </c>
      <c r="R89" s="639">
        <f t="shared" si="69"/>
        <v>0</v>
      </c>
      <c r="S89" s="639">
        <f t="shared" si="69"/>
        <v>0</v>
      </c>
      <c r="T89" s="639">
        <f t="shared" si="70"/>
        <v>4500</v>
      </c>
      <c r="U89" s="639">
        <f t="shared" si="70"/>
        <v>4500</v>
      </c>
      <c r="V89" s="379">
        <f t="shared" si="54"/>
        <v>0</v>
      </c>
      <c r="W89" s="388">
        <f t="shared" si="55"/>
        <v>22500</v>
      </c>
    </row>
    <row r="90" spans="1:23" s="380" customFormat="1" ht="14" customHeight="1" x14ac:dyDescent="0.35">
      <c r="A90" s="499">
        <v>42185</v>
      </c>
      <c r="B90" s="500" t="s">
        <v>211</v>
      </c>
      <c r="C90" s="500" t="s">
        <v>172</v>
      </c>
      <c r="D90" s="506" t="s">
        <v>66</v>
      </c>
      <c r="E90" s="504"/>
      <c r="F90" s="504"/>
      <c r="G90" s="379">
        <f t="shared" si="49"/>
        <v>0</v>
      </c>
      <c r="H90" s="381">
        <v>10</v>
      </c>
      <c r="I90" s="379">
        <f t="shared" si="50"/>
        <v>0</v>
      </c>
      <c r="J90" s="381">
        <v>8</v>
      </c>
      <c r="K90" s="388">
        <f t="shared" si="51"/>
        <v>4500</v>
      </c>
      <c r="L90" s="381">
        <v>4</v>
      </c>
      <c r="M90" s="379">
        <f t="shared" si="52"/>
        <v>4500</v>
      </c>
      <c r="N90" s="381">
        <v>1</v>
      </c>
      <c r="O90" s="477"/>
      <c r="P90" s="381">
        <f t="shared" si="53"/>
        <v>23</v>
      </c>
      <c r="Q90" s="427">
        <v>23</v>
      </c>
      <c r="R90" s="639">
        <f t="shared" si="69"/>
        <v>0</v>
      </c>
      <c r="S90" s="639">
        <f t="shared" si="69"/>
        <v>0</v>
      </c>
      <c r="T90" s="639">
        <f t="shared" si="70"/>
        <v>4500</v>
      </c>
      <c r="U90" s="639">
        <f t="shared" si="70"/>
        <v>4500</v>
      </c>
      <c r="V90" s="379">
        <f t="shared" si="54"/>
        <v>0</v>
      </c>
      <c r="W90" s="388">
        <f t="shared" si="55"/>
        <v>22500</v>
      </c>
    </row>
    <row r="91" spans="1:23" s="380" customFormat="1" ht="14" customHeight="1" x14ac:dyDescent="0.35">
      <c r="A91" s="499">
        <v>42190</v>
      </c>
      <c r="B91" s="500" t="s">
        <v>176</v>
      </c>
      <c r="C91" s="500" t="s">
        <v>172</v>
      </c>
      <c r="D91" s="506" t="s">
        <v>66</v>
      </c>
      <c r="E91" s="505"/>
      <c r="F91" s="505"/>
      <c r="G91" s="379">
        <f t="shared" si="49"/>
        <v>0</v>
      </c>
      <c r="H91" s="381">
        <v>10</v>
      </c>
      <c r="I91" s="379">
        <f t="shared" si="50"/>
        <v>0</v>
      </c>
      <c r="J91" s="381">
        <v>8</v>
      </c>
      <c r="K91" s="388">
        <f t="shared" si="51"/>
        <v>4500</v>
      </c>
      <c r="L91" s="381">
        <v>4</v>
      </c>
      <c r="M91" s="379">
        <f t="shared" si="52"/>
        <v>4500</v>
      </c>
      <c r="N91" s="381">
        <v>1</v>
      </c>
      <c r="O91" s="477"/>
      <c r="P91" s="381">
        <f t="shared" si="53"/>
        <v>23</v>
      </c>
      <c r="Q91" s="427">
        <v>23</v>
      </c>
      <c r="R91" s="639">
        <f t="shared" si="69"/>
        <v>0</v>
      </c>
      <c r="S91" s="639">
        <f t="shared" si="69"/>
        <v>0</v>
      </c>
      <c r="T91" s="639">
        <f t="shared" si="70"/>
        <v>4500</v>
      </c>
      <c r="U91" s="639">
        <f t="shared" si="70"/>
        <v>4500</v>
      </c>
      <c r="V91" s="379">
        <f t="shared" si="54"/>
        <v>0</v>
      </c>
      <c r="W91" s="388">
        <f t="shared" si="55"/>
        <v>22500</v>
      </c>
    </row>
    <row r="92" spans="1:23" s="380" customFormat="1" ht="14" customHeight="1" x14ac:dyDescent="0.35">
      <c r="A92" s="499"/>
      <c r="B92" s="500" t="s">
        <v>212</v>
      </c>
      <c r="C92" s="500"/>
      <c r="D92" s="506"/>
      <c r="E92" s="505"/>
      <c r="F92" s="505"/>
      <c r="G92" s="379">
        <f t="shared" si="49"/>
        <v>110000</v>
      </c>
      <c r="H92" s="381">
        <v>10</v>
      </c>
      <c r="I92" s="379">
        <f t="shared" si="50"/>
        <v>110000</v>
      </c>
      <c r="J92" s="381">
        <v>8</v>
      </c>
      <c r="K92" s="388">
        <f t="shared" si="51"/>
        <v>110000</v>
      </c>
      <c r="L92" s="381">
        <v>4</v>
      </c>
      <c r="M92" s="379">
        <f t="shared" si="52"/>
        <v>110000</v>
      </c>
      <c r="N92" s="381">
        <v>1</v>
      </c>
      <c r="O92" s="477"/>
      <c r="P92" s="381">
        <f t="shared" si="53"/>
        <v>23</v>
      </c>
      <c r="Q92" s="427">
        <v>23</v>
      </c>
      <c r="R92" s="639">
        <f>$Q$11+$Q$8+$Q$7+$Q$6</f>
        <v>110000</v>
      </c>
      <c r="S92" s="639">
        <f>$Q$11+$Q$8+$Q$7+$Q$6</f>
        <v>110000</v>
      </c>
      <c r="T92" s="639">
        <f>$Q$11+$Q$8+$Q$7+$Q$6</f>
        <v>110000</v>
      </c>
      <c r="U92" s="639">
        <f>$Q$11+$Q$8+$Q$7+$Q$6</f>
        <v>110000</v>
      </c>
      <c r="V92" s="379">
        <f t="shared" si="54"/>
        <v>0</v>
      </c>
      <c r="W92" s="388">
        <f t="shared" si="55"/>
        <v>2530000</v>
      </c>
    </row>
    <row r="93" spans="1:23" s="380" customFormat="1" ht="14" customHeight="1" x14ac:dyDescent="0.35">
      <c r="A93" s="499"/>
      <c r="B93" s="500" t="s">
        <v>213</v>
      </c>
      <c r="C93" s="500"/>
      <c r="D93" s="506"/>
      <c r="E93" s="502"/>
      <c r="F93" s="504"/>
      <c r="G93" s="379">
        <f t="shared" si="49"/>
        <v>60869.565217391304</v>
      </c>
      <c r="H93" s="381">
        <v>10</v>
      </c>
      <c r="I93" s="379">
        <f t="shared" si="50"/>
        <v>60869.565217391304</v>
      </c>
      <c r="J93" s="381">
        <v>8</v>
      </c>
      <c r="K93" s="388">
        <f t="shared" si="51"/>
        <v>60869.565217391304</v>
      </c>
      <c r="L93" s="381">
        <v>4</v>
      </c>
      <c r="M93" s="379">
        <f t="shared" si="52"/>
        <v>60869.565217391304</v>
      </c>
      <c r="N93" s="381">
        <v>1</v>
      </c>
      <c r="O93" s="477"/>
      <c r="P93" s="381">
        <f t="shared" si="53"/>
        <v>23</v>
      </c>
      <c r="Q93" s="427">
        <v>23</v>
      </c>
      <c r="R93" s="379">
        <f>$I$12</f>
        <v>60869.565217391304</v>
      </c>
      <c r="S93" s="379">
        <f>$I$12</f>
        <v>60869.565217391304</v>
      </c>
      <c r="T93" s="379">
        <f>$I$12</f>
        <v>60869.565217391304</v>
      </c>
      <c r="U93" s="379">
        <f>$I$12</f>
        <v>60869.565217391304</v>
      </c>
      <c r="V93" s="379">
        <f t="shared" si="54"/>
        <v>0</v>
      </c>
      <c r="W93" s="388">
        <f t="shared" si="55"/>
        <v>1400000</v>
      </c>
    </row>
    <row r="94" spans="1:23" ht="14" customHeight="1" x14ac:dyDescent="0.35">
      <c r="A94" s="115">
        <v>42232</v>
      </c>
      <c r="B94" s="116" t="s">
        <v>192</v>
      </c>
      <c r="C94" s="116" t="s">
        <v>172</v>
      </c>
      <c r="D94" s="121" t="s">
        <v>173</v>
      </c>
      <c r="E94" s="122">
        <v>44028</v>
      </c>
      <c r="F94" s="118"/>
      <c r="G94" s="74">
        <f t="shared" si="49"/>
        <v>8121.391304347826</v>
      </c>
      <c r="H94" s="75">
        <v>10</v>
      </c>
      <c r="I94" s="77">
        <f t="shared" si="50"/>
        <v>8121.391304347826</v>
      </c>
      <c r="J94" s="75">
        <v>8</v>
      </c>
      <c r="K94" s="78">
        <f t="shared" si="51"/>
        <v>11871.391304347826</v>
      </c>
      <c r="L94" s="75">
        <v>4</v>
      </c>
      <c r="M94" s="77">
        <f t="shared" si="52"/>
        <v>11371.391304347826</v>
      </c>
      <c r="N94" s="75">
        <v>1</v>
      </c>
      <c r="P94" s="199">
        <f t="shared" si="53"/>
        <v>23</v>
      </c>
      <c r="Q94" s="80">
        <v>23</v>
      </c>
      <c r="R94" s="77">
        <f t="shared" ref="R94:R97" si="71">IF($B$3&gt;0,$E$5,($E$5))</f>
        <v>5250</v>
      </c>
      <c r="S94" s="77">
        <f t="shared" ref="S94:S97" si="72">IF($B$4&gt;0,$E$5,($E$5))</f>
        <v>5250</v>
      </c>
      <c r="T94" s="77">
        <f t="shared" ref="T94:T97" si="73">$B$13+$E$5</f>
        <v>9000</v>
      </c>
      <c r="U94" s="77">
        <f t="shared" ref="U94:U97" si="74">$B$12+$E$5</f>
        <v>8500</v>
      </c>
      <c r="V94" s="77">
        <f t="shared" si="54"/>
        <v>2871.391304347826</v>
      </c>
      <c r="W94" s="78">
        <f t="shared" si="55"/>
        <v>205042</v>
      </c>
    </row>
    <row r="95" spans="1:23" ht="14" customHeight="1" x14ac:dyDescent="0.35">
      <c r="A95" s="115">
        <v>42235</v>
      </c>
      <c r="B95" s="116" t="s">
        <v>192</v>
      </c>
      <c r="C95" s="125" t="s">
        <v>172</v>
      </c>
      <c r="D95" s="121" t="s">
        <v>173</v>
      </c>
      <c r="E95" s="122">
        <v>20535</v>
      </c>
      <c r="F95" s="120"/>
      <c r="G95" s="74">
        <f t="shared" si="49"/>
        <v>6589.2391304347821</v>
      </c>
      <c r="H95" s="75">
        <v>10</v>
      </c>
      <c r="I95" s="77">
        <f t="shared" si="50"/>
        <v>6589.2391304347821</v>
      </c>
      <c r="J95" s="75">
        <v>8</v>
      </c>
      <c r="K95" s="78">
        <f t="shared" si="51"/>
        <v>10339.239130434782</v>
      </c>
      <c r="L95" s="75">
        <v>4</v>
      </c>
      <c r="M95" s="77">
        <f t="shared" si="52"/>
        <v>9839.2391304347821</v>
      </c>
      <c r="N95" s="75">
        <v>1</v>
      </c>
      <c r="P95" s="199">
        <f t="shared" si="53"/>
        <v>23</v>
      </c>
      <c r="Q95" s="80">
        <v>23</v>
      </c>
      <c r="R95" s="77">
        <f t="shared" si="71"/>
        <v>5250</v>
      </c>
      <c r="S95" s="77">
        <f t="shared" si="72"/>
        <v>5250</v>
      </c>
      <c r="T95" s="77">
        <f t="shared" si="73"/>
        <v>9000</v>
      </c>
      <c r="U95" s="77">
        <f t="shared" si="74"/>
        <v>8500</v>
      </c>
      <c r="V95" s="77">
        <f t="shared" si="54"/>
        <v>1339.2391304347825</v>
      </c>
      <c r="W95" s="78">
        <f t="shared" si="55"/>
        <v>169802.5</v>
      </c>
    </row>
    <row r="96" spans="1:23" ht="14" customHeight="1" x14ac:dyDescent="0.35">
      <c r="A96" s="115">
        <v>42264</v>
      </c>
      <c r="B96" s="125" t="s">
        <v>191</v>
      </c>
      <c r="C96" s="125" t="s">
        <v>172</v>
      </c>
      <c r="D96" s="117" t="s">
        <v>173</v>
      </c>
      <c r="E96" s="122">
        <v>34538</v>
      </c>
      <c r="F96" s="119"/>
      <c r="G96" s="74">
        <f t="shared" si="49"/>
        <v>7502.478260869565</v>
      </c>
      <c r="H96" s="75">
        <v>10</v>
      </c>
      <c r="I96" s="77">
        <f t="shared" si="50"/>
        <v>7502.478260869565</v>
      </c>
      <c r="J96" s="75">
        <v>7</v>
      </c>
      <c r="K96" s="78">
        <f t="shared" si="51"/>
        <v>11252.478260869564</v>
      </c>
      <c r="L96" s="75">
        <v>4</v>
      </c>
      <c r="M96" s="77">
        <f t="shared" si="52"/>
        <v>10752.478260869564</v>
      </c>
      <c r="N96" s="75">
        <v>2</v>
      </c>
      <c r="P96" s="199">
        <f t="shared" si="53"/>
        <v>23</v>
      </c>
      <c r="Q96" s="80">
        <v>23</v>
      </c>
      <c r="R96" s="77">
        <f t="shared" si="71"/>
        <v>5250</v>
      </c>
      <c r="S96" s="77">
        <f t="shared" si="72"/>
        <v>5250</v>
      </c>
      <c r="T96" s="77">
        <f t="shared" si="73"/>
        <v>9000</v>
      </c>
      <c r="U96" s="77">
        <f t="shared" si="74"/>
        <v>8500</v>
      </c>
      <c r="V96" s="77">
        <f t="shared" si="54"/>
        <v>2252.478260869565</v>
      </c>
      <c r="W96" s="78">
        <f t="shared" si="55"/>
        <v>194057</v>
      </c>
    </row>
    <row r="97" spans="1:23" ht="14" customHeight="1" x14ac:dyDescent="0.35">
      <c r="A97" s="115">
        <v>42267</v>
      </c>
      <c r="B97" s="116" t="s">
        <v>191</v>
      </c>
      <c r="C97" s="116" t="s">
        <v>172</v>
      </c>
      <c r="D97" s="121" t="s">
        <v>173</v>
      </c>
      <c r="E97" s="122">
        <v>35753</v>
      </c>
      <c r="F97" s="118"/>
      <c r="G97" s="74">
        <f t="shared" si="49"/>
        <v>7581.717391304348</v>
      </c>
      <c r="H97" s="75">
        <v>10</v>
      </c>
      <c r="I97" s="77">
        <f t="shared" si="50"/>
        <v>7581.717391304348</v>
      </c>
      <c r="J97" s="75">
        <v>7</v>
      </c>
      <c r="K97" s="78">
        <f t="shared" si="51"/>
        <v>11331.717391304348</v>
      </c>
      <c r="L97" s="75">
        <v>4</v>
      </c>
      <c r="M97" s="77">
        <f t="shared" si="52"/>
        <v>10831.717391304348</v>
      </c>
      <c r="N97" s="75">
        <v>2</v>
      </c>
      <c r="P97" s="199">
        <f t="shared" si="53"/>
        <v>23</v>
      </c>
      <c r="Q97" s="80">
        <v>23</v>
      </c>
      <c r="R97" s="77">
        <f t="shared" si="71"/>
        <v>5250</v>
      </c>
      <c r="S97" s="77">
        <f t="shared" si="72"/>
        <v>5250</v>
      </c>
      <c r="T97" s="77">
        <f t="shared" si="73"/>
        <v>9000</v>
      </c>
      <c r="U97" s="77">
        <f t="shared" si="74"/>
        <v>8500</v>
      </c>
      <c r="V97" s="77">
        <f t="shared" si="54"/>
        <v>2331.717391304348</v>
      </c>
      <c r="W97" s="78">
        <f t="shared" si="55"/>
        <v>195879.5</v>
      </c>
    </row>
    <row r="98" spans="1:23" ht="14" customHeight="1" x14ac:dyDescent="0.35">
      <c r="A98" s="115">
        <v>42298</v>
      </c>
      <c r="B98" s="116" t="s">
        <v>194</v>
      </c>
      <c r="C98" s="116" t="s">
        <v>177</v>
      </c>
      <c r="D98" s="121" t="s">
        <v>173</v>
      </c>
      <c r="E98" s="122">
        <v>23603</v>
      </c>
      <c r="F98" s="120"/>
      <c r="G98" s="74">
        <f t="shared" si="49"/>
        <v>1416.1799999999998</v>
      </c>
      <c r="H98" s="75">
        <v>10</v>
      </c>
      <c r="I98" s="77">
        <f t="shared" si="50"/>
        <v>1416.1799999999998</v>
      </c>
      <c r="J98" s="75">
        <v>6</v>
      </c>
      <c r="K98" s="78">
        <f t="shared" si="51"/>
        <v>5166.18</v>
      </c>
      <c r="L98" s="75">
        <v>4</v>
      </c>
      <c r="M98" s="77">
        <f t="shared" si="52"/>
        <v>4666.18</v>
      </c>
      <c r="N98" s="75">
        <v>5</v>
      </c>
      <c r="P98" s="199">
        <f t="shared" si="53"/>
        <v>25</v>
      </c>
      <c r="Q98" s="80">
        <v>25</v>
      </c>
      <c r="R98" s="77">
        <f>IF($B$3&gt;0,$E$8,($B$13+$E$8))</f>
        <v>0</v>
      </c>
      <c r="S98" s="77">
        <f>IF($B$4&gt;0,$E$8,($B$13+$E$8))</f>
        <v>0</v>
      </c>
      <c r="T98" s="77">
        <f>$B$13+$E$8</f>
        <v>3750</v>
      </c>
      <c r="U98" s="77">
        <f>$B$12+$E$8</f>
        <v>3250</v>
      </c>
      <c r="V98" s="77">
        <f t="shared" si="54"/>
        <v>1416.1799999999998</v>
      </c>
      <c r="W98" s="78">
        <f t="shared" si="55"/>
        <v>66654.5</v>
      </c>
    </row>
    <row r="99" spans="1:23" ht="14" customHeight="1" x14ac:dyDescent="0.35">
      <c r="A99" s="115">
        <v>42302</v>
      </c>
      <c r="B99" s="116" t="s">
        <v>194</v>
      </c>
      <c r="C99" s="116" t="s">
        <v>172</v>
      </c>
      <c r="D99" s="121" t="s">
        <v>173</v>
      </c>
      <c r="E99" s="122">
        <v>32869</v>
      </c>
      <c r="F99" s="120"/>
      <c r="G99" s="74">
        <f t="shared" si="49"/>
        <v>7222.1399999999994</v>
      </c>
      <c r="H99" s="75">
        <v>10</v>
      </c>
      <c r="I99" s="77">
        <f t="shared" si="50"/>
        <v>7222.1399999999994</v>
      </c>
      <c r="J99" s="75">
        <v>6</v>
      </c>
      <c r="K99" s="78">
        <f t="shared" si="51"/>
        <v>10972.14</v>
      </c>
      <c r="L99" s="75">
        <v>4</v>
      </c>
      <c r="M99" s="77">
        <f t="shared" si="52"/>
        <v>10472.14</v>
      </c>
      <c r="N99" s="75">
        <v>5</v>
      </c>
      <c r="P99" s="199">
        <f t="shared" si="53"/>
        <v>25</v>
      </c>
      <c r="Q99" s="80">
        <v>25</v>
      </c>
      <c r="R99" s="77">
        <f t="shared" ref="R99:R101" si="75">IF($B$3&gt;0,$E$5,($B$13+$E$5))</f>
        <v>5250</v>
      </c>
      <c r="S99" s="77">
        <f t="shared" ref="S99:S101" si="76">IF($B$4&gt;0,$E$5,($B$13+$E$5))</f>
        <v>5250</v>
      </c>
      <c r="T99" s="77">
        <f t="shared" ref="T99:T101" si="77">$B$13+$E$5</f>
        <v>9000</v>
      </c>
      <c r="U99" s="77">
        <f t="shared" ref="U99:U101" si="78">$B$12+$E$5</f>
        <v>8500</v>
      </c>
      <c r="V99" s="77">
        <f t="shared" si="54"/>
        <v>1972.1399999999999</v>
      </c>
      <c r="W99" s="78">
        <f t="shared" si="55"/>
        <v>211803.5</v>
      </c>
    </row>
    <row r="100" spans="1:23" ht="14" customHeight="1" x14ac:dyDescent="0.35">
      <c r="A100" s="115">
        <v>42348</v>
      </c>
      <c r="B100" s="126" t="s">
        <v>188</v>
      </c>
      <c r="C100" s="116" t="s">
        <v>172</v>
      </c>
      <c r="D100" s="121" t="s">
        <v>173</v>
      </c>
      <c r="E100" s="122">
        <v>10690</v>
      </c>
      <c r="F100" s="118"/>
      <c r="G100" s="74">
        <f t="shared" si="49"/>
        <v>5891.4</v>
      </c>
      <c r="H100" s="75">
        <v>10</v>
      </c>
      <c r="I100" s="77">
        <f t="shared" si="50"/>
        <v>5891.4</v>
      </c>
      <c r="J100" s="75">
        <v>6</v>
      </c>
      <c r="K100" s="78">
        <f t="shared" si="51"/>
        <v>9641.4</v>
      </c>
      <c r="L100" s="75">
        <v>3</v>
      </c>
      <c r="M100" s="77">
        <f t="shared" si="52"/>
        <v>9141.4</v>
      </c>
      <c r="N100" s="75">
        <v>6</v>
      </c>
      <c r="P100" s="199">
        <f t="shared" si="53"/>
        <v>25</v>
      </c>
      <c r="Q100" s="80">
        <v>25</v>
      </c>
      <c r="R100" s="77">
        <f t="shared" si="75"/>
        <v>5250</v>
      </c>
      <c r="S100" s="77">
        <f t="shared" si="76"/>
        <v>5250</v>
      </c>
      <c r="T100" s="77">
        <f t="shared" si="77"/>
        <v>9000</v>
      </c>
      <c r="U100" s="77">
        <f t="shared" si="78"/>
        <v>8500</v>
      </c>
      <c r="V100" s="77">
        <f t="shared" si="54"/>
        <v>641.4</v>
      </c>
      <c r="W100" s="78">
        <f t="shared" si="55"/>
        <v>178035</v>
      </c>
    </row>
    <row r="101" spans="1:23" ht="14" customHeight="1" x14ac:dyDescent="0.35">
      <c r="A101" s="115">
        <v>42351</v>
      </c>
      <c r="B101" s="126" t="s">
        <v>184</v>
      </c>
      <c r="C101" s="126" t="s">
        <v>172</v>
      </c>
      <c r="D101" s="117" t="s">
        <v>173</v>
      </c>
      <c r="E101" s="122">
        <v>19066</v>
      </c>
      <c r="F101" s="119"/>
      <c r="G101" s="74">
        <f t="shared" si="49"/>
        <v>6393.96</v>
      </c>
      <c r="H101" s="75">
        <v>10</v>
      </c>
      <c r="I101" s="77">
        <f t="shared" si="50"/>
        <v>6393.96</v>
      </c>
      <c r="J101" s="75">
        <v>6</v>
      </c>
      <c r="K101" s="78">
        <f t="shared" si="51"/>
        <v>10143.959999999999</v>
      </c>
      <c r="L101" s="75">
        <v>3</v>
      </c>
      <c r="M101" s="77">
        <f t="shared" si="52"/>
        <v>9643.9599999999991</v>
      </c>
      <c r="N101" s="75">
        <v>6</v>
      </c>
      <c r="P101" s="199">
        <f t="shared" si="53"/>
        <v>25</v>
      </c>
      <c r="Q101" s="80">
        <v>25</v>
      </c>
      <c r="R101" s="77">
        <f t="shared" si="75"/>
        <v>5250</v>
      </c>
      <c r="S101" s="77">
        <f t="shared" si="76"/>
        <v>5250</v>
      </c>
      <c r="T101" s="77">
        <f t="shared" si="77"/>
        <v>9000</v>
      </c>
      <c r="U101" s="77">
        <f t="shared" si="78"/>
        <v>8500</v>
      </c>
      <c r="V101" s="77">
        <f t="shared" si="54"/>
        <v>1143.96</v>
      </c>
      <c r="W101" s="78">
        <f t="shared" si="55"/>
        <v>190599</v>
      </c>
    </row>
    <row r="102" spans="1:23" ht="14" customHeight="1" x14ac:dyDescent="0.35">
      <c r="A102" s="115">
        <v>42354</v>
      </c>
      <c r="B102" s="116" t="s">
        <v>184</v>
      </c>
      <c r="C102" s="116" t="s">
        <v>181</v>
      </c>
      <c r="D102" s="121" t="s">
        <v>173</v>
      </c>
      <c r="E102" s="122">
        <v>32950</v>
      </c>
      <c r="F102" s="118"/>
      <c r="G102" s="74">
        <f t="shared" si="49"/>
        <v>1977</v>
      </c>
      <c r="H102" s="75">
        <v>10</v>
      </c>
      <c r="I102" s="77">
        <f t="shared" si="50"/>
        <v>1977</v>
      </c>
      <c r="J102" s="75">
        <v>6</v>
      </c>
      <c r="K102" s="78">
        <f t="shared" si="51"/>
        <v>5727</v>
      </c>
      <c r="L102" s="75">
        <v>3</v>
      </c>
      <c r="M102" s="77">
        <f t="shared" si="52"/>
        <v>5227</v>
      </c>
      <c r="N102" s="75">
        <v>6</v>
      </c>
      <c r="P102" s="199">
        <f t="shared" si="53"/>
        <v>25</v>
      </c>
      <c r="Q102" s="80">
        <v>25</v>
      </c>
      <c r="R102" s="77">
        <f>IF($B$3&gt;0,$E$9,($B$13+$E$9))</f>
        <v>0</v>
      </c>
      <c r="S102" s="77">
        <f>IF($B$4&gt;0,$E$9,($B$13+$E$9))</f>
        <v>0</v>
      </c>
      <c r="T102" s="77">
        <f>$B$13+$E$9</f>
        <v>3750</v>
      </c>
      <c r="U102" s="77">
        <f>$B$12+$E$9</f>
        <v>3250</v>
      </c>
      <c r="V102" s="77">
        <f t="shared" si="54"/>
        <v>1977</v>
      </c>
      <c r="W102" s="78">
        <f t="shared" si="55"/>
        <v>80175</v>
      </c>
    </row>
    <row r="103" spans="1:23" s="411" customFormat="1" ht="14" customHeight="1" x14ac:dyDescent="0.35">
      <c r="A103" s="450"/>
      <c r="B103" s="507" t="s">
        <v>196</v>
      </c>
      <c r="C103" s="201"/>
      <c r="D103" s="508"/>
      <c r="E103" s="509"/>
      <c r="F103" s="510"/>
      <c r="G103" s="104">
        <f>$B$3</f>
        <v>100000</v>
      </c>
      <c r="H103" s="107">
        <v>10</v>
      </c>
      <c r="I103" s="104">
        <f>$B$4</f>
        <v>100000</v>
      </c>
      <c r="J103" s="107">
        <v>9</v>
      </c>
      <c r="K103" s="106">
        <v>0</v>
      </c>
      <c r="L103" s="107">
        <v>0</v>
      </c>
      <c r="M103" s="104"/>
      <c r="N103" s="107"/>
      <c r="O103" s="106">
        <f>$B$8</f>
        <v>1500</v>
      </c>
      <c r="P103" s="199"/>
      <c r="Q103" s="199">
        <v>6</v>
      </c>
      <c r="R103" s="77"/>
      <c r="S103" s="77"/>
      <c r="T103" s="77"/>
      <c r="U103" s="77"/>
      <c r="V103" s="77"/>
      <c r="W103" s="78">
        <f>(G103*H103)+(I103*J103)+(O103*Q103)</f>
        <v>1909000</v>
      </c>
    </row>
    <row r="104" spans="1:23" s="411" customFormat="1" ht="14" customHeight="1" x14ac:dyDescent="0.35">
      <c r="A104" s="450"/>
      <c r="B104" s="507" t="s">
        <v>235</v>
      </c>
      <c r="C104" s="201"/>
      <c r="D104" s="508"/>
      <c r="E104" s="509"/>
      <c r="F104" s="510"/>
      <c r="G104" s="104">
        <f>$E$12/($H105+$J105+$L105)</f>
        <v>14000</v>
      </c>
      <c r="H104" s="107">
        <v>10</v>
      </c>
      <c r="I104" s="104">
        <f>$E$12/($H105+$J105+$L105)</f>
        <v>14000</v>
      </c>
      <c r="J104" s="107">
        <v>9</v>
      </c>
      <c r="K104" s="106">
        <f>$E$12/($H105+$J105+$L105)</f>
        <v>14000</v>
      </c>
      <c r="L104" s="107">
        <v>6</v>
      </c>
      <c r="M104" s="104"/>
      <c r="N104" s="107"/>
      <c r="O104" s="106"/>
      <c r="P104" s="199"/>
      <c r="Q104" s="199"/>
      <c r="R104" s="77"/>
      <c r="S104" s="77"/>
      <c r="T104" s="77"/>
      <c r="U104" s="77"/>
      <c r="V104" s="77"/>
      <c r="W104" s="78">
        <f t="shared" ref="W104" si="79">(G104*H104)+(I104*J104)+(K104*L104)+(M104*N104)</f>
        <v>350000</v>
      </c>
    </row>
    <row r="105" spans="1:23" s="127" customFormat="1" ht="14" customHeight="1" x14ac:dyDescent="0.4">
      <c r="A105" s="274" t="s">
        <v>214</v>
      </c>
      <c r="B105" s="275"/>
      <c r="C105" s="123"/>
      <c r="D105" s="124" t="s">
        <v>198</v>
      </c>
      <c r="E105" s="601"/>
      <c r="G105" s="112">
        <f>SUMPRODUCT(G73:G104,H73:H104)</f>
        <v>4306622.3760869559</v>
      </c>
      <c r="H105" s="113">
        <v>10</v>
      </c>
      <c r="I105" s="112">
        <f>SUMPRODUCT(I73:I104,J73:J104)</f>
        <v>3442103.5202173907</v>
      </c>
      <c r="J105" s="113">
        <v>9</v>
      </c>
      <c r="K105" s="112">
        <f>SUMPRODUCT(K73:K104,L73:L104)</f>
        <v>1669450.3154347823</v>
      </c>
      <c r="L105" s="113">
        <v>6</v>
      </c>
      <c r="M105" s="112">
        <f>SUMPRODUCT(M73:M104,N73:N104)</f>
        <v>727297.78826086957</v>
      </c>
      <c r="N105" s="113">
        <v>8</v>
      </c>
      <c r="O105" s="128">
        <f>$O$69*Q103</f>
        <v>9000</v>
      </c>
      <c r="P105" s="640" t="s">
        <v>199</v>
      </c>
      <c r="Q105" s="611"/>
      <c r="R105" s="129">
        <f>H105+J105+L105+N105</f>
        <v>33</v>
      </c>
      <c r="S105" s="641"/>
      <c r="T105" s="641"/>
      <c r="U105" s="641"/>
      <c r="V105" s="641"/>
      <c r="W105" s="641"/>
    </row>
    <row r="106" spans="1:23" s="127" customFormat="1" ht="14" customHeight="1" x14ac:dyDescent="0.4">
      <c r="A106" s="274" t="s">
        <v>215</v>
      </c>
      <c r="B106" s="275"/>
      <c r="C106" s="123"/>
      <c r="D106" s="277" t="s">
        <v>399</v>
      </c>
      <c r="E106" s="275"/>
      <c r="F106" s="275"/>
      <c r="G106" s="114">
        <f>G105/H105</f>
        <v>430662.23760869558</v>
      </c>
      <c r="H106" s="655">
        <f>(SUM(H73:H78)+SUM(H80:H83)+SUM(H85:H91)+SUM(H94:H102))/H105</f>
        <v>26</v>
      </c>
      <c r="I106" s="114">
        <f>I105/J105</f>
        <v>382455.94669082121</v>
      </c>
      <c r="J106" s="655">
        <f>(SUM(J73:J78)+SUM(J80:J83)+SUM(J85:J91)+SUM(J94:J102))/J105</f>
        <v>20.777777777777779</v>
      </c>
      <c r="K106" s="114">
        <f>K105/L105</f>
        <v>278241.71923913038</v>
      </c>
      <c r="L106" s="655">
        <f>(SUM(L73:L78)+SUM(L80:L83)+SUM(L85:L91)+SUM(L94:L102))/L105</f>
        <v>15.666666666666666</v>
      </c>
      <c r="M106" s="114">
        <f>M105/N105</f>
        <v>90912.223532608696</v>
      </c>
      <c r="N106" s="655">
        <f>(SUM(N73:N78)+SUM(N80:N83)+SUM(N85:N91)+SUM(N94:N102))/N105</f>
        <v>8</v>
      </c>
      <c r="O106" s="131"/>
      <c r="P106" s="278" t="s">
        <v>201</v>
      </c>
      <c r="Q106" s="611"/>
      <c r="R106" s="642">
        <f>SUM(G105,I105,K105,M105,O105)</f>
        <v>10154473.999999998</v>
      </c>
      <c r="S106" s="641"/>
      <c r="T106" s="641"/>
      <c r="U106" s="641"/>
      <c r="V106" s="641"/>
      <c r="W106" s="132">
        <f>SUM(W73:W104)</f>
        <v>10154474</v>
      </c>
    </row>
    <row r="107" spans="1:23" ht="14" customHeight="1" x14ac:dyDescent="0.35">
      <c r="A107" s="133">
        <v>42392</v>
      </c>
      <c r="B107" s="134" t="s">
        <v>206</v>
      </c>
      <c r="C107" s="134" t="s">
        <v>172</v>
      </c>
      <c r="D107" s="135" t="s">
        <v>173</v>
      </c>
      <c r="E107" s="136">
        <v>23309</v>
      </c>
      <c r="F107" s="137"/>
      <c r="G107" s="74">
        <f t="shared" ref="G107:G135" si="80">R107+V107</f>
        <v>6998.1750000000002</v>
      </c>
      <c r="H107" s="75">
        <v>10</v>
      </c>
      <c r="I107" s="77">
        <f t="shared" ref="I107:I135" si="81">S107+V107</f>
        <v>6998.1750000000002</v>
      </c>
      <c r="J107" s="75">
        <v>4</v>
      </c>
      <c r="K107" s="78">
        <f t="shared" ref="K107:K135" si="82">T107+V107</f>
        <v>10748.174999999999</v>
      </c>
      <c r="L107" s="75">
        <v>3</v>
      </c>
      <c r="M107" s="77">
        <f t="shared" ref="M107:M135" si="83">U107+V107</f>
        <v>10248.174999999999</v>
      </c>
      <c r="N107" s="75">
        <v>3</v>
      </c>
      <c r="P107" s="199">
        <f t="shared" ref="P107:P135" si="84">H107+J107+L107+N107</f>
        <v>20</v>
      </c>
      <c r="Q107" s="80">
        <v>20</v>
      </c>
      <c r="R107" s="77">
        <f>IF($B$3&gt;0,$E$5,($B$13+$E$5))</f>
        <v>5250</v>
      </c>
      <c r="S107" s="77">
        <f>IF($B$4&gt;0,$E$5,($B$13+$E$5))</f>
        <v>5250</v>
      </c>
      <c r="T107" s="77">
        <f>$B$13+$E$5</f>
        <v>9000</v>
      </c>
      <c r="U107" s="77">
        <f>$B$12+$E$5</f>
        <v>8500</v>
      </c>
      <c r="V107" s="77">
        <f t="shared" ref="V107:V135" si="85">($E107*($E$13/$Q107))</f>
        <v>1748.175</v>
      </c>
      <c r="W107" s="78">
        <f t="shared" ref="W107:W135" si="86">(G107*H107)+(I107*J107)+(K107*L107)+(M107*N107)</f>
        <v>160963.5</v>
      </c>
    </row>
    <row r="108" spans="1:23" s="522" customFormat="1" ht="14" customHeight="1" x14ac:dyDescent="0.35">
      <c r="A108" s="511">
        <v>42410</v>
      </c>
      <c r="B108" s="512" t="s">
        <v>192</v>
      </c>
      <c r="C108" s="513" t="s">
        <v>172</v>
      </c>
      <c r="D108" s="514" t="s">
        <v>216</v>
      </c>
      <c r="E108" s="515">
        <v>8143</v>
      </c>
      <c r="F108" s="516"/>
      <c r="G108" s="517">
        <f t="shared" si="80"/>
        <v>3610.7249999999999</v>
      </c>
      <c r="H108" s="518">
        <v>10</v>
      </c>
      <c r="I108" s="517">
        <f t="shared" si="81"/>
        <v>3610.7249999999999</v>
      </c>
      <c r="J108" s="518">
        <v>7</v>
      </c>
      <c r="K108" s="519">
        <f t="shared" si="82"/>
        <v>7360.7250000000004</v>
      </c>
      <c r="L108" s="518">
        <v>3</v>
      </c>
      <c r="M108" s="517">
        <f t="shared" si="83"/>
        <v>6860.7250000000004</v>
      </c>
      <c r="N108" s="518">
        <v>0</v>
      </c>
      <c r="O108" s="520"/>
      <c r="P108" s="518">
        <f t="shared" si="84"/>
        <v>20</v>
      </c>
      <c r="Q108" s="521">
        <v>20</v>
      </c>
      <c r="R108" s="517">
        <f t="shared" ref="R108:R112" si="87">IF($B$3&gt;0,$N$3,($B$13+$N$3))</f>
        <v>3000</v>
      </c>
      <c r="S108" s="517">
        <f t="shared" ref="S108:S112" si="88">IF($B$4&gt;0,$N$3,($B$13+$N$3))</f>
        <v>3000</v>
      </c>
      <c r="T108" s="517">
        <f t="shared" ref="T108:T112" si="89">$B$13+$N$3</f>
        <v>6750</v>
      </c>
      <c r="U108" s="517">
        <f t="shared" ref="U108:U112" si="90">$B$12+$N$3</f>
        <v>6250</v>
      </c>
      <c r="V108" s="517">
        <f t="shared" si="85"/>
        <v>610.72500000000002</v>
      </c>
      <c r="W108" s="519">
        <f t="shared" si="86"/>
        <v>83464.5</v>
      </c>
    </row>
    <row r="109" spans="1:23" s="522" customFormat="1" ht="14" customHeight="1" x14ac:dyDescent="0.35">
      <c r="A109" s="511">
        <v>42413</v>
      </c>
      <c r="B109" s="512" t="s">
        <v>187</v>
      </c>
      <c r="C109" s="513" t="s">
        <v>172</v>
      </c>
      <c r="D109" s="514" t="s">
        <v>216</v>
      </c>
      <c r="E109" s="515">
        <v>15032</v>
      </c>
      <c r="F109" s="516"/>
      <c r="G109" s="517">
        <f t="shared" si="80"/>
        <v>4127.3999999999996</v>
      </c>
      <c r="H109" s="518">
        <v>10</v>
      </c>
      <c r="I109" s="517">
        <f t="shared" si="81"/>
        <v>4127.3999999999996</v>
      </c>
      <c r="J109" s="518">
        <v>7</v>
      </c>
      <c r="K109" s="519">
        <f t="shared" si="82"/>
        <v>7877.4</v>
      </c>
      <c r="L109" s="518">
        <v>3</v>
      </c>
      <c r="M109" s="517">
        <f t="shared" si="83"/>
        <v>7377.4</v>
      </c>
      <c r="N109" s="518">
        <v>0</v>
      </c>
      <c r="O109" s="520"/>
      <c r="P109" s="518">
        <f t="shared" si="84"/>
        <v>20</v>
      </c>
      <c r="Q109" s="521">
        <v>20</v>
      </c>
      <c r="R109" s="517">
        <f t="shared" si="87"/>
        <v>3000</v>
      </c>
      <c r="S109" s="517">
        <f t="shared" si="88"/>
        <v>3000</v>
      </c>
      <c r="T109" s="517">
        <f t="shared" si="89"/>
        <v>6750</v>
      </c>
      <c r="U109" s="517">
        <f t="shared" si="90"/>
        <v>6250</v>
      </c>
      <c r="V109" s="517">
        <f t="shared" si="85"/>
        <v>1127.3999999999999</v>
      </c>
      <c r="W109" s="519">
        <f t="shared" si="86"/>
        <v>93797.999999999985</v>
      </c>
    </row>
    <row r="110" spans="1:23" s="522" customFormat="1" ht="14" customHeight="1" x14ac:dyDescent="0.35">
      <c r="A110" s="511">
        <v>42415</v>
      </c>
      <c r="B110" s="512" t="s">
        <v>217</v>
      </c>
      <c r="C110" s="513" t="s">
        <v>172</v>
      </c>
      <c r="D110" s="514" t="s">
        <v>216</v>
      </c>
      <c r="E110" s="515">
        <v>7658</v>
      </c>
      <c r="F110" s="516"/>
      <c r="G110" s="517">
        <f t="shared" si="80"/>
        <v>3574.35</v>
      </c>
      <c r="H110" s="518">
        <v>10</v>
      </c>
      <c r="I110" s="517">
        <f t="shared" si="81"/>
        <v>3574.35</v>
      </c>
      <c r="J110" s="518">
        <v>7</v>
      </c>
      <c r="K110" s="519">
        <f t="shared" si="82"/>
        <v>7324.35</v>
      </c>
      <c r="L110" s="518">
        <v>3</v>
      </c>
      <c r="M110" s="517">
        <f t="shared" si="83"/>
        <v>6824.35</v>
      </c>
      <c r="N110" s="518">
        <v>0</v>
      </c>
      <c r="O110" s="520"/>
      <c r="P110" s="518">
        <f t="shared" si="84"/>
        <v>20</v>
      </c>
      <c r="Q110" s="521">
        <v>20</v>
      </c>
      <c r="R110" s="517">
        <f t="shared" si="87"/>
        <v>3000</v>
      </c>
      <c r="S110" s="517">
        <f t="shared" si="88"/>
        <v>3000</v>
      </c>
      <c r="T110" s="517">
        <f t="shared" si="89"/>
        <v>6750</v>
      </c>
      <c r="U110" s="517">
        <f t="shared" si="90"/>
        <v>6250</v>
      </c>
      <c r="V110" s="517">
        <f t="shared" si="85"/>
        <v>574.35</v>
      </c>
      <c r="W110" s="519">
        <f t="shared" si="86"/>
        <v>82737</v>
      </c>
    </row>
    <row r="111" spans="1:23" s="522" customFormat="1" ht="14" customHeight="1" x14ac:dyDescent="0.35">
      <c r="A111" s="511">
        <v>42419</v>
      </c>
      <c r="B111" s="513" t="s">
        <v>188</v>
      </c>
      <c r="C111" s="513" t="s">
        <v>172</v>
      </c>
      <c r="D111" s="514" t="s">
        <v>216</v>
      </c>
      <c r="E111" s="515">
        <v>5561</v>
      </c>
      <c r="F111" s="516"/>
      <c r="G111" s="517">
        <f t="shared" si="80"/>
        <v>3417.0749999999998</v>
      </c>
      <c r="H111" s="518">
        <v>10</v>
      </c>
      <c r="I111" s="517">
        <f t="shared" si="81"/>
        <v>3417.0749999999998</v>
      </c>
      <c r="J111" s="518">
        <v>7</v>
      </c>
      <c r="K111" s="519">
        <f t="shared" si="82"/>
        <v>7167.0749999999998</v>
      </c>
      <c r="L111" s="518">
        <v>3</v>
      </c>
      <c r="M111" s="517">
        <f t="shared" si="83"/>
        <v>6667.0749999999998</v>
      </c>
      <c r="N111" s="518">
        <v>0</v>
      </c>
      <c r="O111" s="520"/>
      <c r="P111" s="518">
        <f t="shared" si="84"/>
        <v>20</v>
      </c>
      <c r="Q111" s="521">
        <v>20</v>
      </c>
      <c r="R111" s="517">
        <f t="shared" si="87"/>
        <v>3000</v>
      </c>
      <c r="S111" s="517">
        <f t="shared" si="88"/>
        <v>3000</v>
      </c>
      <c r="T111" s="517">
        <f t="shared" si="89"/>
        <v>6750</v>
      </c>
      <c r="U111" s="517">
        <f t="shared" si="90"/>
        <v>6250</v>
      </c>
      <c r="V111" s="517">
        <f t="shared" si="85"/>
        <v>417.07499999999999</v>
      </c>
      <c r="W111" s="519">
        <f t="shared" si="86"/>
        <v>79591.5</v>
      </c>
    </row>
    <row r="112" spans="1:23" s="522" customFormat="1" ht="14" customHeight="1" x14ac:dyDescent="0.35">
      <c r="A112" s="511">
        <v>42421</v>
      </c>
      <c r="B112" s="513" t="s">
        <v>171</v>
      </c>
      <c r="C112" s="513" t="s">
        <v>172</v>
      </c>
      <c r="D112" s="514" t="s">
        <v>216</v>
      </c>
      <c r="E112" s="515">
        <v>10119</v>
      </c>
      <c r="F112" s="516"/>
      <c r="G112" s="517">
        <f t="shared" si="80"/>
        <v>3758.9250000000002</v>
      </c>
      <c r="H112" s="518">
        <v>10</v>
      </c>
      <c r="I112" s="517">
        <f t="shared" si="81"/>
        <v>3758.9250000000002</v>
      </c>
      <c r="J112" s="518">
        <v>7</v>
      </c>
      <c r="K112" s="519">
        <f t="shared" si="82"/>
        <v>7508.9250000000002</v>
      </c>
      <c r="L112" s="518">
        <v>3</v>
      </c>
      <c r="M112" s="517">
        <f t="shared" si="83"/>
        <v>7008.9250000000002</v>
      </c>
      <c r="N112" s="518">
        <v>0</v>
      </c>
      <c r="O112" s="520"/>
      <c r="P112" s="518">
        <f t="shared" si="84"/>
        <v>20</v>
      </c>
      <c r="Q112" s="521">
        <v>20</v>
      </c>
      <c r="R112" s="517">
        <f t="shared" si="87"/>
        <v>3000</v>
      </c>
      <c r="S112" s="517">
        <f t="shared" si="88"/>
        <v>3000</v>
      </c>
      <c r="T112" s="517">
        <f t="shared" si="89"/>
        <v>6750</v>
      </c>
      <c r="U112" s="517">
        <f t="shared" si="90"/>
        <v>6250</v>
      </c>
      <c r="V112" s="517">
        <f t="shared" si="85"/>
        <v>758.92499999999995</v>
      </c>
      <c r="W112" s="519">
        <f t="shared" si="86"/>
        <v>86428.5</v>
      </c>
    </row>
    <row r="113" spans="1:26" s="522" customFormat="1" ht="14" customHeight="1" x14ac:dyDescent="0.35">
      <c r="A113" s="511"/>
      <c r="B113" s="513" t="s">
        <v>218</v>
      </c>
      <c r="C113" s="513"/>
      <c r="D113" s="514"/>
      <c r="E113" s="515"/>
      <c r="F113" s="516"/>
      <c r="G113" s="517">
        <f t="shared" si="80"/>
        <v>25000</v>
      </c>
      <c r="H113" s="518">
        <v>10</v>
      </c>
      <c r="I113" s="517">
        <f t="shared" si="81"/>
        <v>25000</v>
      </c>
      <c r="J113" s="518">
        <v>7</v>
      </c>
      <c r="K113" s="519">
        <f t="shared" si="82"/>
        <v>25000</v>
      </c>
      <c r="L113" s="518">
        <v>3</v>
      </c>
      <c r="M113" s="517">
        <f t="shared" si="83"/>
        <v>25000</v>
      </c>
      <c r="N113" s="518">
        <v>0</v>
      </c>
      <c r="O113" s="520"/>
      <c r="P113" s="518">
        <f t="shared" si="84"/>
        <v>20</v>
      </c>
      <c r="Q113" s="521">
        <v>20</v>
      </c>
      <c r="R113" s="517">
        <f>$M$9</f>
        <v>25000</v>
      </c>
      <c r="S113" s="517">
        <f>$M$9</f>
        <v>25000</v>
      </c>
      <c r="T113" s="517">
        <f>$M$9</f>
        <v>25000</v>
      </c>
      <c r="U113" s="517">
        <f>$M$9</f>
        <v>25000</v>
      </c>
      <c r="V113" s="517">
        <f t="shared" si="85"/>
        <v>0</v>
      </c>
      <c r="W113" s="519">
        <f t="shared" si="86"/>
        <v>500000</v>
      </c>
    </row>
    <row r="114" spans="1:26" s="395" customFormat="1" ht="14" customHeight="1" x14ac:dyDescent="0.35">
      <c r="A114" s="532">
        <v>42432</v>
      </c>
      <c r="B114" s="533" t="s">
        <v>202</v>
      </c>
      <c r="C114" s="533" t="s">
        <v>172</v>
      </c>
      <c r="D114" s="534" t="s">
        <v>173</v>
      </c>
      <c r="E114" s="535">
        <v>13027</v>
      </c>
      <c r="F114" s="536" t="s">
        <v>174</v>
      </c>
      <c r="G114" s="400">
        <f t="shared" si="80"/>
        <v>9388.204545454546</v>
      </c>
      <c r="H114" s="401">
        <v>10</v>
      </c>
      <c r="I114" s="400">
        <f t="shared" si="81"/>
        <v>9388.204545454546</v>
      </c>
      <c r="J114" s="401">
        <v>6</v>
      </c>
      <c r="K114" s="431">
        <f t="shared" si="82"/>
        <v>13138.204545454546</v>
      </c>
      <c r="L114" s="401">
        <v>4</v>
      </c>
      <c r="M114" s="400">
        <f t="shared" si="83"/>
        <v>12638.204545454546</v>
      </c>
      <c r="N114" s="401">
        <v>2</v>
      </c>
      <c r="O114" s="528"/>
      <c r="P114" s="401">
        <f t="shared" si="84"/>
        <v>22</v>
      </c>
      <c r="Q114" s="428">
        <v>22</v>
      </c>
      <c r="R114" s="400">
        <f t="shared" ref="R114:R116" si="91">IF($B$3&gt;0,$E$3,($B$13+$E$3))</f>
        <v>8500</v>
      </c>
      <c r="S114" s="400">
        <f t="shared" ref="S114:S116" si="92">IF($B$4&gt;0,$E$3,($B$13+$E$3))</f>
        <v>8500</v>
      </c>
      <c r="T114" s="400">
        <f t="shared" ref="T114:T116" si="93">$B$13+$E$3</f>
        <v>12250</v>
      </c>
      <c r="U114" s="400">
        <f t="shared" ref="U114:U116" si="94">$B$12+$E$3</f>
        <v>11750</v>
      </c>
      <c r="V114" s="400">
        <f t="shared" si="85"/>
        <v>888.20454545454538</v>
      </c>
      <c r="W114" s="431">
        <f t="shared" si="86"/>
        <v>228040.5</v>
      </c>
    </row>
    <row r="115" spans="1:26" s="395" customFormat="1" ht="14" customHeight="1" x14ac:dyDescent="0.35">
      <c r="A115" s="532">
        <v>42435</v>
      </c>
      <c r="B115" s="533" t="s">
        <v>185</v>
      </c>
      <c r="C115" s="533" t="s">
        <v>172</v>
      </c>
      <c r="D115" s="534" t="s">
        <v>173</v>
      </c>
      <c r="E115" s="535">
        <v>25363</v>
      </c>
      <c r="F115" s="536" t="s">
        <v>174</v>
      </c>
      <c r="G115" s="400">
        <f t="shared" si="80"/>
        <v>10229.295454545454</v>
      </c>
      <c r="H115" s="401">
        <v>10</v>
      </c>
      <c r="I115" s="400">
        <f t="shared" si="81"/>
        <v>10229.295454545454</v>
      </c>
      <c r="J115" s="401">
        <v>6</v>
      </c>
      <c r="K115" s="431">
        <f t="shared" si="82"/>
        <v>13979.295454545454</v>
      </c>
      <c r="L115" s="401">
        <v>4</v>
      </c>
      <c r="M115" s="400">
        <f t="shared" si="83"/>
        <v>13479.295454545454</v>
      </c>
      <c r="N115" s="401">
        <v>2</v>
      </c>
      <c r="O115" s="528"/>
      <c r="P115" s="401">
        <f t="shared" si="84"/>
        <v>22</v>
      </c>
      <c r="Q115" s="428">
        <v>22</v>
      </c>
      <c r="R115" s="400">
        <f t="shared" si="91"/>
        <v>8500</v>
      </c>
      <c r="S115" s="400">
        <f t="shared" si="92"/>
        <v>8500</v>
      </c>
      <c r="T115" s="400">
        <f t="shared" si="93"/>
        <v>12250</v>
      </c>
      <c r="U115" s="400">
        <f t="shared" si="94"/>
        <v>11750</v>
      </c>
      <c r="V115" s="400">
        <f t="shared" si="85"/>
        <v>1729.2954545454545</v>
      </c>
      <c r="W115" s="431">
        <f t="shared" si="86"/>
        <v>246544.5</v>
      </c>
    </row>
    <row r="116" spans="1:26" s="395" customFormat="1" ht="14" customHeight="1" x14ac:dyDescent="0.35">
      <c r="A116" s="532">
        <v>42438</v>
      </c>
      <c r="B116" s="537" t="s">
        <v>211</v>
      </c>
      <c r="C116" s="533" t="s">
        <v>172</v>
      </c>
      <c r="D116" s="538" t="s">
        <v>173</v>
      </c>
      <c r="E116" s="535">
        <v>13501</v>
      </c>
      <c r="F116" s="539" t="s">
        <v>174</v>
      </c>
      <c r="G116" s="400">
        <f t="shared" si="80"/>
        <v>9420.5227272727279</v>
      </c>
      <c r="H116" s="401">
        <v>10</v>
      </c>
      <c r="I116" s="400">
        <f t="shared" si="81"/>
        <v>9420.5227272727279</v>
      </c>
      <c r="J116" s="401">
        <v>6</v>
      </c>
      <c r="K116" s="431">
        <f t="shared" si="82"/>
        <v>13170.522727272728</v>
      </c>
      <c r="L116" s="401">
        <v>4</v>
      </c>
      <c r="M116" s="400">
        <f t="shared" si="83"/>
        <v>12670.522727272728</v>
      </c>
      <c r="N116" s="401">
        <v>2</v>
      </c>
      <c r="O116" s="528"/>
      <c r="P116" s="401">
        <f t="shared" si="84"/>
        <v>22</v>
      </c>
      <c r="Q116" s="428">
        <v>22</v>
      </c>
      <c r="R116" s="400">
        <f t="shared" si="91"/>
        <v>8500</v>
      </c>
      <c r="S116" s="400">
        <f t="shared" si="92"/>
        <v>8500</v>
      </c>
      <c r="T116" s="400">
        <f t="shared" si="93"/>
        <v>12250</v>
      </c>
      <c r="U116" s="400">
        <f t="shared" si="94"/>
        <v>11750</v>
      </c>
      <c r="V116" s="400">
        <f t="shared" si="85"/>
        <v>920.52272727272725</v>
      </c>
      <c r="W116" s="431">
        <f t="shared" si="86"/>
        <v>228751.5</v>
      </c>
    </row>
    <row r="117" spans="1:26" s="395" customFormat="1" ht="14" customHeight="1" x14ac:dyDescent="0.35">
      <c r="A117" s="532"/>
      <c r="B117" s="540" t="s">
        <v>245</v>
      </c>
      <c r="C117" s="540"/>
      <c r="D117" s="540"/>
      <c r="E117" s="540"/>
      <c r="F117" s="536"/>
      <c r="G117" s="400">
        <f t="shared" si="80"/>
        <v>5000</v>
      </c>
      <c r="H117" s="401">
        <v>10</v>
      </c>
      <c r="I117" s="400">
        <f t="shared" si="81"/>
        <v>5000</v>
      </c>
      <c r="J117" s="401">
        <v>6</v>
      </c>
      <c r="K117" s="431">
        <f t="shared" si="82"/>
        <v>5000</v>
      </c>
      <c r="L117" s="401">
        <v>4</v>
      </c>
      <c r="M117" s="400">
        <f t="shared" si="83"/>
        <v>5000</v>
      </c>
      <c r="N117" s="401">
        <v>2</v>
      </c>
      <c r="O117" s="528"/>
      <c r="P117" s="401">
        <f t="shared" si="84"/>
        <v>22</v>
      </c>
      <c r="Q117" s="428">
        <v>22</v>
      </c>
      <c r="R117" s="400">
        <f>$I$7</f>
        <v>5000</v>
      </c>
      <c r="S117" s="400">
        <f>$I$7</f>
        <v>5000</v>
      </c>
      <c r="T117" s="400">
        <f>$I$7</f>
        <v>5000</v>
      </c>
      <c r="U117" s="400">
        <f>$I$7</f>
        <v>5000</v>
      </c>
      <c r="V117" s="400">
        <f t="shared" si="85"/>
        <v>0</v>
      </c>
      <c r="W117" s="431">
        <f t="shared" si="86"/>
        <v>110000</v>
      </c>
    </row>
    <row r="118" spans="1:26" ht="14" customHeight="1" x14ac:dyDescent="0.35">
      <c r="A118" s="133">
        <v>42466</v>
      </c>
      <c r="B118" s="139" t="s">
        <v>210</v>
      </c>
      <c r="C118" s="139" t="s">
        <v>172</v>
      </c>
      <c r="D118" s="135" t="s">
        <v>173</v>
      </c>
      <c r="E118" s="136">
        <v>21792</v>
      </c>
      <c r="F118" s="137"/>
      <c r="G118" s="74">
        <f t="shared" si="80"/>
        <v>7066</v>
      </c>
      <c r="H118" s="75">
        <v>10</v>
      </c>
      <c r="I118" s="77">
        <f t="shared" si="81"/>
        <v>7066</v>
      </c>
      <c r="J118" s="75">
        <v>4</v>
      </c>
      <c r="K118" s="78">
        <f t="shared" si="82"/>
        <v>10816</v>
      </c>
      <c r="L118" s="75">
        <v>2</v>
      </c>
      <c r="M118" s="77">
        <f t="shared" si="83"/>
        <v>10316</v>
      </c>
      <c r="N118" s="75">
        <v>2</v>
      </c>
      <c r="P118" s="199">
        <f t="shared" si="84"/>
        <v>18</v>
      </c>
      <c r="Q118" s="80">
        <v>18</v>
      </c>
      <c r="R118" s="77">
        <f t="shared" ref="R118:R119" si="95">IF($B$3&gt;0,$E$5,($B$13+$E$5))</f>
        <v>5250</v>
      </c>
      <c r="S118" s="77">
        <f t="shared" ref="S118:S119" si="96">IF($B$4&gt;0,$E$5,($B$13+$E$5))</f>
        <v>5250</v>
      </c>
      <c r="T118" s="77">
        <f t="shared" ref="T118:T119" si="97">$B$13+$E$5</f>
        <v>9000</v>
      </c>
      <c r="U118" s="77">
        <f t="shared" ref="U118:U119" si="98">$B$12+$E$5</f>
        <v>8500</v>
      </c>
      <c r="V118" s="77">
        <f t="shared" si="85"/>
        <v>1816</v>
      </c>
      <c r="W118" s="78">
        <f t="shared" si="86"/>
        <v>141188</v>
      </c>
    </row>
    <row r="119" spans="1:26" ht="14" customHeight="1" x14ac:dyDescent="0.35">
      <c r="A119" s="133">
        <v>42470</v>
      </c>
      <c r="B119" s="139" t="s">
        <v>210</v>
      </c>
      <c r="C119" s="139" t="s">
        <v>172</v>
      </c>
      <c r="D119" s="135" t="s">
        <v>173</v>
      </c>
      <c r="E119" s="136">
        <v>17275</v>
      </c>
      <c r="F119" s="137"/>
      <c r="G119" s="74">
        <f t="shared" si="80"/>
        <v>6689.583333333333</v>
      </c>
      <c r="H119" s="75">
        <v>10</v>
      </c>
      <c r="I119" s="77">
        <f t="shared" si="81"/>
        <v>6689.583333333333</v>
      </c>
      <c r="J119" s="75">
        <v>4</v>
      </c>
      <c r="K119" s="78">
        <f t="shared" si="82"/>
        <v>10439.583333333334</v>
      </c>
      <c r="L119" s="75">
        <v>2</v>
      </c>
      <c r="M119" s="77">
        <f t="shared" si="83"/>
        <v>9939.5833333333339</v>
      </c>
      <c r="N119" s="75">
        <v>2</v>
      </c>
      <c r="P119" s="199">
        <f t="shared" si="84"/>
        <v>18</v>
      </c>
      <c r="Q119" s="80">
        <v>18</v>
      </c>
      <c r="R119" s="77">
        <f t="shared" si="95"/>
        <v>5250</v>
      </c>
      <c r="S119" s="77">
        <f t="shared" si="96"/>
        <v>5250</v>
      </c>
      <c r="T119" s="77">
        <f t="shared" si="97"/>
        <v>9000</v>
      </c>
      <c r="U119" s="77">
        <f t="shared" si="98"/>
        <v>8500</v>
      </c>
      <c r="V119" s="77">
        <f t="shared" si="85"/>
        <v>1439.5833333333333</v>
      </c>
      <c r="W119" s="78">
        <f t="shared" si="86"/>
        <v>134412.5</v>
      </c>
    </row>
    <row r="120" spans="1:26" ht="14" customHeight="1" x14ac:dyDescent="0.35">
      <c r="A120" s="133">
        <v>42523</v>
      </c>
      <c r="B120" s="134" t="s">
        <v>176</v>
      </c>
      <c r="C120" s="139" t="s">
        <v>177</v>
      </c>
      <c r="D120" s="140" t="s">
        <v>173</v>
      </c>
      <c r="E120" s="136">
        <v>18572</v>
      </c>
      <c r="F120" s="141" t="s">
        <v>179</v>
      </c>
      <c r="G120" s="74">
        <f t="shared" si="80"/>
        <v>2797.6666666666665</v>
      </c>
      <c r="H120" s="75">
        <v>10</v>
      </c>
      <c r="I120" s="77">
        <f t="shared" si="81"/>
        <v>2797.6666666666665</v>
      </c>
      <c r="J120" s="75">
        <v>4</v>
      </c>
      <c r="K120" s="78">
        <f t="shared" si="82"/>
        <v>6547.6666666666661</v>
      </c>
      <c r="L120" s="75">
        <v>3</v>
      </c>
      <c r="M120" s="77">
        <f t="shared" si="83"/>
        <v>6047.6666666666661</v>
      </c>
      <c r="N120" s="75">
        <v>1</v>
      </c>
      <c r="P120" s="199">
        <f t="shared" si="84"/>
        <v>18</v>
      </c>
      <c r="Q120" s="80">
        <v>18</v>
      </c>
      <c r="R120" s="77">
        <f>IF($B$3&gt;0,$E$7,($B$13+$E$7))</f>
        <v>1250</v>
      </c>
      <c r="S120" s="77">
        <f>IF($B$4&gt;0,$E$7,($B$13+$E$7))</f>
        <v>1250</v>
      </c>
      <c r="T120" s="77">
        <f>$B$13+$E$7</f>
        <v>5000</v>
      </c>
      <c r="U120" s="77">
        <f>$B$12+$E$7</f>
        <v>4500</v>
      </c>
      <c r="V120" s="77">
        <f t="shared" si="85"/>
        <v>1547.6666666666665</v>
      </c>
      <c r="W120" s="78">
        <f t="shared" si="86"/>
        <v>64857.999999999993</v>
      </c>
    </row>
    <row r="121" spans="1:26" ht="14" customHeight="1" x14ac:dyDescent="0.35">
      <c r="A121" s="133">
        <v>42526</v>
      </c>
      <c r="B121" s="134" t="s">
        <v>176</v>
      </c>
      <c r="C121" s="139" t="s">
        <v>172</v>
      </c>
      <c r="D121" s="140" t="s">
        <v>173</v>
      </c>
      <c r="E121" s="136">
        <v>23535</v>
      </c>
      <c r="F121" s="142" t="s">
        <v>179</v>
      </c>
      <c r="G121" s="74">
        <f t="shared" si="80"/>
        <v>8461.25</v>
      </c>
      <c r="H121" s="75">
        <v>10</v>
      </c>
      <c r="I121" s="77">
        <f t="shared" si="81"/>
        <v>8461.25</v>
      </c>
      <c r="J121" s="75">
        <v>4</v>
      </c>
      <c r="K121" s="78">
        <f t="shared" si="82"/>
        <v>12211.25</v>
      </c>
      <c r="L121" s="75">
        <v>3</v>
      </c>
      <c r="M121" s="77">
        <f t="shared" si="83"/>
        <v>11711.25</v>
      </c>
      <c r="N121" s="75">
        <v>1</v>
      </c>
      <c r="P121" s="199">
        <f t="shared" si="84"/>
        <v>18</v>
      </c>
      <c r="Q121" s="80">
        <v>18</v>
      </c>
      <c r="R121" s="77">
        <f>IF($B$3&gt;0,$E$4,($B$13+$E$4))</f>
        <v>6500</v>
      </c>
      <c r="S121" s="77">
        <f>IF($B$4&gt;0,$E$4,($B$13+$E$4))</f>
        <v>6500</v>
      </c>
      <c r="T121" s="77">
        <f>$B$13+$E$4</f>
        <v>10250</v>
      </c>
      <c r="U121" s="77">
        <f>$B$12+$E$4</f>
        <v>9750</v>
      </c>
      <c r="V121" s="77">
        <f t="shared" si="85"/>
        <v>1961.25</v>
      </c>
      <c r="W121" s="78">
        <f t="shared" si="86"/>
        <v>166802.5</v>
      </c>
    </row>
    <row r="122" spans="1:26" ht="14" customHeight="1" x14ac:dyDescent="0.35">
      <c r="A122" s="133">
        <v>42560</v>
      </c>
      <c r="B122" s="139" t="s">
        <v>219</v>
      </c>
      <c r="C122" s="139" t="s">
        <v>172</v>
      </c>
      <c r="D122" s="135" t="s">
        <v>173</v>
      </c>
      <c r="E122" s="136">
        <v>19272</v>
      </c>
      <c r="F122" s="137"/>
      <c r="G122" s="74">
        <f t="shared" si="80"/>
        <v>6856</v>
      </c>
      <c r="H122" s="75">
        <v>10</v>
      </c>
      <c r="I122" s="77">
        <f t="shared" si="81"/>
        <v>6856</v>
      </c>
      <c r="J122" s="75">
        <v>8</v>
      </c>
      <c r="K122" s="78">
        <f t="shared" si="82"/>
        <v>10606</v>
      </c>
      <c r="L122" s="75">
        <v>0</v>
      </c>
      <c r="M122" s="77">
        <f t="shared" si="83"/>
        <v>10106</v>
      </c>
      <c r="N122" s="75">
        <v>0</v>
      </c>
      <c r="P122" s="199">
        <f t="shared" si="84"/>
        <v>18</v>
      </c>
      <c r="Q122" s="80">
        <v>18</v>
      </c>
      <c r="R122" s="77">
        <f t="shared" ref="R122:R123" si="99">IF($B$3&gt;0,$E$5,($B$13+$E$5))</f>
        <v>5250</v>
      </c>
      <c r="S122" s="77">
        <f t="shared" ref="S122:S123" si="100">IF($B$4&gt;0,$E$5,($B$13+$E$5))</f>
        <v>5250</v>
      </c>
      <c r="T122" s="77">
        <f t="shared" ref="T122:T123" si="101">$B$13+$E$5</f>
        <v>9000</v>
      </c>
      <c r="U122" s="77">
        <f t="shared" ref="U122:U123" si="102">$B$12+$E$5</f>
        <v>8500</v>
      </c>
      <c r="V122" s="77">
        <f t="shared" si="85"/>
        <v>1606</v>
      </c>
      <c r="W122" s="78">
        <f t="shared" si="86"/>
        <v>123408</v>
      </c>
    </row>
    <row r="123" spans="1:26" ht="14" customHeight="1" x14ac:dyDescent="0.35">
      <c r="A123" s="133">
        <v>42573</v>
      </c>
      <c r="B123" s="139" t="s">
        <v>192</v>
      </c>
      <c r="C123" s="139" t="s">
        <v>172</v>
      </c>
      <c r="D123" s="135" t="s">
        <v>173</v>
      </c>
      <c r="E123" s="136">
        <v>12635</v>
      </c>
      <c r="F123" s="137"/>
      <c r="G123" s="74">
        <f t="shared" si="80"/>
        <v>6302.9166666666661</v>
      </c>
      <c r="H123" s="75">
        <v>10</v>
      </c>
      <c r="I123" s="77">
        <f t="shared" si="81"/>
        <v>6302.9166666666661</v>
      </c>
      <c r="J123" s="75">
        <v>8</v>
      </c>
      <c r="K123" s="78">
        <f t="shared" si="82"/>
        <v>10052.916666666666</v>
      </c>
      <c r="L123" s="75">
        <v>0</v>
      </c>
      <c r="M123" s="77">
        <f t="shared" si="83"/>
        <v>9552.9166666666661</v>
      </c>
      <c r="N123" s="75">
        <v>0</v>
      </c>
      <c r="P123" s="199">
        <f t="shared" si="84"/>
        <v>18</v>
      </c>
      <c r="Q123" s="80">
        <v>18</v>
      </c>
      <c r="R123" s="77">
        <f t="shared" si="99"/>
        <v>5250</v>
      </c>
      <c r="S123" s="77">
        <f t="shared" si="100"/>
        <v>5250</v>
      </c>
      <c r="T123" s="77">
        <f t="shared" si="101"/>
        <v>9000</v>
      </c>
      <c r="U123" s="77">
        <f t="shared" si="102"/>
        <v>8500</v>
      </c>
      <c r="V123" s="77">
        <f t="shared" si="85"/>
        <v>1052.9166666666665</v>
      </c>
      <c r="W123" s="78">
        <f t="shared" si="86"/>
        <v>113452.49999999999</v>
      </c>
    </row>
    <row r="124" spans="1:26" s="547" customFormat="1" ht="14" customHeight="1" x14ac:dyDescent="0.35">
      <c r="A124" s="511"/>
      <c r="B124" s="541" t="s">
        <v>236</v>
      </c>
      <c r="C124" s="541"/>
      <c r="D124" s="514"/>
      <c r="E124" s="515"/>
      <c r="F124" s="516"/>
      <c r="G124" s="542">
        <f t="shared" si="80"/>
        <v>25000</v>
      </c>
      <c r="H124" s="543">
        <v>10</v>
      </c>
      <c r="I124" s="542">
        <f t="shared" si="81"/>
        <v>25000</v>
      </c>
      <c r="J124" s="543">
        <v>8</v>
      </c>
      <c r="K124" s="544">
        <f t="shared" si="82"/>
        <v>25000</v>
      </c>
      <c r="L124" s="543">
        <v>0</v>
      </c>
      <c r="M124" s="542">
        <f t="shared" si="83"/>
        <v>25000</v>
      </c>
      <c r="N124" s="543">
        <v>0</v>
      </c>
      <c r="O124" s="545"/>
      <c r="P124" s="543">
        <f t="shared" si="84"/>
        <v>18</v>
      </c>
      <c r="Q124" s="546">
        <v>18</v>
      </c>
      <c r="R124" s="517">
        <f>$S$3</f>
        <v>25000</v>
      </c>
      <c r="S124" s="517">
        <f>$S$3</f>
        <v>25000</v>
      </c>
      <c r="T124" s="517">
        <f>$S$3</f>
        <v>25000</v>
      </c>
      <c r="U124" s="517">
        <f>$S$3</f>
        <v>25000</v>
      </c>
      <c r="V124" s="542">
        <f t="shared" si="85"/>
        <v>0</v>
      </c>
      <c r="W124" s="544">
        <f t="shared" si="86"/>
        <v>450000</v>
      </c>
      <c r="X124" s="545"/>
      <c r="Y124" s="545"/>
      <c r="Z124" s="545"/>
    </row>
    <row r="125" spans="1:26" s="522" customFormat="1" ht="14" customHeight="1" x14ac:dyDescent="0.35">
      <c r="A125" s="511">
        <v>42585</v>
      </c>
      <c r="B125" s="513" t="s">
        <v>205</v>
      </c>
      <c r="C125" s="513" t="s">
        <v>172</v>
      </c>
      <c r="D125" s="514" t="s">
        <v>220</v>
      </c>
      <c r="E125" s="548"/>
      <c r="F125" s="516"/>
      <c r="G125" s="517">
        <f t="shared" si="80"/>
        <v>0</v>
      </c>
      <c r="H125" s="518">
        <v>10</v>
      </c>
      <c r="I125" s="517">
        <f t="shared" si="81"/>
        <v>0</v>
      </c>
      <c r="J125" s="518">
        <v>8</v>
      </c>
      <c r="K125" s="519">
        <f t="shared" si="82"/>
        <v>0</v>
      </c>
      <c r="L125" s="518">
        <v>0</v>
      </c>
      <c r="M125" s="517">
        <f t="shared" si="83"/>
        <v>0</v>
      </c>
      <c r="N125" s="518">
        <v>0</v>
      </c>
      <c r="O125" s="520"/>
      <c r="P125" s="518">
        <f t="shared" si="84"/>
        <v>18</v>
      </c>
      <c r="Q125" s="521">
        <v>18</v>
      </c>
      <c r="R125" s="517">
        <f t="shared" ref="R125:U126" si="103">$S$5*3</f>
        <v>0</v>
      </c>
      <c r="S125" s="517">
        <f t="shared" si="103"/>
        <v>0</v>
      </c>
      <c r="T125" s="517">
        <f t="shared" si="103"/>
        <v>0</v>
      </c>
      <c r="U125" s="517">
        <f t="shared" si="103"/>
        <v>0</v>
      </c>
      <c r="V125" s="517">
        <f t="shared" si="85"/>
        <v>0</v>
      </c>
      <c r="W125" s="519">
        <f t="shared" si="86"/>
        <v>0</v>
      </c>
    </row>
    <row r="126" spans="1:26" s="522" customFormat="1" ht="14" customHeight="1" x14ac:dyDescent="0.35">
      <c r="A126" s="511">
        <v>42588</v>
      </c>
      <c r="B126" s="513" t="s">
        <v>185</v>
      </c>
      <c r="C126" s="513" t="s">
        <v>172</v>
      </c>
      <c r="D126" s="514" t="s">
        <v>220</v>
      </c>
      <c r="E126" s="548"/>
      <c r="F126" s="516"/>
      <c r="G126" s="517">
        <f t="shared" si="80"/>
        <v>0</v>
      </c>
      <c r="H126" s="518">
        <v>10</v>
      </c>
      <c r="I126" s="517">
        <f t="shared" si="81"/>
        <v>0</v>
      </c>
      <c r="J126" s="518">
        <v>8</v>
      </c>
      <c r="K126" s="519">
        <f t="shared" si="82"/>
        <v>0</v>
      </c>
      <c r="L126" s="518">
        <v>0</v>
      </c>
      <c r="M126" s="517">
        <f t="shared" si="83"/>
        <v>0</v>
      </c>
      <c r="N126" s="518">
        <v>0</v>
      </c>
      <c r="O126" s="520"/>
      <c r="P126" s="518">
        <f t="shared" si="84"/>
        <v>18</v>
      </c>
      <c r="Q126" s="521">
        <v>18</v>
      </c>
      <c r="R126" s="517">
        <f t="shared" si="103"/>
        <v>0</v>
      </c>
      <c r="S126" s="517">
        <f t="shared" si="103"/>
        <v>0</v>
      </c>
      <c r="T126" s="517">
        <f t="shared" si="103"/>
        <v>0</v>
      </c>
      <c r="U126" s="517">
        <f t="shared" si="103"/>
        <v>0</v>
      </c>
      <c r="V126" s="517">
        <f t="shared" si="85"/>
        <v>0</v>
      </c>
      <c r="W126" s="519">
        <f t="shared" si="86"/>
        <v>0</v>
      </c>
    </row>
    <row r="127" spans="1:26" s="522" customFormat="1" ht="14" customHeight="1" x14ac:dyDescent="0.35">
      <c r="A127" s="511">
        <v>42591</v>
      </c>
      <c r="B127" s="512" t="s">
        <v>210</v>
      </c>
      <c r="C127" s="513" t="s">
        <v>177</v>
      </c>
      <c r="D127" s="549" t="s">
        <v>220</v>
      </c>
      <c r="E127" s="516"/>
      <c r="F127" s="548"/>
      <c r="G127" s="517">
        <f t="shared" si="80"/>
        <v>0</v>
      </c>
      <c r="H127" s="518">
        <v>10</v>
      </c>
      <c r="I127" s="517">
        <f t="shared" si="81"/>
        <v>0</v>
      </c>
      <c r="J127" s="518">
        <v>8</v>
      </c>
      <c r="K127" s="519">
        <f t="shared" si="82"/>
        <v>0</v>
      </c>
      <c r="L127" s="518">
        <v>0</v>
      </c>
      <c r="M127" s="517">
        <f t="shared" si="83"/>
        <v>0</v>
      </c>
      <c r="N127" s="518">
        <v>0</v>
      </c>
      <c r="O127" s="520"/>
      <c r="P127" s="518">
        <f t="shared" si="84"/>
        <v>18</v>
      </c>
      <c r="Q127" s="521">
        <v>18</v>
      </c>
      <c r="R127" s="517">
        <f t="shared" ref="R127:U128" si="104">$S$5*1</f>
        <v>0</v>
      </c>
      <c r="S127" s="517">
        <f t="shared" si="104"/>
        <v>0</v>
      </c>
      <c r="T127" s="517">
        <f t="shared" si="104"/>
        <v>0</v>
      </c>
      <c r="U127" s="517">
        <f t="shared" si="104"/>
        <v>0</v>
      </c>
      <c r="V127" s="517">
        <f t="shared" si="85"/>
        <v>0</v>
      </c>
      <c r="W127" s="519">
        <f t="shared" si="86"/>
        <v>0</v>
      </c>
    </row>
    <row r="128" spans="1:26" s="522" customFormat="1" ht="14" customHeight="1" x14ac:dyDescent="0.35">
      <c r="A128" s="511">
        <v>42594</v>
      </c>
      <c r="B128" s="512" t="s">
        <v>180</v>
      </c>
      <c r="C128" s="513" t="s">
        <v>177</v>
      </c>
      <c r="D128" s="549" t="s">
        <v>220</v>
      </c>
      <c r="E128" s="548"/>
      <c r="F128" s="548"/>
      <c r="G128" s="517">
        <f t="shared" si="80"/>
        <v>0</v>
      </c>
      <c r="H128" s="518">
        <v>10</v>
      </c>
      <c r="I128" s="517">
        <f t="shared" si="81"/>
        <v>0</v>
      </c>
      <c r="J128" s="518">
        <v>8</v>
      </c>
      <c r="K128" s="519">
        <f t="shared" si="82"/>
        <v>0</v>
      </c>
      <c r="L128" s="518">
        <v>0</v>
      </c>
      <c r="M128" s="517">
        <f t="shared" si="83"/>
        <v>0</v>
      </c>
      <c r="N128" s="518">
        <v>0</v>
      </c>
      <c r="O128" s="520"/>
      <c r="P128" s="518">
        <f t="shared" si="84"/>
        <v>18</v>
      </c>
      <c r="Q128" s="521">
        <v>18</v>
      </c>
      <c r="R128" s="517">
        <f t="shared" si="104"/>
        <v>0</v>
      </c>
      <c r="S128" s="517">
        <f t="shared" si="104"/>
        <v>0</v>
      </c>
      <c r="T128" s="517">
        <f t="shared" si="104"/>
        <v>0</v>
      </c>
      <c r="U128" s="517">
        <f t="shared" si="104"/>
        <v>0</v>
      </c>
      <c r="V128" s="517">
        <f t="shared" si="85"/>
        <v>0</v>
      </c>
      <c r="W128" s="519">
        <f t="shared" si="86"/>
        <v>0</v>
      </c>
    </row>
    <row r="129" spans="1:23" s="522" customFormat="1" ht="14" customHeight="1" x14ac:dyDescent="0.35">
      <c r="A129" s="511"/>
      <c r="B129" s="513" t="s">
        <v>221</v>
      </c>
      <c r="C129" s="513"/>
      <c r="D129" s="514"/>
      <c r="E129" s="548"/>
      <c r="F129" s="516"/>
      <c r="G129" s="517">
        <f t="shared" si="80"/>
        <v>0</v>
      </c>
      <c r="H129" s="518">
        <v>10</v>
      </c>
      <c r="I129" s="517">
        <f t="shared" si="81"/>
        <v>0</v>
      </c>
      <c r="J129" s="518">
        <v>8</v>
      </c>
      <c r="K129" s="519">
        <f t="shared" si="82"/>
        <v>0</v>
      </c>
      <c r="L129" s="518">
        <v>0</v>
      </c>
      <c r="M129" s="517">
        <f t="shared" si="83"/>
        <v>0</v>
      </c>
      <c r="N129" s="518">
        <v>0</v>
      </c>
      <c r="O129" s="520"/>
      <c r="P129" s="518">
        <f t="shared" si="84"/>
        <v>18</v>
      </c>
      <c r="Q129" s="521">
        <v>18</v>
      </c>
      <c r="R129" s="517">
        <f>$S$7+$S$6</f>
        <v>0</v>
      </c>
      <c r="S129" s="517">
        <f>$S$7+$S$6</f>
        <v>0</v>
      </c>
      <c r="T129" s="517">
        <f>$S$7+$S$6</f>
        <v>0</v>
      </c>
      <c r="U129" s="517">
        <f>$S$7+$S$6</f>
        <v>0</v>
      </c>
      <c r="V129" s="517">
        <f t="shared" si="85"/>
        <v>0</v>
      </c>
      <c r="W129" s="519">
        <f t="shared" si="86"/>
        <v>0</v>
      </c>
    </row>
    <row r="130" spans="1:23" ht="14" customHeight="1" x14ac:dyDescent="0.35">
      <c r="A130" s="133">
        <v>42628</v>
      </c>
      <c r="B130" s="134" t="s">
        <v>222</v>
      </c>
      <c r="C130" s="139" t="s">
        <v>172</v>
      </c>
      <c r="D130" s="140" t="s">
        <v>173</v>
      </c>
      <c r="E130" s="136">
        <v>10490</v>
      </c>
      <c r="F130" s="142"/>
      <c r="G130" s="74">
        <f t="shared" si="80"/>
        <v>6124.166666666667</v>
      </c>
      <c r="H130" s="75">
        <v>10</v>
      </c>
      <c r="I130" s="77">
        <f t="shared" si="81"/>
        <v>6124.166666666667</v>
      </c>
      <c r="J130" s="75">
        <v>7</v>
      </c>
      <c r="K130" s="78">
        <f t="shared" si="82"/>
        <v>9874.1666666666661</v>
      </c>
      <c r="L130" s="75">
        <v>1</v>
      </c>
      <c r="M130" s="77">
        <f t="shared" si="83"/>
        <v>9374.1666666666661</v>
      </c>
      <c r="N130" s="75">
        <v>0</v>
      </c>
      <c r="P130" s="199">
        <f t="shared" si="84"/>
        <v>18</v>
      </c>
      <c r="Q130" s="80">
        <v>18</v>
      </c>
      <c r="R130" s="77">
        <f>IF($B$3&gt;0,$E$5,($B$13+$E$5))</f>
        <v>5250</v>
      </c>
      <c r="S130" s="77">
        <f>IF($B$4&gt;0,$E$5,($B$13+$E$5))</f>
        <v>5250</v>
      </c>
      <c r="T130" s="77">
        <f>$B$13+$E$5</f>
        <v>9000</v>
      </c>
      <c r="U130" s="77">
        <f>$B$12+$E$5</f>
        <v>8500</v>
      </c>
      <c r="V130" s="77">
        <f t="shared" si="85"/>
        <v>874.16666666666663</v>
      </c>
      <c r="W130" s="78">
        <f t="shared" si="86"/>
        <v>113985.00000000001</v>
      </c>
    </row>
    <row r="131" spans="1:23" ht="14" customHeight="1" x14ac:dyDescent="0.35">
      <c r="A131" s="133">
        <v>42631</v>
      </c>
      <c r="B131" s="134" t="s">
        <v>223</v>
      </c>
      <c r="C131" s="139" t="s">
        <v>172</v>
      </c>
      <c r="D131" s="140" t="s">
        <v>173</v>
      </c>
      <c r="E131" s="136">
        <v>15652</v>
      </c>
      <c r="F131" s="141" t="s">
        <v>179</v>
      </c>
      <c r="G131" s="74">
        <f t="shared" si="80"/>
        <v>7804.333333333333</v>
      </c>
      <c r="H131" s="75">
        <v>10</v>
      </c>
      <c r="I131" s="77">
        <f t="shared" si="81"/>
        <v>7804.333333333333</v>
      </c>
      <c r="J131" s="75">
        <v>7</v>
      </c>
      <c r="K131" s="78">
        <f t="shared" si="82"/>
        <v>11554.333333333334</v>
      </c>
      <c r="L131" s="75">
        <v>1</v>
      </c>
      <c r="M131" s="77">
        <f t="shared" si="83"/>
        <v>11054.333333333334</v>
      </c>
      <c r="N131" s="75">
        <v>0</v>
      </c>
      <c r="P131" s="199">
        <f t="shared" si="84"/>
        <v>18</v>
      </c>
      <c r="Q131" s="80">
        <v>18</v>
      </c>
      <c r="R131" s="77">
        <f>IF($B$3&gt;0,$E$4,($B$13+$E$4))</f>
        <v>6500</v>
      </c>
      <c r="S131" s="77">
        <f>IF($B$4&gt;0,$E$4,($B$13+$E$4))</f>
        <v>6500</v>
      </c>
      <c r="T131" s="77">
        <f>$B$13+$E$4</f>
        <v>10250</v>
      </c>
      <c r="U131" s="77">
        <f>$B$12+$E$4</f>
        <v>9750</v>
      </c>
      <c r="V131" s="77">
        <f t="shared" si="85"/>
        <v>1304.3333333333333</v>
      </c>
      <c r="W131" s="78">
        <f t="shared" si="86"/>
        <v>144228</v>
      </c>
    </row>
    <row r="132" spans="1:23" ht="14" customHeight="1" x14ac:dyDescent="0.35">
      <c r="A132" s="133">
        <v>42662</v>
      </c>
      <c r="B132" s="134" t="s">
        <v>186</v>
      </c>
      <c r="C132" s="139" t="s">
        <v>172</v>
      </c>
      <c r="D132" s="140" t="s">
        <v>173</v>
      </c>
      <c r="E132" s="136">
        <v>14336</v>
      </c>
      <c r="F132" s="142"/>
      <c r="G132" s="74">
        <f t="shared" si="80"/>
        <v>6444.6666666666661</v>
      </c>
      <c r="H132" s="75">
        <v>10</v>
      </c>
      <c r="I132" s="77">
        <f t="shared" si="81"/>
        <v>6444.6666666666661</v>
      </c>
      <c r="J132" s="75">
        <v>6</v>
      </c>
      <c r="K132" s="78">
        <f t="shared" si="82"/>
        <v>10194.666666666666</v>
      </c>
      <c r="L132" s="75">
        <v>2</v>
      </c>
      <c r="M132" s="77">
        <f t="shared" si="83"/>
        <v>9694.6666666666661</v>
      </c>
      <c r="N132" s="75">
        <v>0</v>
      </c>
      <c r="P132" s="199">
        <f t="shared" si="84"/>
        <v>18</v>
      </c>
      <c r="Q132" s="80">
        <v>18</v>
      </c>
      <c r="R132" s="77">
        <f t="shared" ref="R132:R135" si="105">IF($B$3&gt;0,$E$5,($B$13+$E$5))</f>
        <v>5250</v>
      </c>
      <c r="S132" s="77">
        <f t="shared" ref="S132:S135" si="106">IF($B$4&gt;0,$E$5,($B$13+$E$5))</f>
        <v>5250</v>
      </c>
      <c r="T132" s="77">
        <f t="shared" ref="T132:T135" si="107">$B$13+$E$5</f>
        <v>9000</v>
      </c>
      <c r="U132" s="77">
        <f t="shared" ref="U132:U135" si="108">$B$12+$E$5</f>
        <v>8500</v>
      </c>
      <c r="V132" s="77">
        <f t="shared" si="85"/>
        <v>1194.6666666666665</v>
      </c>
      <c r="W132" s="78">
        <f t="shared" si="86"/>
        <v>123503.99999999999</v>
      </c>
    </row>
    <row r="133" spans="1:23" ht="14" customHeight="1" x14ac:dyDescent="0.35">
      <c r="A133" s="133">
        <v>42666</v>
      </c>
      <c r="B133" s="134" t="s">
        <v>186</v>
      </c>
      <c r="C133" s="139" t="s">
        <v>172</v>
      </c>
      <c r="D133" s="140" t="s">
        <v>173</v>
      </c>
      <c r="E133" s="136">
        <v>23400</v>
      </c>
      <c r="F133" s="141"/>
      <c r="G133" s="74">
        <f t="shared" si="80"/>
        <v>7200</v>
      </c>
      <c r="H133" s="75">
        <v>10</v>
      </c>
      <c r="I133" s="77">
        <f t="shared" si="81"/>
        <v>7200</v>
      </c>
      <c r="J133" s="75">
        <v>6</v>
      </c>
      <c r="K133" s="78">
        <f t="shared" si="82"/>
        <v>10950</v>
      </c>
      <c r="L133" s="75">
        <v>2</v>
      </c>
      <c r="M133" s="77">
        <f t="shared" si="83"/>
        <v>10450</v>
      </c>
      <c r="N133" s="75">
        <v>0</v>
      </c>
      <c r="P133" s="199">
        <f t="shared" si="84"/>
        <v>18</v>
      </c>
      <c r="Q133" s="80">
        <v>18</v>
      </c>
      <c r="R133" s="77">
        <f t="shared" si="105"/>
        <v>5250</v>
      </c>
      <c r="S133" s="77">
        <f t="shared" si="106"/>
        <v>5250</v>
      </c>
      <c r="T133" s="77">
        <f t="shared" si="107"/>
        <v>9000</v>
      </c>
      <c r="U133" s="77">
        <f t="shared" si="108"/>
        <v>8500</v>
      </c>
      <c r="V133" s="77">
        <f t="shared" si="85"/>
        <v>1950</v>
      </c>
      <c r="W133" s="78">
        <f t="shared" si="86"/>
        <v>137100</v>
      </c>
    </row>
    <row r="134" spans="1:23" ht="14" customHeight="1" x14ac:dyDescent="0.35">
      <c r="A134" s="133">
        <v>42684</v>
      </c>
      <c r="B134" s="139" t="s">
        <v>224</v>
      </c>
      <c r="C134" s="139" t="s">
        <v>172</v>
      </c>
      <c r="D134" s="135" t="s">
        <v>173</v>
      </c>
      <c r="E134" s="136">
        <v>16425</v>
      </c>
      <c r="F134" s="141"/>
      <c r="G134" s="74">
        <f t="shared" si="80"/>
        <v>6618.75</v>
      </c>
      <c r="H134" s="75">
        <v>10</v>
      </c>
      <c r="I134" s="77">
        <f t="shared" si="81"/>
        <v>6618.75</v>
      </c>
      <c r="J134" s="75">
        <v>5</v>
      </c>
      <c r="K134" s="78">
        <f t="shared" si="82"/>
        <v>10368.75</v>
      </c>
      <c r="L134" s="75">
        <v>2</v>
      </c>
      <c r="M134" s="77">
        <f t="shared" si="83"/>
        <v>9868.75</v>
      </c>
      <c r="N134" s="75">
        <v>1</v>
      </c>
      <c r="P134" s="199">
        <f t="shared" si="84"/>
        <v>18</v>
      </c>
      <c r="Q134" s="80">
        <v>18</v>
      </c>
      <c r="R134" s="77">
        <f t="shared" si="105"/>
        <v>5250</v>
      </c>
      <c r="S134" s="77">
        <f t="shared" si="106"/>
        <v>5250</v>
      </c>
      <c r="T134" s="77">
        <f t="shared" si="107"/>
        <v>9000</v>
      </c>
      <c r="U134" s="77">
        <f t="shared" si="108"/>
        <v>8500</v>
      </c>
      <c r="V134" s="77">
        <f t="shared" si="85"/>
        <v>1368.75</v>
      </c>
      <c r="W134" s="78">
        <f t="shared" si="86"/>
        <v>129887.5</v>
      </c>
    </row>
    <row r="135" spans="1:23" ht="14" customHeight="1" x14ac:dyDescent="0.35">
      <c r="A135" s="133">
        <v>42687</v>
      </c>
      <c r="B135" s="139" t="s">
        <v>224</v>
      </c>
      <c r="C135" s="139" t="s">
        <v>172</v>
      </c>
      <c r="D135" s="135" t="s">
        <v>173</v>
      </c>
      <c r="E135" s="136">
        <v>20336</v>
      </c>
      <c r="F135" s="137"/>
      <c r="G135" s="74">
        <f t="shared" si="80"/>
        <v>6944.6666666666661</v>
      </c>
      <c r="H135" s="75">
        <v>10</v>
      </c>
      <c r="I135" s="77">
        <f t="shared" si="81"/>
        <v>6944.6666666666661</v>
      </c>
      <c r="J135" s="75">
        <v>5</v>
      </c>
      <c r="K135" s="78">
        <f t="shared" si="82"/>
        <v>10694.666666666666</v>
      </c>
      <c r="L135" s="75">
        <v>2</v>
      </c>
      <c r="M135" s="77">
        <f t="shared" si="83"/>
        <v>10194.666666666666</v>
      </c>
      <c r="N135" s="75">
        <v>1</v>
      </c>
      <c r="P135" s="199">
        <f t="shared" si="84"/>
        <v>18</v>
      </c>
      <c r="Q135" s="80">
        <v>18</v>
      </c>
      <c r="R135" s="77">
        <f t="shared" si="105"/>
        <v>5250</v>
      </c>
      <c r="S135" s="77">
        <f t="shared" si="106"/>
        <v>5250</v>
      </c>
      <c r="T135" s="77">
        <f t="shared" si="107"/>
        <v>9000</v>
      </c>
      <c r="U135" s="77">
        <f t="shared" si="108"/>
        <v>8500</v>
      </c>
      <c r="V135" s="77">
        <f t="shared" si="85"/>
        <v>1694.6666666666665</v>
      </c>
      <c r="W135" s="78">
        <f t="shared" si="86"/>
        <v>135753.99999999997</v>
      </c>
    </row>
    <row r="136" spans="1:23" s="411" customFormat="1" ht="14" customHeight="1" x14ac:dyDescent="0.35">
      <c r="A136" s="550"/>
      <c r="B136" s="207" t="s">
        <v>196</v>
      </c>
      <c r="C136" s="551"/>
      <c r="D136" s="552"/>
      <c r="E136" s="553"/>
      <c r="F136" s="554"/>
      <c r="G136" s="104">
        <f>$B$3</f>
        <v>100000</v>
      </c>
      <c r="H136" s="107">
        <v>10</v>
      </c>
      <c r="I136" s="104">
        <f>$B$4</f>
        <v>100000</v>
      </c>
      <c r="J136" s="107">
        <v>8</v>
      </c>
      <c r="K136" s="106"/>
      <c r="L136" s="107"/>
      <c r="M136" s="104"/>
      <c r="N136" s="107"/>
      <c r="O136" s="106">
        <f>$B$8</f>
        <v>1500</v>
      </c>
      <c r="P136" s="199"/>
      <c r="Q136" s="199">
        <v>6</v>
      </c>
      <c r="R136" s="77"/>
      <c r="S136" s="77"/>
      <c r="T136" s="77"/>
      <c r="U136" s="77"/>
      <c r="V136" s="77"/>
      <c r="W136" s="78">
        <f>(G136*H136)+(I136*J136)+(O136*Q136)</f>
        <v>1809000</v>
      </c>
    </row>
    <row r="137" spans="1:23" s="411" customFormat="1" ht="14" customHeight="1" x14ac:dyDescent="0.35">
      <c r="A137" s="550"/>
      <c r="B137" s="207" t="s">
        <v>235</v>
      </c>
      <c r="C137" s="551"/>
      <c r="D137" s="552"/>
      <c r="E137" s="553"/>
      <c r="F137" s="554"/>
      <c r="G137" s="104">
        <f>$E$12/($H138+$J138+$L138)</f>
        <v>15909.09090909091</v>
      </c>
      <c r="H137" s="107">
        <v>10</v>
      </c>
      <c r="I137" s="104">
        <f>$E$12/($H138+$J138+$L138)</f>
        <v>15909.09090909091</v>
      </c>
      <c r="J137" s="107">
        <v>8</v>
      </c>
      <c r="K137" s="106">
        <f>$E$12/($H138+$J138+$L138)</f>
        <v>15909.09090909091</v>
      </c>
      <c r="L137" s="107">
        <v>4</v>
      </c>
      <c r="M137" s="104"/>
      <c r="N137" s="107"/>
      <c r="O137" s="106"/>
      <c r="P137" s="199"/>
      <c r="Q137" s="199"/>
      <c r="R137" s="77"/>
      <c r="S137" s="77"/>
      <c r="T137" s="77"/>
      <c r="U137" s="77"/>
      <c r="V137" s="77"/>
      <c r="W137" s="78">
        <f t="shared" ref="W137" si="109">(G137*H137)+(I137*J137)+(K137*L137)+(M137*N137)</f>
        <v>350000</v>
      </c>
    </row>
    <row r="138" spans="1:23" s="147" customFormat="1" ht="14" customHeight="1" x14ac:dyDescent="0.4">
      <c r="A138" s="269" t="s">
        <v>225</v>
      </c>
      <c r="B138" s="270"/>
      <c r="C138" s="138"/>
      <c r="D138" s="271" t="s">
        <v>198</v>
      </c>
      <c r="E138" s="270"/>
      <c r="F138" s="270"/>
      <c r="G138" s="143">
        <f>SUMPRODUCT(G107:G137,H107:H137)</f>
        <v>3047437.6363636367</v>
      </c>
      <c r="H138" s="144">
        <v>10</v>
      </c>
      <c r="I138" s="143">
        <f>SUMPRODUCT(I107:I137,J107:J137)</f>
        <v>2116426.8053030302</v>
      </c>
      <c r="J138" s="144">
        <v>8</v>
      </c>
      <c r="K138" s="143">
        <f>SUMPRODUCT(K107:K137,L107:L137)</f>
        <v>668380.98787878791</v>
      </c>
      <c r="L138" s="144">
        <v>4</v>
      </c>
      <c r="M138" s="143">
        <f>SUMPRODUCT(M107:M137,N107:N137)</f>
        <v>196654.07045454541</v>
      </c>
      <c r="N138" s="144">
        <v>6</v>
      </c>
      <c r="O138" s="145">
        <f>$O$69*Q136</f>
        <v>9000</v>
      </c>
      <c r="P138" s="643" t="s">
        <v>199</v>
      </c>
      <c r="Q138" s="375"/>
      <c r="R138" s="146">
        <f>H138+J138+L138+N138</f>
        <v>28</v>
      </c>
      <c r="S138" s="644"/>
      <c r="T138" s="644"/>
      <c r="U138" s="644"/>
      <c r="V138" s="644"/>
      <c r="W138" s="644"/>
    </row>
    <row r="139" spans="1:23" s="147" customFormat="1" ht="14" customHeight="1" x14ac:dyDescent="0.4">
      <c r="A139" s="269" t="s">
        <v>226</v>
      </c>
      <c r="B139" s="270"/>
      <c r="C139" s="138"/>
      <c r="D139" s="271" t="s">
        <v>399</v>
      </c>
      <c r="E139" s="270"/>
      <c r="F139" s="270"/>
      <c r="G139" s="148">
        <f>G138/H138</f>
        <v>304743.76363636367</v>
      </c>
      <c r="H139" s="653">
        <f>(SUM(H107:H112)+SUM(H114:H116)+SUM(H118:H123)+SUM(H125:H128)+SUM(H130:H135))/H138</f>
        <v>25</v>
      </c>
      <c r="I139" s="148">
        <f>I138/J138</f>
        <v>264553.35066287877</v>
      </c>
      <c r="J139" s="653">
        <f>(SUM(J107:J112)+SUM(J114:J116)+SUM(J118:J123)+SUM(J125:J128)+SUM(J130:J135))/J138</f>
        <v>19.625</v>
      </c>
      <c r="K139" s="148">
        <f>K138/L138</f>
        <v>167095.24696969698</v>
      </c>
      <c r="L139" s="653">
        <f>(SUM(L107:L112)+SUM(L114:L116)+SUM(L118:L123)+SUM(L125:L128)+SUM(L130:L135))/L138</f>
        <v>12.5</v>
      </c>
      <c r="M139" s="148">
        <f>M138/N138</f>
        <v>32775.678409090899</v>
      </c>
      <c r="N139" s="653">
        <f>(SUM(N107:N112)+SUM(N114:N116)+SUM(N118:N123)+SUM(N125:N128)+SUM(N130:N135))/N138</f>
        <v>2.8333333333333335</v>
      </c>
      <c r="O139" s="149"/>
      <c r="P139" s="272" t="s">
        <v>201</v>
      </c>
      <c r="Q139" s="375"/>
      <c r="R139" s="645">
        <f>SUM(G138,I138,K138,M138,O138)</f>
        <v>6037899.5</v>
      </c>
      <c r="S139" s="644"/>
      <c r="T139" s="644"/>
      <c r="U139" s="644"/>
      <c r="V139" s="644"/>
      <c r="W139" s="150">
        <f>SUM(W107:W137)</f>
        <v>6037899.5</v>
      </c>
    </row>
    <row r="140" spans="1:23" s="498" customFormat="1" ht="14" customHeight="1" x14ac:dyDescent="0.35">
      <c r="A140" s="555">
        <v>42795</v>
      </c>
      <c r="B140" s="556" t="s">
        <v>211</v>
      </c>
      <c r="C140" s="556" t="s">
        <v>172</v>
      </c>
      <c r="D140" s="557" t="s">
        <v>173</v>
      </c>
      <c r="E140" s="558">
        <v>16318</v>
      </c>
      <c r="F140" s="559" t="s">
        <v>174</v>
      </c>
      <c r="G140" s="493">
        <f t="shared" ref="G140:G155" si="110">R140+V140</f>
        <v>9564.217391304348</v>
      </c>
      <c r="H140" s="494">
        <v>10</v>
      </c>
      <c r="I140" s="493">
        <f t="shared" ref="I140:I155" si="111">S140+V140</f>
        <v>9564.217391304348</v>
      </c>
      <c r="J140" s="494">
        <v>6</v>
      </c>
      <c r="K140" s="495">
        <f t="shared" ref="K140:K155" si="112">T140+V140</f>
        <v>13314.217391304348</v>
      </c>
      <c r="L140" s="494">
        <v>3</v>
      </c>
      <c r="M140" s="493">
        <f t="shared" ref="M140:M155" si="113">U140+V140</f>
        <v>12814.217391304348</v>
      </c>
      <c r="N140" s="494">
        <v>4</v>
      </c>
      <c r="O140" s="496"/>
      <c r="P140" s="494">
        <f t="shared" ref="P140:P155" si="114">H140+J140+L140+N140</f>
        <v>23</v>
      </c>
      <c r="Q140" s="497">
        <v>23</v>
      </c>
      <c r="R140" s="493">
        <f>IF($B$3&gt;0,$E$3,($B$13+$E$3))</f>
        <v>8500</v>
      </c>
      <c r="S140" s="493">
        <f>IF($B$4&gt;0,$E$3,($B$13+$E$3))</f>
        <v>8500</v>
      </c>
      <c r="T140" s="493">
        <f>$B$13+$E$3</f>
        <v>12250</v>
      </c>
      <c r="U140" s="493">
        <f>$B$12+$E$3</f>
        <v>11750</v>
      </c>
      <c r="V140" s="493">
        <f t="shared" ref="V140:V155" si="115">($E140*($E$13/$Q140))</f>
        <v>1064.2173913043478</v>
      </c>
      <c r="W140" s="495">
        <f t="shared" ref="W140:W155" si="116">(G140*H140)+(I140*J140)+(K140*L140)+(M140*N140)</f>
        <v>244227</v>
      </c>
    </row>
    <row r="141" spans="1:23" s="498" customFormat="1" ht="14" customHeight="1" x14ac:dyDescent="0.35">
      <c r="A141" s="555">
        <v>42798</v>
      </c>
      <c r="B141" s="556" t="s">
        <v>202</v>
      </c>
      <c r="C141" s="556" t="s">
        <v>181</v>
      </c>
      <c r="D141" s="557" t="s">
        <v>173</v>
      </c>
      <c r="E141" s="558">
        <v>26500</v>
      </c>
      <c r="F141" s="559" t="s">
        <v>174</v>
      </c>
      <c r="G141" s="493">
        <f t="shared" si="110"/>
        <v>1728.2608695652173</v>
      </c>
      <c r="H141" s="494">
        <v>10</v>
      </c>
      <c r="I141" s="493">
        <f t="shared" si="111"/>
        <v>1728.2608695652173</v>
      </c>
      <c r="J141" s="494">
        <v>6</v>
      </c>
      <c r="K141" s="495">
        <f t="shared" si="112"/>
        <v>5478.260869565217</v>
      </c>
      <c r="L141" s="494">
        <v>3</v>
      </c>
      <c r="M141" s="493">
        <f t="shared" si="113"/>
        <v>4978.260869565217</v>
      </c>
      <c r="N141" s="494">
        <v>4</v>
      </c>
      <c r="O141" s="496"/>
      <c r="P141" s="494">
        <f t="shared" si="114"/>
        <v>23</v>
      </c>
      <c r="Q141" s="497">
        <v>23</v>
      </c>
      <c r="R141" s="493">
        <f t="shared" ref="R141:R142" si="117">IF($B$3&gt;0,$E$9,($B$13+$E$9))</f>
        <v>0</v>
      </c>
      <c r="S141" s="493">
        <f t="shared" ref="S141:S142" si="118">IF($B$4&gt;0,$E$9,($B$13+$E$9))</f>
        <v>0</v>
      </c>
      <c r="T141" s="493">
        <f t="shared" ref="T141:T142" si="119">$B$13+$E$9</f>
        <v>3750</v>
      </c>
      <c r="U141" s="493">
        <f t="shared" ref="U141:U142" si="120">$B$12+$E$9</f>
        <v>3250</v>
      </c>
      <c r="V141" s="493">
        <f t="shared" si="115"/>
        <v>1728.2608695652173</v>
      </c>
      <c r="W141" s="495">
        <f t="shared" si="116"/>
        <v>64000</v>
      </c>
    </row>
    <row r="142" spans="1:23" s="498" customFormat="1" ht="14" customHeight="1" x14ac:dyDescent="0.35">
      <c r="A142" s="555">
        <v>42801</v>
      </c>
      <c r="B142" s="560" t="s">
        <v>185</v>
      </c>
      <c r="C142" s="556" t="s">
        <v>181</v>
      </c>
      <c r="D142" s="561" t="s">
        <v>173</v>
      </c>
      <c r="E142" s="558">
        <v>21638</v>
      </c>
      <c r="F142" s="562" t="s">
        <v>174</v>
      </c>
      <c r="G142" s="493">
        <f t="shared" si="110"/>
        <v>1411.1739130434783</v>
      </c>
      <c r="H142" s="494">
        <v>10</v>
      </c>
      <c r="I142" s="493">
        <f t="shared" si="111"/>
        <v>1411.1739130434783</v>
      </c>
      <c r="J142" s="494">
        <v>6</v>
      </c>
      <c r="K142" s="495">
        <f t="shared" si="112"/>
        <v>5161.173913043478</v>
      </c>
      <c r="L142" s="494">
        <v>3</v>
      </c>
      <c r="M142" s="493">
        <f t="shared" si="113"/>
        <v>4661.173913043478</v>
      </c>
      <c r="N142" s="494">
        <v>4</v>
      </c>
      <c r="O142" s="496"/>
      <c r="P142" s="494">
        <f t="shared" si="114"/>
        <v>23</v>
      </c>
      <c r="Q142" s="497">
        <v>23</v>
      </c>
      <c r="R142" s="493">
        <f t="shared" si="117"/>
        <v>0</v>
      </c>
      <c r="S142" s="493">
        <f t="shared" si="118"/>
        <v>0</v>
      </c>
      <c r="T142" s="493">
        <f t="shared" si="119"/>
        <v>3750</v>
      </c>
      <c r="U142" s="493">
        <f t="shared" si="120"/>
        <v>3250</v>
      </c>
      <c r="V142" s="493">
        <f t="shared" si="115"/>
        <v>1411.1739130434783</v>
      </c>
      <c r="W142" s="495">
        <f t="shared" si="116"/>
        <v>56707</v>
      </c>
    </row>
    <row r="143" spans="1:23" ht="14" customHeight="1" x14ac:dyDescent="0.35">
      <c r="A143" s="151">
        <v>42831</v>
      </c>
      <c r="B143" s="152" t="s">
        <v>175</v>
      </c>
      <c r="C143" s="152" t="s">
        <v>172</v>
      </c>
      <c r="D143" s="153" t="s">
        <v>173</v>
      </c>
      <c r="E143" s="154">
        <v>15191</v>
      </c>
      <c r="F143" s="155"/>
      <c r="G143" s="74">
        <f t="shared" si="110"/>
        <v>6515.9166666666661</v>
      </c>
      <c r="H143" s="75">
        <v>10</v>
      </c>
      <c r="I143" s="77">
        <f t="shared" si="111"/>
        <v>6515.9166666666661</v>
      </c>
      <c r="J143" s="75">
        <v>5</v>
      </c>
      <c r="K143" s="78">
        <f t="shared" si="112"/>
        <v>10265.916666666666</v>
      </c>
      <c r="L143" s="75">
        <v>3</v>
      </c>
      <c r="M143" s="77">
        <f t="shared" si="113"/>
        <v>9765.9166666666661</v>
      </c>
      <c r="N143" s="75">
        <v>0</v>
      </c>
      <c r="P143" s="199">
        <f t="shared" si="114"/>
        <v>18</v>
      </c>
      <c r="Q143" s="80">
        <v>18</v>
      </c>
      <c r="R143" s="77">
        <f t="shared" ref="R143:R146" si="121">IF($B$3&gt;0,$E$5,($B$13+$E$5))</f>
        <v>5250</v>
      </c>
      <c r="S143" s="77">
        <f t="shared" ref="S143:S146" si="122">IF($B$4&gt;0,$E$5,($B$13+$E$5))</f>
        <v>5250</v>
      </c>
      <c r="T143" s="77">
        <f t="shared" ref="T143:T146" si="123">$B$13+$E$5</f>
        <v>9000</v>
      </c>
      <c r="U143" s="77">
        <f t="shared" ref="U143:U146" si="124">$B$12+$E$5</f>
        <v>8500</v>
      </c>
      <c r="V143" s="77">
        <f t="shared" si="115"/>
        <v>1265.9166666666665</v>
      </c>
      <c r="W143" s="78">
        <f t="shared" si="116"/>
        <v>128536.49999999999</v>
      </c>
    </row>
    <row r="144" spans="1:23" ht="14" customHeight="1" x14ac:dyDescent="0.35">
      <c r="A144" s="151">
        <v>42834</v>
      </c>
      <c r="B144" s="152" t="s">
        <v>175</v>
      </c>
      <c r="C144" s="152" t="s">
        <v>172</v>
      </c>
      <c r="D144" s="153" t="s">
        <v>173</v>
      </c>
      <c r="E144" s="154">
        <v>11347</v>
      </c>
      <c r="F144" s="156"/>
      <c r="G144" s="74">
        <f t="shared" si="110"/>
        <v>6195.583333333333</v>
      </c>
      <c r="H144" s="75">
        <v>10</v>
      </c>
      <c r="I144" s="77">
        <f t="shared" si="111"/>
        <v>6195.583333333333</v>
      </c>
      <c r="J144" s="75">
        <v>5</v>
      </c>
      <c r="K144" s="78">
        <f t="shared" si="112"/>
        <v>9945.5833333333339</v>
      </c>
      <c r="L144" s="75">
        <v>3</v>
      </c>
      <c r="M144" s="77">
        <f t="shared" si="113"/>
        <v>9445.5833333333339</v>
      </c>
      <c r="N144" s="75">
        <v>0</v>
      </c>
      <c r="P144" s="199">
        <f t="shared" si="114"/>
        <v>18</v>
      </c>
      <c r="Q144" s="80">
        <v>18</v>
      </c>
      <c r="R144" s="77">
        <f t="shared" si="121"/>
        <v>5250</v>
      </c>
      <c r="S144" s="77">
        <f t="shared" si="122"/>
        <v>5250</v>
      </c>
      <c r="T144" s="77">
        <f t="shared" si="123"/>
        <v>9000</v>
      </c>
      <c r="U144" s="77">
        <f t="shared" si="124"/>
        <v>8500</v>
      </c>
      <c r="V144" s="77">
        <f t="shared" si="115"/>
        <v>945.58333333333326</v>
      </c>
      <c r="W144" s="78">
        <f t="shared" si="116"/>
        <v>122770.5</v>
      </c>
    </row>
    <row r="145" spans="1:23" ht="14" customHeight="1" x14ac:dyDescent="0.35">
      <c r="A145" s="151">
        <v>42894</v>
      </c>
      <c r="B145" s="152" t="s">
        <v>180</v>
      </c>
      <c r="C145" s="152" t="s">
        <v>172</v>
      </c>
      <c r="D145" s="153" t="s">
        <v>178</v>
      </c>
      <c r="E145" s="155"/>
      <c r="F145" s="155"/>
      <c r="G145" s="74">
        <f t="shared" si="110"/>
        <v>5250</v>
      </c>
      <c r="H145" s="75">
        <v>10</v>
      </c>
      <c r="I145" s="77">
        <f t="shared" si="111"/>
        <v>5250</v>
      </c>
      <c r="J145" s="75">
        <v>5</v>
      </c>
      <c r="K145" s="78">
        <f t="shared" si="112"/>
        <v>9000</v>
      </c>
      <c r="L145" s="75">
        <v>3</v>
      </c>
      <c r="M145" s="77">
        <f t="shared" si="113"/>
        <v>8500</v>
      </c>
      <c r="N145" s="75">
        <v>0</v>
      </c>
      <c r="P145" s="199">
        <f t="shared" si="114"/>
        <v>18</v>
      </c>
      <c r="Q145" s="80">
        <v>18</v>
      </c>
      <c r="R145" s="77">
        <f t="shared" si="121"/>
        <v>5250</v>
      </c>
      <c r="S145" s="77">
        <f t="shared" si="122"/>
        <v>5250</v>
      </c>
      <c r="T145" s="77">
        <f t="shared" si="123"/>
        <v>9000</v>
      </c>
      <c r="U145" s="77">
        <f t="shared" si="124"/>
        <v>8500</v>
      </c>
      <c r="V145" s="77">
        <f t="shared" si="115"/>
        <v>0</v>
      </c>
      <c r="W145" s="78">
        <f t="shared" si="116"/>
        <v>105750</v>
      </c>
    </row>
    <row r="146" spans="1:23" ht="14" customHeight="1" x14ac:dyDescent="0.35">
      <c r="A146" s="151">
        <v>42897</v>
      </c>
      <c r="B146" s="157" t="s">
        <v>203</v>
      </c>
      <c r="C146" s="152" t="s">
        <v>172</v>
      </c>
      <c r="D146" s="158" t="s">
        <v>178</v>
      </c>
      <c r="E146" s="156"/>
      <c r="F146" s="159"/>
      <c r="G146" s="74">
        <f t="shared" si="110"/>
        <v>5250</v>
      </c>
      <c r="H146" s="75">
        <v>10</v>
      </c>
      <c r="I146" s="77">
        <f t="shared" si="111"/>
        <v>5250</v>
      </c>
      <c r="J146" s="75">
        <v>5</v>
      </c>
      <c r="K146" s="78">
        <f t="shared" si="112"/>
        <v>9000</v>
      </c>
      <c r="L146" s="75">
        <v>3</v>
      </c>
      <c r="M146" s="77">
        <f t="shared" si="113"/>
        <v>8500</v>
      </c>
      <c r="N146" s="75">
        <v>0</v>
      </c>
      <c r="P146" s="199">
        <f t="shared" si="114"/>
        <v>18</v>
      </c>
      <c r="Q146" s="80">
        <v>18</v>
      </c>
      <c r="R146" s="77">
        <f t="shared" si="121"/>
        <v>5250</v>
      </c>
      <c r="S146" s="77">
        <f t="shared" si="122"/>
        <v>5250</v>
      </c>
      <c r="T146" s="77">
        <f t="shared" si="123"/>
        <v>9000</v>
      </c>
      <c r="U146" s="77">
        <f t="shared" si="124"/>
        <v>8500</v>
      </c>
      <c r="V146" s="77">
        <f t="shared" si="115"/>
        <v>0</v>
      </c>
      <c r="W146" s="78">
        <f t="shared" si="116"/>
        <v>105750</v>
      </c>
    </row>
    <row r="147" spans="1:23" s="573" customFormat="1" ht="14" customHeight="1" x14ac:dyDescent="0.35">
      <c r="A147" s="563">
        <v>42943</v>
      </c>
      <c r="B147" s="564" t="s">
        <v>208</v>
      </c>
      <c r="C147" s="564" t="s">
        <v>181</v>
      </c>
      <c r="D147" s="565" t="s">
        <v>173</v>
      </c>
      <c r="E147" s="566">
        <v>15748</v>
      </c>
      <c r="F147" s="567" t="s">
        <v>179</v>
      </c>
      <c r="G147" s="568">
        <f t="shared" si="110"/>
        <v>1027.0434782608695</v>
      </c>
      <c r="H147" s="569">
        <v>10</v>
      </c>
      <c r="I147" s="568">
        <f t="shared" si="111"/>
        <v>1027.0434782608695</v>
      </c>
      <c r="J147" s="569">
        <v>6</v>
      </c>
      <c r="K147" s="570">
        <f t="shared" si="112"/>
        <v>4777.04347826087</v>
      </c>
      <c r="L147" s="569">
        <v>3</v>
      </c>
      <c r="M147" s="568">
        <f t="shared" si="113"/>
        <v>4277.04347826087</v>
      </c>
      <c r="N147" s="569">
        <v>4</v>
      </c>
      <c r="O147" s="571"/>
      <c r="P147" s="569">
        <f t="shared" si="114"/>
        <v>23</v>
      </c>
      <c r="Q147" s="572">
        <v>23</v>
      </c>
      <c r="R147" s="568">
        <f>IF($B$3&gt;0,$E$9,($B$13+$E$9))</f>
        <v>0</v>
      </c>
      <c r="S147" s="568">
        <f>IF($B$4&gt;0,$E$9,($B$13+$E$9))</f>
        <v>0</v>
      </c>
      <c r="T147" s="568">
        <f>$B$13+$E$9</f>
        <v>3750</v>
      </c>
      <c r="U147" s="568">
        <f>$B$12+$E$9</f>
        <v>3250</v>
      </c>
      <c r="V147" s="568">
        <f t="shared" si="115"/>
        <v>1027.0434782608695</v>
      </c>
      <c r="W147" s="570">
        <f t="shared" si="116"/>
        <v>47872</v>
      </c>
    </row>
    <row r="148" spans="1:23" s="573" customFormat="1" ht="14" customHeight="1" x14ac:dyDescent="0.35">
      <c r="A148" s="563">
        <v>42946</v>
      </c>
      <c r="B148" s="574" t="s">
        <v>194</v>
      </c>
      <c r="C148" s="564" t="s">
        <v>172</v>
      </c>
      <c r="D148" s="575" t="s">
        <v>173</v>
      </c>
      <c r="E148" s="566">
        <v>21096</v>
      </c>
      <c r="F148" s="576"/>
      <c r="G148" s="568">
        <f t="shared" si="110"/>
        <v>6625.826086956522</v>
      </c>
      <c r="H148" s="569">
        <v>10</v>
      </c>
      <c r="I148" s="568">
        <f t="shared" si="111"/>
        <v>6625.826086956522</v>
      </c>
      <c r="J148" s="569">
        <v>6</v>
      </c>
      <c r="K148" s="570">
        <f t="shared" si="112"/>
        <v>10375.826086956522</v>
      </c>
      <c r="L148" s="569">
        <v>3</v>
      </c>
      <c r="M148" s="568">
        <f t="shared" si="113"/>
        <v>9875.826086956522</v>
      </c>
      <c r="N148" s="569">
        <v>4</v>
      </c>
      <c r="O148" s="571"/>
      <c r="P148" s="569">
        <f t="shared" si="114"/>
        <v>23</v>
      </c>
      <c r="Q148" s="572">
        <v>23</v>
      </c>
      <c r="R148" s="568">
        <f>IF($B$3&gt;0,$E$5,($B$13+$E$5))</f>
        <v>5250</v>
      </c>
      <c r="S148" s="568">
        <f>IF($B$4&gt;0,$E$5,($B$13+$E$5))</f>
        <v>5250</v>
      </c>
      <c r="T148" s="568">
        <f>$B$13+$E$5</f>
        <v>9000</v>
      </c>
      <c r="U148" s="568">
        <f>$B$12+$E$5</f>
        <v>8500</v>
      </c>
      <c r="V148" s="568">
        <f t="shared" si="115"/>
        <v>1375.8260869565217</v>
      </c>
      <c r="W148" s="570">
        <f t="shared" si="116"/>
        <v>176644</v>
      </c>
    </row>
    <row r="149" spans="1:23" s="573" customFormat="1" ht="14" customHeight="1" x14ac:dyDescent="0.35">
      <c r="A149" s="563">
        <v>42950</v>
      </c>
      <c r="B149" s="574" t="s">
        <v>176</v>
      </c>
      <c r="C149" s="564" t="s">
        <v>172</v>
      </c>
      <c r="D149" s="575" t="s">
        <v>173</v>
      </c>
      <c r="E149" s="566">
        <v>23161</v>
      </c>
      <c r="F149" s="577" t="s">
        <v>179</v>
      </c>
      <c r="G149" s="568">
        <f t="shared" si="110"/>
        <v>8010.5</v>
      </c>
      <c r="H149" s="569">
        <v>10</v>
      </c>
      <c r="I149" s="568">
        <f t="shared" si="111"/>
        <v>8010.5</v>
      </c>
      <c r="J149" s="569">
        <v>6</v>
      </c>
      <c r="K149" s="570">
        <f t="shared" si="112"/>
        <v>11760.5</v>
      </c>
      <c r="L149" s="569">
        <v>3</v>
      </c>
      <c r="M149" s="568">
        <f t="shared" si="113"/>
        <v>11260.5</v>
      </c>
      <c r="N149" s="569">
        <v>4</v>
      </c>
      <c r="O149" s="571"/>
      <c r="P149" s="569">
        <f t="shared" si="114"/>
        <v>23</v>
      </c>
      <c r="Q149" s="572">
        <v>23</v>
      </c>
      <c r="R149" s="568">
        <f>IF($B$3&gt;0,$E$4,($B$13+$E$4))</f>
        <v>6500</v>
      </c>
      <c r="S149" s="568">
        <f>IF($B$4&gt;0,$E$4,($B$13+$E$4))</f>
        <v>6500</v>
      </c>
      <c r="T149" s="568">
        <f>$B$13+$E$4</f>
        <v>10250</v>
      </c>
      <c r="U149" s="568">
        <f>$B$12+$E$4</f>
        <v>9750</v>
      </c>
      <c r="V149" s="568">
        <f t="shared" si="115"/>
        <v>1510.5</v>
      </c>
      <c r="W149" s="570">
        <f t="shared" si="116"/>
        <v>208491.5</v>
      </c>
    </row>
    <row r="150" spans="1:23" ht="14" customHeight="1" x14ac:dyDescent="0.35">
      <c r="A150" s="151">
        <v>42993</v>
      </c>
      <c r="B150" s="157" t="s">
        <v>205</v>
      </c>
      <c r="C150" s="152" t="s">
        <v>172</v>
      </c>
      <c r="D150" s="158" t="s">
        <v>173</v>
      </c>
      <c r="E150" s="154">
        <v>17301</v>
      </c>
      <c r="F150" s="156"/>
      <c r="G150" s="74">
        <f t="shared" si="110"/>
        <v>6691.75</v>
      </c>
      <c r="H150" s="75">
        <v>10</v>
      </c>
      <c r="I150" s="77">
        <f t="shared" si="111"/>
        <v>6691.75</v>
      </c>
      <c r="J150" s="75">
        <v>5</v>
      </c>
      <c r="K150" s="78">
        <f t="shared" si="112"/>
        <v>10441.75</v>
      </c>
      <c r="L150" s="75">
        <v>3</v>
      </c>
      <c r="M150" s="77">
        <f t="shared" si="113"/>
        <v>9941.75</v>
      </c>
      <c r="N150" s="75">
        <v>0</v>
      </c>
      <c r="P150" s="199">
        <f t="shared" si="114"/>
        <v>18</v>
      </c>
      <c r="Q150" s="80">
        <v>18</v>
      </c>
      <c r="R150" s="77">
        <f t="shared" ref="R150:R153" si="125">IF($B$3&gt;0,$E$5,($B$13+$E$5))</f>
        <v>5250</v>
      </c>
      <c r="S150" s="77">
        <f t="shared" ref="S150:S153" si="126">IF($B$4&gt;0,$E$5,($B$13+$E$5))</f>
        <v>5250</v>
      </c>
      <c r="T150" s="77">
        <f t="shared" ref="T150:T153" si="127">$B$13+$E$5</f>
        <v>9000</v>
      </c>
      <c r="U150" s="77">
        <f t="shared" ref="U150:U153" si="128">$B$12+$E$5</f>
        <v>8500</v>
      </c>
      <c r="V150" s="77">
        <f t="shared" si="115"/>
        <v>1441.75</v>
      </c>
      <c r="W150" s="78">
        <f t="shared" si="116"/>
        <v>131701.5</v>
      </c>
    </row>
    <row r="151" spans="1:23" ht="14" customHeight="1" x14ac:dyDescent="0.35">
      <c r="A151" s="151">
        <v>42997</v>
      </c>
      <c r="B151" s="157" t="s">
        <v>205</v>
      </c>
      <c r="C151" s="152" t="s">
        <v>172</v>
      </c>
      <c r="D151" s="158" t="s">
        <v>173</v>
      </c>
      <c r="E151" s="154">
        <v>30596</v>
      </c>
      <c r="F151" s="159"/>
      <c r="G151" s="74">
        <f t="shared" si="110"/>
        <v>7799.6666666666661</v>
      </c>
      <c r="H151" s="75">
        <v>10</v>
      </c>
      <c r="I151" s="77">
        <f t="shared" si="111"/>
        <v>7799.6666666666661</v>
      </c>
      <c r="J151" s="75">
        <v>5</v>
      </c>
      <c r="K151" s="78">
        <f t="shared" si="112"/>
        <v>11549.666666666666</v>
      </c>
      <c r="L151" s="75">
        <v>3</v>
      </c>
      <c r="M151" s="77">
        <f t="shared" si="113"/>
        <v>11049.666666666666</v>
      </c>
      <c r="N151" s="75">
        <v>0</v>
      </c>
      <c r="P151" s="199">
        <f t="shared" si="114"/>
        <v>18</v>
      </c>
      <c r="Q151" s="80">
        <v>18</v>
      </c>
      <c r="R151" s="77">
        <f t="shared" si="125"/>
        <v>5250</v>
      </c>
      <c r="S151" s="77">
        <f t="shared" si="126"/>
        <v>5250</v>
      </c>
      <c r="T151" s="77">
        <f t="shared" si="127"/>
        <v>9000</v>
      </c>
      <c r="U151" s="77">
        <f t="shared" si="128"/>
        <v>8500</v>
      </c>
      <c r="V151" s="77">
        <f t="shared" si="115"/>
        <v>2549.6666666666665</v>
      </c>
      <c r="W151" s="78">
        <f t="shared" si="116"/>
        <v>151644</v>
      </c>
    </row>
    <row r="152" spans="1:23" ht="14" customHeight="1" x14ac:dyDescent="0.35">
      <c r="A152" s="151">
        <v>43027</v>
      </c>
      <c r="B152" s="152" t="s">
        <v>207</v>
      </c>
      <c r="C152" s="152" t="s">
        <v>172</v>
      </c>
      <c r="D152" s="153" t="s">
        <v>173</v>
      </c>
      <c r="E152" s="154">
        <v>9371</v>
      </c>
      <c r="F152" s="156"/>
      <c r="G152" s="74">
        <f t="shared" si="110"/>
        <v>5952.8249999999998</v>
      </c>
      <c r="H152" s="75">
        <v>10</v>
      </c>
      <c r="I152" s="77">
        <f t="shared" si="111"/>
        <v>5952.8249999999998</v>
      </c>
      <c r="J152" s="75">
        <v>5</v>
      </c>
      <c r="K152" s="78">
        <f t="shared" si="112"/>
        <v>9702.8250000000007</v>
      </c>
      <c r="L152" s="75">
        <v>3</v>
      </c>
      <c r="M152" s="77">
        <f t="shared" si="113"/>
        <v>9202.8250000000007</v>
      </c>
      <c r="N152" s="75">
        <v>2</v>
      </c>
      <c r="P152" s="199">
        <f t="shared" si="114"/>
        <v>20</v>
      </c>
      <c r="Q152" s="80">
        <v>20</v>
      </c>
      <c r="R152" s="77">
        <f t="shared" si="125"/>
        <v>5250</v>
      </c>
      <c r="S152" s="77">
        <f t="shared" si="126"/>
        <v>5250</v>
      </c>
      <c r="T152" s="77">
        <f t="shared" si="127"/>
        <v>9000</v>
      </c>
      <c r="U152" s="77">
        <f t="shared" si="128"/>
        <v>8500</v>
      </c>
      <c r="V152" s="77">
        <f t="shared" si="115"/>
        <v>702.82499999999993</v>
      </c>
      <c r="W152" s="78">
        <f t="shared" si="116"/>
        <v>136806.5</v>
      </c>
    </row>
    <row r="153" spans="1:23" ht="14" customHeight="1" x14ac:dyDescent="0.35">
      <c r="A153" s="151">
        <v>43030</v>
      </c>
      <c r="B153" s="152" t="s">
        <v>207</v>
      </c>
      <c r="C153" s="152" t="s">
        <v>172</v>
      </c>
      <c r="D153" s="153" t="s">
        <v>173</v>
      </c>
      <c r="E153" s="154">
        <v>9727</v>
      </c>
      <c r="F153" s="155"/>
      <c r="G153" s="74">
        <f t="shared" si="110"/>
        <v>5979.5249999999996</v>
      </c>
      <c r="H153" s="75">
        <v>10</v>
      </c>
      <c r="I153" s="77">
        <f t="shared" si="111"/>
        <v>5979.5249999999996</v>
      </c>
      <c r="J153" s="75">
        <v>5</v>
      </c>
      <c r="K153" s="78">
        <f t="shared" si="112"/>
        <v>9729.5249999999996</v>
      </c>
      <c r="L153" s="75">
        <v>3</v>
      </c>
      <c r="M153" s="77">
        <f t="shared" si="113"/>
        <v>9229.5249999999996</v>
      </c>
      <c r="N153" s="75">
        <v>2</v>
      </c>
      <c r="P153" s="199">
        <f t="shared" si="114"/>
        <v>20</v>
      </c>
      <c r="Q153" s="80">
        <v>20</v>
      </c>
      <c r="R153" s="77">
        <f t="shared" si="125"/>
        <v>5250</v>
      </c>
      <c r="S153" s="77">
        <f t="shared" si="126"/>
        <v>5250</v>
      </c>
      <c r="T153" s="77">
        <f t="shared" si="127"/>
        <v>9000</v>
      </c>
      <c r="U153" s="77">
        <f t="shared" si="128"/>
        <v>8500</v>
      </c>
      <c r="V153" s="77">
        <f t="shared" si="115"/>
        <v>729.52499999999998</v>
      </c>
      <c r="W153" s="78">
        <f t="shared" si="116"/>
        <v>137340.5</v>
      </c>
    </row>
    <row r="154" spans="1:23" ht="14" customHeight="1" x14ac:dyDescent="0.35">
      <c r="A154" s="151">
        <v>43048</v>
      </c>
      <c r="B154" s="152" t="s">
        <v>171</v>
      </c>
      <c r="C154" s="152" t="s">
        <v>177</v>
      </c>
      <c r="D154" s="153" t="s">
        <v>178</v>
      </c>
      <c r="E154" s="155"/>
      <c r="F154" s="155" t="s">
        <v>174</v>
      </c>
      <c r="G154" s="74">
        <f t="shared" si="110"/>
        <v>1750</v>
      </c>
      <c r="H154" s="75">
        <v>10</v>
      </c>
      <c r="I154" s="77">
        <f t="shared" si="111"/>
        <v>1750</v>
      </c>
      <c r="J154" s="75">
        <v>5</v>
      </c>
      <c r="K154" s="78">
        <f t="shared" si="112"/>
        <v>5500</v>
      </c>
      <c r="L154" s="75">
        <v>3</v>
      </c>
      <c r="M154" s="77">
        <f t="shared" si="113"/>
        <v>5000</v>
      </c>
      <c r="N154" s="75">
        <v>0</v>
      </c>
      <c r="P154" s="199">
        <f t="shared" si="114"/>
        <v>18</v>
      </c>
      <c r="Q154" s="80">
        <v>18</v>
      </c>
      <c r="R154" s="77">
        <f>IF($B$3&gt;0,$E$6,($B$13+$E$6))</f>
        <v>1750</v>
      </c>
      <c r="S154" s="77">
        <f>IF($B$4&gt;0,$E$6,($B$13+$E$6))</f>
        <v>1750</v>
      </c>
      <c r="T154" s="77">
        <f>$B$13+$E$6</f>
        <v>5500</v>
      </c>
      <c r="U154" s="77">
        <f>$B$12+$E$6</f>
        <v>5000</v>
      </c>
      <c r="V154" s="77">
        <f t="shared" si="115"/>
        <v>0</v>
      </c>
      <c r="W154" s="78">
        <f t="shared" si="116"/>
        <v>42750</v>
      </c>
    </row>
    <row r="155" spans="1:23" ht="14" customHeight="1" x14ac:dyDescent="0.35">
      <c r="A155" s="151">
        <v>43051</v>
      </c>
      <c r="B155" s="157" t="s">
        <v>171</v>
      </c>
      <c r="C155" s="152" t="s">
        <v>172</v>
      </c>
      <c r="D155" s="158" t="s">
        <v>173</v>
      </c>
      <c r="E155" s="154">
        <v>17960</v>
      </c>
      <c r="F155" s="155" t="s">
        <v>174</v>
      </c>
      <c r="G155" s="74">
        <f t="shared" si="110"/>
        <v>9996.6666666666661</v>
      </c>
      <c r="H155" s="75">
        <v>10</v>
      </c>
      <c r="I155" s="77">
        <f t="shared" si="111"/>
        <v>9996.6666666666661</v>
      </c>
      <c r="J155" s="75">
        <v>5</v>
      </c>
      <c r="K155" s="78">
        <f t="shared" si="112"/>
        <v>13746.666666666666</v>
      </c>
      <c r="L155" s="75">
        <v>3</v>
      </c>
      <c r="M155" s="77">
        <f t="shared" si="113"/>
        <v>13246.666666666666</v>
      </c>
      <c r="N155" s="75">
        <v>0</v>
      </c>
      <c r="P155" s="199">
        <f t="shared" si="114"/>
        <v>18</v>
      </c>
      <c r="Q155" s="80">
        <v>18</v>
      </c>
      <c r="R155" s="77">
        <f>IF($B$3&gt;0,$E$3,($B$13+$E$3))</f>
        <v>8500</v>
      </c>
      <c r="S155" s="77">
        <f>IF($B$4&gt;0,$E$3,($B$13+$E$3))</f>
        <v>8500</v>
      </c>
      <c r="T155" s="77">
        <f>$B$13+$E$3</f>
        <v>12250</v>
      </c>
      <c r="U155" s="77">
        <f>$B$12+$E$3</f>
        <v>11750</v>
      </c>
      <c r="V155" s="77">
        <f t="shared" si="115"/>
        <v>1496.6666666666665</v>
      </c>
      <c r="W155" s="78">
        <f t="shared" si="116"/>
        <v>191190</v>
      </c>
    </row>
    <row r="156" spans="1:23" s="411" customFormat="1" ht="14" customHeight="1" x14ac:dyDescent="0.35">
      <c r="A156" s="578"/>
      <c r="B156" s="579" t="s">
        <v>196</v>
      </c>
      <c r="C156" s="580"/>
      <c r="D156" s="581"/>
      <c r="E156" s="582"/>
      <c r="F156" s="583"/>
      <c r="G156" s="104">
        <f>$B$3</f>
        <v>100000</v>
      </c>
      <c r="H156" s="107">
        <v>10</v>
      </c>
      <c r="I156" s="104">
        <f>$B$4</f>
        <v>100000</v>
      </c>
      <c r="J156" s="107">
        <v>7</v>
      </c>
      <c r="K156" s="106"/>
      <c r="L156" s="107"/>
      <c r="M156" s="104"/>
      <c r="N156" s="107"/>
      <c r="O156" s="106">
        <f>$B$8</f>
        <v>1500</v>
      </c>
      <c r="P156" s="199"/>
      <c r="Q156" s="199">
        <v>6</v>
      </c>
      <c r="R156" s="77"/>
      <c r="S156" s="77"/>
      <c r="T156" s="77"/>
      <c r="U156" s="77"/>
      <c r="V156" s="77"/>
      <c r="W156" s="78">
        <f>(G156*H156)+(I156*J156)+(O156*Q156)</f>
        <v>1709000</v>
      </c>
    </row>
    <row r="157" spans="1:23" s="411" customFormat="1" ht="14" customHeight="1" x14ac:dyDescent="0.35">
      <c r="A157" s="578"/>
      <c r="B157" s="579" t="s">
        <v>235</v>
      </c>
      <c r="C157" s="580"/>
      <c r="D157" s="581"/>
      <c r="E157" s="582"/>
      <c r="F157" s="583"/>
      <c r="G157" s="104">
        <f>$E$12/($H158+$J158+$L158)</f>
        <v>15217.391304347826</v>
      </c>
      <c r="H157" s="107">
        <v>10</v>
      </c>
      <c r="I157" s="104">
        <f>$E$12/($H158+$J158+$L158)</f>
        <v>15217.391304347826</v>
      </c>
      <c r="J157" s="107">
        <v>7</v>
      </c>
      <c r="K157" s="106">
        <f>$E$12/($H158+$J158+$L158)</f>
        <v>15217.391304347826</v>
      </c>
      <c r="L157" s="107">
        <v>6</v>
      </c>
      <c r="M157" s="104"/>
      <c r="N157" s="107"/>
      <c r="O157" s="106"/>
      <c r="P157" s="199"/>
      <c r="Q157" s="199"/>
      <c r="R157" s="77"/>
      <c r="S157" s="77"/>
      <c r="T157" s="77"/>
      <c r="U157" s="77"/>
      <c r="V157" s="77"/>
      <c r="W157" s="78">
        <f t="shared" ref="W157" si="129">(G157*H157)+(I157*J157)+(K157*L157)+(M157*N157)</f>
        <v>350000</v>
      </c>
    </row>
    <row r="158" spans="1:23" s="166" customFormat="1" ht="14" customHeight="1" x14ac:dyDescent="0.4">
      <c r="A158" s="264" t="s">
        <v>227</v>
      </c>
      <c r="B158" s="265"/>
      <c r="C158" s="160"/>
      <c r="D158" s="266" t="s">
        <v>198</v>
      </c>
      <c r="E158" s="265"/>
      <c r="F158" s="265"/>
      <c r="G158" s="161">
        <f>SUMPRODUCT(G140:G157,H140:H157)</f>
        <v>2049663.463768116</v>
      </c>
      <c r="H158" s="162">
        <v>10</v>
      </c>
      <c r="I158" s="161">
        <f>SUMPRODUCT(I140:I157,J140:J157)</f>
        <v>1283633.536231884</v>
      </c>
      <c r="J158" s="162">
        <v>7</v>
      </c>
      <c r="K158" s="161">
        <f>SUMPRODUCT(K140:K157,L140:L157)</f>
        <v>540551.21304347832</v>
      </c>
      <c r="L158" s="162">
        <v>6</v>
      </c>
      <c r="M158" s="161">
        <f>SUMPRODUCT(M140:M157,N140:N157)</f>
        <v>228332.78695652171</v>
      </c>
      <c r="N158" s="162">
        <v>7</v>
      </c>
      <c r="O158" s="163">
        <f>$O$69*Q156</f>
        <v>9000</v>
      </c>
      <c r="P158" s="646" t="s">
        <v>199</v>
      </c>
      <c r="Q158" s="422"/>
      <c r="R158" s="164">
        <f>H158+J158+L158+N158</f>
        <v>30</v>
      </c>
      <c r="S158" s="647"/>
      <c r="T158" s="647"/>
      <c r="U158" s="647"/>
      <c r="V158" s="647"/>
      <c r="W158" s="647"/>
    </row>
    <row r="159" spans="1:23" s="166" customFormat="1" ht="14" customHeight="1" x14ac:dyDescent="0.4">
      <c r="A159" s="264" t="s">
        <v>228</v>
      </c>
      <c r="B159" s="265"/>
      <c r="C159" s="160"/>
      <c r="D159" s="266" t="s">
        <v>399</v>
      </c>
      <c r="E159" s="265"/>
      <c r="F159" s="265"/>
      <c r="G159" s="167">
        <f>G158/H158</f>
        <v>204966.34637681159</v>
      </c>
      <c r="H159" s="656">
        <f>SUM(H140:H155)/H158</f>
        <v>16</v>
      </c>
      <c r="I159" s="167">
        <f>I158/J158</f>
        <v>183376.21946169771</v>
      </c>
      <c r="J159" s="656">
        <f>SUM(J140:J155)/J158</f>
        <v>12.285714285714286</v>
      </c>
      <c r="K159" s="167">
        <f>K158/L158</f>
        <v>90091.868840579715</v>
      </c>
      <c r="L159" s="656">
        <f>SUM(L140:L155)/L158</f>
        <v>8</v>
      </c>
      <c r="M159" s="167">
        <f>M158/N158</f>
        <v>32618.969565217387</v>
      </c>
      <c r="N159" s="656">
        <f>SUM(N140:N155)/N158</f>
        <v>4</v>
      </c>
      <c r="O159" s="168"/>
      <c r="P159" s="267" t="s">
        <v>201</v>
      </c>
      <c r="Q159" s="422"/>
      <c r="R159" s="648">
        <f>SUM(G158,I158,K158,M158,O158)</f>
        <v>4111181</v>
      </c>
      <c r="S159" s="647"/>
      <c r="T159" s="647"/>
      <c r="U159" s="647"/>
      <c r="V159" s="647"/>
      <c r="W159" s="169">
        <f>SUM(W140:W157)</f>
        <v>4111181</v>
      </c>
    </row>
    <row r="160" spans="1:23" s="215" customFormat="1" ht="14" customHeight="1" x14ac:dyDescent="0.35">
      <c r="A160" s="342">
        <v>43121</v>
      </c>
      <c r="B160" s="195" t="s">
        <v>182</v>
      </c>
      <c r="C160" s="609" t="s">
        <v>172</v>
      </c>
      <c r="D160" s="610" t="s">
        <v>334</v>
      </c>
      <c r="E160" s="344">
        <v>17526</v>
      </c>
      <c r="F160" s="195"/>
      <c r="G160" s="77">
        <f t="shared" ref="G160:G185" si="130">R160+V160</f>
        <v>6710.5</v>
      </c>
      <c r="H160" s="199">
        <v>10</v>
      </c>
      <c r="I160" s="77">
        <f t="shared" ref="I160:I185" si="131">S160+V160</f>
        <v>6710.5</v>
      </c>
      <c r="J160" s="199">
        <v>4</v>
      </c>
      <c r="K160" s="78">
        <f t="shared" ref="K160:K185" si="132">T160+V160</f>
        <v>10460.5</v>
      </c>
      <c r="L160" s="199">
        <v>3</v>
      </c>
      <c r="M160" s="77">
        <f t="shared" ref="M160:M185" si="133">U160+V160</f>
        <v>9960.5</v>
      </c>
      <c r="N160" s="199">
        <v>1</v>
      </c>
      <c r="P160" s="199">
        <f t="shared" ref="P160:P185" si="134">H160+J160+L160+N160</f>
        <v>18</v>
      </c>
      <c r="Q160" s="80">
        <v>18</v>
      </c>
      <c r="R160" s="77">
        <f t="shared" ref="R160" si="135">IF($B$3&gt;0,$E$5,($B$13+$E$5))</f>
        <v>5250</v>
      </c>
      <c r="S160" s="77">
        <f t="shared" ref="S160" si="136">IF($B$4&gt;0,$E$5,($B$13+$E$5))</f>
        <v>5250</v>
      </c>
      <c r="T160" s="77">
        <f t="shared" ref="T160" si="137">$B$13+$E$5</f>
        <v>9000</v>
      </c>
      <c r="U160" s="77">
        <f t="shared" ref="U160" si="138">$B$12+$E$5</f>
        <v>8500</v>
      </c>
      <c r="V160" s="77">
        <f t="shared" ref="V160:V185" si="139">($E160*($E$13/$Q160))</f>
        <v>1460.5</v>
      </c>
      <c r="W160" s="78">
        <f t="shared" ref="W160:W185" si="140">(G160*H160)+(I160*J160)+(K160*L160)+(M160*N160)</f>
        <v>135289</v>
      </c>
    </row>
    <row r="161" spans="1:23" s="395" customFormat="1" ht="14" customHeight="1" x14ac:dyDescent="0.35">
      <c r="A161" s="392">
        <v>43160</v>
      </c>
      <c r="B161" s="393" t="s">
        <v>211</v>
      </c>
      <c r="C161" s="616" t="s">
        <v>172</v>
      </c>
      <c r="D161" s="617" t="s">
        <v>334</v>
      </c>
      <c r="E161" s="394">
        <v>14591</v>
      </c>
      <c r="F161" s="618" t="s">
        <v>174</v>
      </c>
      <c r="G161" s="400">
        <f t="shared" si="130"/>
        <v>9451.5869565217399</v>
      </c>
      <c r="H161" s="401">
        <v>10</v>
      </c>
      <c r="I161" s="400">
        <f t="shared" si="131"/>
        <v>9451.5869565217399</v>
      </c>
      <c r="J161" s="401">
        <v>6</v>
      </c>
      <c r="K161" s="431">
        <f t="shared" si="132"/>
        <v>13201.58695652174</v>
      </c>
      <c r="L161" s="401">
        <v>3</v>
      </c>
      <c r="M161" s="400">
        <f t="shared" si="133"/>
        <v>12701.58695652174</v>
      </c>
      <c r="N161" s="401">
        <v>4</v>
      </c>
      <c r="P161" s="401">
        <f t="shared" si="134"/>
        <v>23</v>
      </c>
      <c r="Q161" s="428">
        <v>23</v>
      </c>
      <c r="R161" s="400">
        <f>IF($B$3&gt;0,$E$3,($B$13+$E$3))</f>
        <v>8500</v>
      </c>
      <c r="S161" s="400">
        <f>IF($B$4&gt;0,$E$3,($B$13+$E$3))</f>
        <v>8500</v>
      </c>
      <c r="T161" s="400">
        <f>$B$13+$E$3</f>
        <v>12250</v>
      </c>
      <c r="U161" s="400">
        <f>$B$12+$E$3</f>
        <v>11750</v>
      </c>
      <c r="V161" s="400">
        <f t="shared" si="139"/>
        <v>951.58695652173913</v>
      </c>
      <c r="W161" s="431">
        <f t="shared" si="140"/>
        <v>241636.5</v>
      </c>
    </row>
    <row r="162" spans="1:23" s="395" customFormat="1" ht="14" customHeight="1" x14ac:dyDescent="0.35">
      <c r="A162" s="392">
        <v>43163</v>
      </c>
      <c r="B162" s="393" t="s">
        <v>185</v>
      </c>
      <c r="C162" s="616" t="s">
        <v>177</v>
      </c>
      <c r="D162" s="617" t="s">
        <v>334</v>
      </c>
      <c r="E162" s="394">
        <v>25706</v>
      </c>
      <c r="F162" s="618" t="s">
        <v>174</v>
      </c>
      <c r="G162" s="400">
        <f t="shared" si="130"/>
        <v>3426.478260869565</v>
      </c>
      <c r="H162" s="401">
        <v>10</v>
      </c>
      <c r="I162" s="400">
        <f t="shared" si="131"/>
        <v>3426.478260869565</v>
      </c>
      <c r="J162" s="401">
        <v>6</v>
      </c>
      <c r="K162" s="431">
        <f t="shared" si="132"/>
        <v>7176.478260869565</v>
      </c>
      <c r="L162" s="401">
        <v>3</v>
      </c>
      <c r="M162" s="400">
        <f t="shared" si="133"/>
        <v>6676.478260869565</v>
      </c>
      <c r="N162" s="401">
        <v>4</v>
      </c>
      <c r="P162" s="401">
        <f t="shared" si="134"/>
        <v>23</v>
      </c>
      <c r="Q162" s="428">
        <v>23</v>
      </c>
      <c r="R162" s="400">
        <f>IF($B$3&gt;0,$E$6,($B$13+$E$6))</f>
        <v>1750</v>
      </c>
      <c r="S162" s="400">
        <f>IF($B$4&gt;0,$E$6,($B$13+$E$6))</f>
        <v>1750</v>
      </c>
      <c r="T162" s="400">
        <f>$B$13+$E$6</f>
        <v>5500</v>
      </c>
      <c r="U162" s="400">
        <f>$B$12+$E$6</f>
        <v>5000</v>
      </c>
      <c r="V162" s="400">
        <f t="shared" si="139"/>
        <v>1676.4782608695652</v>
      </c>
      <c r="W162" s="431">
        <f t="shared" si="140"/>
        <v>103058.99999999999</v>
      </c>
    </row>
    <row r="163" spans="1:23" s="395" customFormat="1" ht="14" customHeight="1" x14ac:dyDescent="0.35">
      <c r="A163" s="392">
        <v>43166</v>
      </c>
      <c r="B163" s="393" t="s">
        <v>202</v>
      </c>
      <c r="C163" s="616" t="s">
        <v>172</v>
      </c>
      <c r="D163" s="617" t="s">
        <v>334</v>
      </c>
      <c r="E163" s="394">
        <v>12351</v>
      </c>
      <c r="F163" s="618" t="s">
        <v>174</v>
      </c>
      <c r="G163" s="400">
        <f t="shared" si="130"/>
        <v>9305.5</v>
      </c>
      <c r="H163" s="401">
        <v>10</v>
      </c>
      <c r="I163" s="400">
        <f t="shared" si="131"/>
        <v>9305.5</v>
      </c>
      <c r="J163" s="401">
        <v>6</v>
      </c>
      <c r="K163" s="431">
        <f t="shared" si="132"/>
        <v>13055.5</v>
      </c>
      <c r="L163" s="401">
        <v>3</v>
      </c>
      <c r="M163" s="400">
        <f t="shared" si="133"/>
        <v>12555.5</v>
      </c>
      <c r="N163" s="401">
        <v>4</v>
      </c>
      <c r="P163" s="401">
        <f t="shared" si="134"/>
        <v>23</v>
      </c>
      <c r="Q163" s="428">
        <v>23</v>
      </c>
      <c r="R163" s="400">
        <f>IF($B$3&gt;0,$E$3,($B$13+$E$3))</f>
        <v>8500</v>
      </c>
      <c r="S163" s="400">
        <f>IF($B$4&gt;0,$E$3,($B$13+$E$3))</f>
        <v>8500</v>
      </c>
      <c r="T163" s="400">
        <f>$B$13+$E$3</f>
        <v>12250</v>
      </c>
      <c r="U163" s="400">
        <f>$B$12+$E$3</f>
        <v>11750</v>
      </c>
      <c r="V163" s="400">
        <f t="shared" si="139"/>
        <v>805.5</v>
      </c>
      <c r="W163" s="431">
        <f t="shared" si="140"/>
        <v>238276.5</v>
      </c>
    </row>
    <row r="164" spans="1:23" s="395" customFormat="1" ht="14" customHeight="1" x14ac:dyDescent="0.35">
      <c r="A164" s="392"/>
      <c r="B164" s="418" t="s">
        <v>245</v>
      </c>
      <c r="C164" s="418"/>
      <c r="D164" s="418"/>
      <c r="E164" s="418"/>
      <c r="F164" s="418"/>
      <c r="G164" s="400">
        <f t="shared" si="130"/>
        <v>5000</v>
      </c>
      <c r="H164" s="401">
        <v>10</v>
      </c>
      <c r="I164" s="400">
        <f t="shared" si="131"/>
        <v>5000</v>
      </c>
      <c r="J164" s="401">
        <v>6</v>
      </c>
      <c r="K164" s="431">
        <f t="shared" si="132"/>
        <v>5000</v>
      </c>
      <c r="L164" s="401">
        <v>3</v>
      </c>
      <c r="M164" s="400">
        <f t="shared" si="133"/>
        <v>5000</v>
      </c>
      <c r="N164" s="401">
        <v>4</v>
      </c>
      <c r="O164" s="528"/>
      <c r="P164" s="401">
        <f t="shared" si="134"/>
        <v>23</v>
      </c>
      <c r="Q164" s="428">
        <v>23</v>
      </c>
      <c r="R164" s="400">
        <f>$I$7</f>
        <v>5000</v>
      </c>
      <c r="S164" s="400">
        <f>$I$7</f>
        <v>5000</v>
      </c>
      <c r="T164" s="400">
        <f>$I$7</f>
        <v>5000</v>
      </c>
      <c r="U164" s="400">
        <f>$I$7</f>
        <v>5000</v>
      </c>
      <c r="V164" s="400">
        <f t="shared" si="139"/>
        <v>0</v>
      </c>
      <c r="W164" s="431">
        <f t="shared" si="140"/>
        <v>115000</v>
      </c>
    </row>
    <row r="165" spans="1:23" s="194" customFormat="1" ht="14" customHeight="1" x14ac:dyDescent="0.35">
      <c r="A165" s="342">
        <v>43195</v>
      </c>
      <c r="B165" s="195" t="s">
        <v>187</v>
      </c>
      <c r="C165" s="609" t="s">
        <v>172</v>
      </c>
      <c r="D165" s="610" t="s">
        <v>334</v>
      </c>
      <c r="E165" s="344">
        <v>14360</v>
      </c>
      <c r="F165" s="195"/>
      <c r="G165" s="77">
        <f t="shared" si="130"/>
        <v>6186.521739130435</v>
      </c>
      <c r="H165" s="199">
        <v>10</v>
      </c>
      <c r="I165" s="77">
        <f t="shared" si="131"/>
        <v>6186.521739130435</v>
      </c>
      <c r="J165" s="199">
        <v>6</v>
      </c>
      <c r="K165" s="78">
        <f t="shared" si="132"/>
        <v>9936.5217391304341</v>
      </c>
      <c r="L165" s="199">
        <v>3</v>
      </c>
      <c r="M165" s="77">
        <f t="shared" si="133"/>
        <v>9436.5217391304341</v>
      </c>
      <c r="N165" s="199">
        <v>4</v>
      </c>
      <c r="O165" s="465"/>
      <c r="P165" s="199">
        <f t="shared" si="134"/>
        <v>23</v>
      </c>
      <c r="Q165" s="80">
        <v>23</v>
      </c>
      <c r="R165" s="77">
        <f t="shared" ref="R165:R168" si="141">IF($B$3&gt;0,$E$5,($B$13+$E$5))</f>
        <v>5250</v>
      </c>
      <c r="S165" s="77">
        <f t="shared" ref="S165:S168" si="142">IF($B$4&gt;0,$E$5,($B$13+$E$5))</f>
        <v>5250</v>
      </c>
      <c r="T165" s="77">
        <f t="shared" ref="T165:T168" si="143">$B$13+$E$5</f>
        <v>9000</v>
      </c>
      <c r="U165" s="77">
        <f t="shared" ref="U165:U168" si="144">$B$12+$E$5</f>
        <v>8500</v>
      </c>
      <c r="V165" s="77">
        <f t="shared" si="139"/>
        <v>936.52173913043475</v>
      </c>
      <c r="W165" s="78">
        <f t="shared" si="140"/>
        <v>166540</v>
      </c>
    </row>
    <row r="166" spans="1:23" s="194" customFormat="1" ht="14" customHeight="1" x14ac:dyDescent="0.35">
      <c r="A166" s="342">
        <v>43198</v>
      </c>
      <c r="B166" s="195" t="s">
        <v>187</v>
      </c>
      <c r="C166" s="609" t="s">
        <v>172</v>
      </c>
      <c r="D166" s="610" t="s">
        <v>334</v>
      </c>
      <c r="E166" s="344">
        <v>15349</v>
      </c>
      <c r="F166" s="195"/>
      <c r="G166" s="77">
        <f t="shared" si="130"/>
        <v>6251.021739130435</v>
      </c>
      <c r="H166" s="199">
        <v>10</v>
      </c>
      <c r="I166" s="77">
        <f t="shared" si="131"/>
        <v>6251.021739130435</v>
      </c>
      <c r="J166" s="199">
        <v>6</v>
      </c>
      <c r="K166" s="78">
        <f t="shared" si="132"/>
        <v>10001.021739130434</v>
      </c>
      <c r="L166" s="199">
        <v>3</v>
      </c>
      <c r="M166" s="77">
        <f t="shared" si="133"/>
        <v>9501.0217391304341</v>
      </c>
      <c r="N166" s="199">
        <v>4</v>
      </c>
      <c r="O166" s="465"/>
      <c r="P166" s="199">
        <f t="shared" si="134"/>
        <v>23</v>
      </c>
      <c r="Q166" s="80">
        <v>23</v>
      </c>
      <c r="R166" s="77">
        <f t="shared" si="141"/>
        <v>5250</v>
      </c>
      <c r="S166" s="77">
        <f t="shared" si="142"/>
        <v>5250</v>
      </c>
      <c r="T166" s="77">
        <f t="shared" si="143"/>
        <v>9000</v>
      </c>
      <c r="U166" s="77">
        <f t="shared" si="144"/>
        <v>8500</v>
      </c>
      <c r="V166" s="77">
        <f t="shared" si="139"/>
        <v>1001.0217391304348</v>
      </c>
      <c r="W166" s="78">
        <f t="shared" si="140"/>
        <v>168023.5</v>
      </c>
    </row>
    <row r="167" spans="1:23" s="194" customFormat="1" ht="14" customHeight="1" x14ac:dyDescent="0.35">
      <c r="A167" s="342">
        <v>43258</v>
      </c>
      <c r="B167" s="195" t="s">
        <v>184</v>
      </c>
      <c r="C167" s="609" t="s">
        <v>172</v>
      </c>
      <c r="D167" s="610" t="s">
        <v>334</v>
      </c>
      <c r="E167" s="344">
        <v>13230</v>
      </c>
      <c r="F167" s="195"/>
      <c r="G167" s="77">
        <f t="shared" ref="G167:G175" si="145">R167+V167</f>
        <v>6352.5</v>
      </c>
      <c r="H167" s="199">
        <v>10</v>
      </c>
      <c r="I167" s="77">
        <f t="shared" ref="I167:I175" si="146">S167+V167</f>
        <v>6352.5</v>
      </c>
      <c r="J167" s="199">
        <v>5</v>
      </c>
      <c r="K167" s="78">
        <f t="shared" ref="K167:K175" si="147">T167+V167</f>
        <v>10102.5</v>
      </c>
      <c r="L167" s="199">
        <v>3</v>
      </c>
      <c r="M167" s="77">
        <f t="shared" ref="M167:M175" si="148">U167+V167</f>
        <v>9602.5</v>
      </c>
      <c r="N167" s="199">
        <v>0</v>
      </c>
      <c r="P167" s="199">
        <f t="shared" ref="P167:P175" si="149">H167+J167+L167+N167</f>
        <v>18</v>
      </c>
      <c r="Q167" s="80">
        <v>18</v>
      </c>
      <c r="R167" s="77">
        <f t="shared" si="141"/>
        <v>5250</v>
      </c>
      <c r="S167" s="77">
        <f t="shared" si="142"/>
        <v>5250</v>
      </c>
      <c r="T167" s="77">
        <f t="shared" si="143"/>
        <v>9000</v>
      </c>
      <c r="U167" s="77">
        <f t="shared" si="144"/>
        <v>8500</v>
      </c>
      <c r="V167" s="77">
        <f t="shared" si="139"/>
        <v>1102.5</v>
      </c>
      <c r="W167" s="78">
        <f t="shared" ref="W167:W175" si="150">(G167*H167)+(I167*J167)+(K167*L167)+(M167*N167)</f>
        <v>125595</v>
      </c>
    </row>
    <row r="168" spans="1:23" s="194" customFormat="1" ht="14" customHeight="1" x14ac:dyDescent="0.35">
      <c r="A168" s="342">
        <v>43263</v>
      </c>
      <c r="B168" s="195" t="s">
        <v>184</v>
      </c>
      <c r="C168" s="609" t="s">
        <v>172</v>
      </c>
      <c r="D168" s="610" t="s">
        <v>334</v>
      </c>
      <c r="E168" s="344">
        <v>12335</v>
      </c>
      <c r="F168" s="195"/>
      <c r="G168" s="77">
        <f t="shared" si="145"/>
        <v>6277.9166666666661</v>
      </c>
      <c r="H168" s="199">
        <v>10</v>
      </c>
      <c r="I168" s="77">
        <f t="shared" si="146"/>
        <v>6277.9166666666661</v>
      </c>
      <c r="J168" s="199">
        <v>5</v>
      </c>
      <c r="K168" s="78">
        <f t="shared" si="147"/>
        <v>10027.916666666666</v>
      </c>
      <c r="L168" s="199">
        <v>3</v>
      </c>
      <c r="M168" s="77">
        <f t="shared" si="148"/>
        <v>9527.9166666666661</v>
      </c>
      <c r="N168" s="199">
        <v>0</v>
      </c>
      <c r="P168" s="199">
        <f t="shared" si="149"/>
        <v>18</v>
      </c>
      <c r="Q168" s="80">
        <v>18</v>
      </c>
      <c r="R168" s="77">
        <f t="shared" si="141"/>
        <v>5250</v>
      </c>
      <c r="S168" s="77">
        <f t="shared" si="142"/>
        <v>5250</v>
      </c>
      <c r="T168" s="77">
        <f t="shared" si="143"/>
        <v>9000</v>
      </c>
      <c r="U168" s="77">
        <f t="shared" si="144"/>
        <v>8500</v>
      </c>
      <c r="V168" s="77">
        <f t="shared" si="139"/>
        <v>1027.9166666666665</v>
      </c>
      <c r="W168" s="78">
        <f t="shared" si="150"/>
        <v>124252.49999999999</v>
      </c>
    </row>
    <row r="169" spans="1:23" s="628" customFormat="1" ht="14" customHeight="1" x14ac:dyDescent="0.35">
      <c r="A169" s="619">
        <v>43307</v>
      </c>
      <c r="B169" s="620" t="s">
        <v>176</v>
      </c>
      <c r="C169" s="621" t="s">
        <v>172</v>
      </c>
      <c r="D169" s="622" t="s">
        <v>334</v>
      </c>
      <c r="E169" s="623">
        <v>18467</v>
      </c>
      <c r="F169" s="624" t="s">
        <v>179</v>
      </c>
      <c r="G169" s="625">
        <f t="shared" si="145"/>
        <v>7704.369565217391</v>
      </c>
      <c r="H169" s="626">
        <v>10</v>
      </c>
      <c r="I169" s="625">
        <f t="shared" si="146"/>
        <v>7704.369565217391</v>
      </c>
      <c r="J169" s="626">
        <v>6</v>
      </c>
      <c r="K169" s="627">
        <f t="shared" si="147"/>
        <v>11454.369565217392</v>
      </c>
      <c r="L169" s="626">
        <v>3</v>
      </c>
      <c r="M169" s="625">
        <f t="shared" si="148"/>
        <v>10954.369565217392</v>
      </c>
      <c r="N169" s="626">
        <v>2</v>
      </c>
      <c r="P169" s="626">
        <f t="shared" si="149"/>
        <v>21</v>
      </c>
      <c r="Q169" s="629">
        <v>23</v>
      </c>
      <c r="R169" s="625">
        <f>IF($B$3&gt;0,$E$4,($B$13+$E$4))</f>
        <v>6500</v>
      </c>
      <c r="S169" s="625">
        <f>IF($B$4&gt;0,$E$4,($B$13+$E$4))</f>
        <v>6500</v>
      </c>
      <c r="T169" s="625">
        <f>$B$13+$E$4</f>
        <v>10250</v>
      </c>
      <c r="U169" s="625">
        <f>$B$12+$E$4</f>
        <v>9750</v>
      </c>
      <c r="V169" s="625">
        <f t="shared" si="139"/>
        <v>1204.3695652173913</v>
      </c>
      <c r="W169" s="627">
        <f t="shared" si="150"/>
        <v>179541.76086956522</v>
      </c>
    </row>
    <row r="170" spans="1:23" s="628" customFormat="1" ht="14" customHeight="1" x14ac:dyDescent="0.35">
      <c r="A170" s="619">
        <v>43310</v>
      </c>
      <c r="B170" s="620" t="s">
        <v>208</v>
      </c>
      <c r="C170" s="621" t="s">
        <v>177</v>
      </c>
      <c r="D170" s="622" t="s">
        <v>334</v>
      </c>
      <c r="E170" s="623">
        <v>21570</v>
      </c>
      <c r="F170" s="624" t="s">
        <v>179</v>
      </c>
      <c r="G170" s="625">
        <f t="shared" ref="G170:G172" si="151">R170+V170</f>
        <v>2656.7391304347825</v>
      </c>
      <c r="H170" s="626">
        <v>10</v>
      </c>
      <c r="I170" s="625">
        <f t="shared" ref="I170:I172" si="152">S170+V170</f>
        <v>2656.7391304347825</v>
      </c>
      <c r="J170" s="626">
        <v>6</v>
      </c>
      <c r="K170" s="627">
        <f t="shared" ref="K170:K172" si="153">T170+V170</f>
        <v>6406.7391304347821</v>
      </c>
      <c r="L170" s="626">
        <v>3</v>
      </c>
      <c r="M170" s="625">
        <f t="shared" ref="M170:M172" si="154">U170+V170</f>
        <v>5906.7391304347821</v>
      </c>
      <c r="N170" s="626">
        <v>2</v>
      </c>
      <c r="P170" s="626">
        <f t="shared" ref="P170:P172" si="155">H170+J170+L170+N170</f>
        <v>21</v>
      </c>
      <c r="Q170" s="629">
        <v>23</v>
      </c>
      <c r="R170" s="625">
        <f>IF($B$3&gt;0,$E$7,($B$13+$E$7))</f>
        <v>1250</v>
      </c>
      <c r="S170" s="625">
        <f>IF($B$4&gt;0,$E$7,($B$13+$E$7))</f>
        <v>1250</v>
      </c>
      <c r="T170" s="625">
        <f>$B$13+$E$7</f>
        <v>5000</v>
      </c>
      <c r="U170" s="625">
        <f>$B$12+$E$7</f>
        <v>4500</v>
      </c>
      <c r="V170" s="625">
        <f t="shared" si="139"/>
        <v>1406.7391304347825</v>
      </c>
      <c r="W170" s="627">
        <f t="shared" ref="W170:W172" si="156">(G170*H170)+(I170*J170)+(K170*L170)+(M170*N170)</f>
        <v>73541.521739130432</v>
      </c>
    </row>
    <row r="171" spans="1:23" s="628" customFormat="1" ht="14" customHeight="1" x14ac:dyDescent="0.35">
      <c r="A171" s="619">
        <v>43314</v>
      </c>
      <c r="B171" s="620" t="s">
        <v>194</v>
      </c>
      <c r="C171" s="621" t="s">
        <v>172</v>
      </c>
      <c r="D171" s="622" t="s">
        <v>334</v>
      </c>
      <c r="E171" s="623">
        <v>18309</v>
      </c>
      <c r="F171" s="620"/>
      <c r="G171" s="625">
        <f t="shared" si="151"/>
        <v>6444.065217391304</v>
      </c>
      <c r="H171" s="626">
        <v>10</v>
      </c>
      <c r="I171" s="625">
        <f t="shared" si="152"/>
        <v>6444.065217391304</v>
      </c>
      <c r="J171" s="626">
        <v>6</v>
      </c>
      <c r="K171" s="627">
        <f t="shared" si="153"/>
        <v>10194.065217391304</v>
      </c>
      <c r="L171" s="626">
        <v>3</v>
      </c>
      <c r="M171" s="625">
        <f t="shared" si="154"/>
        <v>9694.065217391304</v>
      </c>
      <c r="N171" s="626">
        <v>2</v>
      </c>
      <c r="P171" s="626">
        <f t="shared" si="155"/>
        <v>21</v>
      </c>
      <c r="Q171" s="629">
        <v>23</v>
      </c>
      <c r="R171" s="625">
        <f>IF($B$3&gt;0,$E$5,($B$13+$E$5))</f>
        <v>5250</v>
      </c>
      <c r="S171" s="625">
        <f>IF($B$4&gt;0,$E$5,($B$13+$E$5))</f>
        <v>5250</v>
      </c>
      <c r="T171" s="625">
        <f>$B$13+$E$5</f>
        <v>9000</v>
      </c>
      <c r="U171" s="625">
        <f>$B$12+$E$5</f>
        <v>8500</v>
      </c>
      <c r="V171" s="625">
        <f t="shared" si="139"/>
        <v>1194.0652173913043</v>
      </c>
      <c r="W171" s="627">
        <f t="shared" si="156"/>
        <v>153075.36956521741</v>
      </c>
    </row>
    <row r="172" spans="1:23" s="628" customFormat="1" ht="14" customHeight="1" x14ac:dyDescent="0.35">
      <c r="A172" s="619"/>
      <c r="B172" s="630" t="s">
        <v>405</v>
      </c>
      <c r="C172" s="630"/>
      <c r="D172" s="630"/>
      <c r="E172" s="630"/>
      <c r="F172" s="630"/>
      <c r="G172" s="625">
        <f t="shared" si="151"/>
        <v>5000</v>
      </c>
      <c r="H172" s="626">
        <v>10</v>
      </c>
      <c r="I172" s="625">
        <f t="shared" si="152"/>
        <v>5000</v>
      </c>
      <c r="J172" s="626">
        <v>6</v>
      </c>
      <c r="K172" s="627">
        <f t="shared" si="153"/>
        <v>5000</v>
      </c>
      <c r="L172" s="626">
        <v>3</v>
      </c>
      <c r="M172" s="625">
        <f t="shared" si="154"/>
        <v>5000</v>
      </c>
      <c r="N172" s="626">
        <v>2</v>
      </c>
      <c r="P172" s="626">
        <f t="shared" si="155"/>
        <v>21</v>
      </c>
      <c r="Q172" s="629">
        <v>23</v>
      </c>
      <c r="R172" s="625">
        <f>$J$7</f>
        <v>5000</v>
      </c>
      <c r="S172" s="652">
        <f>$J$7</f>
        <v>5000</v>
      </c>
      <c r="T172" s="652">
        <f>$J$7</f>
        <v>5000</v>
      </c>
      <c r="U172" s="652">
        <f>$J$7</f>
        <v>5000</v>
      </c>
      <c r="V172" s="652">
        <f t="shared" si="139"/>
        <v>0</v>
      </c>
      <c r="W172" s="627">
        <f t="shared" si="156"/>
        <v>105000</v>
      </c>
    </row>
    <row r="173" spans="1:23" s="215" customFormat="1" ht="14" customHeight="1" x14ac:dyDescent="0.35">
      <c r="A173" s="342">
        <v>43343</v>
      </c>
      <c r="B173" s="195" t="s">
        <v>364</v>
      </c>
      <c r="C173" s="609" t="s">
        <v>172</v>
      </c>
      <c r="D173" s="610" t="s">
        <v>334</v>
      </c>
      <c r="E173" s="344">
        <v>23544</v>
      </c>
      <c r="F173" s="195"/>
      <c r="G173" s="77">
        <f t="shared" si="145"/>
        <v>7015.8</v>
      </c>
      <c r="H173" s="199">
        <v>10</v>
      </c>
      <c r="I173" s="77">
        <f t="shared" si="146"/>
        <v>7015.8</v>
      </c>
      <c r="J173" s="199">
        <v>5</v>
      </c>
      <c r="K173" s="78">
        <f t="shared" si="147"/>
        <v>10765.8</v>
      </c>
      <c r="L173" s="199">
        <v>3</v>
      </c>
      <c r="M173" s="77">
        <f t="shared" si="148"/>
        <v>10265.799999999999</v>
      </c>
      <c r="N173" s="199">
        <v>2</v>
      </c>
      <c r="P173" s="199">
        <f t="shared" si="149"/>
        <v>20</v>
      </c>
      <c r="Q173" s="80">
        <v>20</v>
      </c>
      <c r="R173" s="77">
        <f t="shared" ref="R173:R174" si="157">IF($B$3&gt;0,$E$5,($B$13+$E$5))</f>
        <v>5250</v>
      </c>
      <c r="S173" s="77">
        <f t="shared" ref="S173:S174" si="158">IF($B$4&gt;0,$E$5,($B$13+$E$5))</f>
        <v>5250</v>
      </c>
      <c r="T173" s="77">
        <f t="shared" ref="T173:T174" si="159">$B$13+$E$5</f>
        <v>9000</v>
      </c>
      <c r="U173" s="77">
        <f t="shared" ref="U173:U174" si="160">$B$12+$E$5</f>
        <v>8500</v>
      </c>
      <c r="V173" s="77">
        <f t="shared" si="139"/>
        <v>1765.8</v>
      </c>
      <c r="W173" s="78">
        <f t="shared" si="150"/>
        <v>158066</v>
      </c>
    </row>
    <row r="174" spans="1:23" s="215" customFormat="1" ht="14" customHeight="1" x14ac:dyDescent="0.35">
      <c r="A174" s="342">
        <v>43347</v>
      </c>
      <c r="B174" s="195" t="s">
        <v>364</v>
      </c>
      <c r="C174" s="609" t="s">
        <v>172</v>
      </c>
      <c r="D174" s="610" t="s">
        <v>334</v>
      </c>
      <c r="E174" s="344">
        <v>14340</v>
      </c>
      <c r="F174" s="195"/>
      <c r="G174" s="77">
        <f t="shared" si="145"/>
        <v>6325.5</v>
      </c>
      <c r="H174" s="199">
        <v>10</v>
      </c>
      <c r="I174" s="77">
        <f t="shared" si="146"/>
        <v>6325.5</v>
      </c>
      <c r="J174" s="199">
        <v>5</v>
      </c>
      <c r="K174" s="78">
        <f t="shared" si="147"/>
        <v>10075.5</v>
      </c>
      <c r="L174" s="199">
        <v>3</v>
      </c>
      <c r="M174" s="77">
        <f t="shared" si="148"/>
        <v>9575.5</v>
      </c>
      <c r="N174" s="199">
        <v>2</v>
      </c>
      <c r="P174" s="199">
        <f t="shared" si="149"/>
        <v>20</v>
      </c>
      <c r="Q174" s="80">
        <v>20</v>
      </c>
      <c r="R174" s="77">
        <f t="shared" si="157"/>
        <v>5250</v>
      </c>
      <c r="S174" s="77">
        <f t="shared" si="158"/>
        <v>5250</v>
      </c>
      <c r="T174" s="77">
        <f t="shared" si="159"/>
        <v>9000</v>
      </c>
      <c r="U174" s="77">
        <f t="shared" si="160"/>
        <v>8500</v>
      </c>
      <c r="V174" s="77">
        <f t="shared" si="139"/>
        <v>1075.5</v>
      </c>
      <c r="W174" s="78">
        <f t="shared" si="150"/>
        <v>144260</v>
      </c>
    </row>
    <row r="175" spans="1:23" s="380" customFormat="1" ht="14" customHeight="1" x14ac:dyDescent="0.35">
      <c r="A175" s="389">
        <v>43377</v>
      </c>
      <c r="B175" s="390" t="s">
        <v>187</v>
      </c>
      <c r="C175" s="613" t="s">
        <v>172</v>
      </c>
      <c r="D175" s="390" t="s">
        <v>335</v>
      </c>
      <c r="E175" s="391">
        <v>5404</v>
      </c>
      <c r="F175" s="390"/>
      <c r="G175" s="379">
        <f t="shared" si="145"/>
        <v>3405.3</v>
      </c>
      <c r="H175" s="381">
        <v>10</v>
      </c>
      <c r="I175" s="379">
        <f t="shared" si="146"/>
        <v>3405.3</v>
      </c>
      <c r="J175" s="381">
        <v>6</v>
      </c>
      <c r="K175" s="388">
        <f t="shared" si="147"/>
        <v>7155.3</v>
      </c>
      <c r="L175" s="381">
        <v>3</v>
      </c>
      <c r="M175" s="379">
        <f t="shared" si="148"/>
        <v>6655.3</v>
      </c>
      <c r="N175" s="381">
        <v>1</v>
      </c>
      <c r="P175" s="381">
        <f t="shared" si="149"/>
        <v>20</v>
      </c>
      <c r="Q175" s="427">
        <v>20</v>
      </c>
      <c r="R175" s="379">
        <f t="shared" ref="R175:R179" si="161">IF($B$3&gt;0,$N$3,($B$13+$N$3))</f>
        <v>3000</v>
      </c>
      <c r="S175" s="379">
        <f t="shared" ref="S175:S179" si="162">IF($B$4&gt;0,$N$3,($B$13+$N$3))</f>
        <v>3000</v>
      </c>
      <c r="T175" s="379">
        <f t="shared" ref="T175:T179" si="163">$B$13+$N$3</f>
        <v>6750</v>
      </c>
      <c r="U175" s="379">
        <f t="shared" ref="U175:U179" si="164">$B$12+$N$3</f>
        <v>6250</v>
      </c>
      <c r="V175" s="379">
        <f t="shared" si="139"/>
        <v>405.3</v>
      </c>
      <c r="W175" s="388">
        <f t="shared" si="150"/>
        <v>82606.000000000015</v>
      </c>
    </row>
    <row r="176" spans="1:23" s="380" customFormat="1" ht="14" customHeight="1" x14ac:dyDescent="0.35">
      <c r="A176" s="389">
        <v>43380</v>
      </c>
      <c r="B176" s="390" t="s">
        <v>354</v>
      </c>
      <c r="C176" s="613" t="s">
        <v>172</v>
      </c>
      <c r="D176" s="390" t="s">
        <v>335</v>
      </c>
      <c r="E176" s="391">
        <v>7532</v>
      </c>
      <c r="F176" s="390"/>
      <c r="G176" s="379">
        <f t="shared" si="130"/>
        <v>3564.9</v>
      </c>
      <c r="H176" s="381">
        <v>10</v>
      </c>
      <c r="I176" s="379">
        <f t="shared" si="131"/>
        <v>3564.9</v>
      </c>
      <c r="J176" s="381">
        <v>6</v>
      </c>
      <c r="K176" s="388">
        <f t="shared" si="132"/>
        <v>7314.9</v>
      </c>
      <c r="L176" s="381">
        <v>3</v>
      </c>
      <c r="M176" s="379">
        <f t="shared" si="133"/>
        <v>6814.9</v>
      </c>
      <c r="N176" s="381">
        <v>1</v>
      </c>
      <c r="P176" s="381">
        <f t="shared" si="134"/>
        <v>20</v>
      </c>
      <c r="Q176" s="427">
        <v>20</v>
      </c>
      <c r="R176" s="379">
        <f t="shared" si="161"/>
        <v>3000</v>
      </c>
      <c r="S176" s="379">
        <f t="shared" si="162"/>
        <v>3000</v>
      </c>
      <c r="T176" s="379">
        <f t="shared" si="163"/>
        <v>6750</v>
      </c>
      <c r="U176" s="379">
        <f t="shared" si="164"/>
        <v>6250</v>
      </c>
      <c r="V176" s="379">
        <f t="shared" si="139"/>
        <v>564.9</v>
      </c>
      <c r="W176" s="388">
        <f t="shared" si="140"/>
        <v>85798</v>
      </c>
    </row>
    <row r="177" spans="1:23" s="380" customFormat="1" ht="14" customHeight="1" x14ac:dyDescent="0.35">
      <c r="A177" s="389">
        <v>43383</v>
      </c>
      <c r="B177" s="390" t="s">
        <v>188</v>
      </c>
      <c r="C177" s="613" t="s">
        <v>172</v>
      </c>
      <c r="D177" s="390" t="s">
        <v>335</v>
      </c>
      <c r="E177" s="391">
        <v>3996</v>
      </c>
      <c r="F177" s="390"/>
      <c r="G177" s="379">
        <f t="shared" si="130"/>
        <v>3299.7</v>
      </c>
      <c r="H177" s="381">
        <v>10</v>
      </c>
      <c r="I177" s="379">
        <f t="shared" si="131"/>
        <v>3299.7</v>
      </c>
      <c r="J177" s="381">
        <v>6</v>
      </c>
      <c r="K177" s="388">
        <f t="shared" si="132"/>
        <v>7049.7</v>
      </c>
      <c r="L177" s="381">
        <v>3</v>
      </c>
      <c r="M177" s="379">
        <f t="shared" si="133"/>
        <v>6549.7</v>
      </c>
      <c r="N177" s="381">
        <v>1</v>
      </c>
      <c r="P177" s="381">
        <f t="shared" si="134"/>
        <v>20</v>
      </c>
      <c r="Q177" s="427">
        <v>20</v>
      </c>
      <c r="R177" s="379">
        <f t="shared" si="161"/>
        <v>3000</v>
      </c>
      <c r="S177" s="379">
        <f t="shared" si="162"/>
        <v>3000</v>
      </c>
      <c r="T177" s="379">
        <f t="shared" si="163"/>
        <v>6750</v>
      </c>
      <c r="U177" s="379">
        <f t="shared" si="164"/>
        <v>6250</v>
      </c>
      <c r="V177" s="379">
        <f t="shared" si="139"/>
        <v>299.7</v>
      </c>
      <c r="W177" s="388">
        <f t="shared" si="140"/>
        <v>80493.999999999985</v>
      </c>
    </row>
    <row r="178" spans="1:23" s="380" customFormat="1" ht="14" customHeight="1" x14ac:dyDescent="0.35">
      <c r="A178" s="389">
        <v>43387</v>
      </c>
      <c r="B178" s="390" t="s">
        <v>352</v>
      </c>
      <c r="C178" s="613" t="s">
        <v>172</v>
      </c>
      <c r="D178" s="390" t="s">
        <v>335</v>
      </c>
      <c r="E178" s="391">
        <v>7555</v>
      </c>
      <c r="F178" s="390"/>
      <c r="G178" s="379">
        <f t="shared" si="130"/>
        <v>3566.625</v>
      </c>
      <c r="H178" s="381">
        <v>10</v>
      </c>
      <c r="I178" s="379">
        <f t="shared" si="131"/>
        <v>3566.625</v>
      </c>
      <c r="J178" s="381">
        <v>6</v>
      </c>
      <c r="K178" s="388">
        <f t="shared" si="132"/>
        <v>7316.625</v>
      </c>
      <c r="L178" s="381">
        <v>3</v>
      </c>
      <c r="M178" s="379">
        <f t="shared" si="133"/>
        <v>6816.625</v>
      </c>
      <c r="N178" s="381">
        <v>1</v>
      </c>
      <c r="P178" s="381">
        <f t="shared" si="134"/>
        <v>20</v>
      </c>
      <c r="Q178" s="427">
        <v>20</v>
      </c>
      <c r="R178" s="379">
        <f t="shared" si="161"/>
        <v>3000</v>
      </c>
      <c r="S178" s="379">
        <f t="shared" si="162"/>
        <v>3000</v>
      </c>
      <c r="T178" s="379">
        <f t="shared" si="163"/>
        <v>6750</v>
      </c>
      <c r="U178" s="379">
        <f t="shared" si="164"/>
        <v>6250</v>
      </c>
      <c r="V178" s="379">
        <f t="shared" si="139"/>
        <v>566.625</v>
      </c>
      <c r="W178" s="388">
        <f t="shared" si="140"/>
        <v>85832.5</v>
      </c>
    </row>
    <row r="179" spans="1:23" s="380" customFormat="1" ht="14" customHeight="1" x14ac:dyDescent="0.35">
      <c r="A179" s="389">
        <v>43390</v>
      </c>
      <c r="B179" s="390" t="s">
        <v>171</v>
      </c>
      <c r="C179" s="613" t="s">
        <v>172</v>
      </c>
      <c r="D179" s="390" t="s">
        <v>335</v>
      </c>
      <c r="E179" s="391">
        <v>6986</v>
      </c>
      <c r="F179" s="614" t="s">
        <v>174</v>
      </c>
      <c r="G179" s="379">
        <f t="shared" si="130"/>
        <v>3523.95</v>
      </c>
      <c r="H179" s="381">
        <v>10</v>
      </c>
      <c r="I179" s="379">
        <f t="shared" si="131"/>
        <v>3523.95</v>
      </c>
      <c r="J179" s="381">
        <v>6</v>
      </c>
      <c r="K179" s="388">
        <f t="shared" si="132"/>
        <v>7273.95</v>
      </c>
      <c r="L179" s="381">
        <v>3</v>
      </c>
      <c r="M179" s="379">
        <f t="shared" si="133"/>
        <v>6773.95</v>
      </c>
      <c r="N179" s="381">
        <v>1</v>
      </c>
      <c r="P179" s="381">
        <f t="shared" si="134"/>
        <v>20</v>
      </c>
      <c r="Q179" s="427">
        <v>20</v>
      </c>
      <c r="R179" s="379">
        <f t="shared" si="161"/>
        <v>3000</v>
      </c>
      <c r="S179" s="379">
        <f t="shared" si="162"/>
        <v>3000</v>
      </c>
      <c r="T179" s="379">
        <f t="shared" si="163"/>
        <v>6750</v>
      </c>
      <c r="U179" s="379">
        <f t="shared" si="164"/>
        <v>6250</v>
      </c>
      <c r="V179" s="379">
        <f t="shared" si="139"/>
        <v>523.94999999999993</v>
      </c>
      <c r="W179" s="388">
        <f t="shared" si="140"/>
        <v>84978.999999999985</v>
      </c>
    </row>
    <row r="180" spans="1:23" s="380" customFormat="1" ht="14" customHeight="1" x14ac:dyDescent="0.35">
      <c r="A180" s="389"/>
      <c r="B180" s="615" t="s">
        <v>193</v>
      </c>
      <c r="C180" s="615"/>
      <c r="D180" s="615"/>
      <c r="E180" s="615"/>
      <c r="F180" s="615"/>
      <c r="G180" s="379">
        <f t="shared" ref="G180" si="165">R180+V180</f>
        <v>37500</v>
      </c>
      <c r="H180" s="381">
        <v>10</v>
      </c>
      <c r="I180" s="379">
        <f t="shared" ref="I180" si="166">S180+V180</f>
        <v>37500</v>
      </c>
      <c r="J180" s="381">
        <v>6</v>
      </c>
      <c r="K180" s="388">
        <f t="shared" ref="K180" si="167">T180+V180</f>
        <v>37500</v>
      </c>
      <c r="L180" s="381">
        <v>3</v>
      </c>
      <c r="M180" s="379">
        <f t="shared" ref="M180" si="168">U180+V180</f>
        <v>37500</v>
      </c>
      <c r="N180" s="381">
        <v>1</v>
      </c>
      <c r="P180" s="381">
        <f t="shared" ref="P180" si="169">H180+J180+L180+N180</f>
        <v>20</v>
      </c>
      <c r="Q180" s="427">
        <v>20</v>
      </c>
      <c r="R180" s="379">
        <f>$M$8</f>
        <v>37500</v>
      </c>
      <c r="S180" s="379">
        <f t="shared" ref="S180:U180" si="170">$M$8</f>
        <v>37500</v>
      </c>
      <c r="T180" s="379">
        <f t="shared" si="170"/>
        <v>37500</v>
      </c>
      <c r="U180" s="379">
        <f t="shared" si="170"/>
        <v>37500</v>
      </c>
      <c r="V180" s="379"/>
      <c r="W180" s="388">
        <f t="shared" si="140"/>
        <v>750000</v>
      </c>
    </row>
    <row r="181" spans="1:23" s="215" customFormat="1" ht="14" customHeight="1" x14ac:dyDescent="0.35">
      <c r="A181" s="342">
        <v>43412</v>
      </c>
      <c r="B181" s="195" t="s">
        <v>359</v>
      </c>
      <c r="C181" s="609" t="s">
        <v>172</v>
      </c>
      <c r="D181" s="612" t="s">
        <v>350</v>
      </c>
      <c r="E181" s="601"/>
      <c r="F181" s="195"/>
      <c r="G181" s="77">
        <f t="shared" si="130"/>
        <v>5250</v>
      </c>
      <c r="H181" s="199">
        <v>10</v>
      </c>
      <c r="I181" s="77">
        <f t="shared" si="131"/>
        <v>5250</v>
      </c>
      <c r="J181" s="199">
        <v>5</v>
      </c>
      <c r="K181" s="78">
        <f t="shared" si="132"/>
        <v>9000</v>
      </c>
      <c r="L181" s="199">
        <v>3</v>
      </c>
      <c r="M181" s="77">
        <f t="shared" si="133"/>
        <v>8500</v>
      </c>
      <c r="N181" s="199">
        <v>0</v>
      </c>
      <c r="P181" s="199">
        <f t="shared" si="134"/>
        <v>18</v>
      </c>
      <c r="Q181" s="80">
        <v>18</v>
      </c>
      <c r="R181" s="77">
        <f t="shared" ref="R181:R182" si="171">IF($B$3&gt;0,$E$5,($B$13+$E$5))</f>
        <v>5250</v>
      </c>
      <c r="S181" s="77">
        <f t="shared" ref="S181:S182" si="172">IF($B$4&gt;0,$E$5,($B$13+$E$5))</f>
        <v>5250</v>
      </c>
      <c r="T181" s="77">
        <f t="shared" ref="T181:T182" si="173">$B$13+$E$5</f>
        <v>9000</v>
      </c>
      <c r="U181" s="77">
        <f t="shared" ref="U181:U182" si="174">$B$12+$E$5</f>
        <v>8500</v>
      </c>
      <c r="V181" s="77">
        <f t="shared" si="139"/>
        <v>0</v>
      </c>
      <c r="W181" s="78">
        <f t="shared" si="140"/>
        <v>105750</v>
      </c>
    </row>
    <row r="182" spans="1:23" s="215" customFormat="1" ht="14" customHeight="1" x14ac:dyDescent="0.35">
      <c r="A182" s="342">
        <v>43417</v>
      </c>
      <c r="B182" s="195" t="s">
        <v>382</v>
      </c>
      <c r="C182" s="609" t="s">
        <v>172</v>
      </c>
      <c r="D182" s="612" t="s">
        <v>350</v>
      </c>
      <c r="E182" s="601"/>
      <c r="F182" s="195"/>
      <c r="G182" s="77">
        <f t="shared" si="130"/>
        <v>5250</v>
      </c>
      <c r="H182" s="199">
        <v>10</v>
      </c>
      <c r="I182" s="77">
        <f t="shared" si="131"/>
        <v>5250</v>
      </c>
      <c r="J182" s="199">
        <v>5</v>
      </c>
      <c r="K182" s="78">
        <f t="shared" si="132"/>
        <v>9000</v>
      </c>
      <c r="L182" s="199">
        <v>3</v>
      </c>
      <c r="M182" s="77">
        <f t="shared" si="133"/>
        <v>8500</v>
      </c>
      <c r="N182" s="199">
        <v>0</v>
      </c>
      <c r="P182" s="199">
        <f t="shared" si="134"/>
        <v>18</v>
      </c>
      <c r="Q182" s="80">
        <v>18</v>
      </c>
      <c r="R182" s="77">
        <f t="shared" si="171"/>
        <v>5250</v>
      </c>
      <c r="S182" s="77">
        <f t="shared" si="172"/>
        <v>5250</v>
      </c>
      <c r="T182" s="77">
        <f t="shared" si="173"/>
        <v>9000</v>
      </c>
      <c r="U182" s="77">
        <f t="shared" si="174"/>
        <v>8500</v>
      </c>
      <c r="V182" s="77">
        <f t="shared" si="139"/>
        <v>0</v>
      </c>
      <c r="W182" s="78">
        <f t="shared" si="140"/>
        <v>105750</v>
      </c>
    </row>
    <row r="183" spans="1:23" s="411" customFormat="1" ht="14" customHeight="1" x14ac:dyDescent="0.35">
      <c r="A183" s="454"/>
      <c r="B183" s="455" t="s">
        <v>196</v>
      </c>
      <c r="C183" s="456"/>
      <c r="D183" s="457"/>
      <c r="E183" s="458"/>
      <c r="F183" s="459"/>
      <c r="G183" s="104">
        <f>$B$3</f>
        <v>100000</v>
      </c>
      <c r="H183" s="107">
        <v>10</v>
      </c>
      <c r="I183" s="104">
        <f>$B$4</f>
        <v>100000</v>
      </c>
      <c r="J183" s="107">
        <v>7</v>
      </c>
      <c r="K183" s="106"/>
      <c r="L183" s="107"/>
      <c r="M183" s="104"/>
      <c r="N183" s="107"/>
      <c r="O183" s="106">
        <f>$B$8</f>
        <v>1500</v>
      </c>
      <c r="P183" s="199"/>
      <c r="Q183" s="199">
        <v>6</v>
      </c>
      <c r="R183" s="77"/>
      <c r="S183" s="77"/>
      <c r="T183" s="77"/>
      <c r="U183" s="77"/>
      <c r="V183" s="77"/>
      <c r="W183" s="78">
        <f>(G183*H183)+(I183*J183)+(O183*Q183)</f>
        <v>1709000</v>
      </c>
    </row>
    <row r="184" spans="1:23" s="411" customFormat="1" ht="14" customHeight="1" x14ac:dyDescent="0.35">
      <c r="A184" s="454"/>
      <c r="B184" s="455" t="s">
        <v>235</v>
      </c>
      <c r="C184" s="456"/>
      <c r="D184" s="457"/>
      <c r="E184" s="458"/>
      <c r="F184" s="459"/>
      <c r="G184" s="104">
        <f>$E$12/($H185+$J185+$L185)</f>
        <v>15217.391304347826</v>
      </c>
      <c r="H184" s="107">
        <v>10</v>
      </c>
      <c r="I184" s="104">
        <f>$E$12/($H185+$J185+$L185)</f>
        <v>15217.391304347826</v>
      </c>
      <c r="J184" s="107">
        <v>7</v>
      </c>
      <c r="K184" s="106">
        <f>$E$12/($H185+$J185+$L185)</f>
        <v>15217.391304347826</v>
      </c>
      <c r="L184" s="107">
        <v>6</v>
      </c>
      <c r="M184" s="104"/>
      <c r="N184" s="107"/>
      <c r="O184" s="106"/>
      <c r="P184" s="199"/>
      <c r="Q184" s="199"/>
      <c r="R184" s="77"/>
      <c r="S184" s="77"/>
      <c r="T184" s="77"/>
      <c r="U184" s="77"/>
      <c r="V184" s="77"/>
      <c r="W184" s="78">
        <f t="shared" ref="W184" si="175">(G184*H184)+(I184*J184)+(K184*L184)+(M184*N184)</f>
        <v>350000</v>
      </c>
    </row>
    <row r="185" spans="1:23" s="195" customFormat="1" ht="14" customHeight="1" x14ac:dyDescent="0.4">
      <c r="A185" s="362" t="s">
        <v>389</v>
      </c>
      <c r="B185" s="275"/>
      <c r="C185" s="363"/>
      <c r="D185" s="364" t="s">
        <v>198</v>
      </c>
      <c r="E185" s="275"/>
      <c r="F185" s="275"/>
      <c r="G185" s="365">
        <f>SUMPRODUCT(G160:G184,H160:H184)</f>
        <v>2746863.6557971016</v>
      </c>
      <c r="H185" s="366">
        <v>10</v>
      </c>
      <c r="I185" s="365">
        <f>SUMPRODUCT(I160:I184,J160:J184)</f>
        <v>1713442.868115942</v>
      </c>
      <c r="J185" s="366">
        <v>7</v>
      </c>
      <c r="K185" s="365">
        <f>SUMPRODUCT(K160:K184,L160:L184)</f>
        <v>794711.2706521739</v>
      </c>
      <c r="L185" s="366">
        <v>6</v>
      </c>
      <c r="M185" s="365">
        <f>SUMPRODUCT(M160:M184,N160:N184)</f>
        <v>407348.35760869563</v>
      </c>
      <c r="N185" s="366">
        <v>7</v>
      </c>
      <c r="O185" s="367">
        <f>$O$69*Q183</f>
        <v>9000</v>
      </c>
      <c r="P185" s="649" t="s">
        <v>199</v>
      </c>
      <c r="Q185" s="611"/>
      <c r="R185" s="369">
        <f>H185+J185+L185+N185</f>
        <v>30</v>
      </c>
      <c r="S185" s="650"/>
      <c r="T185" s="650"/>
      <c r="U185" s="650"/>
      <c r="V185" s="650"/>
      <c r="W185" s="650"/>
    </row>
    <row r="186" spans="1:23" s="195" customFormat="1" ht="14" customHeight="1" x14ac:dyDescent="0.4">
      <c r="A186" s="362" t="s">
        <v>390</v>
      </c>
      <c r="B186" s="275"/>
      <c r="C186" s="363"/>
      <c r="D186" s="364" t="s">
        <v>399</v>
      </c>
      <c r="E186" s="275"/>
      <c r="F186" s="275"/>
      <c r="G186" s="114">
        <f>G185/H185</f>
        <v>274686.36557971017</v>
      </c>
      <c r="H186" s="655">
        <f>(SUM(H160:H163)+SUM(H165:H171)+SUM(H173:H179)+SUM(H181:H182))/H185</f>
        <v>20</v>
      </c>
      <c r="I186" s="114">
        <f>I185/J185</f>
        <v>244777.55258799173</v>
      </c>
      <c r="J186" s="655">
        <f>(SUM(J160:J163)+SUM(J165:J171)+SUM(J173:J179)+SUM(J181:J182))/J185</f>
        <v>16</v>
      </c>
      <c r="K186" s="114">
        <f>K185/L185</f>
        <v>132451.87844202897</v>
      </c>
      <c r="L186" s="655">
        <f>(SUM(L160:L163)+SUM(L165:L171)+SUM(L173:L179)+SUM(L181:L182))/L185</f>
        <v>10</v>
      </c>
      <c r="M186" s="114">
        <f>M185/N185</f>
        <v>58192.622515527946</v>
      </c>
      <c r="N186" s="655">
        <f>(SUM(N160:N163)+SUM(N165:N171)+SUM(N173:N179)+SUM(N181:N182))/N185</f>
        <v>5.1428571428571432</v>
      </c>
      <c r="O186" s="371"/>
      <c r="P186" s="372" t="s">
        <v>201</v>
      </c>
      <c r="Q186" s="611"/>
      <c r="R186" s="651">
        <f>SUM(G185,I185,K185,M185,O185)</f>
        <v>5671366.1521739131</v>
      </c>
      <c r="S186" s="650"/>
      <c r="T186" s="650"/>
      <c r="U186" s="650"/>
      <c r="V186" s="650"/>
      <c r="W186" s="374">
        <f>SUM(W160:W184)</f>
        <v>5671366.1521739131</v>
      </c>
    </row>
    <row r="187" spans="1:23" ht="14" customHeight="1" x14ac:dyDescent="0.4">
      <c r="A187" s="108"/>
      <c r="B187" s="108"/>
      <c r="C187" s="108"/>
      <c r="D187" s="108"/>
      <c r="E187" s="602"/>
      <c r="F187" s="108"/>
      <c r="G187" s="77"/>
      <c r="H187" s="109"/>
      <c r="I187" s="109"/>
      <c r="J187" s="109"/>
      <c r="K187" s="109"/>
      <c r="L187" s="109"/>
      <c r="M187" s="109"/>
    </row>
    <row r="188" spans="1:23" ht="14" customHeight="1" x14ac:dyDescent="0.4">
      <c r="A188" s="268" t="s">
        <v>229</v>
      </c>
      <c r="B188" s="244"/>
      <c r="C188" s="244"/>
      <c r="D188" s="244"/>
      <c r="E188" s="244"/>
      <c r="F188" s="244"/>
      <c r="G188" s="77"/>
      <c r="H188" s="255" t="s">
        <v>230</v>
      </c>
      <c r="I188" s="244"/>
      <c r="J188" s="244"/>
      <c r="K188" s="244"/>
      <c r="L188" s="244"/>
      <c r="M188" s="1"/>
      <c r="N188" s="1"/>
      <c r="O188" s="1"/>
    </row>
    <row r="189" spans="1:23" ht="14" customHeight="1" x14ac:dyDescent="0.4">
      <c r="A189" s="298" t="s">
        <v>403</v>
      </c>
      <c r="B189" s="244"/>
      <c r="C189" s="244"/>
      <c r="D189" s="244"/>
      <c r="E189" s="244"/>
      <c r="F189" s="244"/>
      <c r="G189" s="77"/>
      <c r="H189" s="262" t="s">
        <v>250</v>
      </c>
      <c r="I189" s="244"/>
      <c r="J189" s="244"/>
      <c r="K189" s="244"/>
      <c r="L189" s="244"/>
      <c r="M189" s="51"/>
      <c r="N189" s="51"/>
      <c r="O189" s="32"/>
    </row>
    <row r="190" spans="1:23" ht="14" customHeight="1" x14ac:dyDescent="0.35">
      <c r="A190" s="261" t="s">
        <v>231</v>
      </c>
      <c r="B190" s="261"/>
      <c r="C190" s="261"/>
      <c r="D190" s="261"/>
      <c r="E190" s="261"/>
      <c r="F190" s="261"/>
      <c r="G190" s="77"/>
      <c r="H190" s="262"/>
      <c r="I190" s="244"/>
      <c r="J190" s="244"/>
      <c r="K190" s="244"/>
      <c r="L190" s="244"/>
      <c r="M190" s="42"/>
      <c r="N190" s="42"/>
      <c r="O190" s="43"/>
    </row>
    <row r="191" spans="1:23" ht="14" customHeight="1" x14ac:dyDescent="0.35">
      <c r="A191" s="261" t="s">
        <v>232</v>
      </c>
      <c r="B191" s="261"/>
      <c r="C191" s="261"/>
      <c r="D191" s="261"/>
      <c r="E191" s="261"/>
      <c r="F191" s="261"/>
      <c r="G191" s="77"/>
      <c r="H191" s="9"/>
      <c r="I191" s="263"/>
      <c r="J191" s="244"/>
      <c r="K191" s="42"/>
      <c r="L191" s="42"/>
      <c r="M191" s="42"/>
      <c r="N191" s="42"/>
      <c r="O191" s="42"/>
    </row>
    <row r="192" spans="1:23" ht="14" customHeight="1" x14ac:dyDescent="0.35">
      <c r="A192" s="259" t="s">
        <v>233</v>
      </c>
      <c r="B192" s="259"/>
      <c r="C192" s="259"/>
      <c r="D192" s="259"/>
      <c r="E192" s="259"/>
      <c r="F192" s="259"/>
      <c r="G192" s="77"/>
      <c r="H192" s="9"/>
      <c r="I192" s="263"/>
      <c r="J192" s="244"/>
      <c r="K192" s="42"/>
      <c r="L192" s="79"/>
      <c r="M192" s="42"/>
      <c r="N192" s="42"/>
      <c r="O192" s="42"/>
    </row>
    <row r="193" spans="1:6" ht="14" customHeight="1" x14ac:dyDescent="0.35">
      <c r="A193" s="262" t="s">
        <v>234</v>
      </c>
      <c r="B193" s="262"/>
      <c r="C193" s="262"/>
      <c r="D193" s="262"/>
      <c r="E193" s="262"/>
      <c r="F193" s="262"/>
    </row>
    <row r="194" spans="1:6" ht="14" customHeight="1" x14ac:dyDescent="0.35">
      <c r="A194" s="608" t="s">
        <v>404</v>
      </c>
      <c r="B194" s="608"/>
      <c r="C194" s="608"/>
      <c r="D194" s="608"/>
      <c r="E194" s="608"/>
      <c r="F194" s="608"/>
    </row>
  </sheetData>
  <mergeCells count="82">
    <mergeCell ref="A189:F189"/>
    <mergeCell ref="B164:F164"/>
    <mergeCell ref="B172:F172"/>
    <mergeCell ref="B180:F180"/>
    <mergeCell ref="A194:F194"/>
    <mergeCell ref="B29:F29"/>
    <mergeCell ref="A185:B185"/>
    <mergeCell ref="D185:F185"/>
    <mergeCell ref="P185:Q185"/>
    <mergeCell ref="A186:B186"/>
    <mergeCell ref="D186:F186"/>
    <mergeCell ref="P186:Q186"/>
    <mergeCell ref="D42:F42"/>
    <mergeCell ref="P42:Q42"/>
    <mergeCell ref="A43:B43"/>
    <mergeCell ref="D43:F43"/>
    <mergeCell ref="P43:Q43"/>
    <mergeCell ref="P106:Q106"/>
    <mergeCell ref="P139:Q139"/>
    <mergeCell ref="P105:Q105"/>
    <mergeCell ref="P138:Q138"/>
    <mergeCell ref="P159:Q159"/>
    <mergeCell ref="P158:Q158"/>
    <mergeCell ref="H190:L190"/>
    <mergeCell ref="H189:L189"/>
    <mergeCell ref="H188:L188"/>
    <mergeCell ref="M19:N19"/>
    <mergeCell ref="M20:N20"/>
    <mergeCell ref="A188:F188"/>
    <mergeCell ref="D71:F71"/>
    <mergeCell ref="D72:F72"/>
    <mergeCell ref="A71:B71"/>
    <mergeCell ref="A72:B72"/>
    <mergeCell ref="A105:B105"/>
    <mergeCell ref="A106:B106"/>
    <mergeCell ref="B79:D79"/>
    <mergeCell ref="B117:E117"/>
    <mergeCell ref="A1:O1"/>
    <mergeCell ref="S2:T2"/>
    <mergeCell ref="G21:H21"/>
    <mergeCell ref="P72:Q72"/>
    <mergeCell ref="P71:Q71"/>
    <mergeCell ref="A15:T15"/>
    <mergeCell ref="D14:E14"/>
    <mergeCell ref="Q2:R2"/>
    <mergeCell ref="K19:L19"/>
    <mergeCell ref="I19:J19"/>
    <mergeCell ref="I20:J20"/>
    <mergeCell ref="G20:H20"/>
    <mergeCell ref="P19:Q19"/>
    <mergeCell ref="G19:H19"/>
    <mergeCell ref="A16:T16"/>
    <mergeCell ref="A42:B42"/>
    <mergeCell ref="P18:Q18"/>
    <mergeCell ref="I18:J18"/>
    <mergeCell ref="G18:H18"/>
    <mergeCell ref="K18:L18"/>
    <mergeCell ref="M18:N18"/>
    <mergeCell ref="A20:F20"/>
    <mergeCell ref="K20:L20"/>
    <mergeCell ref="K21:L21"/>
    <mergeCell ref="R21:V21"/>
    <mergeCell ref="P20:Q20"/>
    <mergeCell ref="M21:N21"/>
    <mergeCell ref="P21:Q21"/>
    <mergeCell ref="I21:J21"/>
    <mergeCell ref="A192:F192"/>
    <mergeCell ref="I191:J191"/>
    <mergeCell ref="I192:J192"/>
    <mergeCell ref="A193:F193"/>
    <mergeCell ref="A21:F21"/>
    <mergeCell ref="D106:F106"/>
    <mergeCell ref="D138:F138"/>
    <mergeCell ref="D139:F139"/>
    <mergeCell ref="A138:B138"/>
    <mergeCell ref="A139:B139"/>
    <mergeCell ref="D158:F158"/>
    <mergeCell ref="A158:B158"/>
    <mergeCell ref="D159:F159"/>
    <mergeCell ref="A159:B159"/>
    <mergeCell ref="A190:F190"/>
    <mergeCell ref="A191:F191"/>
  </mergeCells>
  <pageMargins left="0.7" right="0.7" top="0.75" bottom="0.75" header="0.3" footer="0.3"/>
  <pageSetup orientation="portrait" horizontalDpi="4294967293" verticalDpi="0" r:id="rId1"/>
  <ignoredErrors>
    <ignoredError sqref="R54:U5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U68"/>
  <sheetViews>
    <sheetView topLeftCell="A30" workbookViewId="0">
      <selection activeCell="L43" sqref="L43"/>
    </sheetView>
  </sheetViews>
  <sheetFormatPr defaultColWidth="14.3984375" defaultRowHeight="15.75" customHeight="1" x14ac:dyDescent="0.35"/>
  <cols>
    <col min="1" max="1" width="22.3984375" customWidth="1"/>
    <col min="2" max="10" width="8.1328125" customWidth="1"/>
    <col min="11" max="11" width="1.3984375" style="214" customWidth="1"/>
  </cols>
  <sheetData>
    <row r="1" spans="1:21" ht="15.75" customHeight="1" x14ac:dyDescent="0.5">
      <c r="A1" s="297" t="s">
        <v>0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</row>
    <row r="3" spans="1:21" ht="15.75" customHeight="1" x14ac:dyDescent="0.4">
      <c r="A3" s="25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</row>
    <row r="4" spans="1:21" ht="15.75" customHeight="1" x14ac:dyDescent="0.35">
      <c r="A4" s="259"/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</row>
    <row r="5" spans="1:21" ht="15.75" customHeight="1" x14ac:dyDescent="0.35">
      <c r="A5" s="259"/>
      <c r="B5" s="24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</row>
    <row r="6" spans="1:21" ht="15.75" customHeight="1" x14ac:dyDescent="0.35">
      <c r="A6" s="259"/>
      <c r="B6" s="244"/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</row>
    <row r="7" spans="1:21" ht="15.75" customHeight="1" x14ac:dyDescent="0.35">
      <c r="A7" s="2"/>
      <c r="B7" s="259"/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</row>
    <row r="8" spans="1:21" ht="15.75" customHeight="1" x14ac:dyDescent="0.35">
      <c r="A8" s="259"/>
      <c r="B8" s="244"/>
      <c r="C8" s="244"/>
      <c r="D8" s="244"/>
      <c r="E8" s="244"/>
      <c r="F8" s="244"/>
      <c r="G8" s="244"/>
      <c r="H8" s="244"/>
      <c r="I8" s="244"/>
      <c r="J8" s="244"/>
      <c r="K8" s="244"/>
      <c r="L8" s="244"/>
      <c r="M8" s="244"/>
      <c r="N8" s="244"/>
      <c r="O8" s="244"/>
    </row>
    <row r="9" spans="1:21" ht="15.75" customHeight="1" x14ac:dyDescent="0.35">
      <c r="B9" s="259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</row>
    <row r="10" spans="1:21" ht="15.75" customHeight="1" x14ac:dyDescent="0.35">
      <c r="B10" s="259"/>
      <c r="C10" s="244"/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</row>
    <row r="11" spans="1:21" s="171" customFormat="1" ht="16.899999999999999" customHeight="1" x14ac:dyDescent="0.4">
      <c r="A11" s="295" t="s">
        <v>278</v>
      </c>
      <c r="B11" s="295"/>
      <c r="C11" s="295"/>
      <c r="D11" s="295"/>
      <c r="E11" s="295"/>
      <c r="F11" s="295"/>
      <c r="G11" s="295"/>
      <c r="H11" s="295"/>
      <c r="I11" s="295"/>
      <c r="J11" s="295"/>
      <c r="K11" s="214"/>
      <c r="L11" s="295" t="s">
        <v>279</v>
      </c>
      <c r="M11" s="295"/>
      <c r="N11" s="295"/>
      <c r="O11" s="295"/>
      <c r="P11" s="295"/>
      <c r="Q11" s="295"/>
      <c r="R11" s="295"/>
      <c r="S11" s="295"/>
      <c r="T11" s="295"/>
      <c r="U11" s="295"/>
    </row>
    <row r="12" spans="1:21" s="171" customFormat="1" ht="15.75" customHeight="1" x14ac:dyDescent="0.4">
      <c r="A12" s="213" t="s">
        <v>258</v>
      </c>
      <c r="B12" s="254" t="s">
        <v>280</v>
      </c>
      <c r="C12" s="254"/>
      <c r="D12" s="254"/>
      <c r="E12" s="254"/>
      <c r="F12" s="254"/>
      <c r="G12" s="254"/>
      <c r="H12" s="254"/>
      <c r="I12" s="254"/>
      <c r="J12" s="254"/>
      <c r="K12" s="214"/>
    </row>
    <row r="13" spans="1:21" s="171" customFormat="1" ht="15.75" customHeight="1" x14ac:dyDescent="0.35">
      <c r="A13" s="172" t="s">
        <v>254</v>
      </c>
      <c r="B13" s="262" t="s">
        <v>259</v>
      </c>
      <c r="C13" s="262"/>
      <c r="D13" s="262"/>
      <c r="E13" s="262"/>
      <c r="F13" s="262"/>
      <c r="G13" s="262"/>
      <c r="H13" s="262"/>
      <c r="I13" s="262"/>
      <c r="J13" s="262"/>
      <c r="K13" s="214"/>
      <c r="L13" s="212" t="s">
        <v>312</v>
      </c>
    </row>
    <row r="14" spans="1:21" s="171" customFormat="1" ht="15.75" customHeight="1" x14ac:dyDescent="0.35">
      <c r="A14" s="172" t="s">
        <v>131</v>
      </c>
      <c r="B14" s="262" t="s">
        <v>260</v>
      </c>
      <c r="C14" s="262"/>
      <c r="D14" s="262"/>
      <c r="E14" s="262"/>
      <c r="F14" s="262"/>
      <c r="G14" s="262"/>
      <c r="H14" s="262"/>
      <c r="I14" s="262"/>
      <c r="J14" s="262"/>
      <c r="K14" s="214"/>
      <c r="L14" s="212" t="s">
        <v>313</v>
      </c>
    </row>
    <row r="15" spans="1:21" s="171" customFormat="1" ht="15.75" customHeight="1" x14ac:dyDescent="0.35">
      <c r="A15" s="172" t="s">
        <v>132</v>
      </c>
      <c r="B15" s="262" t="s">
        <v>256</v>
      </c>
      <c r="C15" s="262"/>
      <c r="D15" s="262"/>
      <c r="E15" s="262"/>
      <c r="F15" s="262"/>
      <c r="G15" s="262"/>
      <c r="H15" s="262"/>
      <c r="I15" s="262"/>
      <c r="J15" s="262"/>
      <c r="K15" s="214"/>
      <c r="L15" s="212" t="s">
        <v>314</v>
      </c>
    </row>
    <row r="16" spans="1:21" s="171" customFormat="1" ht="15.75" customHeight="1" x14ac:dyDescent="0.35">
      <c r="A16" s="172" t="s">
        <v>133</v>
      </c>
      <c r="B16" s="262" t="s">
        <v>267</v>
      </c>
      <c r="C16" s="262"/>
      <c r="D16" s="262"/>
      <c r="E16" s="262"/>
      <c r="F16" s="262"/>
      <c r="G16" s="262"/>
      <c r="H16" s="262"/>
      <c r="I16" s="262"/>
      <c r="J16" s="262"/>
      <c r="K16" s="214"/>
      <c r="L16" s="212" t="s">
        <v>315</v>
      </c>
    </row>
    <row r="17" spans="1:20" s="171" customFormat="1" ht="15.75" customHeight="1" x14ac:dyDescent="0.35">
      <c r="A17" s="172" t="s">
        <v>257</v>
      </c>
      <c r="B17" s="262" t="s">
        <v>316</v>
      </c>
      <c r="C17" s="262"/>
      <c r="D17" s="262"/>
      <c r="E17" s="262"/>
      <c r="F17" s="262"/>
      <c r="G17" s="262"/>
      <c r="H17" s="262"/>
      <c r="I17" s="262"/>
      <c r="J17" s="262"/>
      <c r="K17" s="214"/>
      <c r="L17" s="212" t="s">
        <v>317</v>
      </c>
    </row>
    <row r="18" spans="1:20" s="171" customFormat="1" ht="15.75" customHeight="1" x14ac:dyDescent="0.35">
      <c r="A18" s="172" t="s">
        <v>261</v>
      </c>
      <c r="B18" s="259" t="s">
        <v>262</v>
      </c>
      <c r="C18" s="259"/>
      <c r="D18" s="259"/>
      <c r="E18" s="259"/>
      <c r="F18" s="259"/>
      <c r="G18" s="259"/>
      <c r="H18" s="259"/>
      <c r="I18" s="259"/>
      <c r="J18" s="259"/>
      <c r="K18" s="214"/>
      <c r="L18" s="212" t="s">
        <v>317</v>
      </c>
    </row>
    <row r="19" spans="1:20" s="171" customFormat="1" ht="15.75" customHeight="1" x14ac:dyDescent="0.35">
      <c r="A19" s="172" t="s">
        <v>263</v>
      </c>
      <c r="B19" s="259" t="s">
        <v>264</v>
      </c>
      <c r="C19" s="259"/>
      <c r="D19" s="259"/>
      <c r="E19" s="259"/>
      <c r="F19" s="259"/>
      <c r="G19" s="259"/>
      <c r="H19" s="259"/>
      <c r="I19" s="259"/>
      <c r="J19" s="259"/>
      <c r="K19" s="214"/>
      <c r="L19" s="212" t="s">
        <v>317</v>
      </c>
    </row>
    <row r="20" spans="1:20" s="171" customFormat="1" ht="15.75" customHeight="1" x14ac:dyDescent="0.35">
      <c r="A20" s="172" t="s">
        <v>265</v>
      </c>
      <c r="B20" s="259" t="s">
        <v>266</v>
      </c>
      <c r="C20" s="259"/>
      <c r="D20" s="259"/>
      <c r="E20" s="259"/>
      <c r="F20" s="259"/>
      <c r="G20" s="259"/>
      <c r="H20" s="259"/>
      <c r="I20" s="259"/>
      <c r="J20" s="259"/>
      <c r="K20" s="214"/>
      <c r="L20" s="212" t="s">
        <v>318</v>
      </c>
    </row>
    <row r="21" spans="1:20" s="171" customFormat="1" ht="15.75" customHeight="1" x14ac:dyDescent="0.35">
      <c r="A21" s="172" t="s">
        <v>5</v>
      </c>
      <c r="B21" s="259" t="s">
        <v>251</v>
      </c>
      <c r="C21" s="259"/>
      <c r="D21" s="259"/>
      <c r="E21" s="259"/>
      <c r="F21" s="259"/>
      <c r="G21" s="259"/>
      <c r="H21" s="259"/>
      <c r="I21" s="259"/>
      <c r="J21" s="259"/>
      <c r="K21" s="214"/>
      <c r="L21" s="212" t="s">
        <v>319</v>
      </c>
    </row>
    <row r="22" spans="1:20" s="171" customFormat="1" ht="15.75" customHeight="1" x14ac:dyDescent="0.35">
      <c r="A22" s="172"/>
      <c r="B22" s="259" t="s">
        <v>270</v>
      </c>
      <c r="C22" s="259"/>
      <c r="D22" s="259"/>
      <c r="E22" s="259"/>
      <c r="F22" s="259"/>
      <c r="G22" s="259"/>
      <c r="H22" s="259"/>
      <c r="I22" s="259"/>
      <c r="J22" s="259"/>
      <c r="K22" s="214"/>
    </row>
    <row r="23" spans="1:20" s="171" customFormat="1" ht="15.75" customHeight="1" x14ac:dyDescent="0.35">
      <c r="A23" s="172" t="s">
        <v>12</v>
      </c>
      <c r="B23" s="259" t="s">
        <v>268</v>
      </c>
      <c r="C23" s="259"/>
      <c r="D23" s="259"/>
      <c r="E23" s="259"/>
      <c r="F23" s="259"/>
      <c r="G23" s="259"/>
      <c r="H23" s="259"/>
      <c r="I23" s="259"/>
      <c r="J23" s="259"/>
      <c r="K23" s="214"/>
      <c r="L23" s="171" t="s">
        <v>320</v>
      </c>
    </row>
    <row r="24" spans="1:20" s="171" customFormat="1" ht="15.75" customHeight="1" x14ac:dyDescent="0.35">
      <c r="A24" s="172" t="s">
        <v>15</v>
      </c>
      <c r="B24" s="259" t="s">
        <v>269</v>
      </c>
      <c r="C24" s="259"/>
      <c r="D24" s="259"/>
      <c r="E24" s="259"/>
      <c r="F24" s="259"/>
      <c r="G24" s="259"/>
      <c r="H24" s="259"/>
      <c r="I24" s="259"/>
      <c r="J24" s="259"/>
      <c r="K24" s="214"/>
      <c r="L24" s="171" t="s">
        <v>321</v>
      </c>
    </row>
    <row r="25" spans="1:20" s="171" customFormat="1" ht="15.75" customHeight="1" x14ac:dyDescent="0.35">
      <c r="A25" s="172" t="s">
        <v>273</v>
      </c>
      <c r="B25" s="259" t="s">
        <v>274</v>
      </c>
      <c r="C25" s="259"/>
      <c r="D25" s="259"/>
      <c r="E25" s="259"/>
      <c r="F25" s="259"/>
      <c r="G25" s="259"/>
      <c r="H25" s="259"/>
      <c r="I25" s="259"/>
      <c r="J25" s="259"/>
      <c r="K25" s="214"/>
      <c r="L25" s="171" t="s">
        <v>317</v>
      </c>
    </row>
    <row r="26" spans="1:20" s="171" customFormat="1" ht="15.75" customHeight="1" x14ac:dyDescent="0.35">
      <c r="A26" s="172"/>
      <c r="B26" s="259" t="s">
        <v>275</v>
      </c>
      <c r="C26" s="259"/>
      <c r="D26" s="259"/>
      <c r="E26" s="259"/>
      <c r="F26" s="259"/>
      <c r="G26" s="259"/>
      <c r="H26" s="259"/>
      <c r="I26" s="259"/>
      <c r="J26" s="259"/>
      <c r="K26" s="214"/>
    </row>
    <row r="27" spans="1:20" ht="15.75" customHeight="1" x14ac:dyDescent="0.4">
      <c r="A27" s="1"/>
      <c r="B27" s="255"/>
      <c r="C27" s="255"/>
      <c r="D27" s="255"/>
      <c r="E27" s="255"/>
      <c r="F27" s="255"/>
      <c r="G27" s="255"/>
      <c r="H27" s="255"/>
      <c r="I27" s="255"/>
      <c r="J27" s="255"/>
    </row>
    <row r="28" spans="1:20" ht="15.75" customHeight="1" x14ac:dyDescent="0.4">
      <c r="A28" s="1"/>
      <c r="B28" s="255" t="s">
        <v>281</v>
      </c>
      <c r="C28" s="255"/>
      <c r="D28" s="255"/>
      <c r="E28" s="255"/>
      <c r="F28" s="255"/>
      <c r="G28" s="255"/>
      <c r="H28" s="255"/>
      <c r="I28" s="255"/>
      <c r="J28" s="255"/>
      <c r="L28" s="174" t="s">
        <v>282</v>
      </c>
      <c r="M28" s="174"/>
      <c r="N28" s="174"/>
      <c r="O28" s="174"/>
      <c r="P28" s="174"/>
      <c r="Q28" s="174"/>
      <c r="R28" s="174"/>
      <c r="S28" s="174"/>
      <c r="T28" s="174"/>
    </row>
    <row r="29" spans="1:20" ht="15.75" customHeight="1" x14ac:dyDescent="0.35">
      <c r="A29" s="2" t="s">
        <v>4</v>
      </c>
      <c r="B29" s="259" t="s">
        <v>255</v>
      </c>
      <c r="C29" s="259"/>
      <c r="D29" s="259"/>
      <c r="E29" s="259"/>
      <c r="F29" s="259"/>
      <c r="G29" s="259"/>
      <c r="H29" s="259"/>
      <c r="I29" s="259"/>
      <c r="J29" s="259"/>
      <c r="L29" s="212" t="s">
        <v>322</v>
      </c>
    </row>
    <row r="30" spans="1:20" ht="15.75" customHeight="1" x14ac:dyDescent="0.35">
      <c r="A30" s="2" t="s">
        <v>5</v>
      </c>
      <c r="B30" s="298" t="s">
        <v>272</v>
      </c>
      <c r="C30" s="298"/>
      <c r="D30" s="298"/>
      <c r="E30" s="298"/>
      <c r="F30" s="298"/>
      <c r="G30" s="298"/>
      <c r="H30" s="298"/>
      <c r="I30" s="298"/>
      <c r="J30" s="298"/>
      <c r="L30" s="212" t="s">
        <v>323</v>
      </c>
    </row>
    <row r="31" spans="1:20" s="171" customFormat="1" ht="15.75" customHeight="1" x14ac:dyDescent="0.35">
      <c r="A31" s="172"/>
      <c r="B31" s="259" t="s">
        <v>271</v>
      </c>
      <c r="C31" s="259"/>
      <c r="D31" s="259"/>
      <c r="E31" s="259"/>
      <c r="F31" s="259"/>
      <c r="G31" s="259"/>
      <c r="H31" s="259"/>
      <c r="I31" s="259"/>
      <c r="J31" s="259"/>
      <c r="K31" s="214"/>
    </row>
    <row r="32" spans="1:20" ht="15.75" customHeight="1" x14ac:dyDescent="0.35">
      <c r="A32" s="2" t="s">
        <v>7</v>
      </c>
      <c r="B32" s="259" t="s">
        <v>8</v>
      </c>
      <c r="C32" s="259"/>
      <c r="D32" s="259"/>
      <c r="E32" s="259"/>
      <c r="F32" s="259"/>
      <c r="G32" s="259"/>
      <c r="H32" s="259"/>
      <c r="I32" s="259"/>
      <c r="J32" s="259"/>
      <c r="L32" s="171" t="s">
        <v>323</v>
      </c>
    </row>
    <row r="33" spans="1:12" ht="15.75" customHeight="1" x14ac:dyDescent="0.35">
      <c r="A33" s="2" t="s">
        <v>9</v>
      </c>
      <c r="B33" s="259" t="s">
        <v>10</v>
      </c>
      <c r="C33" s="259"/>
      <c r="D33" s="259"/>
      <c r="E33" s="259"/>
      <c r="F33" s="259"/>
      <c r="G33" s="259"/>
      <c r="H33" s="259"/>
      <c r="I33" s="259"/>
      <c r="J33" s="259"/>
      <c r="L33" s="171" t="s">
        <v>324</v>
      </c>
    </row>
    <row r="34" spans="1:12" ht="15.75" customHeight="1" x14ac:dyDescent="0.35">
      <c r="A34" s="2"/>
      <c r="B34" s="259" t="s">
        <v>11</v>
      </c>
      <c r="C34" s="259"/>
      <c r="D34" s="259"/>
      <c r="E34" s="259"/>
      <c r="F34" s="259"/>
      <c r="G34" s="259"/>
      <c r="H34" s="259"/>
      <c r="I34" s="259"/>
      <c r="J34" s="259"/>
      <c r="L34" s="171" t="s">
        <v>325</v>
      </c>
    </row>
    <row r="35" spans="1:12" ht="15.75" customHeight="1" x14ac:dyDescent="0.35">
      <c r="A35" s="2" t="s">
        <v>12</v>
      </c>
      <c r="B35" s="259" t="s">
        <v>326</v>
      </c>
      <c r="C35" s="259"/>
      <c r="D35" s="259"/>
      <c r="E35" s="259"/>
      <c r="F35" s="259"/>
      <c r="G35" s="259"/>
      <c r="H35" s="259"/>
      <c r="I35" s="259"/>
      <c r="J35" s="259"/>
      <c r="L35" s="212" t="s">
        <v>327</v>
      </c>
    </row>
    <row r="36" spans="1:12" ht="15.75" customHeight="1" x14ac:dyDescent="0.35">
      <c r="A36" s="2" t="s">
        <v>13</v>
      </c>
      <c r="B36" s="259" t="s">
        <v>14</v>
      </c>
      <c r="C36" s="259"/>
      <c r="D36" s="259"/>
      <c r="E36" s="259"/>
      <c r="F36" s="259"/>
      <c r="G36" s="259"/>
      <c r="H36" s="259"/>
      <c r="I36" s="259"/>
      <c r="J36" s="259"/>
      <c r="L36" s="171" t="s">
        <v>317</v>
      </c>
    </row>
    <row r="37" spans="1:12" ht="15.75" customHeight="1" x14ac:dyDescent="0.35">
      <c r="A37" s="2" t="s">
        <v>15</v>
      </c>
      <c r="B37" s="259" t="s">
        <v>16</v>
      </c>
      <c r="C37" s="259"/>
      <c r="D37" s="259"/>
      <c r="E37" s="259"/>
      <c r="F37" s="259"/>
      <c r="G37" s="259"/>
      <c r="H37" s="259"/>
      <c r="I37" s="259"/>
      <c r="J37" s="259"/>
      <c r="L37" s="171" t="s">
        <v>328</v>
      </c>
    </row>
    <row r="38" spans="1:12" ht="15.75" customHeight="1" x14ac:dyDescent="0.35">
      <c r="B38" s="259" t="s">
        <v>253</v>
      </c>
      <c r="C38" s="259"/>
      <c r="D38" s="259"/>
      <c r="E38" s="259"/>
      <c r="F38" s="259"/>
      <c r="G38" s="259"/>
      <c r="H38" s="259"/>
      <c r="I38" s="259"/>
      <c r="J38" s="259"/>
      <c r="L38" s="171" t="s">
        <v>329</v>
      </c>
    </row>
    <row r="39" spans="1:12" ht="15.75" customHeight="1" x14ac:dyDescent="0.35">
      <c r="B39" s="259" t="s">
        <v>17</v>
      </c>
      <c r="C39" s="259"/>
      <c r="D39" s="259"/>
      <c r="E39" s="259"/>
      <c r="F39" s="259"/>
      <c r="G39" s="259"/>
      <c r="H39" s="259"/>
      <c r="I39" s="259"/>
      <c r="J39" s="259"/>
    </row>
    <row r="40" spans="1:12" ht="15.75" customHeight="1" x14ac:dyDescent="0.35">
      <c r="A40" s="2" t="s">
        <v>252</v>
      </c>
      <c r="B40" s="259" t="s">
        <v>19</v>
      </c>
      <c r="C40" s="259"/>
      <c r="D40" s="259"/>
      <c r="E40" s="259"/>
      <c r="F40" s="259"/>
      <c r="G40" s="259"/>
      <c r="H40" s="259"/>
      <c r="I40" s="259"/>
      <c r="J40" s="259"/>
      <c r="L40" s="212" t="s">
        <v>297</v>
      </c>
    </row>
    <row r="41" spans="1:12" ht="15.75" customHeight="1" x14ac:dyDescent="0.35">
      <c r="A41" s="2" t="s">
        <v>20</v>
      </c>
      <c r="B41" s="259" t="s">
        <v>21</v>
      </c>
      <c r="C41" s="259"/>
      <c r="D41" s="259"/>
      <c r="E41" s="259"/>
      <c r="F41" s="259"/>
      <c r="G41" s="259"/>
      <c r="H41" s="259"/>
      <c r="I41" s="259"/>
      <c r="J41" s="259"/>
      <c r="L41" s="212" t="s">
        <v>330</v>
      </c>
    </row>
    <row r="42" spans="1:12" ht="15.75" customHeight="1" x14ac:dyDescent="0.35">
      <c r="B42" s="259" t="s">
        <v>22</v>
      </c>
      <c r="C42" s="259"/>
      <c r="D42" s="259"/>
      <c r="E42" s="259"/>
      <c r="F42" s="259"/>
      <c r="G42" s="259"/>
      <c r="H42" s="259"/>
      <c r="I42" s="259"/>
      <c r="J42" s="259"/>
    </row>
    <row r="43" spans="1:12" ht="15" customHeight="1" x14ac:dyDescent="0.35">
      <c r="A43" s="2" t="s">
        <v>24</v>
      </c>
      <c r="B43" s="259" t="s">
        <v>25</v>
      </c>
      <c r="C43" s="259"/>
      <c r="D43" s="259"/>
      <c r="E43" s="259"/>
      <c r="F43" s="259"/>
      <c r="G43" s="259"/>
      <c r="H43" s="259"/>
      <c r="I43" s="259"/>
      <c r="J43" s="259"/>
    </row>
    <row r="44" spans="1:12" ht="15" customHeight="1" x14ac:dyDescent="0.35">
      <c r="A44" s="2" t="s">
        <v>26</v>
      </c>
      <c r="B44" s="259" t="s">
        <v>27</v>
      </c>
      <c r="C44" s="259"/>
      <c r="D44" s="259"/>
      <c r="E44" s="259"/>
      <c r="F44" s="259"/>
      <c r="G44" s="259"/>
      <c r="H44" s="259"/>
      <c r="I44" s="259"/>
      <c r="J44" s="259"/>
    </row>
    <row r="45" spans="1:12" ht="15" customHeight="1" x14ac:dyDescent="0.35">
      <c r="A45" s="2" t="s">
        <v>28</v>
      </c>
      <c r="B45" s="259" t="s">
        <v>29</v>
      </c>
      <c r="C45" s="259"/>
      <c r="D45" s="259"/>
      <c r="E45" s="259"/>
      <c r="F45" s="259"/>
      <c r="G45" s="259"/>
      <c r="H45" s="259"/>
      <c r="I45" s="259"/>
      <c r="J45" s="259"/>
      <c r="L45" s="212" t="s">
        <v>332</v>
      </c>
    </row>
    <row r="46" spans="1:12" ht="15" customHeight="1" x14ac:dyDescent="0.35">
      <c r="A46" s="2" t="s">
        <v>30</v>
      </c>
      <c r="B46" s="259" t="s">
        <v>31</v>
      </c>
      <c r="C46" s="259"/>
      <c r="D46" s="259"/>
      <c r="E46" s="259"/>
      <c r="F46" s="259"/>
      <c r="G46" s="259"/>
      <c r="H46" s="259"/>
      <c r="I46" s="259"/>
      <c r="J46" s="259"/>
      <c r="L46" s="212" t="s">
        <v>331</v>
      </c>
    </row>
    <row r="47" spans="1:12" ht="15" customHeight="1" x14ac:dyDescent="0.35">
      <c r="A47" s="2" t="s">
        <v>32</v>
      </c>
      <c r="B47" s="296" t="s">
        <v>276</v>
      </c>
      <c r="C47" s="296"/>
      <c r="D47" s="296"/>
      <c r="E47" s="296"/>
      <c r="F47" s="296"/>
      <c r="G47" s="296"/>
      <c r="H47" s="296"/>
      <c r="I47" s="296"/>
      <c r="J47" s="296"/>
      <c r="L47" s="212" t="s">
        <v>297</v>
      </c>
    </row>
    <row r="48" spans="1:12" ht="15" customHeight="1" x14ac:dyDescent="0.35">
      <c r="B48" s="262" t="s">
        <v>33</v>
      </c>
      <c r="C48" s="262"/>
      <c r="D48" s="262"/>
      <c r="E48" s="262"/>
      <c r="F48" s="262"/>
      <c r="G48" s="262"/>
      <c r="H48" s="262"/>
      <c r="I48" s="262"/>
      <c r="J48" s="262"/>
    </row>
    <row r="49" spans="1:12" ht="15" customHeight="1" x14ac:dyDescent="0.35">
      <c r="B49" s="262" t="s">
        <v>34</v>
      </c>
      <c r="C49" s="262"/>
      <c r="D49" s="262"/>
      <c r="E49" s="262"/>
      <c r="F49" s="262"/>
      <c r="G49" s="262"/>
      <c r="H49" s="262"/>
      <c r="I49" s="262"/>
      <c r="J49" s="262"/>
    </row>
    <row r="50" spans="1:12" ht="15" customHeight="1" x14ac:dyDescent="0.35">
      <c r="B50" s="258"/>
      <c r="C50" s="258"/>
      <c r="D50" s="258"/>
      <c r="E50" s="258"/>
      <c r="F50" s="258"/>
      <c r="G50" s="258"/>
      <c r="H50" s="258"/>
      <c r="I50" s="258"/>
      <c r="J50" s="258"/>
    </row>
    <row r="51" spans="1:12" ht="15" customHeight="1" x14ac:dyDescent="0.4">
      <c r="B51" s="255" t="s">
        <v>35</v>
      </c>
      <c r="C51" s="255"/>
      <c r="D51" s="255"/>
      <c r="E51" s="255"/>
      <c r="F51" s="255"/>
      <c r="G51" s="255"/>
      <c r="H51" s="255"/>
      <c r="I51" s="255"/>
      <c r="J51" s="255"/>
    </row>
    <row r="52" spans="1:12" ht="15" customHeight="1" x14ac:dyDescent="0.35">
      <c r="A52" s="2" t="s">
        <v>36</v>
      </c>
      <c r="B52" s="259" t="s">
        <v>37</v>
      </c>
      <c r="C52" s="259"/>
      <c r="D52" s="259"/>
      <c r="E52" s="259"/>
      <c r="F52" s="259"/>
      <c r="G52" s="259"/>
      <c r="H52" s="259"/>
      <c r="I52" s="259"/>
      <c r="J52" s="259"/>
      <c r="L52" s="212" t="s">
        <v>297</v>
      </c>
    </row>
    <row r="53" spans="1:12" ht="15" customHeight="1" x14ac:dyDescent="0.35">
      <c r="A53" s="2" t="s">
        <v>38</v>
      </c>
      <c r="B53" s="259" t="s">
        <v>39</v>
      </c>
      <c r="C53" s="259"/>
      <c r="D53" s="259"/>
      <c r="E53" s="259"/>
      <c r="F53" s="259"/>
      <c r="G53" s="259"/>
      <c r="H53" s="259"/>
      <c r="I53" s="259"/>
      <c r="J53" s="259"/>
      <c r="L53" s="212" t="s">
        <v>297</v>
      </c>
    </row>
    <row r="54" spans="1:12" ht="15" customHeight="1" x14ac:dyDescent="0.35">
      <c r="A54" s="2" t="s">
        <v>40</v>
      </c>
      <c r="B54" s="262" t="s">
        <v>41</v>
      </c>
      <c r="C54" s="262"/>
      <c r="D54" s="262"/>
      <c r="E54" s="262"/>
      <c r="F54" s="262"/>
      <c r="G54" s="262"/>
      <c r="H54" s="262"/>
      <c r="I54" s="262"/>
      <c r="J54" s="262"/>
      <c r="L54" s="212" t="s">
        <v>277</v>
      </c>
    </row>
    <row r="55" spans="1:12" ht="15" customHeight="1" x14ac:dyDescent="0.35">
      <c r="A55" s="2" t="s">
        <v>42</v>
      </c>
      <c r="B55" s="259" t="s">
        <v>43</v>
      </c>
      <c r="C55" s="259"/>
      <c r="D55" s="259"/>
      <c r="E55" s="259"/>
      <c r="F55" s="259"/>
      <c r="G55" s="259"/>
      <c r="H55" s="259"/>
      <c r="I55" s="259"/>
      <c r="J55" s="259"/>
      <c r="L55" s="212" t="s">
        <v>296</v>
      </c>
    </row>
    <row r="56" spans="1:12" ht="15" customHeight="1" x14ac:dyDescent="0.35">
      <c r="A56" s="2" t="s">
        <v>44</v>
      </c>
      <c r="B56" s="262" t="s">
        <v>45</v>
      </c>
      <c r="C56" s="262"/>
      <c r="D56" s="262"/>
      <c r="E56" s="262"/>
      <c r="F56" s="262"/>
      <c r="G56" s="262"/>
      <c r="H56" s="262"/>
      <c r="I56" s="262"/>
      <c r="J56" s="262"/>
    </row>
    <row r="57" spans="1:12" ht="15" customHeight="1" x14ac:dyDescent="0.35">
      <c r="A57" s="2" t="s">
        <v>46</v>
      </c>
      <c r="B57" s="262" t="s">
        <v>47</v>
      </c>
      <c r="C57" s="262"/>
      <c r="D57" s="262"/>
      <c r="E57" s="262"/>
      <c r="F57" s="262"/>
      <c r="G57" s="262"/>
      <c r="H57" s="262"/>
      <c r="I57" s="262"/>
      <c r="J57" s="262"/>
      <c r="L57" s="212" t="s">
        <v>305</v>
      </c>
    </row>
    <row r="58" spans="1:12" ht="15" customHeight="1" x14ac:dyDescent="0.35">
      <c r="A58" s="2" t="s">
        <v>49</v>
      </c>
      <c r="B58" s="262" t="s">
        <v>51</v>
      </c>
      <c r="C58" s="262"/>
      <c r="D58" s="262"/>
      <c r="E58" s="262"/>
      <c r="F58" s="262"/>
      <c r="G58" s="262"/>
      <c r="H58" s="262"/>
      <c r="I58" s="262"/>
      <c r="J58" s="262"/>
      <c r="L58" s="212" t="s">
        <v>304</v>
      </c>
    </row>
    <row r="59" spans="1:12" ht="15" customHeight="1" x14ac:dyDescent="0.35">
      <c r="B59" s="296" t="s">
        <v>52</v>
      </c>
      <c r="C59" s="296"/>
      <c r="D59" s="296"/>
      <c r="E59" s="296"/>
      <c r="F59" s="296"/>
      <c r="G59" s="296"/>
      <c r="H59" s="296"/>
      <c r="I59" s="296"/>
      <c r="J59" s="296"/>
      <c r="L59" s="212" t="s">
        <v>304</v>
      </c>
    </row>
    <row r="60" spans="1:12" ht="15" customHeight="1" x14ac:dyDescent="0.35">
      <c r="A60" s="2" t="s">
        <v>53</v>
      </c>
      <c r="B60" s="262" t="s">
        <v>54</v>
      </c>
      <c r="C60" s="262"/>
      <c r="D60" s="262"/>
      <c r="E60" s="262"/>
      <c r="F60" s="262"/>
      <c r="G60" s="262"/>
      <c r="H60" s="262"/>
      <c r="I60" s="262"/>
      <c r="J60" s="262"/>
      <c r="L60" s="212" t="s">
        <v>283</v>
      </c>
    </row>
    <row r="61" spans="1:12" ht="15" customHeight="1" x14ac:dyDescent="0.35">
      <c r="B61" s="262" t="s">
        <v>57</v>
      </c>
      <c r="C61" s="262"/>
      <c r="D61" s="262"/>
      <c r="E61" s="262"/>
      <c r="F61" s="262"/>
      <c r="G61" s="262"/>
      <c r="H61" s="262"/>
      <c r="I61" s="262"/>
      <c r="J61" s="262"/>
      <c r="L61" s="212" t="s">
        <v>284</v>
      </c>
    </row>
    <row r="62" spans="1:12" ht="15" customHeight="1" x14ac:dyDescent="0.35">
      <c r="A62" s="2" t="s">
        <v>58</v>
      </c>
      <c r="B62" s="262" t="s">
        <v>59</v>
      </c>
      <c r="C62" s="262"/>
      <c r="D62" s="262"/>
      <c r="E62" s="262"/>
      <c r="F62" s="262"/>
      <c r="G62" s="262"/>
      <c r="H62" s="262"/>
      <c r="I62" s="262"/>
      <c r="J62" s="262"/>
      <c r="L62" s="212" t="s">
        <v>302</v>
      </c>
    </row>
    <row r="63" spans="1:12" s="171" customFormat="1" ht="15" customHeight="1" x14ac:dyDescent="0.35">
      <c r="A63" s="172"/>
      <c r="B63" s="175"/>
      <c r="C63" s="175"/>
      <c r="D63" s="175"/>
      <c r="E63" s="175"/>
      <c r="F63" s="175"/>
      <c r="G63" s="175"/>
      <c r="H63" s="175"/>
      <c r="I63" s="175"/>
      <c r="J63" s="175"/>
      <c r="K63" s="214"/>
      <c r="L63" s="212" t="s">
        <v>303</v>
      </c>
    </row>
    <row r="64" spans="1:12" ht="15" customHeight="1" x14ac:dyDescent="0.35">
      <c r="A64" s="2" t="s">
        <v>60</v>
      </c>
      <c r="B64" s="262" t="s">
        <v>61</v>
      </c>
      <c r="C64" s="262"/>
      <c r="D64" s="262"/>
      <c r="E64" s="262"/>
      <c r="F64" s="262"/>
      <c r="G64" s="262"/>
      <c r="H64" s="262"/>
      <c r="I64" s="262"/>
      <c r="J64" s="262"/>
    </row>
    <row r="65" spans="1:12" ht="15.75" customHeight="1" x14ac:dyDescent="0.35">
      <c r="A65" s="172" t="s">
        <v>113</v>
      </c>
      <c r="B65" s="244"/>
      <c r="C65" s="244"/>
      <c r="D65" s="244"/>
      <c r="E65" s="244"/>
      <c r="F65" s="244"/>
      <c r="G65" s="244"/>
      <c r="H65" s="244"/>
      <c r="I65" s="244"/>
      <c r="J65" s="244"/>
      <c r="L65" s="212" t="s">
        <v>285</v>
      </c>
    </row>
    <row r="66" spans="1:12" ht="15.75" customHeight="1" x14ac:dyDescent="0.35">
      <c r="B66" s="244"/>
      <c r="C66" s="244"/>
      <c r="D66" s="244"/>
      <c r="E66" s="244"/>
      <c r="F66" s="244"/>
      <c r="G66" s="244"/>
      <c r="H66" s="244"/>
      <c r="I66" s="244"/>
      <c r="J66" s="244"/>
    </row>
    <row r="67" spans="1:12" ht="15.75" customHeight="1" x14ac:dyDescent="0.35">
      <c r="B67" s="244"/>
      <c r="C67" s="244"/>
      <c r="D67" s="244"/>
      <c r="E67" s="244"/>
      <c r="F67" s="244"/>
      <c r="G67" s="244"/>
      <c r="H67" s="244"/>
      <c r="I67" s="244"/>
      <c r="J67" s="244"/>
    </row>
    <row r="68" spans="1:12" ht="15.75" customHeight="1" x14ac:dyDescent="0.35">
      <c r="B68" s="244"/>
      <c r="C68" s="244"/>
      <c r="D68" s="244"/>
      <c r="E68" s="244"/>
      <c r="F68" s="244"/>
      <c r="G68" s="244"/>
      <c r="H68" s="244"/>
      <c r="I68" s="244"/>
      <c r="J68" s="244"/>
    </row>
  </sheetData>
  <mergeCells count="67">
    <mergeCell ref="B62:J62"/>
    <mergeCell ref="B64:J64"/>
    <mergeCell ref="B61:J61"/>
    <mergeCell ref="B60:J60"/>
    <mergeCell ref="B58:J58"/>
    <mergeCell ref="B57:J57"/>
    <mergeCell ref="B55:J55"/>
    <mergeCell ref="B56:J56"/>
    <mergeCell ref="B59:J59"/>
    <mergeCell ref="B54:J54"/>
    <mergeCell ref="B7:O7"/>
    <mergeCell ref="B28:J28"/>
    <mergeCell ref="B29:J29"/>
    <mergeCell ref="B10:O10"/>
    <mergeCell ref="B38:J38"/>
    <mergeCell ref="B34:J34"/>
    <mergeCell ref="B37:J37"/>
    <mergeCell ref="B35:J35"/>
    <mergeCell ref="B36:J36"/>
    <mergeCell ref="B32:J32"/>
    <mergeCell ref="B33:J33"/>
    <mergeCell ref="A1:O1"/>
    <mergeCell ref="B30:J30"/>
    <mergeCell ref="B39:J39"/>
    <mergeCell ref="B53:J53"/>
    <mergeCell ref="B52:J52"/>
    <mergeCell ref="B49:J49"/>
    <mergeCell ref="B50:J50"/>
    <mergeCell ref="B51:J51"/>
    <mergeCell ref="A3:O3"/>
    <mergeCell ref="A4:O4"/>
    <mergeCell ref="A5:O5"/>
    <mergeCell ref="A6:O6"/>
    <mergeCell ref="B9:O9"/>
    <mergeCell ref="B31:J31"/>
    <mergeCell ref="B48:J48"/>
    <mergeCell ref="A8:O8"/>
    <mergeCell ref="B23:J23"/>
    <mergeCell ref="B21:J21"/>
    <mergeCell ref="B22:J22"/>
    <mergeCell ref="A11:J11"/>
    <mergeCell ref="L11:U11"/>
    <mergeCell ref="B17:J17"/>
    <mergeCell ref="B12:J12"/>
    <mergeCell ref="B13:J13"/>
    <mergeCell ref="B14:J14"/>
    <mergeCell ref="B15:J15"/>
    <mergeCell ref="B16:J16"/>
    <mergeCell ref="B18:J18"/>
    <mergeCell ref="B19:J19"/>
    <mergeCell ref="B20:J20"/>
    <mergeCell ref="B66:J66"/>
    <mergeCell ref="B67:J67"/>
    <mergeCell ref="B68:J68"/>
    <mergeCell ref="B24:J24"/>
    <mergeCell ref="B25:J25"/>
    <mergeCell ref="B26:J26"/>
    <mergeCell ref="B27:J27"/>
    <mergeCell ref="B65:J65"/>
    <mergeCell ref="B47:J47"/>
    <mergeCell ref="B40:J40"/>
    <mergeCell ref="B42:J42"/>
    <mergeCell ref="B43:J43"/>
    <mergeCell ref="B44:J44"/>
    <mergeCell ref="B45:J45"/>
    <mergeCell ref="B46:J46"/>
    <mergeCell ref="B41:J4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MNT</vt:lpstr>
      <vt:lpstr>WNT</vt:lpstr>
      <vt:lpstr>ExplainerCBA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Dure</dc:creator>
  <cp:lastModifiedBy>Beau Dure</cp:lastModifiedBy>
  <dcterms:created xsi:type="dcterms:W3CDTF">2019-07-02T17:18:36Z</dcterms:created>
  <dcterms:modified xsi:type="dcterms:W3CDTF">2019-07-05T01:52:11Z</dcterms:modified>
</cp:coreProperties>
</file>