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es\OneDrive\Documents\US soccer and youth\"/>
    </mc:Choice>
  </mc:AlternateContent>
  <xr:revisionPtr revIDLastSave="0" documentId="13_ncr:1_{FC76FABD-918D-45F6-8568-1157507F73EE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Executive summary" sheetId="9" r:id="rId1"/>
    <sheet name="Summary" sheetId="8" r:id="rId2"/>
    <sheet name="US CBA" sheetId="1" r:id="rId3"/>
    <sheet name="USSF finances" sheetId="5" r:id="rId4"/>
    <sheet name="Australia" sheetId="6" r:id="rId5"/>
    <sheet name="Norway" sheetId="7" r:id="rId6"/>
    <sheet name="MNT" sheetId="2" r:id="rId7"/>
    <sheet name="WNT" sheetId="3" r:id="rId8"/>
    <sheet name="ExplainerCBA details" sheetId="4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9" l="1"/>
  <c r="D25" i="9"/>
  <c r="Q75" i="8"/>
  <c r="P75" i="8"/>
  <c r="Q60" i="8"/>
  <c r="P60" i="8"/>
  <c r="Q73" i="8"/>
  <c r="P73" i="8"/>
  <c r="Q71" i="8"/>
  <c r="P71" i="8"/>
  <c r="Q69" i="8"/>
  <c r="P69" i="8"/>
  <c r="Q67" i="8"/>
  <c r="P67" i="8"/>
  <c r="E18" i="9"/>
  <c r="E19" i="9" s="1"/>
  <c r="D18" i="9"/>
  <c r="D19" i="9" s="1"/>
  <c r="D12" i="9"/>
  <c r="D13" i="9" s="1"/>
  <c r="E12" i="9"/>
  <c r="E13" i="9" s="1"/>
  <c r="E6" i="9"/>
  <c r="E7" i="9" s="1"/>
  <c r="D6" i="9"/>
  <c r="D7" i="9" s="1"/>
  <c r="P59" i="8"/>
  <c r="Q59" i="8"/>
  <c r="Q58" i="8"/>
  <c r="P58" i="8"/>
  <c r="D7" i="6"/>
  <c r="D6" i="6"/>
  <c r="P64" i="8"/>
  <c r="Q61" i="8"/>
  <c r="P61" i="8"/>
  <c r="Q11" i="8"/>
  <c r="Q14" i="8" s="1"/>
  <c r="P11" i="8"/>
  <c r="P12" i="8" s="1"/>
  <c r="K14" i="8"/>
  <c r="J14" i="8"/>
  <c r="K12" i="8"/>
  <c r="J12" i="8"/>
  <c r="B29" i="8"/>
  <c r="B46" i="8"/>
  <c r="K54" i="8"/>
  <c r="J54" i="8"/>
  <c r="E54" i="8"/>
  <c r="D54" i="8"/>
  <c r="K57" i="8"/>
  <c r="K60" i="8" s="1"/>
  <c r="K49" i="8"/>
  <c r="J57" i="8"/>
  <c r="J49" i="8"/>
  <c r="K59" i="8"/>
  <c r="J59" i="8"/>
  <c r="J62" i="8"/>
  <c r="K58" i="8"/>
  <c r="J58" i="8"/>
  <c r="Q13" i="8"/>
  <c r="P13" i="8"/>
  <c r="Q36" i="8"/>
  <c r="Q46" i="8" s="1"/>
  <c r="Q28" i="8"/>
  <c r="Q25" i="8"/>
  <c r="Q24" i="8"/>
  <c r="Q23" i="8"/>
  <c r="Q22" i="8"/>
  <c r="Q21" i="8"/>
  <c r="Q20" i="8"/>
  <c r="Q19" i="8"/>
  <c r="Q18" i="8"/>
  <c r="Q12" i="8"/>
  <c r="F15" i="5"/>
  <c r="G15" i="5"/>
  <c r="H15" i="5"/>
  <c r="I15" i="5"/>
  <c r="E15" i="5"/>
  <c r="D15" i="5"/>
  <c r="K36" i="8"/>
  <c r="K19" i="8"/>
  <c r="K20" i="8"/>
  <c r="K21" i="8"/>
  <c r="K22" i="8"/>
  <c r="K23" i="8"/>
  <c r="K24" i="8"/>
  <c r="K25" i="8"/>
  <c r="K26" i="8"/>
  <c r="K27" i="8"/>
  <c r="K18" i="8"/>
  <c r="E12" i="8"/>
  <c r="D12" i="8"/>
  <c r="K10" i="8"/>
  <c r="J10" i="8"/>
  <c r="E10" i="8"/>
  <c r="D10" i="8"/>
  <c r="C19" i="8"/>
  <c r="C28" i="8"/>
  <c r="D37" i="8"/>
  <c r="E36" i="8" s="1"/>
  <c r="C36" i="8" s="1"/>
  <c r="E25" i="8"/>
  <c r="C25" i="8" s="1"/>
  <c r="D22" i="8"/>
  <c r="D21" i="8"/>
  <c r="E20" i="8" s="1"/>
  <c r="C18" i="8"/>
  <c r="D8" i="7"/>
  <c r="C8" i="7"/>
  <c r="D6" i="7"/>
  <c r="C6" i="7"/>
  <c r="C9" i="7" s="1"/>
  <c r="E14" i="8"/>
  <c r="B7" i="6"/>
  <c r="C7" i="6" s="1"/>
  <c r="C6" i="6"/>
  <c r="Q62" i="8" l="1"/>
  <c r="P62" i="8"/>
  <c r="P14" i="8"/>
  <c r="P49" i="8"/>
  <c r="P54" i="8" s="1"/>
  <c r="K62" i="8"/>
  <c r="J60" i="8"/>
  <c r="Q29" i="8"/>
  <c r="Q49" i="8" s="1"/>
  <c r="P52" i="8"/>
  <c r="E29" i="8"/>
  <c r="E49" i="8" s="1"/>
  <c r="K46" i="8"/>
  <c r="E52" i="8"/>
  <c r="E50" i="8"/>
  <c r="E46" i="8"/>
  <c r="D49" i="8" s="1"/>
  <c r="D52" i="8" s="1"/>
  <c r="D9" i="7"/>
  <c r="B8" i="6"/>
  <c r="C8" i="6" s="1"/>
  <c r="B9" i="6"/>
  <c r="C9" i="6" s="1"/>
  <c r="D14" i="8"/>
  <c r="K135" i="5"/>
  <c r="K131" i="5"/>
  <c r="L22" i="5"/>
  <c r="L23" i="5"/>
  <c r="L24" i="5"/>
  <c r="L25" i="5"/>
  <c r="L26" i="5"/>
  <c r="L21" i="5"/>
  <c r="K15" i="5"/>
  <c r="D43" i="7"/>
  <c r="D44" i="7"/>
  <c r="D42" i="7"/>
  <c r="H44" i="5"/>
  <c r="I44" i="5"/>
  <c r="B63" i="7"/>
  <c r="C13" i="6"/>
  <c r="C14" i="6"/>
  <c r="C12" i="6"/>
  <c r="P50" i="8" l="1"/>
  <c r="Q50" i="8"/>
  <c r="Q54" i="8"/>
  <c r="Q52" i="8"/>
  <c r="J50" i="8"/>
  <c r="J52" i="8"/>
  <c r="D50" i="8"/>
  <c r="C25" i="6"/>
  <c r="C26" i="6"/>
  <c r="C27" i="6"/>
  <c r="C29" i="6"/>
  <c r="C30" i="6"/>
  <c r="C31" i="6"/>
  <c r="C32" i="6"/>
  <c r="B26" i="6"/>
  <c r="B27" i="6"/>
  <c r="B29" i="6"/>
  <c r="B30" i="6"/>
  <c r="B31" i="6"/>
  <c r="B32" i="6"/>
  <c r="B25" i="6"/>
  <c r="C45" i="6"/>
  <c r="C33" i="6" s="1"/>
  <c r="B45" i="6"/>
  <c r="B33" i="6" s="1"/>
  <c r="C27" i="5"/>
  <c r="D27" i="5"/>
  <c r="E27" i="5"/>
  <c r="F27" i="5"/>
  <c r="G27" i="5"/>
  <c r="H27" i="5"/>
  <c r="I27" i="5"/>
  <c r="J27" i="5"/>
  <c r="K27" i="5"/>
  <c r="B27" i="5"/>
  <c r="J67" i="1"/>
  <c r="L67" i="1"/>
  <c r="N67" i="1"/>
  <c r="H67" i="1"/>
  <c r="P66" i="1"/>
  <c r="H75" i="1"/>
  <c r="M75" i="1"/>
  <c r="P74" i="1"/>
  <c r="L75" i="1"/>
  <c r="L27" i="5" l="1"/>
  <c r="P67" i="1"/>
  <c r="P75" i="1"/>
  <c r="P72" i="1"/>
  <c r="P76" i="1" s="1"/>
  <c r="P64" i="1"/>
  <c r="P68" i="1" s="1"/>
  <c r="P63" i="1"/>
  <c r="K127" i="5"/>
  <c r="K123" i="5"/>
  <c r="K119" i="5"/>
  <c r="K116" i="5"/>
  <c r="K128" i="5" l="1"/>
  <c r="K120" i="5"/>
  <c r="R35" i="1"/>
  <c r="N191" i="3"/>
  <c r="L191" i="3"/>
  <c r="J191" i="3"/>
  <c r="H191" i="3"/>
  <c r="R190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N164" i="3"/>
  <c r="L164" i="3"/>
  <c r="J164" i="3"/>
  <c r="H164" i="3"/>
  <c r="R163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R143" i="3"/>
  <c r="P140" i="3"/>
  <c r="P139" i="3"/>
  <c r="P138" i="3"/>
  <c r="P137" i="3"/>
  <c r="P136" i="3"/>
  <c r="P13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R106" i="3"/>
  <c r="P103" i="3"/>
  <c r="P102" i="3"/>
  <c r="P101" i="3"/>
  <c r="P100" i="3"/>
  <c r="P99" i="3"/>
  <c r="P98" i="3"/>
  <c r="P97" i="3"/>
  <c r="P96" i="3"/>
  <c r="P95" i="3"/>
  <c r="P83" i="3"/>
  <c r="P82" i="3"/>
  <c r="P81" i="3"/>
  <c r="P80" i="3"/>
  <c r="P79" i="3"/>
  <c r="P78" i="3"/>
  <c r="P77" i="3"/>
  <c r="P76" i="3"/>
  <c r="P75" i="3"/>
  <c r="P74" i="3"/>
  <c r="P73" i="3"/>
  <c r="N72" i="3"/>
  <c r="L72" i="3"/>
  <c r="J72" i="3"/>
  <c r="H72" i="3"/>
  <c r="R71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N43" i="3"/>
  <c r="L43" i="3"/>
  <c r="J43" i="3"/>
  <c r="H43" i="3"/>
  <c r="R42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14" i="3"/>
  <c r="M14" i="3"/>
  <c r="J14" i="3"/>
  <c r="H14" i="3"/>
  <c r="D14" i="3"/>
  <c r="A14" i="3"/>
  <c r="P13" i="3"/>
  <c r="M13" i="3"/>
  <c r="J13" i="3"/>
  <c r="H13" i="3"/>
  <c r="E13" i="3"/>
  <c r="V34" i="3" s="1"/>
  <c r="D13" i="3"/>
  <c r="B13" i="3"/>
  <c r="A13" i="3"/>
  <c r="T12" i="3"/>
  <c r="S12" i="3"/>
  <c r="R12" i="3"/>
  <c r="Q12" i="3"/>
  <c r="P12" i="3"/>
  <c r="M12" i="3"/>
  <c r="J12" i="3"/>
  <c r="H12" i="3"/>
  <c r="E12" i="3"/>
  <c r="D12" i="3"/>
  <c r="B12" i="3"/>
  <c r="A12" i="3"/>
  <c r="T11" i="3"/>
  <c r="R11" i="3"/>
  <c r="P11" i="3"/>
  <c r="M11" i="3"/>
  <c r="L11" i="3"/>
  <c r="J11" i="3"/>
  <c r="I11" i="3"/>
  <c r="H11" i="3"/>
  <c r="D11" i="3"/>
  <c r="B11" i="3"/>
  <c r="A11" i="3"/>
  <c r="T10" i="3"/>
  <c r="R10" i="3"/>
  <c r="P10" i="3"/>
  <c r="B10" i="3"/>
  <c r="A10" i="3"/>
  <c r="T9" i="3"/>
  <c r="R9" i="3"/>
  <c r="P9" i="3"/>
  <c r="N9" i="3"/>
  <c r="M9" i="3"/>
  <c r="L9" i="3"/>
  <c r="E9" i="3"/>
  <c r="D9" i="3"/>
  <c r="B9" i="3"/>
  <c r="A9" i="3"/>
  <c r="T8" i="3"/>
  <c r="R8" i="3"/>
  <c r="P8" i="3"/>
  <c r="N8" i="3"/>
  <c r="M8" i="3"/>
  <c r="L8" i="3"/>
  <c r="E8" i="3"/>
  <c r="D8" i="3"/>
  <c r="B8" i="3"/>
  <c r="A8" i="3"/>
  <c r="T7" i="3"/>
  <c r="R7" i="3"/>
  <c r="P7" i="3"/>
  <c r="N7" i="3"/>
  <c r="M7" i="3"/>
  <c r="L7" i="3"/>
  <c r="J7" i="3"/>
  <c r="I7" i="3"/>
  <c r="G7" i="3"/>
  <c r="E7" i="3"/>
  <c r="D7" i="3"/>
  <c r="A7" i="3"/>
  <c r="T6" i="3"/>
  <c r="S6" i="3"/>
  <c r="R6" i="3"/>
  <c r="P6" i="3"/>
  <c r="G6" i="3"/>
  <c r="E6" i="3"/>
  <c r="D6" i="3"/>
  <c r="T5" i="3"/>
  <c r="R5" i="3"/>
  <c r="P5" i="3"/>
  <c r="N5" i="3"/>
  <c r="L5" i="3"/>
  <c r="G5" i="3"/>
  <c r="E5" i="3"/>
  <c r="D5" i="3"/>
  <c r="T4" i="3"/>
  <c r="S4" i="3"/>
  <c r="R4" i="3"/>
  <c r="Q4" i="3"/>
  <c r="N4" i="3"/>
  <c r="L4" i="3"/>
  <c r="G4" i="3"/>
  <c r="E4" i="3"/>
  <c r="D4" i="3"/>
  <c r="B4" i="3"/>
  <c r="A4" i="3"/>
  <c r="S3" i="3"/>
  <c r="Q3" i="3"/>
  <c r="P3" i="3"/>
  <c r="N3" i="3"/>
  <c r="L3" i="3"/>
  <c r="G3" i="3"/>
  <c r="E3" i="3"/>
  <c r="D3" i="3"/>
  <c r="B3" i="3"/>
  <c r="A3" i="3"/>
  <c r="S2" i="3"/>
  <c r="Q2" i="3"/>
  <c r="P2" i="3"/>
  <c r="N2" i="3"/>
  <c r="L2" i="3"/>
  <c r="J2" i="3"/>
  <c r="I2" i="3"/>
  <c r="G2" i="3"/>
  <c r="D2" i="3"/>
  <c r="A2" i="3"/>
  <c r="R171" i="2"/>
  <c r="P168" i="2"/>
  <c r="P167" i="2"/>
  <c r="P166" i="2"/>
  <c r="P165" i="2"/>
  <c r="P164" i="2"/>
  <c r="P163" i="2"/>
  <c r="P154" i="2"/>
  <c r="P153" i="2"/>
  <c r="P152" i="2"/>
  <c r="P151" i="2"/>
  <c r="P150" i="2"/>
  <c r="N149" i="2"/>
  <c r="H149" i="2"/>
  <c r="R148" i="2"/>
  <c r="P145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N124" i="2"/>
  <c r="L124" i="2"/>
  <c r="J124" i="2"/>
  <c r="H124" i="2"/>
  <c r="R123" i="2"/>
  <c r="P120" i="2"/>
  <c r="P119" i="2"/>
  <c r="P118" i="2"/>
  <c r="P117" i="2"/>
  <c r="P116" i="2"/>
  <c r="P115" i="2"/>
  <c r="P114" i="2"/>
  <c r="U113" i="2"/>
  <c r="T113" i="2"/>
  <c r="K113" i="2" s="1"/>
  <c r="S113" i="2"/>
  <c r="R113" i="2"/>
  <c r="G113" i="2" s="1"/>
  <c r="W113" i="2" s="1"/>
  <c r="P113" i="2"/>
  <c r="M113" i="2"/>
  <c r="I113" i="2"/>
  <c r="U112" i="2"/>
  <c r="M112" i="2" s="1"/>
  <c r="T112" i="2"/>
  <c r="K112" i="2" s="1"/>
  <c r="S112" i="2"/>
  <c r="R112" i="2"/>
  <c r="G112" i="2" s="1"/>
  <c r="P112" i="2"/>
  <c r="I112" i="2"/>
  <c r="P111" i="2"/>
  <c r="P110" i="2"/>
  <c r="P109" i="2"/>
  <c r="P108" i="2"/>
  <c r="U107" i="2"/>
  <c r="T107" i="2"/>
  <c r="K107" i="2" s="1"/>
  <c r="S107" i="2"/>
  <c r="R107" i="2"/>
  <c r="G107" i="2" s="1"/>
  <c r="P107" i="2"/>
  <c r="M107" i="2"/>
  <c r="I107" i="2"/>
  <c r="P106" i="2"/>
  <c r="P105" i="2"/>
  <c r="P104" i="2"/>
  <c r="P103" i="2"/>
  <c r="P102" i="2"/>
  <c r="P101" i="2"/>
  <c r="P100" i="2"/>
  <c r="N99" i="2"/>
  <c r="L99" i="2"/>
  <c r="J99" i="2"/>
  <c r="H99" i="2"/>
  <c r="R98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R73" i="2"/>
  <c r="P70" i="2"/>
  <c r="P69" i="2"/>
  <c r="P68" i="2"/>
  <c r="P67" i="2"/>
  <c r="P66" i="2"/>
  <c r="P57" i="2"/>
  <c r="P56" i="2"/>
  <c r="P55" i="2"/>
  <c r="P54" i="2"/>
  <c r="P53" i="2"/>
  <c r="P52" i="2"/>
  <c r="N51" i="2"/>
  <c r="H51" i="2"/>
  <c r="P47" i="2"/>
  <c r="P46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14" i="2"/>
  <c r="P13" i="2"/>
  <c r="E13" i="2"/>
  <c r="V59" i="2" s="1"/>
  <c r="D13" i="2"/>
  <c r="T12" i="2"/>
  <c r="S12" i="2"/>
  <c r="R12" i="2"/>
  <c r="Q12" i="2"/>
  <c r="P12" i="2"/>
  <c r="M12" i="2"/>
  <c r="L12" i="2"/>
  <c r="E12" i="2"/>
  <c r="D12" i="2"/>
  <c r="T11" i="2"/>
  <c r="R11" i="2"/>
  <c r="P11" i="2"/>
  <c r="L11" i="2"/>
  <c r="J11" i="2"/>
  <c r="I11" i="2"/>
  <c r="H11" i="2"/>
  <c r="G11" i="2"/>
  <c r="D11" i="2"/>
  <c r="B11" i="2"/>
  <c r="A11" i="2"/>
  <c r="T10" i="2"/>
  <c r="R10" i="2"/>
  <c r="P10" i="2"/>
  <c r="N10" i="2"/>
  <c r="M10" i="2"/>
  <c r="L10" i="2"/>
  <c r="J10" i="2"/>
  <c r="I10" i="2"/>
  <c r="H10" i="2"/>
  <c r="G10" i="2"/>
  <c r="T9" i="2"/>
  <c r="R9" i="2"/>
  <c r="P9" i="2"/>
  <c r="N9" i="2"/>
  <c r="L144" i="2" s="1"/>
  <c r="L149" i="2" s="1"/>
  <c r="M9" i="2"/>
  <c r="L9" i="2"/>
  <c r="J9" i="2"/>
  <c r="I9" i="2"/>
  <c r="H9" i="2"/>
  <c r="G9" i="2"/>
  <c r="E9" i="2"/>
  <c r="R47" i="2" s="1"/>
  <c r="D9" i="2"/>
  <c r="B9" i="2"/>
  <c r="A9" i="2"/>
  <c r="T8" i="2"/>
  <c r="R8" i="2"/>
  <c r="P8" i="2"/>
  <c r="N8" i="2"/>
  <c r="J144" i="2" s="1"/>
  <c r="M8" i="2"/>
  <c r="L8" i="2"/>
  <c r="I8" i="2"/>
  <c r="H8" i="2"/>
  <c r="S39" i="2" s="1"/>
  <c r="G8" i="2"/>
  <c r="E8" i="2"/>
  <c r="R46" i="2" s="1"/>
  <c r="D8" i="2"/>
  <c r="B8" i="2"/>
  <c r="A8" i="2"/>
  <c r="T7" i="2"/>
  <c r="R7" i="2"/>
  <c r="P7" i="2"/>
  <c r="N7" i="2"/>
  <c r="M7" i="2"/>
  <c r="L7" i="2"/>
  <c r="J7" i="2"/>
  <c r="I7" i="2"/>
  <c r="H7" i="2"/>
  <c r="G7" i="2"/>
  <c r="E7" i="2"/>
  <c r="D7" i="2"/>
  <c r="A7" i="2"/>
  <c r="T6" i="2"/>
  <c r="R6" i="2"/>
  <c r="P6" i="2"/>
  <c r="I6" i="2"/>
  <c r="H6" i="2"/>
  <c r="G6" i="2"/>
  <c r="E6" i="2"/>
  <c r="D6" i="2"/>
  <c r="T5" i="2"/>
  <c r="R5" i="2"/>
  <c r="P5" i="2"/>
  <c r="N5" i="2"/>
  <c r="M5" i="2"/>
  <c r="L5" i="2"/>
  <c r="J5" i="2"/>
  <c r="I5" i="2"/>
  <c r="H5" i="2"/>
  <c r="G5" i="2"/>
  <c r="E5" i="2"/>
  <c r="R57" i="2" s="1"/>
  <c r="D5" i="2"/>
  <c r="T4" i="2"/>
  <c r="S4" i="2"/>
  <c r="R4" i="2"/>
  <c r="Q4" i="2"/>
  <c r="N4" i="2"/>
  <c r="M4" i="2"/>
  <c r="L4" i="2"/>
  <c r="J4" i="2"/>
  <c r="I4" i="2"/>
  <c r="H4" i="2"/>
  <c r="S37" i="2" s="1"/>
  <c r="G4" i="2"/>
  <c r="E4" i="2"/>
  <c r="D4" i="2"/>
  <c r="B4" i="2"/>
  <c r="I48" i="2" s="1"/>
  <c r="A4" i="2"/>
  <c r="S3" i="2"/>
  <c r="Q3" i="2"/>
  <c r="P3" i="2"/>
  <c r="N3" i="2"/>
  <c r="S42" i="2" s="1"/>
  <c r="M3" i="2"/>
  <c r="L3" i="2"/>
  <c r="J3" i="2"/>
  <c r="I3" i="2"/>
  <c r="H3" i="2"/>
  <c r="G3" i="2"/>
  <c r="E3" i="2"/>
  <c r="D3" i="2"/>
  <c r="B3" i="2"/>
  <c r="A3" i="2"/>
  <c r="P2" i="2"/>
  <c r="N2" i="2"/>
  <c r="M2" i="2"/>
  <c r="L2" i="2"/>
  <c r="J2" i="2"/>
  <c r="I2" i="2"/>
  <c r="H2" i="2"/>
  <c r="G2" i="2"/>
  <c r="D2" i="2"/>
  <c r="A2" i="2"/>
  <c r="H61" i="2"/>
  <c r="T34" i="1"/>
  <c r="T13" i="2" s="1"/>
  <c r="R34" i="1"/>
  <c r="R13" i="2" s="1"/>
  <c r="S32" i="1"/>
  <c r="S11" i="2" s="1"/>
  <c r="Q32" i="1"/>
  <c r="Q11" i="2" s="1"/>
  <c r="N32" i="1"/>
  <c r="M32" i="1"/>
  <c r="M11" i="2" s="1"/>
  <c r="S31" i="1"/>
  <c r="S10" i="2" s="1"/>
  <c r="Q31" i="1"/>
  <c r="Q10" i="2" s="1"/>
  <c r="S30" i="1"/>
  <c r="S9" i="2" s="1"/>
  <c r="Q30" i="1"/>
  <c r="Q9" i="2" s="1"/>
  <c r="S29" i="1"/>
  <c r="S8" i="2" s="1"/>
  <c r="Q29" i="1"/>
  <c r="Q8" i="2" s="1"/>
  <c r="S28" i="1"/>
  <c r="S7" i="2" s="1"/>
  <c r="Q28" i="1"/>
  <c r="Q7" i="2" s="1"/>
  <c r="S27" i="1"/>
  <c r="S6" i="2" s="1"/>
  <c r="Q27" i="1"/>
  <c r="Q6" i="2" s="1"/>
  <c r="S26" i="1"/>
  <c r="S5" i="2" s="1"/>
  <c r="Q26" i="1"/>
  <c r="Q5" i="2" s="1"/>
  <c r="L19" i="1"/>
  <c r="L14" i="3" s="1"/>
  <c r="I19" i="1"/>
  <c r="I14" i="3" s="1"/>
  <c r="B19" i="1"/>
  <c r="B14" i="3" s="1"/>
  <c r="T18" i="1"/>
  <c r="T13" i="3" s="1"/>
  <c r="R18" i="1"/>
  <c r="R13" i="3" s="1"/>
  <c r="L18" i="1"/>
  <c r="L13" i="3" s="1"/>
  <c r="I18" i="1"/>
  <c r="I13" i="3" s="1"/>
  <c r="L17" i="1"/>
  <c r="L12" i="3" s="1"/>
  <c r="I17" i="1"/>
  <c r="I12" i="3" s="1"/>
  <c r="S16" i="1"/>
  <c r="S11" i="3" s="1"/>
  <c r="Q16" i="1"/>
  <c r="Q11" i="3" s="1"/>
  <c r="S15" i="1"/>
  <c r="S10" i="3" s="1"/>
  <c r="Q15" i="1"/>
  <c r="Q10" i="3" s="1"/>
  <c r="S14" i="1"/>
  <c r="S9" i="3" s="1"/>
  <c r="Q14" i="1"/>
  <c r="Q9" i="3" s="1"/>
  <c r="S13" i="1"/>
  <c r="S8" i="3" s="1"/>
  <c r="Q13" i="1"/>
  <c r="Q8" i="3" s="1"/>
  <c r="S12" i="1"/>
  <c r="S7" i="3" s="1"/>
  <c r="Q12" i="1"/>
  <c r="Q7" i="3" s="1"/>
  <c r="Q11" i="1"/>
  <c r="Q6" i="3" s="1"/>
  <c r="S10" i="1"/>
  <c r="S5" i="3" s="1"/>
  <c r="Q10" i="1"/>
  <c r="Q5" i="3" s="1"/>
  <c r="W112" i="2" l="1"/>
  <c r="Q35" i="1"/>
  <c r="T23" i="2"/>
  <c r="R34" i="3"/>
  <c r="G34" i="3" s="1"/>
  <c r="T34" i="3"/>
  <c r="K34" i="3" s="1"/>
  <c r="S33" i="3"/>
  <c r="U34" i="3"/>
  <c r="M34" i="3" s="1"/>
  <c r="S34" i="1"/>
  <c r="S13" i="2" s="1"/>
  <c r="S162" i="2"/>
  <c r="R161" i="2"/>
  <c r="L161" i="2"/>
  <c r="H161" i="2"/>
  <c r="U160" i="2"/>
  <c r="T159" i="2"/>
  <c r="N159" i="2"/>
  <c r="J159" i="2"/>
  <c r="S158" i="2"/>
  <c r="R157" i="2"/>
  <c r="L157" i="2"/>
  <c r="H157" i="2"/>
  <c r="U156" i="2"/>
  <c r="T155" i="2"/>
  <c r="N155" i="2"/>
  <c r="J155" i="2"/>
  <c r="U144" i="2"/>
  <c r="R162" i="2"/>
  <c r="L162" i="2"/>
  <c r="H162" i="2"/>
  <c r="U161" i="2"/>
  <c r="T160" i="2"/>
  <c r="N160" i="2"/>
  <c r="J160" i="2"/>
  <c r="S159" i="2"/>
  <c r="R158" i="2"/>
  <c r="L158" i="2"/>
  <c r="H158" i="2"/>
  <c r="U157" i="2"/>
  <c r="T156" i="2"/>
  <c r="N156" i="2"/>
  <c r="J156" i="2"/>
  <c r="S155" i="2"/>
  <c r="T144" i="2"/>
  <c r="U162" i="2"/>
  <c r="T161" i="2"/>
  <c r="N161" i="2"/>
  <c r="J161" i="2"/>
  <c r="S160" i="2"/>
  <c r="R159" i="2"/>
  <c r="L159" i="2"/>
  <c r="H159" i="2"/>
  <c r="U158" i="2"/>
  <c r="T157" i="2"/>
  <c r="N157" i="2"/>
  <c r="J157" i="2"/>
  <c r="S156" i="2"/>
  <c r="R155" i="2"/>
  <c r="L155" i="2"/>
  <c r="H155" i="2"/>
  <c r="S144" i="2"/>
  <c r="T162" i="2"/>
  <c r="N162" i="2"/>
  <c r="J162" i="2"/>
  <c r="S161" i="2"/>
  <c r="R160" i="2"/>
  <c r="L160" i="2"/>
  <c r="H160" i="2"/>
  <c r="U159" i="2"/>
  <c r="T158" i="2"/>
  <c r="N158" i="2"/>
  <c r="J158" i="2"/>
  <c r="S157" i="2"/>
  <c r="R156" i="2"/>
  <c r="L156" i="2"/>
  <c r="H156" i="2"/>
  <c r="U155" i="2"/>
  <c r="R144" i="2"/>
  <c r="S141" i="2"/>
  <c r="S131" i="2"/>
  <c r="S164" i="2"/>
  <c r="R141" i="2"/>
  <c r="R131" i="2"/>
  <c r="S128" i="2"/>
  <c r="S153" i="2"/>
  <c r="R128" i="2"/>
  <c r="S166" i="2"/>
  <c r="R133" i="2"/>
  <c r="G133" i="2" s="1"/>
  <c r="U133" i="2"/>
  <c r="M133" i="2" s="1"/>
  <c r="U166" i="2"/>
  <c r="T133" i="2"/>
  <c r="K133" i="2" s="1"/>
  <c r="T166" i="2"/>
  <c r="S133" i="2"/>
  <c r="I133" i="2" s="1"/>
  <c r="S88" i="2"/>
  <c r="T85" i="2"/>
  <c r="R88" i="2"/>
  <c r="S85" i="2"/>
  <c r="U88" i="2"/>
  <c r="R85" i="2"/>
  <c r="T88" i="2"/>
  <c r="U85" i="2"/>
  <c r="U102" i="2"/>
  <c r="T102" i="2"/>
  <c r="S102" i="2"/>
  <c r="R102" i="2"/>
  <c r="R145" i="2"/>
  <c r="R154" i="2"/>
  <c r="S145" i="2"/>
  <c r="S78" i="2"/>
  <c r="R78" i="2"/>
  <c r="O146" i="2"/>
  <c r="O148" i="2" s="1"/>
  <c r="O71" i="2"/>
  <c r="O73" i="2" s="1"/>
  <c r="U164" i="2"/>
  <c r="T163" i="2"/>
  <c r="U152" i="2"/>
  <c r="T151" i="2"/>
  <c r="U142" i="2"/>
  <c r="T141" i="2"/>
  <c r="U132" i="2"/>
  <c r="T131" i="2"/>
  <c r="U165" i="2"/>
  <c r="T164" i="2"/>
  <c r="U153" i="2"/>
  <c r="T152" i="2"/>
  <c r="U145" i="2"/>
  <c r="U143" i="2"/>
  <c r="T142" i="2"/>
  <c r="T132" i="2"/>
  <c r="U129" i="2"/>
  <c r="T128" i="2"/>
  <c r="U125" i="2"/>
  <c r="T165" i="2"/>
  <c r="U154" i="2"/>
  <c r="T153" i="2"/>
  <c r="U150" i="2"/>
  <c r="T145" i="2"/>
  <c r="T143" i="2"/>
  <c r="U140" i="2"/>
  <c r="U130" i="2"/>
  <c r="T129" i="2"/>
  <c r="U126" i="2"/>
  <c r="T125" i="2"/>
  <c r="U163" i="2"/>
  <c r="T154" i="2"/>
  <c r="U151" i="2"/>
  <c r="T150" i="2"/>
  <c r="U141" i="2"/>
  <c r="T140" i="2"/>
  <c r="U127" i="2"/>
  <c r="U119" i="2"/>
  <c r="T118" i="2"/>
  <c r="U106" i="2"/>
  <c r="T105" i="2"/>
  <c r="T101" i="2"/>
  <c r="T93" i="2"/>
  <c r="U90" i="2"/>
  <c r="U82" i="2"/>
  <c r="T81" i="2"/>
  <c r="U78" i="2"/>
  <c r="T77" i="2"/>
  <c r="U70" i="2"/>
  <c r="T69" i="2"/>
  <c r="U66" i="2"/>
  <c r="U131" i="2"/>
  <c r="T127" i="2"/>
  <c r="U120" i="2"/>
  <c r="T119" i="2"/>
  <c r="T106" i="2"/>
  <c r="U91" i="2"/>
  <c r="T90" i="2"/>
  <c r="T82" i="2"/>
  <c r="U79" i="2"/>
  <c r="T78" i="2"/>
  <c r="U75" i="2"/>
  <c r="T70" i="2"/>
  <c r="U67" i="2"/>
  <c r="T66" i="2"/>
  <c r="U55" i="2"/>
  <c r="T54" i="2"/>
  <c r="T130" i="2"/>
  <c r="T126" i="2"/>
  <c r="T120" i="2"/>
  <c r="U117" i="2"/>
  <c r="U104" i="2"/>
  <c r="U100" i="2"/>
  <c r="T91" i="2"/>
  <c r="U80" i="2"/>
  <c r="T79" i="2"/>
  <c r="U76" i="2"/>
  <c r="T75" i="2"/>
  <c r="U68" i="2"/>
  <c r="T67" i="2"/>
  <c r="U128" i="2"/>
  <c r="U118" i="2"/>
  <c r="T117" i="2"/>
  <c r="U105" i="2"/>
  <c r="T104" i="2"/>
  <c r="U101" i="2"/>
  <c r="T100" i="2"/>
  <c r="U93" i="2"/>
  <c r="U81" i="2"/>
  <c r="T80" i="2"/>
  <c r="U77" i="2"/>
  <c r="T76" i="2"/>
  <c r="U69" i="2"/>
  <c r="T68" i="2"/>
  <c r="S23" i="2"/>
  <c r="T24" i="2"/>
  <c r="U25" i="2"/>
  <c r="R26" i="2"/>
  <c r="V26" i="2"/>
  <c r="S27" i="2"/>
  <c r="T28" i="2"/>
  <c r="U29" i="2"/>
  <c r="R30" i="2"/>
  <c r="V30" i="2"/>
  <c r="S31" i="2"/>
  <c r="T32" i="2"/>
  <c r="U33" i="2"/>
  <c r="R34" i="2"/>
  <c r="V34" i="2"/>
  <c r="S35" i="2"/>
  <c r="T36" i="2"/>
  <c r="U37" i="2"/>
  <c r="R38" i="2"/>
  <c r="V38" i="2"/>
  <c r="T40" i="2"/>
  <c r="U41" i="2"/>
  <c r="R42" i="2"/>
  <c r="V42" i="2"/>
  <c r="I42" i="2" s="1"/>
  <c r="S43" i="2"/>
  <c r="T44" i="2"/>
  <c r="L45" i="2"/>
  <c r="S45" i="2"/>
  <c r="T46" i="2"/>
  <c r="U47" i="2"/>
  <c r="L49" i="2"/>
  <c r="J50" i="2"/>
  <c r="U52" i="2"/>
  <c r="R53" i="2"/>
  <c r="V53" i="2"/>
  <c r="S54" i="2"/>
  <c r="R55" i="2"/>
  <c r="V57" i="2"/>
  <c r="G57" i="2" s="1"/>
  <c r="R58" i="2"/>
  <c r="L59" i="2"/>
  <c r="S59" i="2"/>
  <c r="I59" i="2" s="1"/>
  <c r="N61" i="2"/>
  <c r="S18" i="1"/>
  <c r="S13" i="3" s="1"/>
  <c r="G169" i="2"/>
  <c r="G146" i="2"/>
  <c r="G71" i="2"/>
  <c r="G121" i="2"/>
  <c r="G96" i="2"/>
  <c r="R116" i="2"/>
  <c r="U115" i="2"/>
  <c r="R103" i="2"/>
  <c r="U94" i="2"/>
  <c r="U116" i="2"/>
  <c r="T115" i="2"/>
  <c r="U103" i="2"/>
  <c r="T94" i="2"/>
  <c r="T116" i="2"/>
  <c r="S115" i="2"/>
  <c r="T103" i="2"/>
  <c r="S94" i="2"/>
  <c r="S116" i="2"/>
  <c r="R115" i="2"/>
  <c r="S103" i="2"/>
  <c r="R94" i="2"/>
  <c r="S80" i="2"/>
  <c r="S81" i="2"/>
  <c r="R80" i="2"/>
  <c r="S90" i="2"/>
  <c r="R81" i="2"/>
  <c r="R90" i="2"/>
  <c r="R111" i="2"/>
  <c r="G111" i="2" s="1"/>
  <c r="R109" i="2"/>
  <c r="G109" i="2" s="1"/>
  <c r="T108" i="2"/>
  <c r="K108" i="2" s="1"/>
  <c r="U111" i="2"/>
  <c r="M111" i="2" s="1"/>
  <c r="U109" i="2"/>
  <c r="M109" i="2" s="1"/>
  <c r="S108" i="2"/>
  <c r="I108" i="2" s="1"/>
  <c r="T111" i="2"/>
  <c r="K111" i="2" s="1"/>
  <c r="T109" i="2"/>
  <c r="K109" i="2" s="1"/>
  <c r="R108" i="2"/>
  <c r="G108" i="2" s="1"/>
  <c r="S111" i="2"/>
  <c r="I111" i="2" s="1"/>
  <c r="S109" i="2"/>
  <c r="I109" i="2" s="1"/>
  <c r="U108" i="2"/>
  <c r="M108" i="2" s="1"/>
  <c r="R143" i="2"/>
  <c r="S140" i="2"/>
  <c r="R140" i="2"/>
  <c r="S143" i="2"/>
  <c r="R120" i="2"/>
  <c r="S119" i="2"/>
  <c r="S120" i="2"/>
  <c r="R119" i="2"/>
  <c r="O169" i="2"/>
  <c r="O171" i="2" s="1"/>
  <c r="O121" i="2"/>
  <c r="O123" i="2" s="1"/>
  <c r="O96" i="2"/>
  <c r="O98" i="2" s="1"/>
  <c r="R139" i="2"/>
  <c r="U139" i="2"/>
  <c r="T139" i="2"/>
  <c r="S139" i="2"/>
  <c r="P144" i="2"/>
  <c r="J149" i="2"/>
  <c r="T114" i="2"/>
  <c r="S114" i="2"/>
  <c r="R114" i="2"/>
  <c r="U114" i="2"/>
  <c r="U24" i="2"/>
  <c r="R25" i="2"/>
  <c r="V25" i="2"/>
  <c r="S26" i="2"/>
  <c r="T27" i="2"/>
  <c r="U28" i="2"/>
  <c r="R29" i="2"/>
  <c r="V29" i="2"/>
  <c r="S30" i="2"/>
  <c r="T31" i="2"/>
  <c r="U32" i="2"/>
  <c r="R33" i="2"/>
  <c r="V33" i="2"/>
  <c r="S34" i="2"/>
  <c r="T35" i="2"/>
  <c r="U36" i="2"/>
  <c r="R37" i="2"/>
  <c r="V37" i="2"/>
  <c r="I37" i="2" s="1"/>
  <c r="S38" i="2"/>
  <c r="T39" i="2"/>
  <c r="U40" i="2"/>
  <c r="R41" i="2"/>
  <c r="V41" i="2"/>
  <c r="T43" i="2"/>
  <c r="U44" i="2"/>
  <c r="T45" i="2"/>
  <c r="U46" i="2"/>
  <c r="V47" i="2"/>
  <c r="G47" i="2" s="1"/>
  <c r="J48" i="2"/>
  <c r="R52" i="2"/>
  <c r="V52" i="2"/>
  <c r="S53" i="2"/>
  <c r="I53" i="2" s="1"/>
  <c r="U54" i="2"/>
  <c r="S55" i="2"/>
  <c r="S56" i="2"/>
  <c r="L58" i="2"/>
  <c r="L60" i="2" s="1"/>
  <c r="S58" i="2"/>
  <c r="H59" i="2"/>
  <c r="T59" i="2"/>
  <c r="K59" i="2" s="1"/>
  <c r="Q34" i="1"/>
  <c r="Q13" i="2" s="1"/>
  <c r="T65" i="2"/>
  <c r="N65" i="2"/>
  <c r="J65" i="2"/>
  <c r="S64" i="2"/>
  <c r="R63" i="2"/>
  <c r="L63" i="2"/>
  <c r="H63" i="2"/>
  <c r="U62" i="2"/>
  <c r="T61" i="2"/>
  <c r="S65" i="2"/>
  <c r="R64" i="2"/>
  <c r="L64" i="2"/>
  <c r="H64" i="2"/>
  <c r="U63" i="2"/>
  <c r="T62" i="2"/>
  <c r="N62" i="2"/>
  <c r="J62" i="2"/>
  <c r="S61" i="2"/>
  <c r="R60" i="2"/>
  <c r="U59" i="2"/>
  <c r="M59" i="2" s="1"/>
  <c r="T58" i="2"/>
  <c r="N58" i="2"/>
  <c r="N60" i="2" s="1"/>
  <c r="J58" i="2"/>
  <c r="J60" i="2" s="1"/>
  <c r="R65" i="2"/>
  <c r="L65" i="2"/>
  <c r="H65" i="2"/>
  <c r="U64" i="2"/>
  <c r="T63" i="2"/>
  <c r="N63" i="2"/>
  <c r="J63" i="2"/>
  <c r="S62" i="2"/>
  <c r="R61" i="2"/>
  <c r="U65" i="2"/>
  <c r="T64" i="2"/>
  <c r="N64" i="2"/>
  <c r="J64" i="2"/>
  <c r="S63" i="2"/>
  <c r="R62" i="2"/>
  <c r="L62" i="2"/>
  <c r="H62" i="2"/>
  <c r="U61" i="2"/>
  <c r="T60" i="2"/>
  <c r="S163" i="2"/>
  <c r="R130" i="2"/>
  <c r="S127" i="2"/>
  <c r="S152" i="2"/>
  <c r="S142" i="2"/>
  <c r="R127" i="2"/>
  <c r="R142" i="2"/>
  <c r="S130" i="2"/>
  <c r="S151" i="2"/>
  <c r="R126" i="2"/>
  <c r="R151" i="2"/>
  <c r="S132" i="2"/>
  <c r="S165" i="2"/>
  <c r="R152" i="2"/>
  <c r="R132" i="2"/>
  <c r="S117" i="2"/>
  <c r="S104" i="2"/>
  <c r="S100" i="2"/>
  <c r="S76" i="2"/>
  <c r="R117" i="2"/>
  <c r="S105" i="2"/>
  <c r="R104" i="2"/>
  <c r="S101" i="2"/>
  <c r="R100" i="2"/>
  <c r="R76" i="2"/>
  <c r="S57" i="2"/>
  <c r="R56" i="2"/>
  <c r="S106" i="2"/>
  <c r="R105" i="2"/>
  <c r="R101" i="2"/>
  <c r="S82" i="2"/>
  <c r="S66" i="2"/>
  <c r="S126" i="2"/>
  <c r="R106" i="2"/>
  <c r="R82" i="2"/>
  <c r="R66" i="2"/>
  <c r="R87" i="2"/>
  <c r="U87" i="2"/>
  <c r="T87" i="2"/>
  <c r="S87" i="2"/>
  <c r="R165" i="2"/>
  <c r="R153" i="2"/>
  <c r="R167" i="2"/>
  <c r="R163" i="2"/>
  <c r="R168" i="2"/>
  <c r="R91" i="2"/>
  <c r="R75" i="2"/>
  <c r="R93" i="2"/>
  <c r="R77" i="2"/>
  <c r="R69" i="2"/>
  <c r="S75" i="2"/>
  <c r="R70" i="2"/>
  <c r="I170" i="2"/>
  <c r="K147" i="2"/>
  <c r="G170" i="2"/>
  <c r="I147" i="2"/>
  <c r="G147" i="2"/>
  <c r="K170" i="2"/>
  <c r="K122" i="2"/>
  <c r="K97" i="2"/>
  <c r="I72" i="2"/>
  <c r="I122" i="2"/>
  <c r="I97" i="2"/>
  <c r="G72" i="2"/>
  <c r="G122" i="2"/>
  <c r="G97" i="2"/>
  <c r="K72" i="2"/>
  <c r="U23" i="2"/>
  <c r="R24" i="2"/>
  <c r="V24" i="2"/>
  <c r="S25" i="2"/>
  <c r="T26" i="2"/>
  <c r="U27" i="2"/>
  <c r="R28" i="2"/>
  <c r="V28" i="2"/>
  <c r="S29" i="2"/>
  <c r="T30" i="2"/>
  <c r="K30" i="2" s="1"/>
  <c r="U31" i="2"/>
  <c r="R32" i="2"/>
  <c r="V32" i="2"/>
  <c r="S33" i="2"/>
  <c r="T34" i="2"/>
  <c r="K34" i="2" s="1"/>
  <c r="U35" i="2"/>
  <c r="R36" i="2"/>
  <c r="V36" i="2"/>
  <c r="T38" i="2"/>
  <c r="U39" i="2"/>
  <c r="R40" i="2"/>
  <c r="V40" i="2"/>
  <c r="S41" i="2"/>
  <c r="T42" i="2"/>
  <c r="U43" i="2"/>
  <c r="R44" i="2"/>
  <c r="V44" i="2"/>
  <c r="J45" i="2"/>
  <c r="U45" i="2"/>
  <c r="V46" i="2"/>
  <c r="G46" i="2" s="1"/>
  <c r="S47" i="2"/>
  <c r="I47" i="2" s="1"/>
  <c r="O48" i="2"/>
  <c r="O50" i="2" s="1"/>
  <c r="J49" i="2"/>
  <c r="L50" i="2"/>
  <c r="L51" i="2" s="1"/>
  <c r="S52" i="2"/>
  <c r="T53" i="2"/>
  <c r="V54" i="2"/>
  <c r="T55" i="2"/>
  <c r="T56" i="2"/>
  <c r="T57" i="2"/>
  <c r="H58" i="2"/>
  <c r="U58" i="2"/>
  <c r="N59" i="2"/>
  <c r="S60" i="2"/>
  <c r="J61" i="2"/>
  <c r="Q18" i="1"/>
  <c r="Q13" i="3" s="1"/>
  <c r="R164" i="2"/>
  <c r="R79" i="2"/>
  <c r="S79" i="2"/>
  <c r="I169" i="2"/>
  <c r="I146" i="2"/>
  <c r="I71" i="2"/>
  <c r="I121" i="2"/>
  <c r="I96" i="2"/>
  <c r="U168" i="2"/>
  <c r="T167" i="2"/>
  <c r="T138" i="2"/>
  <c r="K138" i="2" s="1"/>
  <c r="R137" i="2"/>
  <c r="G137" i="2" s="1"/>
  <c r="T136" i="2"/>
  <c r="K136" i="2" s="1"/>
  <c r="R135" i="2"/>
  <c r="G135" i="2" s="1"/>
  <c r="T134" i="2"/>
  <c r="K134" i="2" s="1"/>
  <c r="T168" i="2"/>
  <c r="S167" i="2"/>
  <c r="S138" i="2"/>
  <c r="I138" i="2" s="1"/>
  <c r="U137" i="2"/>
  <c r="M137" i="2" s="1"/>
  <c r="S136" i="2"/>
  <c r="I136" i="2" s="1"/>
  <c r="U135" i="2"/>
  <c r="M135" i="2" s="1"/>
  <c r="S134" i="2"/>
  <c r="I134" i="2" s="1"/>
  <c r="S168" i="2"/>
  <c r="R138" i="2"/>
  <c r="G138" i="2" s="1"/>
  <c r="T137" i="2"/>
  <c r="K137" i="2" s="1"/>
  <c r="R136" i="2"/>
  <c r="G136" i="2" s="1"/>
  <c r="T135" i="2"/>
  <c r="K135" i="2" s="1"/>
  <c r="R134" i="2"/>
  <c r="G134" i="2" s="1"/>
  <c r="U167" i="2"/>
  <c r="U138" i="2"/>
  <c r="M138" i="2" s="1"/>
  <c r="S137" i="2"/>
  <c r="I137" i="2" s="1"/>
  <c r="U136" i="2"/>
  <c r="M136" i="2" s="1"/>
  <c r="S135" i="2"/>
  <c r="I135" i="2" s="1"/>
  <c r="U134" i="2"/>
  <c r="M134" i="2" s="1"/>
  <c r="U86" i="2"/>
  <c r="S84" i="2"/>
  <c r="R83" i="2"/>
  <c r="T86" i="2"/>
  <c r="R84" i="2"/>
  <c r="U83" i="2"/>
  <c r="S86" i="2"/>
  <c r="U84" i="2"/>
  <c r="T83" i="2"/>
  <c r="R86" i="2"/>
  <c r="T84" i="2"/>
  <c r="S83" i="2"/>
  <c r="R95" i="2"/>
  <c r="U95" i="2"/>
  <c r="T95" i="2"/>
  <c r="S95" i="2"/>
  <c r="S154" i="2"/>
  <c r="S150" i="2"/>
  <c r="R166" i="2"/>
  <c r="S68" i="2"/>
  <c r="S129" i="2"/>
  <c r="S125" i="2"/>
  <c r="S118" i="2"/>
  <c r="S67" i="2"/>
  <c r="T110" i="2"/>
  <c r="K110" i="2" s="1"/>
  <c r="S110" i="2"/>
  <c r="I110" i="2" s="1"/>
  <c r="R110" i="2"/>
  <c r="G110" i="2" s="1"/>
  <c r="U110" i="2"/>
  <c r="M110" i="2" s="1"/>
  <c r="R150" i="2"/>
  <c r="R67" i="2"/>
  <c r="S93" i="2"/>
  <c r="S77" i="2"/>
  <c r="S69" i="2"/>
  <c r="R68" i="2"/>
  <c r="R129" i="2"/>
  <c r="R125" i="2"/>
  <c r="R118" i="2"/>
  <c r="S70" i="2"/>
  <c r="S91" i="2"/>
  <c r="T89" i="2"/>
  <c r="S89" i="2"/>
  <c r="R89" i="2"/>
  <c r="U89" i="2"/>
  <c r="V165" i="2"/>
  <c r="V161" i="2"/>
  <c r="V157" i="2"/>
  <c r="V153" i="2"/>
  <c r="V145" i="2"/>
  <c r="V143" i="2"/>
  <c r="V139" i="2"/>
  <c r="V166" i="2"/>
  <c r="V162" i="2"/>
  <c r="V158" i="2"/>
  <c r="V154" i="2"/>
  <c r="V150" i="2"/>
  <c r="V140" i="2"/>
  <c r="V130" i="2"/>
  <c r="V126" i="2"/>
  <c r="V167" i="2"/>
  <c r="V163" i="2"/>
  <c r="V159" i="2"/>
  <c r="V155" i="2"/>
  <c r="V151" i="2"/>
  <c r="V141" i="2"/>
  <c r="V131" i="2"/>
  <c r="V127" i="2"/>
  <c r="V168" i="2"/>
  <c r="V164" i="2"/>
  <c r="V160" i="2"/>
  <c r="V156" i="2"/>
  <c r="V152" i="2"/>
  <c r="V144" i="2"/>
  <c r="V142" i="2"/>
  <c r="V132" i="2"/>
  <c r="V129" i="2"/>
  <c r="V125" i="2"/>
  <c r="V120" i="2"/>
  <c r="V116" i="2"/>
  <c r="V103" i="2"/>
  <c r="V95" i="2"/>
  <c r="V91" i="2"/>
  <c r="V87" i="2"/>
  <c r="V83" i="2"/>
  <c r="V79" i="2"/>
  <c r="V75" i="2"/>
  <c r="V67" i="2"/>
  <c r="V63" i="2"/>
  <c r="V117" i="2"/>
  <c r="V104" i="2"/>
  <c r="V100" i="2"/>
  <c r="V92" i="2"/>
  <c r="V88" i="2"/>
  <c r="V84" i="2"/>
  <c r="V80" i="2"/>
  <c r="V76" i="2"/>
  <c r="V68" i="2"/>
  <c r="V64" i="2"/>
  <c r="V60" i="2"/>
  <c r="V56" i="2"/>
  <c r="V128" i="2"/>
  <c r="V118" i="2"/>
  <c r="V114" i="2"/>
  <c r="V105" i="2"/>
  <c r="V101" i="2"/>
  <c r="V93" i="2"/>
  <c r="V89" i="2"/>
  <c r="V85" i="2"/>
  <c r="V81" i="2"/>
  <c r="V77" i="2"/>
  <c r="V69" i="2"/>
  <c r="V65" i="2"/>
  <c r="V61" i="2"/>
  <c r="V119" i="2"/>
  <c r="V115" i="2"/>
  <c r="V106" i="2"/>
  <c r="V102" i="2"/>
  <c r="V94" i="2"/>
  <c r="V90" i="2"/>
  <c r="V86" i="2"/>
  <c r="V82" i="2"/>
  <c r="V78" i="2"/>
  <c r="V70" i="2"/>
  <c r="V66" i="2"/>
  <c r="V62" i="2"/>
  <c r="R23" i="2"/>
  <c r="V23" i="2"/>
  <c r="S24" i="2"/>
  <c r="T25" i="2"/>
  <c r="U26" i="2"/>
  <c r="R27" i="2"/>
  <c r="V27" i="2"/>
  <c r="S28" i="2"/>
  <c r="T29" i="2"/>
  <c r="U30" i="2"/>
  <c r="M30" i="2" s="1"/>
  <c r="R31" i="2"/>
  <c r="V31" i="2"/>
  <c r="S32" i="2"/>
  <c r="I32" i="2" s="1"/>
  <c r="T33" i="2"/>
  <c r="U34" i="2"/>
  <c r="R35" i="2"/>
  <c r="V35" i="2"/>
  <c r="S36" i="2"/>
  <c r="I36" i="2" s="1"/>
  <c r="T37" i="2"/>
  <c r="U38" i="2"/>
  <c r="R39" i="2"/>
  <c r="V39" i="2"/>
  <c r="I39" i="2" s="1"/>
  <c r="S40" i="2"/>
  <c r="T41" i="2"/>
  <c r="U42" i="2"/>
  <c r="R43" i="2"/>
  <c r="V43" i="2"/>
  <c r="S44" i="2"/>
  <c r="R45" i="2"/>
  <c r="V45" i="2"/>
  <c r="S46" i="2"/>
  <c r="T47" i="2"/>
  <c r="G48" i="2"/>
  <c r="T52" i="2"/>
  <c r="U53" i="2"/>
  <c r="R54" i="2"/>
  <c r="V55" i="2"/>
  <c r="U56" i="2"/>
  <c r="U57" i="2"/>
  <c r="V58" i="2"/>
  <c r="J59" i="2"/>
  <c r="R59" i="2"/>
  <c r="G59" i="2" s="1"/>
  <c r="U60" i="2"/>
  <c r="L61" i="2"/>
  <c r="W107" i="2"/>
  <c r="S134" i="3"/>
  <c r="R133" i="3"/>
  <c r="L133" i="3"/>
  <c r="H133" i="3"/>
  <c r="U132" i="3"/>
  <c r="T131" i="3"/>
  <c r="N131" i="3"/>
  <c r="J131" i="3"/>
  <c r="S130" i="3"/>
  <c r="R129" i="3"/>
  <c r="L129" i="3"/>
  <c r="H129" i="3"/>
  <c r="U128" i="3"/>
  <c r="T127" i="3"/>
  <c r="J127" i="3"/>
  <c r="R125" i="3"/>
  <c r="L125" i="3"/>
  <c r="L127" i="3" s="1"/>
  <c r="H125" i="3"/>
  <c r="R134" i="3"/>
  <c r="L134" i="3"/>
  <c r="H134" i="3"/>
  <c r="U133" i="3"/>
  <c r="T132" i="3"/>
  <c r="N132" i="3"/>
  <c r="J132" i="3"/>
  <c r="S131" i="3"/>
  <c r="R130" i="3"/>
  <c r="L130" i="3"/>
  <c r="H130" i="3"/>
  <c r="U129" i="3"/>
  <c r="T128" i="3"/>
  <c r="N128" i="3"/>
  <c r="J128" i="3"/>
  <c r="S127" i="3"/>
  <c r="L126" i="3"/>
  <c r="H126" i="3"/>
  <c r="U125" i="3"/>
  <c r="T134" i="3"/>
  <c r="J134" i="3"/>
  <c r="S133" i="3"/>
  <c r="R132" i="3"/>
  <c r="H132" i="3"/>
  <c r="N130" i="3"/>
  <c r="L128" i="3"/>
  <c r="U127" i="3"/>
  <c r="J126" i="3"/>
  <c r="S125" i="3"/>
  <c r="N133" i="3"/>
  <c r="L131" i="3"/>
  <c r="U130" i="3"/>
  <c r="T129" i="3"/>
  <c r="J129" i="3"/>
  <c r="S128" i="3"/>
  <c r="R127" i="3"/>
  <c r="N125" i="3"/>
  <c r="N127" i="3" s="1"/>
  <c r="N134" i="3"/>
  <c r="L132" i="3"/>
  <c r="U131" i="3"/>
  <c r="T130" i="3"/>
  <c r="J130" i="3"/>
  <c r="S129" i="3"/>
  <c r="R128" i="3"/>
  <c r="H128" i="3"/>
  <c r="N126" i="3"/>
  <c r="U134" i="3"/>
  <c r="T133" i="3"/>
  <c r="J133" i="3"/>
  <c r="S132" i="3"/>
  <c r="R131" i="3"/>
  <c r="H131" i="3"/>
  <c r="N129" i="3"/>
  <c r="T125" i="3"/>
  <c r="J125" i="3"/>
  <c r="T177" i="3"/>
  <c r="S177" i="3"/>
  <c r="R177" i="3"/>
  <c r="U177" i="3"/>
  <c r="S79" i="3"/>
  <c r="R79" i="3"/>
  <c r="U79" i="3"/>
  <c r="T79" i="3"/>
  <c r="K189" i="3"/>
  <c r="K162" i="3"/>
  <c r="I189" i="3"/>
  <c r="I162" i="3"/>
  <c r="G189" i="3"/>
  <c r="G162" i="3"/>
  <c r="K142" i="3"/>
  <c r="I142" i="3"/>
  <c r="G142" i="3"/>
  <c r="G105" i="3"/>
  <c r="I105" i="3"/>
  <c r="G70" i="3"/>
  <c r="K41" i="3"/>
  <c r="K70" i="3"/>
  <c r="I41" i="3"/>
  <c r="K105" i="3"/>
  <c r="I70" i="3"/>
  <c r="G41" i="3"/>
  <c r="U23" i="3"/>
  <c r="R24" i="3"/>
  <c r="V24" i="3"/>
  <c r="S25" i="3"/>
  <c r="T26" i="3"/>
  <c r="U27" i="3"/>
  <c r="R28" i="3"/>
  <c r="V28" i="3"/>
  <c r="S29" i="3"/>
  <c r="T30" i="3"/>
  <c r="U31" i="3"/>
  <c r="R32" i="3"/>
  <c r="V32" i="3"/>
  <c r="R35" i="3"/>
  <c r="U37" i="3"/>
  <c r="V38" i="3"/>
  <c r="S126" i="3"/>
  <c r="R126" i="3"/>
  <c r="T126" i="3"/>
  <c r="U126" i="3"/>
  <c r="S187" i="3"/>
  <c r="S184" i="3"/>
  <c r="S180" i="3"/>
  <c r="S176" i="3"/>
  <c r="S172" i="3"/>
  <c r="S168" i="3"/>
  <c r="S181" i="3"/>
  <c r="S173" i="3"/>
  <c r="S165" i="3"/>
  <c r="I188" i="3"/>
  <c r="S182" i="3"/>
  <c r="S178" i="3"/>
  <c r="S174" i="3"/>
  <c r="S170" i="3"/>
  <c r="S166" i="3"/>
  <c r="I161" i="3"/>
  <c r="S158" i="3"/>
  <c r="S154" i="3"/>
  <c r="S186" i="3"/>
  <c r="S183" i="3"/>
  <c r="S179" i="3"/>
  <c r="S175" i="3"/>
  <c r="S171" i="3"/>
  <c r="S167" i="3"/>
  <c r="S159" i="3"/>
  <c r="S155" i="3"/>
  <c r="S151" i="3"/>
  <c r="S160" i="3"/>
  <c r="S149" i="3"/>
  <c r="S145" i="3"/>
  <c r="S137" i="3"/>
  <c r="S157" i="3"/>
  <c r="S153" i="3"/>
  <c r="S146" i="3"/>
  <c r="I141" i="3"/>
  <c r="S138" i="3"/>
  <c r="S147" i="3"/>
  <c r="S139" i="3"/>
  <c r="S135" i="3"/>
  <c r="S156" i="3"/>
  <c r="S152" i="3"/>
  <c r="S150" i="3"/>
  <c r="S148" i="3"/>
  <c r="S140" i="3"/>
  <c r="S136" i="3"/>
  <c r="S122" i="3"/>
  <c r="S110" i="3"/>
  <c r="S102" i="3"/>
  <c r="S123" i="3"/>
  <c r="S119" i="3"/>
  <c r="S115" i="3"/>
  <c r="S111" i="3"/>
  <c r="S124" i="3"/>
  <c r="S120" i="3"/>
  <c r="S116" i="3"/>
  <c r="S112" i="3"/>
  <c r="S108" i="3"/>
  <c r="S121" i="3"/>
  <c r="S117" i="3"/>
  <c r="S113" i="3"/>
  <c r="S109" i="3"/>
  <c r="I104" i="3"/>
  <c r="S101" i="3"/>
  <c r="S103" i="3"/>
  <c r="S99" i="3"/>
  <c r="S95" i="3"/>
  <c r="S83" i="3"/>
  <c r="S75" i="3"/>
  <c r="S67" i="3"/>
  <c r="S63" i="3"/>
  <c r="S59" i="3"/>
  <c r="S55" i="3"/>
  <c r="S51" i="3"/>
  <c r="S47" i="3"/>
  <c r="S96" i="3"/>
  <c r="S80" i="3"/>
  <c r="S76" i="3"/>
  <c r="S68" i="3"/>
  <c r="S60" i="3"/>
  <c r="S56" i="3"/>
  <c r="S52" i="3"/>
  <c r="S48" i="3"/>
  <c r="S44" i="3"/>
  <c r="S100" i="3"/>
  <c r="S97" i="3"/>
  <c r="S81" i="3"/>
  <c r="S77" i="3"/>
  <c r="S73" i="3"/>
  <c r="S65" i="3"/>
  <c r="S61" i="3"/>
  <c r="S57" i="3"/>
  <c r="S53" i="3"/>
  <c r="S49" i="3"/>
  <c r="S45" i="3"/>
  <c r="I40" i="3"/>
  <c r="S37" i="3"/>
  <c r="S98" i="3"/>
  <c r="S82" i="3"/>
  <c r="S78" i="3"/>
  <c r="S74" i="3"/>
  <c r="I69" i="3"/>
  <c r="S66" i="3"/>
  <c r="S62" i="3"/>
  <c r="S58" i="3"/>
  <c r="S54" i="3"/>
  <c r="S50" i="3"/>
  <c r="S46" i="3"/>
  <c r="S38" i="3"/>
  <c r="T181" i="3"/>
  <c r="T173" i="3"/>
  <c r="T165" i="3"/>
  <c r="T182" i="3"/>
  <c r="T178" i="3"/>
  <c r="T174" i="3"/>
  <c r="T170" i="3"/>
  <c r="T166" i="3"/>
  <c r="T186" i="3"/>
  <c r="T183" i="3"/>
  <c r="T179" i="3"/>
  <c r="T175" i="3"/>
  <c r="T171" i="3"/>
  <c r="T167" i="3"/>
  <c r="T159" i="3"/>
  <c r="T155" i="3"/>
  <c r="T187" i="3"/>
  <c r="T184" i="3"/>
  <c r="T180" i="3"/>
  <c r="T176" i="3"/>
  <c r="T172" i="3"/>
  <c r="T168" i="3"/>
  <c r="T160" i="3"/>
  <c r="T156" i="3"/>
  <c r="T152" i="3"/>
  <c r="T157" i="3"/>
  <c r="T153" i="3"/>
  <c r="T146" i="3"/>
  <c r="T138" i="3"/>
  <c r="T147" i="3"/>
  <c r="T139" i="3"/>
  <c r="T135" i="3"/>
  <c r="T151" i="3"/>
  <c r="T150" i="3"/>
  <c r="T148" i="3"/>
  <c r="T140" i="3"/>
  <c r="T136" i="3"/>
  <c r="T158" i="3"/>
  <c r="T154" i="3"/>
  <c r="T149" i="3"/>
  <c r="T145" i="3"/>
  <c r="T123" i="3"/>
  <c r="T119" i="3"/>
  <c r="T115" i="3"/>
  <c r="T111" i="3"/>
  <c r="T103" i="3"/>
  <c r="T99" i="3"/>
  <c r="T124" i="3"/>
  <c r="T120" i="3"/>
  <c r="T116" i="3"/>
  <c r="T112" i="3"/>
  <c r="T108" i="3"/>
  <c r="T137" i="3"/>
  <c r="T121" i="3"/>
  <c r="T117" i="3"/>
  <c r="T113" i="3"/>
  <c r="T109" i="3"/>
  <c r="T122" i="3"/>
  <c r="T110" i="3"/>
  <c r="T102" i="3"/>
  <c r="T98" i="3"/>
  <c r="T101" i="3"/>
  <c r="T96" i="3"/>
  <c r="T80" i="3"/>
  <c r="T76" i="3"/>
  <c r="T68" i="3"/>
  <c r="T60" i="3"/>
  <c r="T56" i="3"/>
  <c r="T52" i="3"/>
  <c r="T48" i="3"/>
  <c r="T44" i="3"/>
  <c r="T100" i="3"/>
  <c r="T97" i="3"/>
  <c r="T81" i="3"/>
  <c r="T77" i="3"/>
  <c r="T73" i="3"/>
  <c r="T65" i="3"/>
  <c r="T61" i="3"/>
  <c r="T57" i="3"/>
  <c r="T53" i="3"/>
  <c r="T49" i="3"/>
  <c r="T45" i="3"/>
  <c r="T82" i="3"/>
  <c r="T78" i="3"/>
  <c r="T74" i="3"/>
  <c r="T66" i="3"/>
  <c r="T62" i="3"/>
  <c r="T58" i="3"/>
  <c r="T54" i="3"/>
  <c r="T50" i="3"/>
  <c r="T46" i="3"/>
  <c r="T38" i="3"/>
  <c r="T95" i="3"/>
  <c r="T83" i="3"/>
  <c r="T75" i="3"/>
  <c r="T67" i="3"/>
  <c r="T63" i="3"/>
  <c r="T59" i="3"/>
  <c r="T55" i="3"/>
  <c r="T51" i="3"/>
  <c r="T47" i="3"/>
  <c r="T39" i="3"/>
  <c r="T35" i="3"/>
  <c r="R23" i="3"/>
  <c r="V23" i="3"/>
  <c r="S24" i="3"/>
  <c r="T25" i="3"/>
  <c r="U26" i="3"/>
  <c r="R27" i="3"/>
  <c r="V27" i="3"/>
  <c r="S28" i="3"/>
  <c r="T29" i="3"/>
  <c r="U30" i="3"/>
  <c r="R31" i="3"/>
  <c r="V31" i="3"/>
  <c r="S32" i="3"/>
  <c r="T33" i="3"/>
  <c r="S35" i="3"/>
  <c r="S36" i="3"/>
  <c r="R94" i="3"/>
  <c r="U93" i="3"/>
  <c r="T92" i="3"/>
  <c r="N92" i="3"/>
  <c r="J92" i="3"/>
  <c r="S91" i="3"/>
  <c r="R90" i="3"/>
  <c r="L90" i="3"/>
  <c r="H90" i="3"/>
  <c r="U89" i="3"/>
  <c r="T88" i="3"/>
  <c r="S87" i="3"/>
  <c r="R86" i="3"/>
  <c r="U85" i="3"/>
  <c r="T84" i="3"/>
  <c r="N84" i="3"/>
  <c r="J84" i="3"/>
  <c r="U94" i="3"/>
  <c r="T93" i="3"/>
  <c r="N93" i="3"/>
  <c r="J93" i="3"/>
  <c r="S92" i="3"/>
  <c r="R91" i="3"/>
  <c r="U90" i="3"/>
  <c r="T89" i="3"/>
  <c r="N89" i="3"/>
  <c r="J89" i="3"/>
  <c r="S88" i="3"/>
  <c r="R87" i="3"/>
  <c r="U86" i="3"/>
  <c r="T85" i="3"/>
  <c r="N85" i="3"/>
  <c r="N88" i="3" s="1"/>
  <c r="J85" i="3"/>
  <c r="J88" i="3" s="1"/>
  <c r="S84" i="3"/>
  <c r="T94" i="3"/>
  <c r="N94" i="3"/>
  <c r="J94" i="3"/>
  <c r="S93" i="3"/>
  <c r="R92" i="3"/>
  <c r="L92" i="3"/>
  <c r="H92" i="3"/>
  <c r="U91" i="3"/>
  <c r="T90" i="3"/>
  <c r="N90" i="3"/>
  <c r="J90" i="3"/>
  <c r="S89" i="3"/>
  <c r="R88" i="3"/>
  <c r="U87" i="3"/>
  <c r="T86" i="3"/>
  <c r="S85" i="3"/>
  <c r="R84" i="3"/>
  <c r="L84" i="3"/>
  <c r="H84" i="3"/>
  <c r="S94" i="3"/>
  <c r="R93" i="3"/>
  <c r="L93" i="3"/>
  <c r="H93" i="3"/>
  <c r="U92" i="3"/>
  <c r="T91" i="3"/>
  <c r="S90" i="3"/>
  <c r="R89" i="3"/>
  <c r="L89" i="3"/>
  <c r="H89" i="3"/>
  <c r="U88" i="3"/>
  <c r="T87" i="3"/>
  <c r="S86" i="3"/>
  <c r="R85" i="3"/>
  <c r="L85" i="3"/>
  <c r="L86" i="3" s="1"/>
  <c r="H85" i="3"/>
  <c r="U84" i="3"/>
  <c r="O188" i="3"/>
  <c r="O161" i="3"/>
  <c r="O141" i="3"/>
  <c r="O104" i="3"/>
  <c r="O40" i="3"/>
  <c r="O42" i="3" s="1"/>
  <c r="O69" i="3"/>
  <c r="T185" i="3"/>
  <c r="K185" i="3" s="1"/>
  <c r="S185" i="3"/>
  <c r="I185" i="3" s="1"/>
  <c r="R185" i="3"/>
  <c r="G185" i="3" s="1"/>
  <c r="U185" i="3"/>
  <c r="M185" i="3" s="1"/>
  <c r="T64" i="3"/>
  <c r="S64" i="3"/>
  <c r="R64" i="3"/>
  <c r="U64" i="3"/>
  <c r="S114" i="3"/>
  <c r="R114" i="3"/>
  <c r="U114" i="3"/>
  <c r="T114" i="3"/>
  <c r="U182" i="3"/>
  <c r="U178" i="3"/>
  <c r="U174" i="3"/>
  <c r="U170" i="3"/>
  <c r="U166" i="3"/>
  <c r="U186" i="3"/>
  <c r="U183" i="3"/>
  <c r="U179" i="3"/>
  <c r="U175" i="3"/>
  <c r="U171" i="3"/>
  <c r="U167" i="3"/>
  <c r="U187" i="3"/>
  <c r="U184" i="3"/>
  <c r="U180" i="3"/>
  <c r="U176" i="3"/>
  <c r="U172" i="3"/>
  <c r="U168" i="3"/>
  <c r="U160" i="3"/>
  <c r="U156" i="3"/>
  <c r="U152" i="3"/>
  <c r="U181" i="3"/>
  <c r="U173" i="3"/>
  <c r="U165" i="3"/>
  <c r="U157" i="3"/>
  <c r="U153" i="3"/>
  <c r="U147" i="3"/>
  <c r="U139" i="3"/>
  <c r="U159" i="3"/>
  <c r="U155" i="3"/>
  <c r="U151" i="3"/>
  <c r="U150" i="3"/>
  <c r="U148" i="3"/>
  <c r="U140" i="3"/>
  <c r="U136" i="3"/>
  <c r="U158" i="3"/>
  <c r="U154" i="3"/>
  <c r="U149" i="3"/>
  <c r="U145" i="3"/>
  <c r="U137" i="3"/>
  <c r="U146" i="3"/>
  <c r="U124" i="3"/>
  <c r="U120" i="3"/>
  <c r="U116" i="3"/>
  <c r="U112" i="3"/>
  <c r="U108" i="3"/>
  <c r="U100" i="3"/>
  <c r="U121" i="3"/>
  <c r="U117" i="3"/>
  <c r="U113" i="3"/>
  <c r="U109" i="3"/>
  <c r="U135" i="3"/>
  <c r="U122" i="3"/>
  <c r="U110" i="3"/>
  <c r="U138" i="3"/>
  <c r="U123" i="3"/>
  <c r="U119" i="3"/>
  <c r="U115" i="3"/>
  <c r="U111" i="3"/>
  <c r="U103" i="3"/>
  <c r="U99" i="3"/>
  <c r="U97" i="3"/>
  <c r="U81" i="3"/>
  <c r="U77" i="3"/>
  <c r="U73" i="3"/>
  <c r="U65" i="3"/>
  <c r="U61" i="3"/>
  <c r="U57" i="3"/>
  <c r="U53" i="3"/>
  <c r="U49" i="3"/>
  <c r="U45" i="3"/>
  <c r="U82" i="3"/>
  <c r="U78" i="3"/>
  <c r="U74" i="3"/>
  <c r="U66" i="3"/>
  <c r="U62" i="3"/>
  <c r="U58" i="3"/>
  <c r="U54" i="3"/>
  <c r="U50" i="3"/>
  <c r="U46" i="3"/>
  <c r="U38" i="3"/>
  <c r="U102" i="3"/>
  <c r="U98" i="3"/>
  <c r="U95" i="3"/>
  <c r="U83" i="3"/>
  <c r="U75" i="3"/>
  <c r="U67" i="3"/>
  <c r="U63" i="3"/>
  <c r="U59" i="3"/>
  <c r="U55" i="3"/>
  <c r="U51" i="3"/>
  <c r="U47" i="3"/>
  <c r="U39" i="3"/>
  <c r="U101" i="3"/>
  <c r="U96" i="3"/>
  <c r="U80" i="3"/>
  <c r="U76" i="3"/>
  <c r="U68" i="3"/>
  <c r="U60" i="3"/>
  <c r="U56" i="3"/>
  <c r="U52" i="3"/>
  <c r="U48" i="3"/>
  <c r="U44" i="3"/>
  <c r="U36" i="3"/>
  <c r="S23" i="3"/>
  <c r="T24" i="3"/>
  <c r="U25" i="3"/>
  <c r="R26" i="3"/>
  <c r="V26" i="3"/>
  <c r="S27" i="3"/>
  <c r="T28" i="3"/>
  <c r="U29" i="3"/>
  <c r="R30" i="3"/>
  <c r="V30" i="3"/>
  <c r="S31" i="3"/>
  <c r="T32" i="3"/>
  <c r="U33" i="3"/>
  <c r="U35" i="3"/>
  <c r="T36" i="3"/>
  <c r="R186" i="3"/>
  <c r="R183" i="3"/>
  <c r="R179" i="3"/>
  <c r="R175" i="3"/>
  <c r="R171" i="3"/>
  <c r="R167" i="3"/>
  <c r="R187" i="3"/>
  <c r="R184" i="3"/>
  <c r="R180" i="3"/>
  <c r="R176" i="3"/>
  <c r="R172" i="3"/>
  <c r="R168" i="3"/>
  <c r="R160" i="3"/>
  <c r="R181" i="3"/>
  <c r="R173" i="3"/>
  <c r="R165" i="3"/>
  <c r="R157" i="3"/>
  <c r="R153" i="3"/>
  <c r="G188" i="3"/>
  <c r="R182" i="3"/>
  <c r="R178" i="3"/>
  <c r="R174" i="3"/>
  <c r="R170" i="3"/>
  <c r="R166" i="3"/>
  <c r="G161" i="3"/>
  <c r="R158" i="3"/>
  <c r="R154" i="3"/>
  <c r="R150" i="3"/>
  <c r="R156" i="3"/>
  <c r="R152" i="3"/>
  <c r="R148" i="3"/>
  <c r="R140" i="3"/>
  <c r="R149" i="3"/>
  <c r="R145" i="3"/>
  <c r="R137" i="3"/>
  <c r="R159" i="3"/>
  <c r="R155" i="3"/>
  <c r="R146" i="3"/>
  <c r="G141" i="3"/>
  <c r="R138" i="3"/>
  <c r="R151" i="3"/>
  <c r="R147" i="3"/>
  <c r="R139" i="3"/>
  <c r="R121" i="3"/>
  <c r="R117" i="3"/>
  <c r="R113" i="3"/>
  <c r="R109" i="3"/>
  <c r="G104" i="3"/>
  <c r="R101" i="3"/>
  <c r="R136" i="3"/>
  <c r="R122" i="3"/>
  <c r="R110" i="3"/>
  <c r="R123" i="3"/>
  <c r="R119" i="3"/>
  <c r="R115" i="3"/>
  <c r="R111" i="3"/>
  <c r="R135" i="3"/>
  <c r="R124" i="3"/>
  <c r="R120" i="3"/>
  <c r="R116" i="3"/>
  <c r="R112" i="3"/>
  <c r="R108" i="3"/>
  <c r="R100" i="3"/>
  <c r="R98" i="3"/>
  <c r="R82" i="3"/>
  <c r="R78" i="3"/>
  <c r="R74" i="3"/>
  <c r="G69" i="3"/>
  <c r="R66" i="3"/>
  <c r="R62" i="3"/>
  <c r="R58" i="3"/>
  <c r="R54" i="3"/>
  <c r="R50" i="3"/>
  <c r="R46" i="3"/>
  <c r="R103" i="3"/>
  <c r="R99" i="3"/>
  <c r="R95" i="3"/>
  <c r="R83" i="3"/>
  <c r="R75" i="3"/>
  <c r="R67" i="3"/>
  <c r="R63" i="3"/>
  <c r="R59" i="3"/>
  <c r="R55" i="3"/>
  <c r="R51" i="3"/>
  <c r="R47" i="3"/>
  <c r="R39" i="3"/>
  <c r="R96" i="3"/>
  <c r="R80" i="3"/>
  <c r="R76" i="3"/>
  <c r="R68" i="3"/>
  <c r="R60" i="3"/>
  <c r="R56" i="3"/>
  <c r="R52" i="3"/>
  <c r="R48" i="3"/>
  <c r="R44" i="3"/>
  <c r="R36" i="3"/>
  <c r="R102" i="3"/>
  <c r="R97" i="3"/>
  <c r="R81" i="3"/>
  <c r="R77" i="3"/>
  <c r="R73" i="3"/>
  <c r="R65" i="3"/>
  <c r="R61" i="3"/>
  <c r="R57" i="3"/>
  <c r="R53" i="3"/>
  <c r="R49" i="3"/>
  <c r="R45" i="3"/>
  <c r="G40" i="3"/>
  <c r="R37" i="3"/>
  <c r="T169" i="3"/>
  <c r="S169" i="3"/>
  <c r="R169" i="3"/>
  <c r="U169" i="3"/>
  <c r="S118" i="3"/>
  <c r="R118" i="3"/>
  <c r="U118" i="3"/>
  <c r="T118" i="3"/>
  <c r="V186" i="3"/>
  <c r="V183" i="3"/>
  <c r="V179" i="3"/>
  <c r="V175" i="3"/>
  <c r="V171" i="3"/>
  <c r="V167" i="3"/>
  <c r="V187" i="3"/>
  <c r="V184" i="3"/>
  <c r="V180" i="3"/>
  <c r="V176" i="3"/>
  <c r="V172" i="3"/>
  <c r="V168" i="3"/>
  <c r="V160" i="3"/>
  <c r="V181" i="3"/>
  <c r="V177" i="3"/>
  <c r="V173" i="3"/>
  <c r="V169" i="3"/>
  <c r="V165" i="3"/>
  <c r="V157" i="3"/>
  <c r="V153" i="3"/>
  <c r="V182" i="3"/>
  <c r="V178" i="3"/>
  <c r="V174" i="3"/>
  <c r="V170" i="3"/>
  <c r="V166" i="3"/>
  <c r="V158" i="3"/>
  <c r="V154" i="3"/>
  <c r="V150" i="3"/>
  <c r="V159" i="3"/>
  <c r="V155" i="3"/>
  <c r="V151" i="3"/>
  <c r="V148" i="3"/>
  <c r="V140" i="3"/>
  <c r="V149" i="3"/>
  <c r="V145" i="3"/>
  <c r="V137" i="3"/>
  <c r="V133" i="3"/>
  <c r="V129" i="3"/>
  <c r="V125" i="3"/>
  <c r="V156" i="3"/>
  <c r="V152" i="3"/>
  <c r="V146" i="3"/>
  <c r="V138" i="3"/>
  <c r="V134" i="3"/>
  <c r="V130" i="3"/>
  <c r="V126" i="3"/>
  <c r="V147" i="3"/>
  <c r="V128" i="3"/>
  <c r="V121" i="3"/>
  <c r="V117" i="3"/>
  <c r="V113" i="3"/>
  <c r="V109" i="3"/>
  <c r="V101" i="3"/>
  <c r="V135" i="3"/>
  <c r="V131" i="3"/>
  <c r="V122" i="3"/>
  <c r="V118" i="3"/>
  <c r="V114" i="3"/>
  <c r="V110" i="3"/>
  <c r="V132" i="3"/>
  <c r="V123" i="3"/>
  <c r="V119" i="3"/>
  <c r="V115" i="3"/>
  <c r="V111" i="3"/>
  <c r="V139" i="3"/>
  <c r="V136" i="3"/>
  <c r="V127" i="3"/>
  <c r="V124" i="3"/>
  <c r="V120" i="3"/>
  <c r="V116" i="3"/>
  <c r="V112" i="3"/>
  <c r="V108" i="3"/>
  <c r="V100" i="3"/>
  <c r="V94" i="3"/>
  <c r="V90" i="3"/>
  <c r="V86" i="3"/>
  <c r="V82" i="3"/>
  <c r="V78" i="3"/>
  <c r="V74" i="3"/>
  <c r="V66" i="3"/>
  <c r="V62" i="3"/>
  <c r="V58" i="3"/>
  <c r="V54" i="3"/>
  <c r="V50" i="3"/>
  <c r="V46" i="3"/>
  <c r="V102" i="3"/>
  <c r="V98" i="3"/>
  <c r="V95" i="3"/>
  <c r="V91" i="3"/>
  <c r="V87" i="3"/>
  <c r="V83" i="3"/>
  <c r="V79" i="3"/>
  <c r="V75" i="3"/>
  <c r="V67" i="3"/>
  <c r="V63" i="3"/>
  <c r="V59" i="3"/>
  <c r="V55" i="3"/>
  <c r="V51" i="3"/>
  <c r="V47" i="3"/>
  <c r="V39" i="3"/>
  <c r="V96" i="3"/>
  <c r="V92" i="3"/>
  <c r="V88" i="3"/>
  <c r="V84" i="3"/>
  <c r="V80" i="3"/>
  <c r="V76" i="3"/>
  <c r="V68" i="3"/>
  <c r="V64" i="3"/>
  <c r="V60" i="3"/>
  <c r="V56" i="3"/>
  <c r="V52" i="3"/>
  <c r="V48" i="3"/>
  <c r="V44" i="3"/>
  <c r="V36" i="3"/>
  <c r="V103" i="3"/>
  <c r="V99" i="3"/>
  <c r="V97" i="3"/>
  <c r="V93" i="3"/>
  <c r="V89" i="3"/>
  <c r="V85" i="3"/>
  <c r="V81" i="3"/>
  <c r="V77" i="3"/>
  <c r="V73" i="3"/>
  <c r="V65" i="3"/>
  <c r="V61" i="3"/>
  <c r="V57" i="3"/>
  <c r="V53" i="3"/>
  <c r="V49" i="3"/>
  <c r="V45" i="3"/>
  <c r="V37" i="3"/>
  <c r="T23" i="3"/>
  <c r="K23" i="3" s="1"/>
  <c r="U24" i="3"/>
  <c r="R25" i="3"/>
  <c r="V25" i="3"/>
  <c r="S26" i="3"/>
  <c r="T27" i="3"/>
  <c r="K27" i="3" s="1"/>
  <c r="U28" i="3"/>
  <c r="R29" i="3"/>
  <c r="V29" i="3"/>
  <c r="S30" i="3"/>
  <c r="T31" i="3"/>
  <c r="K31" i="3" s="1"/>
  <c r="U32" i="3"/>
  <c r="R33" i="3"/>
  <c r="V33" i="3"/>
  <c r="I33" i="3" s="1"/>
  <c r="S34" i="3"/>
  <c r="I34" i="3" s="1"/>
  <c r="V35" i="3"/>
  <c r="T37" i="3"/>
  <c r="R38" i="3"/>
  <c r="S39" i="3"/>
  <c r="M57" i="2" l="1"/>
  <c r="K37" i="2"/>
  <c r="I52" i="2"/>
  <c r="I41" i="2"/>
  <c r="I57" i="2"/>
  <c r="K41" i="2"/>
  <c r="K25" i="2"/>
  <c r="I30" i="2"/>
  <c r="K49" i="2"/>
  <c r="K38" i="3"/>
  <c r="I38" i="3"/>
  <c r="K23" i="2"/>
  <c r="K38" i="2"/>
  <c r="K29" i="2"/>
  <c r="M24" i="3"/>
  <c r="M56" i="2"/>
  <c r="I26" i="3"/>
  <c r="W141" i="3"/>
  <c r="K24" i="3"/>
  <c r="G54" i="2"/>
  <c r="W69" i="3"/>
  <c r="I31" i="3"/>
  <c r="K33" i="2"/>
  <c r="I24" i="3"/>
  <c r="W59" i="2"/>
  <c r="K52" i="2"/>
  <c r="I46" i="2"/>
  <c r="I40" i="2"/>
  <c r="M34" i="2"/>
  <c r="G31" i="2"/>
  <c r="I24" i="2"/>
  <c r="I91" i="2"/>
  <c r="I93" i="2"/>
  <c r="W110" i="2"/>
  <c r="I118" i="2"/>
  <c r="K95" i="2"/>
  <c r="K84" i="2"/>
  <c r="G164" i="2"/>
  <c r="K57" i="2"/>
  <c r="K53" i="2"/>
  <c r="P45" i="2"/>
  <c r="K42" i="2"/>
  <c r="G32" i="2"/>
  <c r="I25" i="2"/>
  <c r="W170" i="2"/>
  <c r="I34" i="2"/>
  <c r="G30" i="2"/>
  <c r="M53" i="2"/>
  <c r="K47" i="2"/>
  <c r="I29" i="2"/>
  <c r="G68" i="2"/>
  <c r="I125" i="2"/>
  <c r="M95" i="2"/>
  <c r="I84" i="2"/>
  <c r="W134" i="2"/>
  <c r="W138" i="2"/>
  <c r="I49" i="2"/>
  <c r="J172" i="2"/>
  <c r="P58" i="2"/>
  <c r="I27" i="3"/>
  <c r="P92" i="3"/>
  <c r="W162" i="3"/>
  <c r="W104" i="3"/>
  <c r="I32" i="3"/>
  <c r="I23" i="3"/>
  <c r="M42" i="2"/>
  <c r="M32" i="3"/>
  <c r="G38" i="3"/>
  <c r="I30" i="3"/>
  <c r="W161" i="3"/>
  <c r="K32" i="3"/>
  <c r="W185" i="3"/>
  <c r="P89" i="3"/>
  <c r="M38" i="2"/>
  <c r="K37" i="3"/>
  <c r="W40" i="3"/>
  <c r="K28" i="3"/>
  <c r="I28" i="3"/>
  <c r="J74" i="2"/>
  <c r="G37" i="2"/>
  <c r="G26" i="2"/>
  <c r="P158" i="2"/>
  <c r="P162" i="2"/>
  <c r="W188" i="3"/>
  <c r="J87" i="3"/>
  <c r="J107" i="3" s="1"/>
  <c r="J91" i="3"/>
  <c r="P93" i="3"/>
  <c r="J86" i="3"/>
  <c r="W48" i="2"/>
  <c r="M26" i="2"/>
  <c r="P61" i="2"/>
  <c r="I33" i="2"/>
  <c r="G33" i="2"/>
  <c r="I26" i="2"/>
  <c r="W108" i="2"/>
  <c r="W111" i="2"/>
  <c r="I39" i="3"/>
  <c r="W34" i="3"/>
  <c r="M28" i="3"/>
  <c r="G25" i="3"/>
  <c r="G30" i="3"/>
  <c r="M38" i="3"/>
  <c r="N87" i="3"/>
  <c r="N91" i="3"/>
  <c r="N86" i="3"/>
  <c r="G27" i="3"/>
  <c r="I44" i="2"/>
  <c r="G35" i="2"/>
  <c r="I28" i="2"/>
  <c r="G40" i="2"/>
  <c r="G36" i="2"/>
  <c r="K26" i="2"/>
  <c r="P65" i="2"/>
  <c r="I38" i="2"/>
  <c r="P159" i="2"/>
  <c r="G33" i="3"/>
  <c r="M118" i="3"/>
  <c r="G169" i="3"/>
  <c r="G57" i="3"/>
  <c r="G77" i="3"/>
  <c r="G36" i="3"/>
  <c r="G56" i="3"/>
  <c r="G80" i="3"/>
  <c r="G51" i="3"/>
  <c r="G67" i="3"/>
  <c r="G99" i="3"/>
  <c r="G54" i="3"/>
  <c r="G98" i="3"/>
  <c r="G116" i="3"/>
  <c r="G111" i="3"/>
  <c r="G110" i="3"/>
  <c r="G121" i="3"/>
  <c r="G138" i="3"/>
  <c r="G159" i="3"/>
  <c r="G140" i="3"/>
  <c r="G150" i="3"/>
  <c r="G166" i="3"/>
  <c r="G182" i="3"/>
  <c r="G165" i="3"/>
  <c r="G168" i="3"/>
  <c r="G184" i="3"/>
  <c r="G175" i="3"/>
  <c r="K36" i="3"/>
  <c r="M25" i="3"/>
  <c r="M44" i="3"/>
  <c r="M60" i="3"/>
  <c r="M96" i="3"/>
  <c r="M51" i="3"/>
  <c r="M67" i="3"/>
  <c r="M98" i="3"/>
  <c r="M50" i="3"/>
  <c r="M66" i="3"/>
  <c r="M45" i="3"/>
  <c r="M61" i="3"/>
  <c r="M81" i="3"/>
  <c r="M111" i="3"/>
  <c r="M138" i="3"/>
  <c r="M109" i="3"/>
  <c r="M100" i="3"/>
  <c r="M120" i="3"/>
  <c r="M145" i="3"/>
  <c r="M136" i="3"/>
  <c r="M151" i="3"/>
  <c r="M147" i="3"/>
  <c r="M173" i="3"/>
  <c r="M160" i="3"/>
  <c r="M180" i="3"/>
  <c r="M171" i="3"/>
  <c r="M186" i="3"/>
  <c r="M178" i="3"/>
  <c r="G114" i="3"/>
  <c r="I64" i="3"/>
  <c r="M84" i="3"/>
  <c r="I86" i="3"/>
  <c r="M88" i="3"/>
  <c r="I90" i="3"/>
  <c r="M92" i="3"/>
  <c r="I94" i="3"/>
  <c r="I85" i="3"/>
  <c r="M87" i="3"/>
  <c r="I89" i="3"/>
  <c r="M91" i="3"/>
  <c r="I93" i="3"/>
  <c r="I84" i="3"/>
  <c r="M86" i="3"/>
  <c r="L91" i="3"/>
  <c r="G86" i="3"/>
  <c r="G29" i="3"/>
  <c r="G118" i="3"/>
  <c r="I169" i="3"/>
  <c r="G45" i="3"/>
  <c r="G61" i="3"/>
  <c r="G81" i="3"/>
  <c r="G44" i="3"/>
  <c r="G60" i="3"/>
  <c r="G96" i="3"/>
  <c r="G55" i="3"/>
  <c r="G75" i="3"/>
  <c r="G103" i="3"/>
  <c r="G58" i="3"/>
  <c r="G74" i="3"/>
  <c r="G100" i="3"/>
  <c r="G120" i="3"/>
  <c r="G115" i="3"/>
  <c r="G122" i="3"/>
  <c r="G109" i="3"/>
  <c r="G139" i="3"/>
  <c r="G137" i="3"/>
  <c r="G148" i="3"/>
  <c r="G154" i="3"/>
  <c r="G170" i="3"/>
  <c r="G173" i="3"/>
  <c r="G172" i="3"/>
  <c r="G187" i="3"/>
  <c r="G179" i="3"/>
  <c r="M35" i="3"/>
  <c r="M48" i="3"/>
  <c r="M68" i="3"/>
  <c r="M101" i="3"/>
  <c r="M55" i="3"/>
  <c r="M75" i="3"/>
  <c r="M102" i="3"/>
  <c r="M54" i="3"/>
  <c r="M74" i="3"/>
  <c r="M49" i="3"/>
  <c r="M65" i="3"/>
  <c r="M97" i="3"/>
  <c r="M115" i="3"/>
  <c r="M110" i="3"/>
  <c r="M113" i="3"/>
  <c r="M108" i="3"/>
  <c r="M124" i="3"/>
  <c r="M149" i="3"/>
  <c r="M140" i="3"/>
  <c r="M155" i="3"/>
  <c r="M153" i="3"/>
  <c r="M181" i="3"/>
  <c r="M168" i="3"/>
  <c r="M184" i="3"/>
  <c r="M175" i="3"/>
  <c r="M166" i="3"/>
  <c r="M182" i="3"/>
  <c r="I114" i="3"/>
  <c r="K64" i="3"/>
  <c r="P85" i="3"/>
  <c r="H127" i="3"/>
  <c r="P127" i="3" s="1"/>
  <c r="H94" i="3"/>
  <c r="H86" i="3"/>
  <c r="H91" i="3"/>
  <c r="H87" i="3"/>
  <c r="P84" i="3"/>
  <c r="H88" i="3"/>
  <c r="L87" i="3"/>
  <c r="G91" i="3"/>
  <c r="K93" i="3"/>
  <c r="K84" i="3"/>
  <c r="I87" i="3"/>
  <c r="L94" i="3"/>
  <c r="K33" i="3"/>
  <c r="M30" i="3"/>
  <c r="K47" i="3"/>
  <c r="K63" i="3"/>
  <c r="K95" i="3"/>
  <c r="K54" i="3"/>
  <c r="K74" i="3"/>
  <c r="K49" i="3"/>
  <c r="K65" i="3"/>
  <c r="K97" i="3"/>
  <c r="K52" i="3"/>
  <c r="I118" i="3"/>
  <c r="K169" i="3"/>
  <c r="G49" i="3"/>
  <c r="G65" i="3"/>
  <c r="G97" i="3"/>
  <c r="G48" i="3"/>
  <c r="G68" i="3"/>
  <c r="G39" i="3"/>
  <c r="G59" i="3"/>
  <c r="G83" i="3"/>
  <c r="G46" i="3"/>
  <c r="G62" i="3"/>
  <c r="G78" i="3"/>
  <c r="G108" i="3"/>
  <c r="G124" i="3"/>
  <c r="G119" i="3"/>
  <c r="G136" i="3"/>
  <c r="G113" i="3"/>
  <c r="G147" i="3"/>
  <c r="G146" i="3"/>
  <c r="G145" i="3"/>
  <c r="G152" i="3"/>
  <c r="G158" i="3"/>
  <c r="G174" i="3"/>
  <c r="G153" i="3"/>
  <c r="G181" i="3"/>
  <c r="G176" i="3"/>
  <c r="G167" i="3"/>
  <c r="G183" i="3"/>
  <c r="M33" i="3"/>
  <c r="M52" i="3"/>
  <c r="M76" i="3"/>
  <c r="M39" i="3"/>
  <c r="M59" i="3"/>
  <c r="M83" i="3"/>
  <c r="M58" i="3"/>
  <c r="M78" i="3"/>
  <c r="M53" i="3"/>
  <c r="M73" i="3"/>
  <c r="M99" i="3"/>
  <c r="M119" i="3"/>
  <c r="M122" i="3"/>
  <c r="M117" i="3"/>
  <c r="M112" i="3"/>
  <c r="M146" i="3"/>
  <c r="M154" i="3"/>
  <c r="M148" i="3"/>
  <c r="M159" i="3"/>
  <c r="M157" i="3"/>
  <c r="M152" i="3"/>
  <c r="M172" i="3"/>
  <c r="M187" i="3"/>
  <c r="M179" i="3"/>
  <c r="M170" i="3"/>
  <c r="K114" i="3"/>
  <c r="M64" i="3"/>
  <c r="O190" i="3"/>
  <c r="O163" i="3"/>
  <c r="O143" i="3"/>
  <c r="O106" i="3"/>
  <c r="O71" i="3"/>
  <c r="L88" i="3"/>
  <c r="G87" i="3"/>
  <c r="K89" i="3"/>
  <c r="I92" i="3"/>
  <c r="M94" i="3"/>
  <c r="M85" i="3"/>
  <c r="G94" i="3"/>
  <c r="K29" i="3"/>
  <c r="M26" i="3"/>
  <c r="G23" i="3"/>
  <c r="K51" i="3"/>
  <c r="K67" i="3"/>
  <c r="K118" i="3"/>
  <c r="M169" i="3"/>
  <c r="G37" i="3"/>
  <c r="G53" i="3"/>
  <c r="G73" i="3"/>
  <c r="G102" i="3"/>
  <c r="G52" i="3"/>
  <c r="G76" i="3"/>
  <c r="G47" i="3"/>
  <c r="G63" i="3"/>
  <c r="G95" i="3"/>
  <c r="G50" i="3"/>
  <c r="G66" i="3"/>
  <c r="G82" i="3"/>
  <c r="G112" i="3"/>
  <c r="G135" i="3"/>
  <c r="G123" i="3"/>
  <c r="G101" i="3"/>
  <c r="G117" i="3"/>
  <c r="G151" i="3"/>
  <c r="G155" i="3"/>
  <c r="G149" i="3"/>
  <c r="G156" i="3"/>
  <c r="G178" i="3"/>
  <c r="G157" i="3"/>
  <c r="G160" i="3"/>
  <c r="G180" i="3"/>
  <c r="G171" i="3"/>
  <c r="G186" i="3"/>
  <c r="M29" i="3"/>
  <c r="G26" i="3"/>
  <c r="M36" i="3"/>
  <c r="M56" i="3"/>
  <c r="M80" i="3"/>
  <c r="M47" i="3"/>
  <c r="M63" i="3"/>
  <c r="M95" i="3"/>
  <c r="M46" i="3"/>
  <c r="M62" i="3"/>
  <c r="M82" i="3"/>
  <c r="M57" i="3"/>
  <c r="M77" i="3"/>
  <c r="M103" i="3"/>
  <c r="M123" i="3"/>
  <c r="M135" i="3"/>
  <c r="M121" i="3"/>
  <c r="M116" i="3"/>
  <c r="M137" i="3"/>
  <c r="M158" i="3"/>
  <c r="M150" i="3"/>
  <c r="M139" i="3"/>
  <c r="M165" i="3"/>
  <c r="M156" i="3"/>
  <c r="M176" i="3"/>
  <c r="M167" i="3"/>
  <c r="M183" i="3"/>
  <c r="M174" i="3"/>
  <c r="M114" i="3"/>
  <c r="G64" i="3"/>
  <c r="G85" i="3"/>
  <c r="K87" i="3"/>
  <c r="G89" i="3"/>
  <c r="K91" i="3"/>
  <c r="G93" i="3"/>
  <c r="G84" i="3"/>
  <c r="K86" i="3"/>
  <c r="G88" i="3"/>
  <c r="K90" i="3"/>
  <c r="G92" i="3"/>
  <c r="K94" i="3"/>
  <c r="K85" i="3"/>
  <c r="I88" i="3"/>
  <c r="M90" i="3"/>
  <c r="K88" i="3"/>
  <c r="G90" i="3"/>
  <c r="K92" i="3"/>
  <c r="M89" i="3"/>
  <c r="I91" i="3"/>
  <c r="M93" i="3"/>
  <c r="I36" i="3"/>
  <c r="K25" i="3"/>
  <c r="K35" i="3"/>
  <c r="K55" i="3"/>
  <c r="K75" i="3"/>
  <c r="K46" i="3"/>
  <c r="K62" i="3"/>
  <c r="K82" i="3"/>
  <c r="K57" i="3"/>
  <c r="K77" i="3"/>
  <c r="K44" i="3"/>
  <c r="K60" i="3"/>
  <c r="K96" i="3"/>
  <c r="K110" i="3"/>
  <c r="K117" i="3"/>
  <c r="K112" i="3"/>
  <c r="K99" i="3"/>
  <c r="K119" i="3"/>
  <c r="K154" i="3"/>
  <c r="K148" i="3"/>
  <c r="K139" i="3"/>
  <c r="K153" i="3"/>
  <c r="K160" i="3"/>
  <c r="K180" i="3"/>
  <c r="K159" i="3"/>
  <c r="K179" i="3"/>
  <c r="K170" i="3"/>
  <c r="K165" i="3"/>
  <c r="I46" i="3"/>
  <c r="I62" i="3"/>
  <c r="I78" i="3"/>
  <c r="I57" i="3"/>
  <c r="I77" i="3"/>
  <c r="I44" i="3"/>
  <c r="I60" i="3"/>
  <c r="I96" i="3"/>
  <c r="I59" i="3"/>
  <c r="I83" i="3"/>
  <c r="I101" i="3"/>
  <c r="I117" i="3"/>
  <c r="I116" i="3"/>
  <c r="I115" i="3"/>
  <c r="I110" i="3"/>
  <c r="I148" i="3"/>
  <c r="I135" i="3"/>
  <c r="I137" i="3"/>
  <c r="I151" i="3"/>
  <c r="I171" i="3"/>
  <c r="I186" i="3"/>
  <c r="I166" i="3"/>
  <c r="I182" i="3"/>
  <c r="I181" i="3"/>
  <c r="I180" i="3"/>
  <c r="K126" i="3"/>
  <c r="M37" i="3"/>
  <c r="M31" i="3"/>
  <c r="G28" i="3"/>
  <c r="W142" i="3"/>
  <c r="W189" i="3"/>
  <c r="I79" i="3"/>
  <c r="K177" i="3"/>
  <c r="P128" i="3"/>
  <c r="K130" i="3"/>
  <c r="N144" i="3"/>
  <c r="I133" i="3"/>
  <c r="P126" i="3"/>
  <c r="G125" i="3"/>
  <c r="M128" i="3"/>
  <c r="I130" i="3"/>
  <c r="M132" i="3"/>
  <c r="I134" i="3"/>
  <c r="G45" i="2"/>
  <c r="G39" i="2"/>
  <c r="G23" i="2"/>
  <c r="I89" i="2"/>
  <c r="G118" i="2"/>
  <c r="I69" i="2"/>
  <c r="G150" i="2"/>
  <c r="I129" i="2"/>
  <c r="I154" i="2"/>
  <c r="G95" i="2"/>
  <c r="K83" i="2"/>
  <c r="G84" i="2"/>
  <c r="M86" i="2"/>
  <c r="I168" i="2"/>
  <c r="I79" i="2"/>
  <c r="M58" i="2"/>
  <c r="K55" i="2"/>
  <c r="G44" i="2"/>
  <c r="M27" i="2"/>
  <c r="G24" i="2"/>
  <c r="W122" i="2"/>
  <c r="W147" i="2"/>
  <c r="G77" i="2"/>
  <c r="G168" i="2"/>
  <c r="G165" i="2"/>
  <c r="G87" i="2"/>
  <c r="I126" i="2"/>
  <c r="G105" i="2"/>
  <c r="G76" i="2"/>
  <c r="I105" i="2"/>
  <c r="I104" i="2"/>
  <c r="I165" i="2"/>
  <c r="I151" i="2"/>
  <c r="I142" i="2"/>
  <c r="I163" i="2"/>
  <c r="P62" i="2"/>
  <c r="G61" i="2"/>
  <c r="K63" i="2"/>
  <c r="G65" i="2"/>
  <c r="I61" i="2"/>
  <c r="M63" i="2"/>
  <c r="I65" i="2"/>
  <c r="P59" i="2"/>
  <c r="I55" i="2"/>
  <c r="G52" i="2"/>
  <c r="K45" i="2"/>
  <c r="G41" i="2"/>
  <c r="K31" i="2"/>
  <c r="M28" i="2"/>
  <c r="G25" i="2"/>
  <c r="I114" i="2"/>
  <c r="I139" i="2"/>
  <c r="I120" i="2"/>
  <c r="G140" i="2"/>
  <c r="G81" i="2"/>
  <c r="I80" i="2"/>
  <c r="I116" i="2"/>
  <c r="K116" i="2"/>
  <c r="M116" i="2"/>
  <c r="G116" i="2"/>
  <c r="W146" i="2"/>
  <c r="G55" i="2"/>
  <c r="M52" i="2"/>
  <c r="M47" i="2"/>
  <c r="W47" i="2" s="1"/>
  <c r="K44" i="2"/>
  <c r="M41" i="2"/>
  <c r="M37" i="2"/>
  <c r="G34" i="2"/>
  <c r="I27" i="2"/>
  <c r="K24" i="2"/>
  <c r="K76" i="2"/>
  <c r="M93" i="2"/>
  <c r="M105" i="2"/>
  <c r="K67" i="2"/>
  <c r="K79" i="2"/>
  <c r="M104" i="2"/>
  <c r="K130" i="2"/>
  <c r="M67" i="2"/>
  <c r="M79" i="2"/>
  <c r="K106" i="2"/>
  <c r="M131" i="2"/>
  <c r="K77" i="2"/>
  <c r="M90" i="2"/>
  <c r="M106" i="2"/>
  <c r="K140" i="2"/>
  <c r="K154" i="2"/>
  <c r="K129" i="2"/>
  <c r="K145" i="2"/>
  <c r="K165" i="2"/>
  <c r="K132" i="2"/>
  <c r="K152" i="2"/>
  <c r="K131" i="2"/>
  <c r="K151" i="2"/>
  <c r="I145" i="2"/>
  <c r="I102" i="2"/>
  <c r="K88" i="2"/>
  <c r="G88" i="2"/>
  <c r="K166" i="2"/>
  <c r="W133" i="2"/>
  <c r="I128" i="2"/>
  <c r="I131" i="2"/>
  <c r="P156" i="2"/>
  <c r="P160" i="2"/>
  <c r="H172" i="2"/>
  <c r="P155" i="2"/>
  <c r="K144" i="2"/>
  <c r="K156" i="2"/>
  <c r="G158" i="2"/>
  <c r="K160" i="2"/>
  <c r="G162" i="2"/>
  <c r="K155" i="2"/>
  <c r="G157" i="2"/>
  <c r="K159" i="2"/>
  <c r="G161" i="2"/>
  <c r="P90" i="3"/>
  <c r="I35" i="3"/>
  <c r="G31" i="3"/>
  <c r="K39" i="3"/>
  <c r="K59" i="3"/>
  <c r="K83" i="3"/>
  <c r="K50" i="3"/>
  <c r="K66" i="3"/>
  <c r="K45" i="3"/>
  <c r="K61" i="3"/>
  <c r="K81" i="3"/>
  <c r="K48" i="3"/>
  <c r="K68" i="3"/>
  <c r="K101" i="3"/>
  <c r="K122" i="3"/>
  <c r="K121" i="3"/>
  <c r="K116" i="3"/>
  <c r="K103" i="3"/>
  <c r="K123" i="3"/>
  <c r="K158" i="3"/>
  <c r="K150" i="3"/>
  <c r="K147" i="3"/>
  <c r="K157" i="3"/>
  <c r="K168" i="3"/>
  <c r="K184" i="3"/>
  <c r="K167" i="3"/>
  <c r="K183" i="3"/>
  <c r="K174" i="3"/>
  <c r="K173" i="3"/>
  <c r="I50" i="3"/>
  <c r="I66" i="3"/>
  <c r="I82" i="3"/>
  <c r="I45" i="3"/>
  <c r="I61" i="3"/>
  <c r="I81" i="3"/>
  <c r="I48" i="3"/>
  <c r="I68" i="3"/>
  <c r="I47" i="3"/>
  <c r="I63" i="3"/>
  <c r="I95" i="3"/>
  <c r="I121" i="3"/>
  <c r="I120" i="3"/>
  <c r="I119" i="3"/>
  <c r="I122" i="3"/>
  <c r="I150" i="3"/>
  <c r="I139" i="3"/>
  <c r="I146" i="3"/>
  <c r="I145" i="3"/>
  <c r="I155" i="3"/>
  <c r="I175" i="3"/>
  <c r="I154" i="3"/>
  <c r="I170" i="3"/>
  <c r="I168" i="3"/>
  <c r="I184" i="3"/>
  <c r="G126" i="3"/>
  <c r="G35" i="3"/>
  <c r="K30" i="3"/>
  <c r="M27" i="3"/>
  <c r="G24" i="3"/>
  <c r="W70" i="3"/>
  <c r="K79" i="3"/>
  <c r="M177" i="3"/>
  <c r="J144" i="3"/>
  <c r="P131" i="3"/>
  <c r="K133" i="3"/>
  <c r="G128" i="3"/>
  <c r="M131" i="3"/>
  <c r="K129" i="3"/>
  <c r="I125" i="3"/>
  <c r="K128" i="3"/>
  <c r="G130" i="3"/>
  <c r="K132" i="3"/>
  <c r="G134" i="3"/>
  <c r="P129" i="3"/>
  <c r="P133" i="3"/>
  <c r="M60" i="2"/>
  <c r="K89" i="2"/>
  <c r="G125" i="2"/>
  <c r="I77" i="2"/>
  <c r="I67" i="2"/>
  <c r="I68" i="2"/>
  <c r="I95" i="2"/>
  <c r="I83" i="2"/>
  <c r="M84" i="2"/>
  <c r="K86" i="2"/>
  <c r="W136" i="2"/>
  <c r="W135" i="2"/>
  <c r="K167" i="2"/>
  <c r="G79" i="2"/>
  <c r="W79" i="2" s="1"/>
  <c r="I60" i="2"/>
  <c r="M45" i="2"/>
  <c r="M43" i="2"/>
  <c r="M23" i="2"/>
  <c r="W72" i="2"/>
  <c r="G70" i="2"/>
  <c r="G93" i="2"/>
  <c r="G163" i="2"/>
  <c r="I87" i="2"/>
  <c r="G66" i="2"/>
  <c r="I66" i="2"/>
  <c r="I106" i="2"/>
  <c r="G100" i="2"/>
  <c r="G117" i="2"/>
  <c r="I117" i="2"/>
  <c r="I132" i="2"/>
  <c r="I130" i="2"/>
  <c r="I152" i="2"/>
  <c r="I62" i="2"/>
  <c r="M64" i="2"/>
  <c r="H60" i="2"/>
  <c r="P60" i="2" s="1"/>
  <c r="P64" i="2"/>
  <c r="K61" i="2"/>
  <c r="G63" i="2"/>
  <c r="K65" i="2"/>
  <c r="I58" i="2"/>
  <c r="M54" i="2"/>
  <c r="M44" i="2"/>
  <c r="M40" i="2"/>
  <c r="K27" i="2"/>
  <c r="M24" i="2"/>
  <c r="K114" i="2"/>
  <c r="K139" i="2"/>
  <c r="I119" i="2"/>
  <c r="I140" i="2"/>
  <c r="W109" i="2"/>
  <c r="I90" i="2"/>
  <c r="G94" i="2"/>
  <c r="I94" i="2"/>
  <c r="K94" i="2"/>
  <c r="M94" i="2"/>
  <c r="W96" i="2"/>
  <c r="W169" i="2"/>
  <c r="L74" i="2"/>
  <c r="I54" i="2"/>
  <c r="J51" i="2"/>
  <c r="R50" i="2"/>
  <c r="K46" i="2"/>
  <c r="I43" i="2"/>
  <c r="K40" i="2"/>
  <c r="K36" i="2"/>
  <c r="M33" i="2"/>
  <c r="I23" i="2"/>
  <c r="M77" i="2"/>
  <c r="K100" i="2"/>
  <c r="K117" i="2"/>
  <c r="M68" i="2"/>
  <c r="M80" i="2"/>
  <c r="M117" i="2"/>
  <c r="K54" i="2"/>
  <c r="K70" i="2"/>
  <c r="K82" i="2"/>
  <c r="K119" i="2"/>
  <c r="M66" i="2"/>
  <c r="M78" i="2"/>
  <c r="K93" i="2"/>
  <c r="K118" i="2"/>
  <c r="M141" i="2"/>
  <c r="M163" i="2"/>
  <c r="M130" i="2"/>
  <c r="M150" i="2"/>
  <c r="M125" i="2"/>
  <c r="K142" i="2"/>
  <c r="M153" i="2"/>
  <c r="M132" i="2"/>
  <c r="M152" i="2"/>
  <c r="G154" i="2"/>
  <c r="K102" i="2"/>
  <c r="G85" i="2"/>
  <c r="K85" i="2"/>
  <c r="I166" i="2"/>
  <c r="G131" i="2"/>
  <c r="I141" i="2"/>
  <c r="L172" i="2"/>
  <c r="I155" i="2"/>
  <c r="M157" i="2"/>
  <c r="I159" i="2"/>
  <c r="M161" i="2"/>
  <c r="M144" i="2"/>
  <c r="M156" i="2"/>
  <c r="I158" i="2"/>
  <c r="M160" i="2"/>
  <c r="I162" i="2"/>
  <c r="K76" i="3"/>
  <c r="K98" i="3"/>
  <c r="K109" i="3"/>
  <c r="K137" i="3"/>
  <c r="K120" i="3"/>
  <c r="K111" i="3"/>
  <c r="K145" i="3"/>
  <c r="K136" i="3"/>
  <c r="K151" i="3"/>
  <c r="K138" i="3"/>
  <c r="K152" i="3"/>
  <c r="K172" i="3"/>
  <c r="K187" i="3"/>
  <c r="K171" i="3"/>
  <c r="K186" i="3"/>
  <c r="K178" i="3"/>
  <c r="K181" i="3"/>
  <c r="I54" i="3"/>
  <c r="I98" i="3"/>
  <c r="I49" i="3"/>
  <c r="I65" i="3"/>
  <c r="I97" i="3"/>
  <c r="I52" i="3"/>
  <c r="I76" i="3"/>
  <c r="I51" i="3"/>
  <c r="I67" i="3"/>
  <c r="I99" i="3"/>
  <c r="I109" i="3"/>
  <c r="I108" i="3"/>
  <c r="I124" i="3"/>
  <c r="I123" i="3"/>
  <c r="I136" i="3"/>
  <c r="I152" i="3"/>
  <c r="I147" i="3"/>
  <c r="I153" i="3"/>
  <c r="I149" i="3"/>
  <c r="I159" i="3"/>
  <c r="I179" i="3"/>
  <c r="I158" i="3"/>
  <c r="I174" i="3"/>
  <c r="I165" i="3"/>
  <c r="I172" i="3"/>
  <c r="I187" i="3"/>
  <c r="I126" i="3"/>
  <c r="I29" i="3"/>
  <c r="K26" i="3"/>
  <c r="M23" i="3"/>
  <c r="M79" i="3"/>
  <c r="G177" i="3"/>
  <c r="K125" i="3"/>
  <c r="G131" i="3"/>
  <c r="M134" i="3"/>
  <c r="I129" i="3"/>
  <c r="G127" i="3"/>
  <c r="M130" i="3"/>
  <c r="P132" i="3"/>
  <c r="K134" i="3"/>
  <c r="I127" i="3"/>
  <c r="M129" i="3"/>
  <c r="I131" i="3"/>
  <c r="M133" i="3"/>
  <c r="P125" i="3"/>
  <c r="K92" i="2"/>
  <c r="I92" i="2"/>
  <c r="G92" i="2"/>
  <c r="M92" i="2"/>
  <c r="M89" i="2"/>
  <c r="G129" i="2"/>
  <c r="G166" i="2"/>
  <c r="I86" i="2"/>
  <c r="G83" i="2"/>
  <c r="M167" i="2"/>
  <c r="I167" i="2"/>
  <c r="M168" i="2"/>
  <c r="M39" i="2"/>
  <c r="M35" i="2"/>
  <c r="I75" i="2"/>
  <c r="G75" i="2"/>
  <c r="G167" i="2"/>
  <c r="K87" i="2"/>
  <c r="G82" i="2"/>
  <c r="I82" i="2"/>
  <c r="G56" i="2"/>
  <c r="I101" i="2"/>
  <c r="I76" i="2"/>
  <c r="G132" i="2"/>
  <c r="G151" i="2"/>
  <c r="G142" i="2"/>
  <c r="I127" i="2"/>
  <c r="K60" i="2"/>
  <c r="G62" i="2"/>
  <c r="K64" i="2"/>
  <c r="M62" i="2"/>
  <c r="I64" i="2"/>
  <c r="K43" i="2"/>
  <c r="K39" i="2"/>
  <c r="M36" i="2"/>
  <c r="M114" i="2"/>
  <c r="M139" i="2"/>
  <c r="G120" i="2"/>
  <c r="G143" i="2"/>
  <c r="G80" i="2"/>
  <c r="I103" i="2"/>
  <c r="K103" i="2"/>
  <c r="M103" i="2"/>
  <c r="G103" i="2"/>
  <c r="W121" i="2"/>
  <c r="G58" i="2"/>
  <c r="I45" i="2"/>
  <c r="I35" i="2"/>
  <c r="K32" i="2"/>
  <c r="M29" i="2"/>
  <c r="K68" i="2"/>
  <c r="K80" i="2"/>
  <c r="M101" i="2"/>
  <c r="M118" i="2"/>
  <c r="K75" i="2"/>
  <c r="K91" i="2"/>
  <c r="K120" i="2"/>
  <c r="M55" i="2"/>
  <c r="M75" i="2"/>
  <c r="K90" i="2"/>
  <c r="M120" i="2"/>
  <c r="K69" i="2"/>
  <c r="K81" i="2"/>
  <c r="K101" i="2"/>
  <c r="M119" i="2"/>
  <c r="K150" i="2"/>
  <c r="K125" i="2"/>
  <c r="M140" i="2"/>
  <c r="K153" i="2"/>
  <c r="K128" i="2"/>
  <c r="M143" i="2"/>
  <c r="K164" i="2"/>
  <c r="K141" i="2"/>
  <c r="K163" i="2"/>
  <c r="G78" i="2"/>
  <c r="G145" i="2"/>
  <c r="M102" i="2"/>
  <c r="M88" i="2"/>
  <c r="I88" i="2"/>
  <c r="M166" i="2"/>
  <c r="G128" i="2"/>
  <c r="G141" i="2"/>
  <c r="G144" i="2"/>
  <c r="G156" i="2"/>
  <c r="K158" i="2"/>
  <c r="G160" i="2"/>
  <c r="K162" i="2"/>
  <c r="G155" i="2"/>
  <c r="K157" i="2"/>
  <c r="G159" i="2"/>
  <c r="K161" i="2"/>
  <c r="P157" i="2"/>
  <c r="P161" i="2"/>
  <c r="K58" i="3"/>
  <c r="K78" i="3"/>
  <c r="K53" i="3"/>
  <c r="K73" i="3"/>
  <c r="K100" i="3"/>
  <c r="K56" i="3"/>
  <c r="K80" i="3"/>
  <c r="K102" i="3"/>
  <c r="K113" i="3"/>
  <c r="K108" i="3"/>
  <c r="K124" i="3"/>
  <c r="K115" i="3"/>
  <c r="K149" i="3"/>
  <c r="K140" i="3"/>
  <c r="K135" i="3"/>
  <c r="K146" i="3"/>
  <c r="K156" i="3"/>
  <c r="K176" i="3"/>
  <c r="K155" i="3"/>
  <c r="K175" i="3"/>
  <c r="K166" i="3"/>
  <c r="K182" i="3"/>
  <c r="I58" i="3"/>
  <c r="I74" i="3"/>
  <c r="I37" i="3"/>
  <c r="I53" i="3"/>
  <c r="I73" i="3"/>
  <c r="I100" i="3"/>
  <c r="I56" i="3"/>
  <c r="I80" i="3"/>
  <c r="I55" i="3"/>
  <c r="I75" i="3"/>
  <c r="I103" i="3"/>
  <c r="I113" i="3"/>
  <c r="I112" i="3"/>
  <c r="I111" i="3"/>
  <c r="I102" i="3"/>
  <c r="I140" i="3"/>
  <c r="I156" i="3"/>
  <c r="I138" i="3"/>
  <c r="I157" i="3"/>
  <c r="I160" i="3"/>
  <c r="I167" i="3"/>
  <c r="I183" i="3"/>
  <c r="I178" i="3"/>
  <c r="I173" i="3"/>
  <c r="I176" i="3"/>
  <c r="M126" i="3"/>
  <c r="G32" i="3"/>
  <c r="I25" i="3"/>
  <c r="W41" i="3"/>
  <c r="W105" i="3"/>
  <c r="G79" i="3"/>
  <c r="I177" i="3"/>
  <c r="I132" i="3"/>
  <c r="I128" i="3"/>
  <c r="M127" i="3"/>
  <c r="G132" i="3"/>
  <c r="M125" i="3"/>
  <c r="P130" i="3"/>
  <c r="P134" i="3"/>
  <c r="L144" i="3"/>
  <c r="K127" i="3"/>
  <c r="G129" i="3"/>
  <c r="K131" i="3"/>
  <c r="G133" i="3"/>
  <c r="G43" i="2"/>
  <c r="G27" i="2"/>
  <c r="G89" i="2"/>
  <c r="I70" i="2"/>
  <c r="G67" i="2"/>
  <c r="I150" i="2"/>
  <c r="G86" i="2"/>
  <c r="M83" i="2"/>
  <c r="K168" i="2"/>
  <c r="W137" i="2"/>
  <c r="N74" i="2"/>
  <c r="K56" i="2"/>
  <c r="M31" i="2"/>
  <c r="G28" i="2"/>
  <c r="W97" i="2"/>
  <c r="G69" i="2"/>
  <c r="G91" i="2"/>
  <c r="G153" i="2"/>
  <c r="M87" i="2"/>
  <c r="G106" i="2"/>
  <c r="G101" i="2"/>
  <c r="G104" i="2"/>
  <c r="I100" i="2"/>
  <c r="G152" i="2"/>
  <c r="G126" i="2"/>
  <c r="G127" i="2"/>
  <c r="G130" i="2"/>
  <c r="M61" i="2"/>
  <c r="I63" i="2"/>
  <c r="M65" i="2"/>
  <c r="K58" i="2"/>
  <c r="G60" i="2"/>
  <c r="K62" i="2"/>
  <c r="G64" i="2"/>
  <c r="P63" i="2"/>
  <c r="I56" i="2"/>
  <c r="M46" i="2"/>
  <c r="K35" i="2"/>
  <c r="M32" i="2"/>
  <c r="G29" i="2"/>
  <c r="G114" i="2"/>
  <c r="G139" i="2"/>
  <c r="G119" i="2"/>
  <c r="I143" i="2"/>
  <c r="G90" i="2"/>
  <c r="I81" i="2"/>
  <c r="G115" i="2"/>
  <c r="I115" i="2"/>
  <c r="K115" i="2"/>
  <c r="M115" i="2"/>
  <c r="W71" i="2"/>
  <c r="G53" i="2"/>
  <c r="G49" i="2"/>
  <c r="G42" i="2"/>
  <c r="G38" i="2"/>
  <c r="I31" i="2"/>
  <c r="K28" i="2"/>
  <c r="M25" i="2"/>
  <c r="M69" i="2"/>
  <c r="M81" i="2"/>
  <c r="K104" i="2"/>
  <c r="M128" i="2"/>
  <c r="M76" i="2"/>
  <c r="M100" i="2"/>
  <c r="K126" i="2"/>
  <c r="K66" i="2"/>
  <c r="K78" i="2"/>
  <c r="M91" i="2"/>
  <c r="K127" i="2"/>
  <c r="M70" i="2"/>
  <c r="M82" i="2"/>
  <c r="K105" i="2"/>
  <c r="M127" i="2"/>
  <c r="M151" i="2"/>
  <c r="M126" i="2"/>
  <c r="K143" i="2"/>
  <c r="M154" i="2"/>
  <c r="M129" i="2"/>
  <c r="M145" i="2"/>
  <c r="M165" i="2"/>
  <c r="M142" i="2"/>
  <c r="M164" i="2"/>
  <c r="I78" i="2"/>
  <c r="G102" i="2"/>
  <c r="M85" i="2"/>
  <c r="I85" i="2"/>
  <c r="I153" i="2"/>
  <c r="I164" i="2"/>
  <c r="M155" i="2"/>
  <c r="I157" i="2"/>
  <c r="M159" i="2"/>
  <c r="I161" i="2"/>
  <c r="I144" i="2"/>
  <c r="I156" i="2"/>
  <c r="M158" i="2"/>
  <c r="I160" i="2"/>
  <c r="M162" i="2"/>
  <c r="N172" i="2"/>
  <c r="W31" i="3" l="1"/>
  <c r="W37" i="2"/>
  <c r="W57" i="2"/>
  <c r="W30" i="2"/>
  <c r="W139" i="2"/>
  <c r="W33" i="2"/>
  <c r="W49" i="2"/>
  <c r="W53" i="2"/>
  <c r="W24" i="3"/>
  <c r="W38" i="3"/>
  <c r="W26" i="2"/>
  <c r="W79" i="3"/>
  <c r="W34" i="2"/>
  <c r="W32" i="3"/>
  <c r="W42" i="2"/>
  <c r="W27" i="2"/>
  <c r="W64" i="2"/>
  <c r="W91" i="2"/>
  <c r="H144" i="3"/>
  <c r="W27" i="3"/>
  <c r="H107" i="3"/>
  <c r="N107" i="3"/>
  <c r="W38" i="2"/>
  <c r="W89" i="2"/>
  <c r="W132" i="2"/>
  <c r="M42" i="3"/>
  <c r="M43" i="3" s="1"/>
  <c r="H41" i="1" s="1"/>
  <c r="W101" i="2"/>
  <c r="W114" i="2"/>
  <c r="W106" i="2"/>
  <c r="W132" i="3"/>
  <c r="W68" i="2"/>
  <c r="W28" i="3"/>
  <c r="W54" i="2"/>
  <c r="W90" i="2"/>
  <c r="W129" i="3"/>
  <c r="W90" i="3"/>
  <c r="W88" i="3"/>
  <c r="W64" i="3"/>
  <c r="W94" i="3"/>
  <c r="W164" i="2"/>
  <c r="W102" i="2"/>
  <c r="W31" i="2"/>
  <c r="I148" i="2"/>
  <c r="I149" i="2" s="1"/>
  <c r="M48" i="1" s="1"/>
  <c r="W29" i="2"/>
  <c r="I73" i="2"/>
  <c r="I74" i="2" s="1"/>
  <c r="I48" i="1" s="1"/>
  <c r="W60" i="2"/>
  <c r="W152" i="2"/>
  <c r="K73" i="2"/>
  <c r="K74" i="2" s="1"/>
  <c r="I49" i="1" s="1"/>
  <c r="W43" i="2"/>
  <c r="W32" i="2"/>
  <c r="W131" i="2"/>
  <c r="W36" i="2"/>
  <c r="W30" i="3"/>
  <c r="P91" i="3"/>
  <c r="K50" i="2"/>
  <c r="K51" i="2" s="1"/>
  <c r="H49" i="1" s="1"/>
  <c r="W67" i="2"/>
  <c r="W46" i="2"/>
  <c r="W115" i="2"/>
  <c r="W119" i="2"/>
  <c r="W130" i="2"/>
  <c r="I123" i="2"/>
  <c r="I124" i="2" s="1"/>
  <c r="L48" i="1" s="1"/>
  <c r="W86" i="2"/>
  <c r="W133" i="3"/>
  <c r="W25" i="3"/>
  <c r="W35" i="2"/>
  <c r="W167" i="2"/>
  <c r="W40" i="2"/>
  <c r="W35" i="3"/>
  <c r="K42" i="3"/>
  <c r="K43" i="3" s="1"/>
  <c r="H40" i="1" s="1"/>
  <c r="W92" i="3"/>
  <c r="W84" i="3"/>
  <c r="L107" i="3"/>
  <c r="P86" i="3"/>
  <c r="I171" i="2"/>
  <c r="I172" i="2" s="1"/>
  <c r="N48" i="1" s="1"/>
  <c r="K143" i="3"/>
  <c r="K144" i="3" s="1"/>
  <c r="L40" i="1" s="1"/>
  <c r="W144" i="2"/>
  <c r="W78" i="2"/>
  <c r="K148" i="2"/>
  <c r="K149" i="2" s="1"/>
  <c r="M49" i="1" s="1"/>
  <c r="M98" i="2"/>
  <c r="M99" i="2" s="1"/>
  <c r="J50" i="1" s="1"/>
  <c r="K98" i="2"/>
  <c r="K99" i="2" s="1"/>
  <c r="J49" i="1" s="1"/>
  <c r="W103" i="2"/>
  <c r="W80" i="2"/>
  <c r="W62" i="2"/>
  <c r="W151" i="2"/>
  <c r="W56" i="2"/>
  <c r="W166" i="2"/>
  <c r="W92" i="2"/>
  <c r="W154" i="2"/>
  <c r="I50" i="2"/>
  <c r="I51" i="2" s="1"/>
  <c r="H48" i="1" s="1"/>
  <c r="W94" i="2"/>
  <c r="W93" i="2"/>
  <c r="G148" i="2"/>
  <c r="W125" i="2"/>
  <c r="W130" i="3"/>
  <c r="W126" i="3"/>
  <c r="W161" i="2"/>
  <c r="W162" i="2"/>
  <c r="W55" i="2"/>
  <c r="W140" i="2"/>
  <c r="W25" i="2"/>
  <c r="W65" i="2"/>
  <c r="W77" i="2"/>
  <c r="W150" i="2"/>
  <c r="G171" i="2"/>
  <c r="G50" i="2"/>
  <c r="W23" i="2"/>
  <c r="W125" i="3"/>
  <c r="K71" i="3"/>
  <c r="K72" i="3" s="1"/>
  <c r="I40" i="1" s="1"/>
  <c r="W26" i="3"/>
  <c r="W180" i="3"/>
  <c r="W156" i="3"/>
  <c r="W117" i="3"/>
  <c r="W112" i="3"/>
  <c r="W95" i="3"/>
  <c r="W52" i="3"/>
  <c r="W37" i="3"/>
  <c r="W176" i="3"/>
  <c r="W158" i="3"/>
  <c r="W147" i="3"/>
  <c r="W124" i="3"/>
  <c r="W46" i="3"/>
  <c r="W68" i="3"/>
  <c r="W49" i="3"/>
  <c r="W91" i="3"/>
  <c r="P94" i="3"/>
  <c r="M143" i="3"/>
  <c r="M144" i="3" s="1"/>
  <c r="L41" i="1" s="1"/>
  <c r="W179" i="3"/>
  <c r="W170" i="3"/>
  <c r="W139" i="3"/>
  <c r="W120" i="3"/>
  <c r="W103" i="3"/>
  <c r="W60" i="3"/>
  <c r="W45" i="3"/>
  <c r="W114" i="3"/>
  <c r="W165" i="3"/>
  <c r="G190" i="3"/>
  <c r="W140" i="3"/>
  <c r="W110" i="3"/>
  <c r="W54" i="3"/>
  <c r="W80" i="3"/>
  <c r="W57" i="3"/>
  <c r="W126" i="2"/>
  <c r="M123" i="2"/>
  <c r="M124" i="2" s="1"/>
  <c r="L50" i="1" s="1"/>
  <c r="W69" i="2"/>
  <c r="W159" i="2"/>
  <c r="W160" i="2"/>
  <c r="W141" i="2"/>
  <c r="K171" i="2"/>
  <c r="K172" i="2" s="1"/>
  <c r="N49" i="1" s="1"/>
  <c r="W143" i="2"/>
  <c r="G98" i="2"/>
  <c r="W75" i="2"/>
  <c r="W129" i="2"/>
  <c r="W131" i="3"/>
  <c r="K163" i="3"/>
  <c r="K164" i="3" s="1"/>
  <c r="M40" i="1" s="1"/>
  <c r="M148" i="2"/>
  <c r="M149" i="2" s="1"/>
  <c r="M50" i="1" s="1"/>
  <c r="W117" i="2"/>
  <c r="W66" i="2"/>
  <c r="W70" i="2"/>
  <c r="W128" i="3"/>
  <c r="W88" i="2"/>
  <c r="G73" i="2"/>
  <c r="W52" i="2"/>
  <c r="W87" i="2"/>
  <c r="W44" i="2"/>
  <c r="W95" i="2"/>
  <c r="W39" i="2"/>
  <c r="I71" i="3"/>
  <c r="I72" i="3" s="1"/>
  <c r="I39" i="1" s="1"/>
  <c r="W89" i="3"/>
  <c r="W160" i="3"/>
  <c r="W149" i="3"/>
  <c r="W101" i="3"/>
  <c r="W82" i="3"/>
  <c r="W63" i="3"/>
  <c r="W102" i="3"/>
  <c r="G42" i="3"/>
  <c r="W23" i="3"/>
  <c r="W87" i="3"/>
  <c r="W181" i="3"/>
  <c r="W152" i="3"/>
  <c r="W113" i="3"/>
  <c r="G143" i="3"/>
  <c r="W108" i="3"/>
  <c r="W83" i="3"/>
  <c r="W48" i="3"/>
  <c r="P87" i="3"/>
  <c r="W187" i="3"/>
  <c r="W154" i="3"/>
  <c r="W109" i="3"/>
  <c r="W100" i="3"/>
  <c r="W75" i="3"/>
  <c r="G71" i="3"/>
  <c r="W44" i="3"/>
  <c r="W175" i="3"/>
  <c r="W182" i="3"/>
  <c r="W159" i="3"/>
  <c r="W111" i="3"/>
  <c r="W99" i="3"/>
  <c r="W56" i="3"/>
  <c r="W169" i="3"/>
  <c r="K106" i="3"/>
  <c r="K107" i="3" s="1"/>
  <c r="J40" i="1" s="1"/>
  <c r="W128" i="2"/>
  <c r="W58" i="2"/>
  <c r="C20" i="8" s="1"/>
  <c r="W120" i="2"/>
  <c r="W82" i="2"/>
  <c r="I98" i="2"/>
  <c r="I99" i="2" s="1"/>
  <c r="J48" i="1" s="1"/>
  <c r="W83" i="2"/>
  <c r="W127" i="3"/>
  <c r="W85" i="2"/>
  <c r="M171" i="2"/>
  <c r="M172" i="2" s="1"/>
  <c r="N50" i="1" s="1"/>
  <c r="K123" i="2"/>
  <c r="K124" i="2" s="1"/>
  <c r="L49" i="1" s="1"/>
  <c r="W100" i="2"/>
  <c r="G123" i="2"/>
  <c r="W134" i="3"/>
  <c r="W157" i="2"/>
  <c r="W158" i="2"/>
  <c r="W116" i="2"/>
  <c r="W61" i="2"/>
  <c r="W76" i="2"/>
  <c r="W165" i="2"/>
  <c r="W118" i="2"/>
  <c r="W45" i="2"/>
  <c r="W186" i="3"/>
  <c r="W157" i="3"/>
  <c r="W155" i="3"/>
  <c r="W123" i="3"/>
  <c r="W66" i="3"/>
  <c r="W47" i="3"/>
  <c r="G106" i="3"/>
  <c r="W73" i="3"/>
  <c r="M106" i="3"/>
  <c r="M107" i="3" s="1"/>
  <c r="J41" i="1" s="1"/>
  <c r="W183" i="3"/>
  <c r="W153" i="3"/>
  <c r="G163" i="3"/>
  <c r="W145" i="3"/>
  <c r="W136" i="3"/>
  <c r="W78" i="3"/>
  <c r="W59" i="3"/>
  <c r="W97" i="3"/>
  <c r="P88" i="3"/>
  <c r="W172" i="3"/>
  <c r="W148" i="3"/>
  <c r="W122" i="3"/>
  <c r="W74" i="3"/>
  <c r="W55" i="3"/>
  <c r="W81" i="3"/>
  <c r="W118" i="3"/>
  <c r="M163" i="3"/>
  <c r="M164" i="3" s="1"/>
  <c r="M41" i="1" s="1"/>
  <c r="M71" i="3"/>
  <c r="M72" i="3" s="1"/>
  <c r="I41" i="1" s="1"/>
  <c r="W184" i="3"/>
  <c r="W166" i="3"/>
  <c r="W138" i="3"/>
  <c r="W116" i="3"/>
  <c r="W67" i="3"/>
  <c r="W36" i="3"/>
  <c r="W127" i="2"/>
  <c r="W104" i="2"/>
  <c r="W153" i="2"/>
  <c r="W28" i="2"/>
  <c r="I106" i="3"/>
  <c r="I107" i="3" s="1"/>
  <c r="J39" i="1" s="1"/>
  <c r="W155" i="2"/>
  <c r="W156" i="2"/>
  <c r="W145" i="2"/>
  <c r="W142" i="2"/>
  <c r="W177" i="3"/>
  <c r="I190" i="3"/>
  <c r="I191" i="3" s="1"/>
  <c r="N39" i="1" s="1"/>
  <c r="I143" i="3"/>
  <c r="I144" i="3" s="1"/>
  <c r="L39" i="1" s="1"/>
  <c r="W63" i="2"/>
  <c r="W163" i="2"/>
  <c r="M50" i="2"/>
  <c r="M51" i="2" s="1"/>
  <c r="H50" i="1" s="1"/>
  <c r="I163" i="3"/>
  <c r="I164" i="3" s="1"/>
  <c r="M39" i="1" s="1"/>
  <c r="M73" i="2"/>
  <c r="M74" i="2" s="1"/>
  <c r="I50" i="1" s="1"/>
  <c r="W81" i="2"/>
  <c r="W41" i="2"/>
  <c r="H74" i="2"/>
  <c r="W105" i="2"/>
  <c r="W168" i="2"/>
  <c r="W24" i="2"/>
  <c r="W84" i="2"/>
  <c r="K190" i="3"/>
  <c r="K191" i="3" s="1"/>
  <c r="N40" i="1" s="1"/>
  <c r="W93" i="3"/>
  <c r="W85" i="3"/>
  <c r="M190" i="3"/>
  <c r="M191" i="3" s="1"/>
  <c r="N41" i="1" s="1"/>
  <c r="W171" i="3"/>
  <c r="W178" i="3"/>
  <c r="W151" i="3"/>
  <c r="W135" i="3"/>
  <c r="W50" i="3"/>
  <c r="W76" i="3"/>
  <c r="W53" i="3"/>
  <c r="I42" i="3"/>
  <c r="I43" i="3" s="1"/>
  <c r="H39" i="1" s="1"/>
  <c r="W167" i="3"/>
  <c r="W174" i="3"/>
  <c r="W146" i="3"/>
  <c r="W119" i="3"/>
  <c r="W62" i="3"/>
  <c r="W39" i="3"/>
  <c r="W65" i="3"/>
  <c r="W173" i="3"/>
  <c r="W137" i="3"/>
  <c r="W115" i="3"/>
  <c r="W58" i="3"/>
  <c r="W96" i="3"/>
  <c r="W61" i="3"/>
  <c r="W29" i="3"/>
  <c r="W86" i="3"/>
  <c r="W168" i="3"/>
  <c r="W150" i="3"/>
  <c r="W121" i="3"/>
  <c r="W98" i="3"/>
  <c r="W51" i="3"/>
  <c r="W77" i="3"/>
  <c r="W33" i="3"/>
  <c r="P41" i="1" l="1"/>
  <c r="P49" i="1"/>
  <c r="P40" i="1"/>
  <c r="P39" i="1"/>
  <c r="W164" i="3"/>
  <c r="W144" i="3"/>
  <c r="W74" i="2"/>
  <c r="W99" i="2"/>
  <c r="W191" i="3"/>
  <c r="W172" i="2"/>
  <c r="P50" i="1"/>
  <c r="R164" i="3"/>
  <c r="M42" i="1" s="1"/>
  <c r="G164" i="3"/>
  <c r="M38" i="1" s="1"/>
  <c r="W107" i="3"/>
  <c r="R144" i="3"/>
  <c r="L42" i="1" s="1"/>
  <c r="G144" i="3"/>
  <c r="L38" i="1" s="1"/>
  <c r="R74" i="2"/>
  <c r="I51" i="1" s="1"/>
  <c r="G74" i="2"/>
  <c r="I47" i="1" s="1"/>
  <c r="R99" i="2"/>
  <c r="J51" i="1" s="1"/>
  <c r="G99" i="2"/>
  <c r="J47" i="1" s="1"/>
  <c r="W51" i="2"/>
  <c r="R107" i="3"/>
  <c r="J42" i="1" s="1"/>
  <c r="G107" i="3"/>
  <c r="J38" i="1" s="1"/>
  <c r="R124" i="2"/>
  <c r="L51" i="1" s="1"/>
  <c r="G124" i="2"/>
  <c r="L47" i="1" s="1"/>
  <c r="W72" i="3"/>
  <c r="W43" i="3"/>
  <c r="R51" i="2"/>
  <c r="H51" i="1" s="1"/>
  <c r="G51" i="2"/>
  <c r="H47" i="1" s="1"/>
  <c r="W149" i="2"/>
  <c r="P48" i="1"/>
  <c r="W124" i="2"/>
  <c r="R72" i="3"/>
  <c r="I42" i="1" s="1"/>
  <c r="G72" i="3"/>
  <c r="I38" i="1" s="1"/>
  <c r="R43" i="3"/>
  <c r="H42" i="1" s="1"/>
  <c r="G43" i="3"/>
  <c r="H38" i="1" s="1"/>
  <c r="R191" i="3"/>
  <c r="N42" i="1" s="1"/>
  <c r="G191" i="3"/>
  <c r="N38" i="1" s="1"/>
  <c r="R172" i="2"/>
  <c r="N51" i="1" s="1"/>
  <c r="G172" i="2"/>
  <c r="N47" i="1" s="1"/>
  <c r="R149" i="2"/>
  <c r="M51" i="1" s="1"/>
  <c r="G149" i="2"/>
  <c r="M47" i="1" s="1"/>
  <c r="P38" i="1" l="1"/>
  <c r="P51" i="1"/>
  <c r="P53" i="1" s="1"/>
  <c r="Q53" i="1" s="1"/>
  <c r="P42" i="1"/>
  <c r="P44" i="1" s="1"/>
  <c r="Q44" i="1" s="1"/>
  <c r="P47" i="1"/>
  <c r="K28" i="8"/>
  <c r="K29" i="8"/>
  <c r="K52" i="8" l="1"/>
  <c r="K50" i="8"/>
</calcChain>
</file>

<file path=xl/sharedStrings.xml><?xml version="1.0" encoding="utf-8"?>
<sst xmlns="http://schemas.openxmlformats.org/spreadsheetml/2006/main" count="2042" uniqueCount="811">
  <si>
    <t>1st</t>
  </si>
  <si>
    <t>QF</t>
  </si>
  <si>
    <t>Salaries</t>
  </si>
  <si>
    <t>Friendlies</t>
  </si>
  <si>
    <t>Tourneys</t>
  </si>
  <si>
    <t>Nat Lg</t>
  </si>
  <si>
    <t>SheB Cp</t>
  </si>
  <si>
    <t>Others</t>
  </si>
  <si>
    <t>WCQ/OlyQ</t>
  </si>
  <si>
    <t>1st rd</t>
  </si>
  <si>
    <t>2nd rd</t>
  </si>
  <si>
    <t>Majors</t>
  </si>
  <si>
    <t>World Cup</t>
  </si>
  <si>
    <t>Olympics</t>
  </si>
  <si>
    <t>Tier 1 (top 10)</t>
  </si>
  <si>
    <t>W (T4/Can)</t>
  </si>
  <si>
    <t>Quarters</t>
  </si>
  <si>
    <t>na</t>
  </si>
  <si>
    <t>Win</t>
  </si>
  <si>
    <t>Roster</t>
  </si>
  <si>
    <t>Tier 2 (7-10)</t>
  </si>
  <si>
    <t>W (5th-8th)</t>
  </si>
  <si>
    <t>Fourth place</t>
  </si>
  <si>
    <t>World Cup 2</t>
  </si>
  <si>
    <t>Draw</t>
  </si>
  <si>
    <t>Individual</t>
  </si>
  <si>
    <t>Team x1m</t>
  </si>
  <si>
    <t>W (9th+)</t>
  </si>
  <si>
    <t>Third place</t>
  </si>
  <si>
    <t>Loss</t>
  </si>
  <si>
    <t>Point/grp</t>
  </si>
  <si>
    <t>D (T4/Can)</t>
  </si>
  <si>
    <t>Runner-up</t>
  </si>
  <si>
    <t>Knockout rd</t>
  </si>
  <si>
    <t>Non-salaried</t>
  </si>
  <si>
    <t>D (5th-8th)</t>
  </si>
  <si>
    <t>Champion</t>
  </si>
  <si>
    <t>Qual bonus</t>
  </si>
  <si>
    <t>per player</t>
  </si>
  <si>
    <t># players</t>
  </si>
  <si>
    <t>First camp &lt;11 days</t>
  </si>
  <si>
    <t>D (9th+)</t>
  </si>
  <si>
    <t>Semifinals</t>
  </si>
  <si>
    <t>First camp &gt;10 days</t>
  </si>
  <si>
    <t>Hypothetical results (in gray) not yet in calculation</t>
  </si>
  <si>
    <t>Future camps &lt;11 d</t>
  </si>
  <si>
    <t>Future camps &gt;10 d</t>
  </si>
  <si>
    <t>Pool pay</t>
  </si>
  <si>
    <t>Tour</t>
  </si>
  <si>
    <t>Wrld Cup</t>
  </si>
  <si>
    <t>Game roster &lt;8th</t>
  </si>
  <si>
    <t>Likenesses</t>
  </si>
  <si>
    <t>post-event tour</t>
  </si>
  <si>
    <t>Gold</t>
  </si>
  <si>
    <t>Per game*</t>
  </si>
  <si>
    <t>These calculations apply the chosen figures to 2014-17 results. Player usage (how often a player plays) is an approximation based on typical selection in a given year (see stats below)</t>
  </si>
  <si>
    <t>Game roster 8th+</t>
  </si>
  <si>
    <t>Attendance</t>
  </si>
  <si>
    <t>Rankings taken from March 2019. Tier 1: CAN plus teams ranked 1-4 (USA, GER, ENG, FRA). Tier 2: Teams ranked 5-8, not including CAN. (AUS, JPN, NED). Tier 3: All others.</t>
  </si>
  <si>
    <t>4 games</t>
  </si>
  <si>
    <t>Silver</t>
  </si>
  <si>
    <t xml:space="preserve">Max </t>
  </si>
  <si>
    <t>Group 1 (max!)</t>
  </si>
  <si>
    <t>Group 2</t>
  </si>
  <si>
    <t>WCup roster per/gm</t>
  </si>
  <si>
    <t>Group 3</t>
  </si>
  <si>
    <t>Group 4</t>
  </si>
  <si>
    <t>Number of players per game</t>
  </si>
  <si>
    <t>per ticket / home games</t>
  </si>
  <si>
    <t>Bronze</t>
  </si>
  <si>
    <t>Team pay per g</t>
  </si>
  <si>
    <t>Salaried (unless none)</t>
  </si>
  <si>
    <t>* if no salary</t>
  </si>
  <si>
    <t>Salaried</t>
  </si>
  <si>
    <t>Add KO, QF, SF + (3rd, 2nd, 1st) for total</t>
  </si>
  <si>
    <t>This is to check math</t>
  </si>
  <si>
    <t>To check math</t>
  </si>
  <si>
    <t>No. = number of players in that group for that game</t>
  </si>
  <si>
    <t>All tournaments</t>
  </si>
  <si>
    <t>Major tournaments</t>
  </si>
  <si>
    <t>50%-60% total games</t>
  </si>
  <si>
    <t>Fringe of pool</t>
  </si>
  <si>
    <t>First col is sum in this scenario</t>
  </si>
  <si>
    <t>WORLD CUP (2 in cycle): Type NQ (for not qualified), Grp, KO, QF, SF, 3rd, 2nd or 1st to select MNT results / in next column, select points in group stage (1-9):</t>
  </si>
  <si>
    <t>"Apps" = number of career gameday rosters player has made --&gt;</t>
  </si>
  <si>
    <t>100% friendlies</t>
  </si>
  <si>
    <t>KO</t>
  </si>
  <si>
    <t>75%-80% total games</t>
  </si>
  <si>
    <t>NQ</t>
  </si>
  <si>
    <t>&gt;=8 career roster apps</t>
  </si>
  <si>
    <t>Men's national team (defaults from most recent CBA, still in effect through June 2019 despite expiration)</t>
  </si>
  <si>
    <t>&lt;8 career roster apps</t>
  </si>
  <si>
    <t>Must equal 2nd col (typical #)</t>
  </si>
  <si>
    <t>Subtotal</t>
  </si>
  <si>
    <t>Date</t>
  </si>
  <si>
    <t>Gold C</t>
  </si>
  <si>
    <t>Opponent</t>
  </si>
  <si>
    <t>Copa Am</t>
  </si>
  <si>
    <t>World Cup 1</t>
  </si>
  <si>
    <t>Res</t>
  </si>
  <si>
    <t>Game type</t>
  </si>
  <si>
    <t>Crowd-h</t>
  </si>
  <si>
    <t>Tier 1</t>
  </si>
  <si>
    <t>W (T10/Mex)</t>
  </si>
  <si>
    <t>W (T25/Mex)</t>
  </si>
  <si>
    <t>Tier 2</t>
  </si>
  <si>
    <t>W (11th-25th)</t>
  </si>
  <si>
    <t>W (26+)</t>
  </si>
  <si>
    <t>Rank</t>
  </si>
  <si>
    <t>Pay</t>
  </si>
  <si>
    <t>No.</t>
  </si>
  <si>
    <t>Players</t>
  </si>
  <si>
    <t>Typical</t>
  </si>
  <si>
    <t>G1 base pay</t>
  </si>
  <si>
    <t>G2 base pay</t>
  </si>
  <si>
    <t>G3 base pay</t>
  </si>
  <si>
    <t>G4 base pay</t>
  </si>
  <si>
    <t>Attend bonus</t>
  </si>
  <si>
    <t>Scotland</t>
  </si>
  <si>
    <t>per game associated with camp</t>
  </si>
  <si>
    <t>W</t>
  </si>
  <si>
    <t>D (T10/Mex)</t>
  </si>
  <si>
    <t>Friendly-h</t>
  </si>
  <si>
    <t>D (11th-25th)</t>
  </si>
  <si>
    <t>2nd round</t>
  </si>
  <si>
    <t>Friendly camp</t>
  </si>
  <si>
    <t>D (26+)</t>
  </si>
  <si>
    <t>Groups 1-2</t>
  </si>
  <si>
    <t>WCQ camp</t>
  </si>
  <si>
    <t>Game bonus</t>
  </si>
  <si>
    <t>Pool total</t>
  </si>
  <si>
    <t>Must equal</t>
  </si>
  <si>
    <t>Per game</t>
  </si>
  <si>
    <t>Iceland</t>
  </si>
  <si>
    <t>* Players Association determines division of $</t>
  </si>
  <si>
    <t>Friendly-a</t>
  </si>
  <si>
    <t>Total</t>
  </si>
  <si>
    <t>per ticket; home game</t>
  </si>
  <si>
    <t>* No. players should be roughly 50-55</t>
  </si>
  <si>
    <t>Per-year projection: Women's team</t>
  </si>
  <si>
    <t>PLAYER CATEGORY</t>
  </si>
  <si>
    <t>Rankings taken from June 2019. Tier 1: MEX plus top 10 (BEL, FRA, BRA, ENG, POR, CRO, ESP, URU, SUI, DEN). Tier 2: GER, ARG, COL, ITA, NED, CHI, SWE, (MEX), POL, IRI (!?), PER, SEN, WAL, UKR, TUN</t>
  </si>
  <si>
    <t>6-year total</t>
  </si>
  <si>
    <t>Camp</t>
  </si>
  <si>
    <t>Ever-present</t>
  </si>
  <si>
    <t>Called in</t>
  </si>
  <si>
    <t>Salaried if they exist</t>
  </si>
  <si>
    <t>Top WCQ bonus</t>
  </si>
  <si>
    <t>2nd WCQ bonus</t>
  </si>
  <si>
    <t>China</t>
  </si>
  <si>
    <t>1. Maximum possible pay</t>
  </si>
  <si>
    <t>Sweden</t>
  </si>
  <si>
    <t>No game</t>
  </si>
  <si>
    <t>&gt;50% games</t>
  </si>
  <si>
    <t>25%-50% games</t>
  </si>
  <si>
    <t>T</t>
  </si>
  <si>
    <t>Germany</t>
  </si>
  <si>
    <t>T1</t>
  </si>
  <si>
    <t>Canada</t>
  </si>
  <si>
    <t>2. 75-80% of games, salaried (if applicable)</t>
  </si>
  <si>
    <t>Tournament championship bonus</t>
  </si>
  <si>
    <t>3. 50-60% of games, not salaried</t>
  </si>
  <si>
    <t>4. Fringe player</t>
  </si>
  <si>
    <t>Netherlands</t>
  </si>
  <si>
    <t>T2</t>
  </si>
  <si>
    <t>Honduras</t>
  </si>
  <si>
    <t>L</t>
  </si>
  <si>
    <t>WCQ Hex-a</t>
  </si>
  <si>
    <t>South Korea</t>
  </si>
  <si>
    <t>Per-year projected: Men's team</t>
  </si>
  <si>
    <t>Mexico</t>
  </si>
  <si>
    <t>Costa Rica</t>
  </si>
  <si>
    <t>WCQ Hex-h</t>
  </si>
  <si>
    <t>Australia</t>
  </si>
  <si>
    <t>New Zealand</t>
  </si>
  <si>
    <t>Belgium</t>
  </si>
  <si>
    <t>WOMEN'S ATTENDANCE</t>
  </si>
  <si>
    <t>Total home games</t>
  </si>
  <si>
    <t>Jamaica</t>
  </si>
  <si>
    <t>Brazil</t>
  </si>
  <si>
    <t>Friendly games average</t>
  </si>
  <si>
    <t>Overall total</t>
  </si>
  <si>
    <t>Panama</t>
  </si>
  <si>
    <t>Overall average</t>
  </si>
  <si>
    <t>Salary or camp fees</t>
  </si>
  <si>
    <t>MEN'S ATTENDANCE</t>
  </si>
  <si>
    <t>World Cup qualifiers average</t>
  </si>
  <si>
    <t>Guatemala</t>
  </si>
  <si>
    <t>Gold Cup grp</t>
  </si>
  <si>
    <t>Gold Cup / Copa America average</t>
  </si>
  <si>
    <t>Belize</t>
  </si>
  <si>
    <t>Cuba</t>
  </si>
  <si>
    <t>Likeness licensing fees</t>
  </si>
  <si>
    <t>Gold Cup R16</t>
  </si>
  <si>
    <t>2013 total for whole group</t>
  </si>
  <si>
    <t>El Salvador</t>
  </si>
  <si>
    <t>Gold Cup QF</t>
  </si>
  <si>
    <t># of players in group</t>
  </si>
  <si>
    <t>Gold Cup SF</t>
  </si>
  <si>
    <t>Gold Cup final</t>
  </si>
  <si>
    <t>Gold Cup champion</t>
  </si>
  <si>
    <t>PLAYERS (on rosters)</t>
  </si>
  <si>
    <t>Bosnia</t>
  </si>
  <si>
    <t>2013 AVG PER PLAYER</t>
  </si>
  <si>
    <t>avg games per player</t>
  </si>
  <si>
    <t>World Cup qual bonus</t>
  </si>
  <si>
    <t>TOTAL TEAM PAY</t>
  </si>
  <si>
    <t>Friendly - h</t>
  </si>
  <si>
    <t>Austria</t>
  </si>
  <si>
    <t>Russia</t>
  </si>
  <si>
    <t>Japan</t>
  </si>
  <si>
    <t>Friendly - a</t>
  </si>
  <si>
    <t>Denmark</t>
  </si>
  <si>
    <t>North Korea</t>
  </si>
  <si>
    <t>France</t>
  </si>
  <si>
    <t>Ukraine</t>
  </si>
  <si>
    <t>Switzerland</t>
  </si>
  <si>
    <t>Azerbaijan</t>
  </si>
  <si>
    <t>Turkey</t>
  </si>
  <si>
    <t>Trin&amp;Tob</t>
  </si>
  <si>
    <t>WCQ - h</t>
  </si>
  <si>
    <t>Nigeria</t>
  </si>
  <si>
    <t>World Cup roster + 3 game bonuses</t>
  </si>
  <si>
    <t>Haiti</t>
  </si>
  <si>
    <t>WCQ bonus</t>
  </si>
  <si>
    <t>World Cup group points</t>
  </si>
  <si>
    <t>World Cup KO round bonus (plus game bonus)</t>
  </si>
  <si>
    <t>Argentina</t>
  </si>
  <si>
    <t>World Cup QF bonus (plus 2 game bonuses)</t>
  </si>
  <si>
    <t>2014 total for whole group</t>
  </si>
  <si>
    <t>World Cup SF bonus (plus 4 game bonuses)</t>
  </si>
  <si>
    <t>2014 AVG PER PLAYER</t>
  </si>
  <si>
    <t>World Cup 3rd-pl bonus (plus 4 game bonuses)</t>
  </si>
  <si>
    <t>World Cup 2nd-pl bonus (plus 4 game bonuses)</t>
  </si>
  <si>
    <t>England</t>
  </si>
  <si>
    <t>World Cup champ bonus (plus 4 game bonuses)</t>
  </si>
  <si>
    <t>Norway</t>
  </si>
  <si>
    <t>Czech Rep.</t>
  </si>
  <si>
    <t>Ecuador</t>
  </si>
  <si>
    <t>Colombia</t>
  </si>
  <si>
    <t>Ireland</t>
  </si>
  <si>
    <t>Chile</t>
  </si>
  <si>
    <t>The goal here is to create hypotheticals based on as much actual data as possible</t>
  </si>
  <si>
    <t>Gold Cup 3rd-place game</t>
  </si>
  <si>
    <r>
      <rPr>
        <b/>
        <sz val="10"/>
        <rFont val="Arial"/>
      </rPr>
      <t xml:space="preserve">The results </t>
    </r>
    <r>
      <rPr>
        <sz val="10"/>
        <color rgb="FF000000"/>
        <rFont val="Arial"/>
      </rPr>
      <t>used to calculate these numbers (wins, losses, opponent rankings, attendance) are actual numbers from 2013-18.</t>
    </r>
  </si>
  <si>
    <t>This six-year span was chosen to show the effect of two major tournaments per team (men 2014 and 2018, women 2015 and 2016) as well as 2013 World Cup qualifiers</t>
  </si>
  <si>
    <t>The collective bargaining agreements used as default values are the 2017-21 women's deal and the 2011-18 men's deal, which is still in effect as of July 7, 2019</t>
  </si>
  <si>
    <t>Annotations on those default values and the parameters chosen to run these scenarios follow ...</t>
  </si>
  <si>
    <t>Default World Cup and Olympic values from 2015 and 2016 are here, but they can be changed to run different scenarios</t>
  </si>
  <si>
    <t>WOMEN'S NATIONAL TEAM: Default values from 2017-21 collective bargaining agreement</t>
  </si>
  <si>
    <t>Gold Cup 4th place</t>
  </si>
  <si>
    <t>World Cup third-place tour bonus</t>
  </si>
  <si>
    <t>Peru</t>
  </si>
  <si>
    <t>World Cup second-place tour bonus</t>
  </si>
  <si>
    <t>CONCACAF Cup</t>
  </si>
  <si>
    <t>Tournaments</t>
  </si>
  <si>
    <t>World Cup and Olympic bonuses</t>
  </si>
  <si>
    <t>Number of salaried players drop 1 per year: 20 in 2017, 16 2021</t>
  </si>
  <si>
    <t>1st-place bonuses are awarded for the SheBelieves Cup and the Tourn of Nations</t>
  </si>
  <si>
    <t>The "max" assumes 9 points and 7 games</t>
  </si>
  <si>
    <t>Number of players on NWSL salaries is larger</t>
  </si>
  <si>
    <t>In years past, the SBC didn't exist, and the WNT played in Portugal's Algarve Cup</t>
  </si>
  <si>
    <t>Bonuses are cumulative per round through the semifinals</t>
  </si>
  <si>
    <t>Tiers from prior CBAs no longer apply; you may add them in</t>
  </si>
  <si>
    <t>I've assigned SBC bonuses to the Algarve Cup wins</t>
  </si>
  <si>
    <t>Example: A semifinalist gets bonuses for the KO rd, QF + SF</t>
  </si>
  <si>
    <t>I've divided salaried players into 2 groups to allow tiers</t>
  </si>
  <si>
    <t>Future versions of this will have hypotheticals for the non-yet-started Nations League</t>
  </si>
  <si>
    <t>Team bonuses are in millions of dollars</t>
  </si>
  <si>
    <t>Top group shows maximum pay if player is on every roster</t>
  </si>
  <si>
    <t>Calculations for individuals: Team/23 for WCup, team/18 Oly</t>
  </si>
  <si>
    <t>Here, top group is always 10, approximating typical year</t>
  </si>
  <si>
    <t>World Cup champion tour bonus</t>
  </si>
  <si>
    <t>World Cup / Olympic qualifying</t>
  </si>
  <si>
    <t>2nd group drops from 10 in Yr 1 to mimic 20-&gt;16 drop in CBA</t>
  </si>
  <si>
    <t>Women's qualifying has one round of competition. The men have two.</t>
  </si>
  <si>
    <t>FIFA prize money</t>
  </si>
  <si>
    <t>Qualification bonuses are given to each of the 20 players in each qualifying event</t>
  </si>
  <si>
    <t>Bonuses are shown on team basis to line up with prize money</t>
  </si>
  <si>
    <t>Non-salaried (incl. those on NWSL but not WNT salaries)</t>
  </si>
  <si>
    <t xml:space="preserve">For 2019, those prizes (given to the federation) are: </t>
  </si>
  <si>
    <t>Camp bonuses go to those called in but don't make game roster</t>
  </si>
  <si>
    <t>Post-event tours (formerly the Victory Tour)</t>
  </si>
  <si>
    <t>Champion: $4 million (up from $2 million in 2015)</t>
  </si>
  <si>
    <t>Camp bonuses tiered for length (&lt;&gt;10 days), exp (&lt;&gt;1 camp)</t>
  </si>
  <si>
    <t>Medalists from the World Cup and Olympics get an extra bonus for a 4-game tour</t>
  </si>
  <si>
    <t>Runner-up: $2.6 million</t>
  </si>
  <si>
    <t>For these scenarios, all camp bonuses are the lowest value</t>
  </si>
  <si>
    <t>Players who weren't in those events but play on Tour get standard game bonuses</t>
  </si>
  <si>
    <t>Third place: $2 million</t>
  </si>
  <si>
    <t>Roster appearance pay rises with 8th roster appearance</t>
  </si>
  <si>
    <t>The World Cup roster has 23 players; the Olympic roster is 18</t>
  </si>
  <si>
    <t>Fourth place: $1.6 million</t>
  </si>
  <si>
    <t>St. Vin &amp; Gren</t>
  </si>
  <si>
    <t>World Cup roster pay figures in elsewhere; shown here also</t>
  </si>
  <si>
    <t>Quarterfinals: $1.45 million</t>
  </si>
  <si>
    <t>Salaried players not given game bonuses, even in World Cup</t>
  </si>
  <si>
    <t>OTHER NOTES / ITEMS NOT INCLUDED HERE</t>
  </si>
  <si>
    <t>Round of 16: $1 million</t>
  </si>
  <si>
    <t>(lack of World Cup bonuses for salaried players is NOT verified)</t>
  </si>
  <si>
    <t>TOTAL NUMBER OF PLAYERS: Typically around 30</t>
  </si>
  <si>
    <t>Group stage: $750,000</t>
  </si>
  <si>
    <t>Group 3 (8+ roster apps) and Group 4 (&lt;8) vary in size</t>
  </si>
  <si>
    <t>PLAYERS ALLOCATED TO NWSL: Minimum 22</t>
  </si>
  <si>
    <t>WCQ 1st-h</t>
  </si>
  <si>
    <t>Goal: Give Group 3 players roughly 50-60% of games</t>
  </si>
  <si>
    <t>TIER 1 NWSL: $67,500 in 2017, then up $2,500 a year. TIER 2: $5,000 less</t>
  </si>
  <si>
    <t>Olympic prize money</t>
  </si>
  <si>
    <t>OTHER BENEFITS: Injury pay, maternity/family pay, insurance, 401(k)</t>
  </si>
  <si>
    <t>None from IOC</t>
  </si>
  <si>
    <t>Friendly (exhibition) bonuses</t>
  </si>
  <si>
    <t xml:space="preserve">CBA SIGNING BONUS: $320,000 split among the team </t>
  </si>
  <si>
    <t>USOC: $37.5k to gold medalists, $22.5k silver, $15k bronze</t>
  </si>
  <si>
    <t>Tiers are based on FIFA rankings. Canada always in top tier.</t>
  </si>
  <si>
    <t>PARTNER BONUS: Awarded if Soccer United Marketing revenue exceeds target</t>
  </si>
  <si>
    <t>Rankings here are taken from March 2019</t>
  </si>
  <si>
    <t>OTHER BONUSES: Includes one for TV ratings increase</t>
  </si>
  <si>
    <t>FOR BOTH TEAMS</t>
  </si>
  <si>
    <t>SPONSOR APPEARANCES: $4k each on WNT behalf; $2.5k on NWSL behalf (max 4)</t>
  </si>
  <si>
    <t>Camp bonuses are included in team totals</t>
  </si>
  <si>
    <t>PER DIEM: Will rise to match whatever MNT negotiates in new deal</t>
  </si>
  <si>
    <t>No. of players per game loosely based on typical usage</t>
  </si>
  <si>
    <t>The team is given a lump sum for use of players' likenesses</t>
  </si>
  <si>
    <t>SCHEDULE GOALS: At least 16 in non-Oly/WWC years. Others at least 12 +Oly/WWC</t>
  </si>
  <si>
    <t>World Cup games and lead-ins have 23; Olympics 18</t>
  </si>
  <si>
    <t>I've divided that sum evenly among Groups 1-3</t>
  </si>
  <si>
    <t>CAMP: Might have an ID camp for players with no more than 14 days of WNT service</t>
  </si>
  <si>
    <t>Trin &amp; Tobago</t>
  </si>
  <si>
    <t>WCQ 1st-a</t>
  </si>
  <si>
    <t>Bonus is split among gameday roster</t>
  </si>
  <si>
    <t>Applies ONLY to home friendlies and home WCup qualifiers</t>
  </si>
  <si>
    <t>2015 total for whole group</t>
  </si>
  <si>
    <t xml:space="preserve">Salaries </t>
  </si>
  <si>
    <t>World Cups</t>
  </si>
  <si>
    <t>Men haven't received salaries in this century</t>
  </si>
  <si>
    <t>MNT usually doesn't play in Copa America, but it hosted in 2016</t>
  </si>
  <si>
    <t>Similar to WNT: Pool bonuses, cumulative for KO rounds, etc.</t>
  </si>
  <si>
    <t>It's hard to see how salaries would work, but enter if you like</t>
  </si>
  <si>
    <t>Nations League starts in fall 2019 but is not yet included in calculations</t>
  </si>
  <si>
    <t>Two World Cups in this cycle</t>
  </si>
  <si>
    <t>Tier 1 (Group 1 on MNT page) is designed to show max pay</t>
  </si>
  <si>
    <t>Results for this cycle's tournaments are not yet variable</t>
  </si>
  <si>
    <t>Only 5 players are in Group 1 because few are ever-present</t>
  </si>
  <si>
    <t>Men won 2013 and 2017 Gold Cups; fourth in 2019. These bonuses can be changed</t>
  </si>
  <si>
    <t>Group 2 varies between 10 and 13 players here</t>
  </si>
  <si>
    <t>Men took fourth in 2016 Copa America, taking second-round and fourth-place bonus</t>
  </si>
  <si>
    <t>Group 2 players are on at least half of gameday rosters</t>
  </si>
  <si>
    <t>One-off, one-game CONCACAF Cup is treated as a friendly. USA lost, anyway</t>
  </si>
  <si>
    <t>Groups 1-2 get the max World Cup qualifying bonus</t>
  </si>
  <si>
    <t>Under-23s and three overage players can play in Oly; bonuses aren't stated in CBA</t>
  </si>
  <si>
    <t>If salaries are given, these players won't get them</t>
  </si>
  <si>
    <t>The USOC awards $37,500 to gold medalists, $22,500 for silver, $15,000 bronze</t>
  </si>
  <si>
    <t>Group 3 gets second tier of World Cup qualifying bonuses</t>
  </si>
  <si>
    <t>Group 3 players play 25-50% of games</t>
  </si>
  <si>
    <t>World Cup qualifying: Game bonuses</t>
  </si>
  <si>
    <t>Group 4 players get third tier of Cup qualifying bonuses</t>
  </si>
  <si>
    <t>Different tier for semifinal round and final round (Hexagonal)</t>
  </si>
  <si>
    <t>Group 4 players get few games</t>
  </si>
  <si>
    <t>Number of players per year is btwn 50 and 55 (which is typical)</t>
  </si>
  <si>
    <t>World Cup qualifying bonuses</t>
  </si>
  <si>
    <t>Players Association determines how pool bonus is split</t>
  </si>
  <si>
    <t>I've tried to approximate split with three tiers</t>
  </si>
  <si>
    <t>Tier 1 opponents: top 10 in FIFA ranking, plus Mexico</t>
  </si>
  <si>
    <t>Having more than 20 in top tier will make Group 2 average pay look larger</t>
  </si>
  <si>
    <t>Tier 2: 11th through 25th in FIFA rankings</t>
  </si>
  <si>
    <t>But the total compensation is affected only by pool bonus</t>
  </si>
  <si>
    <t>Rankings taken from June 2019</t>
  </si>
  <si>
    <t>ITEMS NOT INCLUDED HERE</t>
  </si>
  <si>
    <t>Sponsor appearances: $3,750 per</t>
  </si>
  <si>
    <t>CBA has complicated system. Approximate as you like</t>
  </si>
  <si>
    <t>Same as WNT: Per-ticket bonus to pool, split among roster</t>
  </si>
  <si>
    <t>Gold Cup, Copa America don't generate bonuses. Too bad.</t>
  </si>
  <si>
    <t>2015 AVG PER PLAYER</t>
  </si>
  <si>
    <t>OG Qual - h</t>
  </si>
  <si>
    <t>Puerto Rico</t>
  </si>
  <si>
    <t>Bolivia</t>
  </si>
  <si>
    <t>Copa Am grp</t>
  </si>
  <si>
    <t>OGQ bonus</t>
  </si>
  <si>
    <t>Paraguay</t>
  </si>
  <si>
    <t>Copa America R2 bonus</t>
  </si>
  <si>
    <t>Copa Am QF</t>
  </si>
  <si>
    <t>Copa Am SF</t>
  </si>
  <si>
    <t>Copa Am 3rd</t>
  </si>
  <si>
    <t>SheBelieves Cup championship bonus</t>
  </si>
  <si>
    <t>Copa America 4th bonus</t>
  </si>
  <si>
    <t>South Africa</t>
  </si>
  <si>
    <t>Oly roster + 3 game bonuses</t>
  </si>
  <si>
    <t>Oly group points</t>
  </si>
  <si>
    <t>2016 total for whole group</t>
  </si>
  <si>
    <t>Oly QF bonus (plus game bonus)</t>
  </si>
  <si>
    <t>Oly SF bonus (plus 3 game bonuses)</t>
  </si>
  <si>
    <t>2016 AVG PER PLAYER</t>
  </si>
  <si>
    <t>Oly 3rd-pl bonus (plus 3 game bonuses)</t>
  </si>
  <si>
    <t>Serbia</t>
  </si>
  <si>
    <t>Oly 2nd-pl bonus (plus 3 game bonuses)</t>
  </si>
  <si>
    <t>Oly champ bonus (plus 3 game bonuses)</t>
  </si>
  <si>
    <t>Venezuela</t>
  </si>
  <si>
    <t>Oly third-place tour bonus</t>
  </si>
  <si>
    <t>Oly second-place tour bonus</t>
  </si>
  <si>
    <t>Ghana</t>
  </si>
  <si>
    <t>Oly champion tour bonus</t>
  </si>
  <si>
    <t>Thailand</t>
  </si>
  <si>
    <t>Martinique</t>
  </si>
  <si>
    <t>Nicaragua</t>
  </si>
  <si>
    <t>Gold Cup champion bonus</t>
  </si>
  <si>
    <t>Romania</t>
  </si>
  <si>
    <t>Portugal</t>
  </si>
  <si>
    <t>2017 total for whole group</t>
  </si>
  <si>
    <t>2017 AVG PER PLAYER</t>
  </si>
  <si>
    <t>D</t>
  </si>
  <si>
    <t>Italy</t>
  </si>
  <si>
    <t>2018 total for whole group</t>
  </si>
  <si>
    <t>2018 AVG PER PLAYER</t>
  </si>
  <si>
    <t>Tournament of Nations championship bonus</t>
  </si>
  <si>
    <t>WCQ-h</t>
  </si>
  <si>
    <t>Available bonuses</t>
  </si>
  <si>
    <t>Tournament equivalents for calculations</t>
  </si>
  <si>
    <t>2013: Algarve Cup</t>
  </si>
  <si>
    <t>Algarve Cup treated as "other tournament"</t>
  </si>
  <si>
    <t>2014: Algarve Cup, World Cup qualifying, Brazil tournament</t>
  </si>
  <si>
    <t>2015: Algarve Cup, World Cup</t>
  </si>
  <si>
    <t>2016: Olympic qualifying, SheBelieves Cup, Olympics</t>
  </si>
  <si>
    <t>2017: SheBelieves Cup, Tournament of Nations</t>
  </si>
  <si>
    <t>2018: SheBelieves Cup, Tournament of Nations</t>
  </si>
  <si>
    <t>Women's national team, current CBA (in effect since 2017)</t>
  </si>
  <si>
    <t>U.S. national teams: Current CBA analysis</t>
  </si>
  <si>
    <t>WHAT THIS IS</t>
  </si>
  <si>
    <t>An estimate of how much players *actually* earned. The women's earnings would have been much lower for 2013-16 before their current deal kicked in. (NWSL pay is NOT included.)</t>
  </si>
  <si>
    <t>WHAT THIS IS NOT</t>
  </si>
  <si>
    <t xml:space="preserve">An estimate, based on actual CBA numbers, of what U.S. national soccer players would have earned for national team play from 2013-18 under current agreements. </t>
  </si>
  <si>
    <t>Yellow boxes show individual pay</t>
  </si>
  <si>
    <t>Green boxes show total pay for player pool</t>
  </si>
  <si>
    <t>Gray boxes show values that aren't relevant to these results</t>
  </si>
  <si>
    <t>*if not salaried</t>
  </si>
  <si>
    <t>Post-World Cup (Victory Tour) bonus, four games</t>
  </si>
  <si>
    <t>Oly (U23+3 overage) not in CBA. USOC pays $37.5K, $22.5K, $15K</t>
  </si>
  <si>
    <t>* Number of players should be roughly 50-55</t>
  </si>
  <si>
    <t>Max</t>
  </si>
  <si>
    <t>Max/actual</t>
  </si>
  <si>
    <t>Point/grp (4)</t>
  </si>
  <si>
    <t>CBA calls for $2.5m bonus for pool</t>
  </si>
  <si>
    <t>Actual</t>
  </si>
  <si>
    <t>2015 (WWC)</t>
  </si>
  <si>
    <t>2016 (Oly)</t>
  </si>
  <si>
    <t>2013 (WCQ)</t>
  </si>
  <si>
    <t>2014 (WC)</t>
  </si>
  <si>
    <t>2016 (Copa)</t>
  </si>
  <si>
    <t>2017 (WCQ)</t>
  </si>
  <si>
    <t>TOTAL</t>
  </si>
  <si>
    <t>WWC or Oly qualifiers average</t>
  </si>
  <si>
    <t>NOTES (on colored boxes above)</t>
  </si>
  <si>
    <t>Men's national team (current CBA, still in effect as of November 2019 despite expiration)</t>
  </si>
  <si>
    <t>2013-16 WNT is *not actual pay*, which would be much lower under prior CBA. It's here to set up comparison between current CBA and other possible deals.</t>
  </si>
  <si>
    <t>Values are copied from main sheet</t>
  </si>
  <si>
    <t>2014 (WCQ)</t>
  </si>
  <si>
    <t>2018 (WCQ)</t>
  </si>
  <si>
    <t>Women's World Cup bonuses</t>
  </si>
  <si>
    <t>Team</t>
  </si>
  <si>
    <t>Men's World Cup bonuses</t>
  </si>
  <si>
    <t>2016 WNT includes Olympic qualifying bonus of $25,000 per player, $500,000 for the team. This is higher than USOC prize for silver medalists ($22,500)</t>
  </si>
  <si>
    <t>All boxes of this color include FIFA bonus. REM: 2015 is NOT actual WNT pay. I've included current CBA / current FIFA prize to show effect of current CBA.</t>
  </si>
  <si>
    <t>LINKS</t>
  </si>
  <si>
    <t>https://resources.fifa.com/image/upload/statistical-kit-the-official-draw-for-the-fifa-women-s-world-cup-france-2019tm.pdf?cloudid=sthkfoowsnlmtrpfzywp</t>
  </si>
  <si>
    <t>https://www.reuters.com/article/us-soccer-world-prizemoney/soccer-world-cup-money-pot-increased-to-576m-idUSBRE9B40QG20131205</t>
  </si>
  <si>
    <t>https://www.scribd.com/document/434618327/USSF-Original-Complaint</t>
  </si>
  <si>
    <t>2001, 2005, 2013 WNT contracts</t>
  </si>
  <si>
    <t>varies by player</t>
  </si>
  <si>
    <t>varies</t>
  </si>
  <si>
    <t>https://www.si.com/planet-futbol/2016/05/17/copa-america-centenario-prize-money</t>
  </si>
  <si>
    <t>2016 Copa America prize money</t>
  </si>
  <si>
    <t>WWC FIFA prize money, several years</t>
  </si>
  <si>
    <t>2014 WC FIFA prize money</t>
  </si>
  <si>
    <t>Other MNT bonuses</t>
  </si>
  <si>
    <t>2016 Copa</t>
  </si>
  <si>
    <t>2013 Gold</t>
  </si>
  <si>
    <t>2017 Gold</t>
  </si>
  <si>
    <t>BONUSES: FIFA, CONCACAF, SheBelieves Cup, Algarve Cup, etc.</t>
  </si>
  <si>
    <t>Other WNT bonuses</t>
  </si>
  <si>
    <t>TOTAL WNT BONUSES FROM PRIZE $$$</t>
  </si>
  <si>
    <t>Each year of WNT pay also includes bonuses for smaller tournaments listed below. Each one is $5,000 per player. Some years have more than one.</t>
  </si>
  <si>
    <t>2015 Gold</t>
  </si>
  <si>
    <t>unknown</t>
  </si>
  <si>
    <t>TOTAL MNT BONUSES FROM PRIZE $$$</t>
  </si>
  <si>
    <t>Tournament bonuses (see below)</t>
  </si>
  <si>
    <t>Pool total without tournament bonuses</t>
  </si>
  <si>
    <t>Attendance and ratings</t>
  </si>
  <si>
    <t>Compiled from media guides and other U.S. Soccer documents</t>
  </si>
  <si>
    <t>WOMEN'S RATINGS</t>
  </si>
  <si>
    <t>MEN'S RATINGS</t>
  </si>
  <si>
    <t>Excluding World Cup</t>
  </si>
  <si>
    <t>2011 (WWC)</t>
  </si>
  <si>
    <t>2010 (WC)</t>
  </si>
  <si>
    <t>FY ending ...</t>
  </si>
  <si>
    <t>I've included several sources. Feel free to play around with the numbers to draw your own conclusions. The lawyers will.</t>
  </si>
  <si>
    <t>Men's National Team revenue</t>
  </si>
  <si>
    <t>Men's National Team expenses</t>
  </si>
  <si>
    <t>Men's National Team net</t>
  </si>
  <si>
    <t>Women's National Team revenue</t>
  </si>
  <si>
    <t>Women's National Team expenses</t>
  </si>
  <si>
    <t>Women's National Team net</t>
  </si>
  <si>
    <t>Total revenue</t>
  </si>
  <si>
    <t>Program services revenue</t>
  </si>
  <si>
    <t>Executive compensation</t>
  </si>
  <si>
    <t>Other salaries and wages</t>
  </si>
  <si>
    <t>Contributions</t>
  </si>
  <si>
    <t>Net income</t>
  </si>
  <si>
    <t>Net assets</t>
  </si>
  <si>
    <t>Total functional expenses</t>
  </si>
  <si>
    <t>USSF sources of revenue and expenses differ. Some have more detailed breakdowns that may overlap (is player development money "sponsorship"? "MNT"?)</t>
  </si>
  <si>
    <t>From 990 forms - some summaries from ProPublica. Breakdown is not complete; just highlighting significant categories. Some figures updated from next year's "prior year"</t>
  </si>
  <si>
    <t>Revenue/expense from non-national team sources</t>
  </si>
  <si>
    <t>Referee program revenue</t>
  </si>
  <si>
    <t>Referee program expense</t>
  </si>
  <si>
    <t>Coaching program revenue</t>
  </si>
  <si>
    <t>Coaching program expense</t>
  </si>
  <si>
    <t>CEO: Dan Flynn</t>
  </si>
  <si>
    <t>CAO: Brian Remedi</t>
  </si>
  <si>
    <t>CFO: Eric Gleason</t>
  </si>
  <si>
    <t>Legal: Lisa Levine</t>
  </si>
  <si>
    <t>Legal: Lydia Wahlke</t>
  </si>
  <si>
    <t>Managing Dir Admin: Tom King</t>
  </si>
  <si>
    <t>Key employee compensation</t>
  </si>
  <si>
    <t>COO: Jay Berhalter</t>
  </si>
  <si>
    <t>WNT coach: Jill Ellis</t>
  </si>
  <si>
    <t>Chief Med: George Chiampas</t>
  </si>
  <si>
    <t>U20M coach: Tab Ramos</t>
  </si>
  <si>
    <t>Top-paid player (gold for W, blue for M)</t>
  </si>
  <si>
    <t>Employees making &gt;$100,000</t>
  </si>
  <si>
    <t>Part VII, line 2</t>
  </si>
  <si>
    <t>Source doc</t>
  </si>
  <si>
    <t>990 Part VIII</t>
  </si>
  <si>
    <t>990 Part IX, line 5</t>
  </si>
  <si>
    <t>990 Part IX, line 7</t>
  </si>
  <si>
    <t>Natl team / Intl games / Open Cup</t>
  </si>
  <si>
    <t>990 line 12</t>
  </si>
  <si>
    <t>990 line 8</t>
  </si>
  <si>
    <t>990 line 9</t>
  </si>
  <si>
    <t>990 line 22</t>
  </si>
  <si>
    <t>990 Part III</t>
  </si>
  <si>
    <t>MNT coach: Bruce Arena (11/16 to 10/17)</t>
  </si>
  <si>
    <t>MNT int: Dave Sarachan (10/17 to 2018)</t>
  </si>
  <si>
    <t>MNT coach: Juergen Klinsmann (to 11/16)</t>
  </si>
  <si>
    <t>MNT asst: Andreas Herzog (to 11/16)</t>
  </si>
  <si>
    <t>Director of Events: Paul Marstaller</t>
  </si>
  <si>
    <t>Legal: Gregory Fike</t>
  </si>
  <si>
    <t>Membership dues</t>
  </si>
  <si>
    <t>990 Part VII</t>
  </si>
  <si>
    <t>990 Part VIII, 2a-e</t>
  </si>
  <si>
    <t>WNT coach: Tom Sermanni</t>
  </si>
  <si>
    <t>WNT coach: Pia Sundhage</t>
  </si>
  <si>
    <t>MNT coach: Bob Bradley</t>
  </si>
  <si>
    <t>U20M coach: Thomas Rongen</t>
  </si>
  <si>
    <t>Only W-2/1099-MISC; not "other compensation," which is five figures for many. Note Klinsmann, Herzog and Bradley were paid after departure</t>
  </si>
  <si>
    <t>990 line 18</t>
  </si>
  <si>
    <t>Arena:</t>
  </si>
  <si>
    <t>Heinrichs</t>
  </si>
  <si>
    <t>Pozzi:</t>
  </si>
  <si>
    <t>Flynn</t>
  </si>
  <si>
    <t>Berhalter</t>
  </si>
  <si>
    <t>Korkoras</t>
  </si>
  <si>
    <t>King (NT manager)</t>
  </si>
  <si>
    <t>Matthys</t>
  </si>
  <si>
    <t>Collins</t>
  </si>
  <si>
    <t>* International game income</t>
  </si>
  <si>
    <t>* Open Cup</t>
  </si>
  <si>
    <t>Operating revenue</t>
  </si>
  <si>
    <t>Gain/loss</t>
  </si>
  <si>
    <t>Employee/team wages and salaries</t>
  </si>
  <si>
    <t>Broadcast revenue</t>
  </si>
  <si>
    <t>https://www.ffa.com.au/sites/ffa/files/2018-12/FFA%20FY2018%20Statutory%20Accounts%20FINAL.pdf</t>
  </si>
  <si>
    <t>Sponsorship</t>
  </si>
  <si>
    <t>Gate receipts</t>
  </si>
  <si>
    <t>Prize money</t>
  </si>
  <si>
    <t>World Cup and Confederations Cup</t>
  </si>
  <si>
    <t>A lot from World Cup, but "Sponsorship increased overall excluding World Cup incentives"</t>
  </si>
  <si>
    <t>https://www.ffa.com.au/sites/ffa/files/2019-01/FFA_2018_Annual%20Review.pdf</t>
  </si>
  <si>
    <t>IN US DOLLARS</t>
  </si>
  <si>
    <t>1 AUD=$0.69 US</t>
  </si>
  <si>
    <t xml:space="preserve">IN AUS DOLLARS </t>
  </si>
  <si>
    <t>DEAL SPECIFICS</t>
  </si>
  <si>
    <t>Teams split 19% of player-generated revenue this year, up to 22% in 2023 (not counting the 5% that's kicked back to youth programs)</t>
  </si>
  <si>
    <t>FINANCES</t>
  </si>
  <si>
    <t>Average</t>
  </si>
  <si>
    <t>AUS dollars</t>
  </si>
  <si>
    <t>US dollars</t>
  </si>
  <si>
    <t>Tier 3</t>
  </si>
  <si>
    <t>https://www.ffa.com.au/sites/ffa/files/2019-11/PFA%20CBA%20Facts%20Sheet_v3.pdf?_ga=2.57913258.1201089789.1572996097-2105797974.1572996097</t>
  </si>
  <si>
    <t xml:space="preserve">MNT gets match fees, then "commercial dividend" to reach guarantee. WNT gets salaries and "player-driven bonus structure." </t>
  </si>
  <si>
    <t>Each team</t>
  </si>
  <si>
    <t>WC qualifying</t>
  </si>
  <si>
    <t>WC knockouts</t>
  </si>
  <si>
    <t>Other tourneys</t>
  </si>
  <si>
    <t>Asian Cup 1st</t>
  </si>
  <si>
    <t>https://www.theguardian.com/football/2017/oct/07/norway-football-pay-male-female-internationals-equally</t>
  </si>
  <si>
    <t>From 2017: women's renumeration pot is up to 6 million kroner ($651,000)</t>
  </si>
  <si>
    <t>1 kroner = $0.11 USD</t>
  </si>
  <si>
    <t>2018 annual report (downloaded from NFF and translated at Google Translate)</t>
  </si>
  <si>
    <t>https://idrettsforbundet-my.sharepoint.com/personal/andre_flem_fotball_no/Documents/%C3%85rsrapport/%C3%85rsrapport_2018.pdf</t>
  </si>
  <si>
    <t>IN KRONER</t>
  </si>
  <si>
    <t xml:space="preserve">Consumed funds </t>
  </si>
  <si>
    <t xml:space="preserve">Activity result </t>
  </si>
  <si>
    <t>Assets</t>
  </si>
  <si>
    <t>Funds raised (revenue)</t>
  </si>
  <si>
    <t>TV revenue was 67% of 2018 revenue</t>
  </si>
  <si>
    <t>Government grants</t>
  </si>
  <si>
    <t>This does not match table on p. 104</t>
  </si>
  <si>
    <t>Revenue breakdown, starting p. 104</t>
  </si>
  <si>
    <t>Ticket revenue</t>
  </si>
  <si>
    <t>Media revenue</t>
  </si>
  <si>
    <t>Expense breakdown, starting p. 105</t>
  </si>
  <si>
    <t>A team, men</t>
  </si>
  <si>
    <t>A team, women</t>
  </si>
  <si>
    <t>Players share of market revenue</t>
  </si>
  <si>
    <t>President salary</t>
  </si>
  <si>
    <t>Secretary general salary</t>
  </si>
  <si>
    <t>Fun facts</t>
  </si>
  <si>
    <t>Population</t>
  </si>
  <si>
    <t>Number of clubs</t>
  </si>
  <si>
    <t>Total membership</t>
  </si>
  <si>
    <t>Female membership</t>
  </si>
  <si>
    <t>Number of teams (excluding futsal)</t>
  </si>
  <si>
    <t>Number of futsal teams</t>
  </si>
  <si>
    <t>7.19% of the population</t>
  </si>
  <si>
    <t>Bonuses are 25% of prize money</t>
  </si>
  <si>
    <t>https://www.theguardian.com/football/blog/2017/oct/17/norway-historic-pay-deal-for-womens-team-shows-it-can-be-done</t>
  </si>
  <si>
    <t>https://www.independent.co.uk/sport/football/international/norway-footballers-equal-pay-agreement-a8112016.html</t>
  </si>
  <si>
    <t>Domestic women's club salaries are between $12,000 and $24,000</t>
  </si>
  <si>
    <t>https://www.si.com/soccer/2017/10/08/fifa-women-soccer-equal-pay-norway-gianni-infantino</t>
  </si>
  <si>
    <t>Sponsorship, TV, licensing, royalties</t>
  </si>
  <si>
    <t>* National team game revenue</t>
  </si>
  <si>
    <t>U.S. Olympic Committee funding</t>
  </si>
  <si>
    <t>(from 990)</t>
  </si>
  <si>
    <t>Other prog serv revenue (some NT?)</t>
  </si>
  <si>
    <t>Other prog serv expense (some NT?)</t>
  </si>
  <si>
    <t>USSF revenue/expense overview (from 990s)</t>
  </si>
  <si>
    <t>Total expenses</t>
  </si>
  <si>
    <t>Change in net assets before investment $</t>
  </si>
  <si>
    <t>USSF revenue/expense overview (from Audited Financials)</t>
  </si>
  <si>
    <t>* Via Soccer United Marketing</t>
  </si>
  <si>
    <t>* Via Nike</t>
  </si>
  <si>
    <t>Audited Financial note: Most third-party sponsorship, TV, licensing and royalty revenues (excluding Nike) are paid to SUM, and SUM pays the Federation annual guaranteed compensation.</t>
  </si>
  <si>
    <t>Audited (see note)</t>
  </si>
  <si>
    <t>Some 990 summaries from ProPublica. Breakdown is not complete; just highlighting significant categories. Some figures updated from next year's "prior year" 990 - these reflect small corrections.</t>
  </si>
  <si>
    <t>Audited Financial</t>
  </si>
  <si>
    <t>In FY 2017, these numbers are consolidated with CA2016 Marketing Inc., which provided marketing for Copa America Centenario</t>
  </si>
  <si>
    <t>Explanation of why 990s and Audited Financials differ: https://www.wegnercpas.com/differences-between-financial-statements-irs-form-990/</t>
  </si>
  <si>
    <t>National team expenses breakdown (from Audited Financials)</t>
  </si>
  <si>
    <t>Last six years</t>
  </si>
  <si>
    <t>Youth National Teams/Player Development</t>
  </si>
  <si>
    <t>Men's National Team</t>
  </si>
  <si>
    <t>Women's National Team</t>
  </si>
  <si>
    <t>National Team Coaching</t>
  </si>
  <si>
    <t>Equipment and supplies</t>
  </si>
  <si>
    <t>Event management</t>
  </si>
  <si>
    <t>Paralympic National Team</t>
  </si>
  <si>
    <t>NWSL</t>
  </si>
  <si>
    <t>Futsal National Team</t>
  </si>
  <si>
    <t>Beach Soccer National Team</t>
  </si>
  <si>
    <t>National Training Center</t>
  </si>
  <si>
    <t>TOTAL NT EXPENSES</t>
  </si>
  <si>
    <t>Copa America Centenario</t>
  </si>
  <si>
    <t>IN U.S. DOLLARS</t>
  </si>
  <si>
    <t>(per team, right?)</t>
  </si>
  <si>
    <t>Percent of revenue</t>
  </si>
  <si>
    <t>2016-17 Audited Financial says Copa America had $189,672,599 unrestricted LOC assets vs. $165,764 expenses; also $1,200,000 Marketing Unrestricted vs. $871,850 expenses</t>
  </si>
  <si>
    <t>TOTAL REVENUE (Sum of AGM figures)</t>
  </si>
  <si>
    <t>TOTAL REVENUE (Audited Financials)</t>
  </si>
  <si>
    <t>In some years, YNT expense on 990 equals *total* NT expense on Audited Financial (broken down below). Here, I've gone with Audited Financial.</t>
  </si>
  <si>
    <t>* International games</t>
  </si>
  <si>
    <t>Simple national team game revenue/expense chart (from Annual General Meeting books)</t>
  </si>
  <si>
    <t>From Annual General Meeting books; not broken down further than this. Comparable line item included from Audited Financials.</t>
  </si>
  <si>
    <t>Listed on 990 under Program Service Revenue. Doesn't include youth, coaching, referee programs. Purple text: 990 and Audited Financial match. Bold: Audited Financial slightly different; used that number</t>
  </si>
  <si>
    <t>No explanation yet as to why men's and women's expenses are so different between AGM breakdown and Audited Financials</t>
  </si>
  <si>
    <t>2014 USOC added $140,000 in temporarily restricted revenue</t>
  </si>
  <si>
    <t>ODDITIES IN AUDITED FINANCIALS</t>
  </si>
  <si>
    <t>Annual General meeting expenses: $47,124 in 2013, $837,473 in 2014</t>
  </si>
  <si>
    <t>Player development revenues rose steadily to $6,336,183 in 2015 but dropped under $2m after that</t>
  </si>
  <si>
    <t>PLAYER-GENERATED ESTIMATE</t>
  </si>
  <si>
    <t>U.S. Soccer Federation finances</t>
  </si>
  <si>
    <t>6-yr avg of avgs</t>
  </si>
  <si>
    <t>Average compensation minus bonuses per year</t>
  </si>
  <si>
    <t>Estimated player-generated revenue (both teams), FY 2013-18</t>
  </si>
  <si>
    <t>Percent of overall player-generated revenue paid to team</t>
  </si>
  <si>
    <t>NATIONAL TEAM PAY: Comparing current U.S. pay structure with that of Norway and Australia</t>
  </si>
  <si>
    <r>
      <t xml:space="preserve">BUT … </t>
    </r>
    <r>
      <rPr>
        <i/>
        <sz val="9"/>
        <color rgb="FF000000"/>
        <rFont val="Arial"/>
        <family val="2"/>
      </rPr>
      <t>this also includes A-League and W-League</t>
    </r>
  </si>
  <si>
    <t>Max total of player-generated revenue</t>
  </si>
  <si>
    <t>FFA estimate of player-generated revenue</t>
  </si>
  <si>
    <t>Based on statement that 5% is roughly $1.1 million AUD</t>
  </si>
  <si>
    <t>WNT salaries (not including bonuses)</t>
  </si>
  <si>
    <t>FFA estimate: 5% of player-generated rev</t>
  </si>
  <si>
    <t>Extrapolating total player-generated revenue</t>
  </si>
  <si>
    <t>Year 1 pay, each team (19% total; 9.5% each)</t>
  </si>
  <si>
    <t>Year 1 pay, each team (22% total; 11% each)</t>
  </si>
  <si>
    <t>U.S.: 2013-18 under current CBAs</t>
  </si>
  <si>
    <t>(2) FY 2013-18 financial reports (each ending March 31). See USSF finances tab</t>
  </si>
  <si>
    <t>Based on (1) actual 2013-18 results. See MNT and WNT tabs</t>
  </si>
  <si>
    <t>(3) the CBA for each team. See US CBA and ExplainerCBA details tabs</t>
  </si>
  <si>
    <t>Important: This is NOT actual pay for WNT. It applies current CBA to past results to estimate typical 6-year span</t>
  </si>
  <si>
    <t>NORWAY totals (single-year breakdowns in italics)</t>
  </si>
  <si>
    <t>Norway player-generated revenue estimated by copying Australia (total revenue is similar)</t>
  </si>
  <si>
    <t>Estimated player-generated revenue (both teams), annual</t>
  </si>
  <si>
    <t>Base annual compensation of 6 million kroner</t>
  </si>
  <si>
    <t>Six-year compensation minus bonuses</t>
  </si>
  <si>
    <t>Six-year estimated player-generated revenue</t>
  </si>
  <si>
    <t>Norway WNT</t>
  </si>
  <si>
    <t>Norway MNT</t>
  </si>
  <si>
    <t>NORWAY: ESTIMATED PAY COMPARED WITH PLAYER-GENERATED REVENUE</t>
  </si>
  <si>
    <t>Player-generated revenue estimate is copied from Australia because both countries reported 2018 total revenue between $90m and $100m</t>
  </si>
  <si>
    <t>% to players</t>
  </si>
  <si>
    <t>2015 Algarve Cup</t>
  </si>
  <si>
    <t>2015 Gold Cup fourth place</t>
  </si>
  <si>
    <t>2014 World Cup total</t>
  </si>
  <si>
    <t>* Points in group stage bonus</t>
  </si>
  <si>
    <t>* Round of 16 bonus</t>
  </si>
  <si>
    <t>2013 World Cup qualifying</t>
  </si>
  <si>
    <t>* Championship bonus</t>
  </si>
  <si>
    <t>* Victory Tour bonus</t>
  </si>
  <si>
    <t>2016 Copa America Centenario total</t>
  </si>
  <si>
    <t>2015 World Cup bonus</t>
  </si>
  <si>
    <t>Gold Cup prize money based on roundup of news sources at https://www.scoreandchange.com/concacaf-gold-cup/</t>
  </si>
  <si>
    <t>Detailed bonus breakdown on Summary tab</t>
  </si>
  <si>
    <t>2013 Gold Cup champion ($11,250 * 23)</t>
  </si>
  <si>
    <t>* Roster bonus ($68,750 * 23)</t>
  </si>
  <si>
    <t>2017 Gold Cup champion ($11,250 * 23)</t>
  </si>
  <si>
    <t>* Round 2 bonus ($12,500 * 23)</t>
  </si>
  <si>
    <t>* Fourth-place bonus ($6,875 * 23)</t>
  </si>
  <si>
    <t>2018 SheBelieves Cup ($5,000 *23)</t>
  </si>
  <si>
    <t>2018 Tournament of Nations ($5,000 * 23)</t>
  </si>
  <si>
    <t>2018 World Cup qualifying ($37,500 * 23)</t>
  </si>
  <si>
    <t>2016 Olympic roster bonus ($25,000 * 18)</t>
  </si>
  <si>
    <t>2016 Olympic qualifying bonus ($25,000 * 20)</t>
  </si>
  <si>
    <t>2016 SheBelieves Cup bonus ($5,000 * 22)</t>
  </si>
  <si>
    <t>* Roster bonus ($37,500 * 23)</t>
  </si>
  <si>
    <t>2014 World Cup qualifying ($37.500 * 23)</t>
  </si>
  <si>
    <t>2013 Algarve Cup ($5,000 * 23)</t>
  </si>
  <si>
    <t>U.S. men's event bonuses</t>
  </si>
  <si>
    <t>U.S. women's event bonuses</t>
  </si>
  <si>
    <t>Estimate under Norway pay structure</t>
  </si>
  <si>
    <t>Potential six-year revenue total (based on 2018 figure times 6)</t>
  </si>
  <si>
    <t>Six-year revenue total, FY 2013-18</t>
  </si>
  <si>
    <t>Percent of total revenue paid to team</t>
  </si>
  <si>
    <t>U.S. men's bonuses if playing under NOR deal</t>
  </si>
  <si>
    <t>2013 Gold Cup champion</t>
  </si>
  <si>
    <t>2017 Gold Cup champion</t>
  </si>
  <si>
    <t>2014 World Cup qualifying ($37,500 * 23)</t>
  </si>
  <si>
    <t>Australia player-generated revenue based on FFA estimate (5%=$1.1m AUD, $759k U.S.; so 100%=$15.18m)</t>
  </si>
  <si>
    <t>Estimated player-generated revenue based on 100% SUM, 100% game revenue, 75% Nike - prize money</t>
  </si>
  <si>
    <t>Potential player-generated revenue sources (990 and Audited Financials) minus tournament bonuses</t>
  </si>
  <si>
    <t>Tournament bonuses</t>
  </si>
  <si>
    <t>Estimate is 100% of SUM income, 75% of Nike income (some for player development), 100% of national team game revenue. (Subtract tournament bonuses, but using $4m for 2015 WWC for hypothetical)</t>
  </si>
  <si>
    <t>Estimate under Australia pay structure</t>
  </si>
  <si>
    <t>Estimating revenue is difficult because federation also administers A-League and W-League</t>
  </si>
  <si>
    <t>U.S. men's bonuses if playing under AUS deal</t>
  </si>
  <si>
    <t xml:space="preserve">Six-year compensation </t>
  </si>
  <si>
    <t>Average compensation per year</t>
  </si>
  <si>
    <t>For this scenario, U.S. teams get the same flat fee as Norwegian teams</t>
  </si>
  <si>
    <t>WNT gets salary, but total comp is percent of player-generated revenue: 19%, 20%, 21%, 22%. Plus bonuses</t>
  </si>
  <si>
    <t>WNT</t>
  </si>
  <si>
    <t>MNT</t>
  </si>
  <si>
    <t>U.S. TOTALS if playing under current CBAs</t>
  </si>
  <si>
    <t>Percent of total revenue paid to each Norwegian team</t>
  </si>
  <si>
    <t>Percent of overall player-generated revenue paid to each Norwegian team</t>
  </si>
  <si>
    <t>Compensation: 6 million kroner ($651,000) flat fee, plus bonuses</t>
  </si>
  <si>
    <t>What NOR players would actually get with same results as U.S.</t>
  </si>
  <si>
    <t>Six-year compensation</t>
  </si>
  <si>
    <t>What AUS players would actually get with same results as U.S.</t>
  </si>
  <si>
    <t>Estimated player-generated revenue + bonuses (both teams), FY 2013-18</t>
  </si>
  <si>
    <t>Percent of overall player-generated revenue paid to each team</t>
  </si>
  <si>
    <t>Norwegian federation revenue estimated max (based on 2018 figure times 6)</t>
  </si>
  <si>
    <t>Details of pay structure and federation finances on Norway tab</t>
  </si>
  <si>
    <t>Details of pay structure and federation finances on Australia tab</t>
  </si>
  <si>
    <t>For this scenario, U.S. teams get the same *percentage* as Australian teams (average of 4-year deal: 20.5%)</t>
  </si>
  <si>
    <t>Percent of total revenue paid to each team (base comp, not bonuses)</t>
  </si>
  <si>
    <t>U.S.: 2013-18 under current CBAs, excluding bonuses</t>
  </si>
  <si>
    <t>U.S. pay with 2013-18 results under Norwegian deal, excluding bonuses</t>
  </si>
  <si>
    <t>U.S. pay with 2013-18 results under Australian deal, excluding bonuses</t>
  </si>
  <si>
    <t>Percent of overall player-generated revenue + bonuses paid to each team</t>
  </si>
  <si>
    <t>U.S. TOTALS if playing under Norway deal (compared with U.S. revenue)</t>
  </si>
  <si>
    <t>U.S. TOTALS if playing under Australia deal (compared with U.S. revenue)</t>
  </si>
  <si>
    <t>Percent of total revenue paid to Australian team</t>
  </si>
  <si>
    <t>Percent of overall player-generated revenue paid to Australian team</t>
  </si>
  <si>
    <t>Australian federation revenue estimated max (based on 2018 figure times 6)</t>
  </si>
  <si>
    <t>Estimated player-generated revenue minus bonuses (both teams), FY 2013-18</t>
  </si>
  <si>
    <t>Estimated 6-yr player-generated revenue minus bonuses (to compute base pay)</t>
  </si>
  <si>
    <t>6y total (USD)</t>
  </si>
  <si>
    <t>Six-year compensation including bonuses</t>
  </si>
  <si>
    <t>Total bonuses</t>
  </si>
  <si>
    <t>Total compensation minus bonuses</t>
  </si>
  <si>
    <t xml:space="preserve">TOTAL COMPENSATION  </t>
  </si>
  <si>
    <t>Current CBAs (NOT actual pay for WNT; prior CBA in effect 2013-16)</t>
  </si>
  <si>
    <t>Under Norwegian pay structure</t>
  </si>
  <si>
    <t>Under Australian pay structure</t>
  </si>
  <si>
    <t>Data used</t>
  </si>
  <si>
    <t>1. Actual 2013-18 results. See MNT and WNT tabs</t>
  </si>
  <si>
    <t>2. The CBA for each team. See US CBA and Explainer CBA details tabs</t>
  </si>
  <si>
    <t>3. USSF financial reports for each fiscal year ending March 31, 2013-18</t>
  </si>
  <si>
    <t>U.S. Soccer finances, FY 2013-FY 2018</t>
  </si>
  <si>
    <t>1. 100% of revenue from Soccer United Marketing payments to federation</t>
  </si>
  <si>
    <t>2. 100% of national team game revenue</t>
  </si>
  <si>
    <t>3. 75% of revenue from Nike deal (some money is earmarked for development)</t>
  </si>
  <si>
    <t>How player-generated revenue was estimated</t>
  </si>
  <si>
    <t>Estimated player-generated revenue minus prize money</t>
  </si>
  <si>
    <t>Alternate version of Australian deal</t>
  </si>
  <si>
    <t>Percent of revenue Australia attributes to players</t>
  </si>
  <si>
    <t>USSF six-year revenue</t>
  </si>
  <si>
    <t>U.S. player-generated revenue if it's the same percent as in Australia</t>
  </si>
  <si>
    <t>Percent of player-generated revenue promised to team</t>
  </si>
  <si>
    <t>Compensation minus bonuses in this scenario</t>
  </si>
  <si>
    <t>Bonuses</t>
  </si>
  <si>
    <t>Total compensation</t>
  </si>
  <si>
    <t>Under AUS structure with alternate definition of player-generated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</si>
</sst>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_([$$-409]* #,##0_);_([$$-409]* \(#,##0\);_([$$-409]* &quot;-&quot;??_);_(@_)"/>
    <numFmt numFmtId="167" formatCode="&quot;$&quot;#,##0.000"/>
    <numFmt numFmtId="168" formatCode="_([$$-409]* #,##0.000_);_([$$-409]* \(#,##0.000\);_([$$-409]* &quot;-&quot;??_);_(@_)"/>
    <numFmt numFmtId="169" formatCode="_([$$-409]* #,##0.000_);_([$$-409]* \(#,##0.000\);_([$$-409]* &quot;-&quot;??.000_);_(@_)"/>
    <numFmt numFmtId="170" formatCode="_(* #,##0_);_(* \(#,##0\);_(* &quot;-&quot;??_);_(@_)"/>
    <numFmt numFmtId="171" formatCode="_([$$-409]* #,##0.00_);_([$$-409]* \(#,##0.00\);_([$$-409]* &quot;-&quot;??_);_(@_)"/>
    <numFmt numFmtId="172" formatCode="m\-d"/>
    <numFmt numFmtId="173" formatCode="#,##0.0"/>
    <numFmt numFmtId="174" formatCode="&quot;$&quot;#,##0.0"/>
    <numFmt numFmtId="175" formatCode="0.0"/>
    <numFmt numFmtId="176" formatCode="_(&quot;$&quot;* #,##0_);_(&quot;$&quot;* \(#,##0\);_(&quot;$&quot;* &quot;-&quot;??_);_(@_)"/>
    <numFmt numFmtId="177" formatCode="_-* #,##0\ [$kr-43B]_-;\-* #,##0\ [$kr-43B]_-;_-* &quot;-&quot;\ [$kr-43B]_-;_-@_-"/>
    <numFmt numFmtId="183" formatCode="_(&quot;$&quot;* #,##0_);_(&quot;$&quot;* \(#,##0\);_(&quot;$&quot;* &quot;-&quot;?_);_(@_)"/>
  </numFmts>
  <fonts count="7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sz val="10"/>
      <name val="Arial"/>
    </font>
    <font>
      <i/>
      <sz val="10"/>
      <name val="Arial"/>
    </font>
    <font>
      <sz val="8"/>
      <name val="Arial"/>
    </font>
    <font>
      <i/>
      <sz val="9"/>
      <name val="Arial"/>
    </font>
    <font>
      <b/>
      <i/>
      <sz val="10"/>
      <name val="Arial"/>
    </font>
    <font>
      <b/>
      <sz val="8"/>
      <name val="Arial"/>
    </font>
    <font>
      <sz val="9"/>
      <name val="Arial"/>
    </font>
    <font>
      <i/>
      <sz val="10"/>
      <name val="Arial"/>
    </font>
    <font>
      <sz val="10"/>
      <name val="Arial"/>
    </font>
    <font>
      <i/>
      <sz val="8"/>
      <name val="Arial"/>
    </font>
    <font>
      <sz val="10"/>
      <color rgb="FF0070C0"/>
      <name val="Arial"/>
    </font>
    <font>
      <sz val="14"/>
      <color rgb="FFFFFFFF"/>
      <name val="Arial"/>
    </font>
    <font>
      <b/>
      <sz val="9"/>
      <name val="Arial"/>
    </font>
    <font>
      <sz val="9"/>
      <name val="Arial"/>
    </font>
    <font>
      <sz val="9"/>
      <color rgb="FF000000"/>
      <name val="Arial"/>
    </font>
    <font>
      <b/>
      <sz val="9"/>
      <color rgb="FF000000"/>
      <name val="Arial"/>
    </font>
    <font>
      <i/>
      <sz val="10"/>
      <color rgb="FF000000"/>
      <name val="Arial"/>
    </font>
    <font>
      <b/>
      <i/>
      <sz val="9"/>
      <name val="Arial"/>
    </font>
    <font>
      <sz val="10"/>
      <color rgb="FFC00000"/>
      <name val="Arial"/>
    </font>
    <font>
      <i/>
      <sz val="10"/>
      <color rgb="FFC00000"/>
      <name val="Arial"/>
    </font>
    <font>
      <b/>
      <sz val="14"/>
      <name val="Arial"/>
    </font>
    <font>
      <b/>
      <sz val="10"/>
      <name val="Arial"/>
    </font>
    <font>
      <i/>
      <sz val="10"/>
      <name val="Arial"/>
    </font>
    <font>
      <sz val="10"/>
      <color rgb="FF7F6000"/>
      <name val="Arial"/>
    </font>
    <font>
      <sz val="10"/>
      <color rgb="FF7030A0"/>
      <name val="Arial"/>
    </font>
    <font>
      <sz val="10"/>
      <color rgb="FF548135"/>
      <name val="Arial"/>
    </font>
    <font>
      <sz val="10"/>
      <color rgb="FF00B050"/>
      <name val="Arial"/>
    </font>
    <font>
      <sz val="10"/>
      <color rgb="FF70AD47"/>
      <name val="Arial"/>
    </font>
    <font>
      <sz val="10"/>
      <color rgb="FF000000"/>
      <name val="Arial"/>
    </font>
    <font>
      <sz val="10"/>
      <color theme="0"/>
      <name val="Arial"/>
      <family val="2"/>
    </font>
    <font>
      <sz val="10"/>
      <name val="Arial"/>
      <family val="2"/>
    </font>
    <font>
      <sz val="16"/>
      <color theme="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u/>
      <sz val="9"/>
      <color theme="10"/>
      <name val="Arial"/>
      <family val="2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1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i/>
      <sz val="9"/>
      <color rgb="FFFF0000"/>
      <name val="Arial"/>
      <family val="2"/>
    </font>
    <font>
      <i/>
      <sz val="10"/>
      <color rgb="FF000000"/>
      <name val="Arial"/>
      <family val="2"/>
    </font>
    <font>
      <i/>
      <sz val="10"/>
      <color rgb="FFFF0000"/>
      <name val="Arial"/>
      <family val="2"/>
    </font>
    <font>
      <sz val="9"/>
      <color rgb="FF7030A0"/>
      <name val="Arial"/>
      <family val="2"/>
    </font>
    <font>
      <i/>
      <sz val="9"/>
      <color rgb="FF7030A0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i/>
      <sz val="9"/>
      <color rgb="FFC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i/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7CAAC"/>
        <bgColor rgb="FFF7CAAC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EFEFEF"/>
        <bgColor rgb="FFEFEFEF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E6B8AF"/>
        <bgColor rgb="FFE6B8AF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C5E0B3"/>
      </patternFill>
    </fill>
    <fill>
      <patternFill patternType="solid">
        <fgColor theme="9" tint="0.79998168889431442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7" tint="0.79998168889431442"/>
        <bgColor rgb="FFA8D08D"/>
      </patternFill>
    </fill>
    <fill>
      <patternFill patternType="solid">
        <fgColor theme="0" tint="-0.14999847407452621"/>
        <bgColor rgb="FFA8D08D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B6D7A8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0" tint="-0.14999847407452621"/>
        <bgColor rgb="FFD9EAD3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rgb="FFB6D7A8"/>
      </patternFill>
    </fill>
    <fill>
      <patternFill patternType="solid">
        <fgColor theme="9" tint="0.79998168889431442"/>
        <bgColor rgb="FFB6D7A8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rgb="FFFFF2CC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9" tint="0.79998168889431442"/>
        <bgColor rgb="FFC5E0B3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rgb="FFA4C2F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98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44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50" fillId="0" borderId="0" applyNumberFormat="0" applyFill="0" applyBorder="0" applyAlignment="0" applyProtection="0"/>
    <xf numFmtId="43" fontId="32" fillId="0" borderId="0" applyFont="0" applyFill="0" applyBorder="0" applyAlignment="0" applyProtection="0"/>
  </cellStyleXfs>
  <cellXfs count="885">
    <xf numFmtId="0" fontId="0" fillId="0" borderId="0" xfId="0" applyFont="1" applyAlignment="1"/>
    <xf numFmtId="0" fontId="2" fillId="2" borderId="1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/>
    </xf>
    <xf numFmtId="3" fontId="2" fillId="3" borderId="4" xfId="0" applyNumberFormat="1" applyFont="1" applyFill="1" applyBorder="1" applyAlignment="1">
      <alignment horizontal="right"/>
    </xf>
    <xf numFmtId="0" fontId="1" fillId="3" borderId="4" xfId="0" applyFont="1" applyFill="1" applyBorder="1"/>
    <xf numFmtId="164" fontId="1" fillId="0" borderId="0" xfId="0" applyNumberFormat="1" applyFont="1" applyAlignment="1">
      <alignment horizontal="left"/>
    </xf>
    <xf numFmtId="164" fontId="2" fillId="4" borderId="4" xfId="0" applyNumberFormat="1" applyFont="1" applyFill="1" applyBorder="1" applyAlignment="1">
      <alignment horizontal="right"/>
    </xf>
    <xf numFmtId="164" fontId="0" fillId="5" borderId="4" xfId="0" applyNumberFormat="1" applyFont="1" applyFill="1" applyBorder="1" applyAlignment="1">
      <alignment horizontal="right"/>
    </xf>
    <xf numFmtId="164" fontId="1" fillId="4" borderId="4" xfId="0" applyNumberFormat="1" applyFont="1" applyFill="1" applyBorder="1" applyAlignment="1">
      <alignment horizontal="right"/>
    </xf>
    <xf numFmtId="164" fontId="1" fillId="5" borderId="4" xfId="0" applyNumberFormat="1" applyFont="1" applyFill="1" applyBorder="1" applyAlignment="1">
      <alignment horizontal="left"/>
    </xf>
    <xf numFmtId="164" fontId="5" fillId="4" borderId="4" xfId="0" applyNumberFormat="1" applyFont="1" applyFill="1" applyBorder="1" applyAlignment="1">
      <alignment horizontal="right"/>
    </xf>
    <xf numFmtId="0" fontId="1" fillId="0" borderId="0" xfId="0" applyFont="1" applyAlignment="1">
      <alignment horizontal="left" vertical="top"/>
    </xf>
    <xf numFmtId="0" fontId="2" fillId="5" borderId="4" xfId="0" applyFont="1" applyFill="1" applyBorder="1" applyAlignment="1">
      <alignment horizontal="left"/>
    </xf>
    <xf numFmtId="0" fontId="2" fillId="0" borderId="0" xfId="0" applyFont="1" applyAlignment="1">
      <alignment horizontal="left" vertical="top"/>
    </xf>
    <xf numFmtId="0" fontId="0" fillId="5" borderId="0" xfId="0" applyFont="1" applyFill="1" applyAlignment="1">
      <alignment horizontal="right" vertical="top"/>
    </xf>
    <xf numFmtId="0" fontId="1" fillId="0" borderId="0" xfId="0" applyFont="1"/>
    <xf numFmtId="0" fontId="1" fillId="5" borderId="0" xfId="0" applyFont="1" applyFill="1" applyAlignment="1">
      <alignment horizontal="center" vertical="top"/>
    </xf>
    <xf numFmtId="164" fontId="2" fillId="4" borderId="4" xfId="0" applyNumberFormat="1" applyFont="1" applyFill="1" applyBorder="1" applyAlignment="1">
      <alignment horizontal="left"/>
    </xf>
    <xf numFmtId="3" fontId="1" fillId="5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164" fontId="2" fillId="5" borderId="4" xfId="0" applyNumberFormat="1" applyFont="1" applyFill="1" applyBorder="1" applyAlignment="1">
      <alignment horizontal="right"/>
    </xf>
    <xf numFmtId="3" fontId="1" fillId="2" borderId="4" xfId="0" applyNumberFormat="1" applyFont="1" applyFill="1" applyBorder="1" applyAlignment="1">
      <alignment horizontal="right" vertical="top"/>
    </xf>
    <xf numFmtId="166" fontId="1" fillId="9" borderId="4" xfId="0" applyNumberFormat="1" applyFont="1" applyFill="1" applyBorder="1" applyAlignment="1">
      <alignment horizontal="left"/>
    </xf>
    <xf numFmtId="0" fontId="1" fillId="0" borderId="4" xfId="0" applyFont="1" applyBorder="1" applyAlignment="1">
      <alignment vertical="top"/>
    </xf>
    <xf numFmtId="0" fontId="1" fillId="7" borderId="4" xfId="0" applyFont="1" applyFill="1" applyBorder="1" applyAlignment="1">
      <alignment horizontal="left" vertical="top"/>
    </xf>
    <xf numFmtId="3" fontId="2" fillId="9" borderId="4" xfId="0" applyNumberFormat="1" applyFont="1" applyFill="1" applyBorder="1" applyAlignment="1">
      <alignment horizontal="right" vertical="top"/>
    </xf>
    <xf numFmtId="0" fontId="1" fillId="7" borderId="4" xfId="0" applyFont="1" applyFill="1" applyBorder="1" applyAlignment="1">
      <alignment horizontal="right" vertical="top"/>
    </xf>
    <xf numFmtId="0" fontId="1" fillId="9" borderId="4" xfId="0" applyFont="1" applyFill="1" applyBorder="1"/>
    <xf numFmtId="0" fontId="0" fillId="9" borderId="0" xfId="0" applyFont="1" applyFill="1"/>
    <xf numFmtId="0" fontId="1" fillId="5" borderId="4" xfId="0" applyFont="1" applyFill="1" applyBorder="1" applyAlignment="1">
      <alignment horizontal="right" vertical="top"/>
    </xf>
    <xf numFmtId="164" fontId="1" fillId="7" borderId="4" xfId="0" applyNumberFormat="1" applyFont="1" applyFill="1" applyBorder="1" applyAlignment="1">
      <alignment horizontal="left" vertical="top"/>
    </xf>
    <xf numFmtId="164" fontId="2" fillId="7" borderId="4" xfId="0" applyNumberFormat="1" applyFont="1" applyFill="1" applyBorder="1" applyAlignment="1">
      <alignment horizontal="right" vertical="top"/>
    </xf>
    <xf numFmtId="167" fontId="2" fillId="4" borderId="4" xfId="0" applyNumberFormat="1" applyFont="1" applyFill="1" applyBorder="1" applyAlignment="1">
      <alignment horizontal="right"/>
    </xf>
    <xf numFmtId="164" fontId="0" fillId="5" borderId="4" xfId="0" applyNumberFormat="1" applyFont="1" applyFill="1" applyBorder="1" applyAlignment="1">
      <alignment horizontal="right" vertical="top"/>
    </xf>
    <xf numFmtId="164" fontId="1" fillId="5" borderId="4" xfId="0" applyNumberFormat="1" applyFont="1" applyFill="1" applyBorder="1" applyAlignment="1">
      <alignment horizontal="left" vertical="top"/>
    </xf>
    <xf numFmtId="166" fontId="1" fillId="0" borderId="0" xfId="0" applyNumberFormat="1" applyFont="1" applyAlignment="1">
      <alignment horizontal="left"/>
    </xf>
    <xf numFmtId="164" fontId="1" fillId="7" borderId="4" xfId="0" applyNumberFormat="1" applyFont="1" applyFill="1" applyBorder="1" applyAlignment="1">
      <alignment vertical="top"/>
    </xf>
    <xf numFmtId="164" fontId="5" fillId="7" borderId="4" xfId="0" applyNumberFormat="1" applyFont="1" applyFill="1" applyBorder="1" applyAlignment="1">
      <alignment horizontal="right" vertical="top"/>
    </xf>
    <xf numFmtId="0" fontId="2" fillId="5" borderId="4" xfId="0" applyFont="1" applyFill="1" applyBorder="1" applyAlignment="1">
      <alignment horizontal="left" vertical="top"/>
    </xf>
    <xf numFmtId="166" fontId="1" fillId="7" borderId="4" xfId="0" applyNumberFormat="1" applyFont="1" applyFill="1" applyBorder="1" applyAlignment="1">
      <alignment horizontal="left"/>
    </xf>
    <xf numFmtId="166" fontId="1" fillId="5" borderId="4" xfId="0" applyNumberFormat="1" applyFont="1" applyFill="1" applyBorder="1" applyAlignment="1">
      <alignment horizontal="right"/>
    </xf>
    <xf numFmtId="0" fontId="1" fillId="0" borderId="0" xfId="0" applyFont="1" applyAlignment="1">
      <alignment vertical="top"/>
    </xf>
    <xf numFmtId="1" fontId="2" fillId="4" borderId="4" xfId="0" applyNumberFormat="1" applyFont="1" applyFill="1" applyBorder="1" applyAlignment="1">
      <alignment horizontal="right"/>
    </xf>
    <xf numFmtId="164" fontId="2" fillId="7" borderId="4" xfId="0" applyNumberFormat="1" applyFont="1" applyFill="1" applyBorder="1" applyAlignment="1">
      <alignment horizontal="left" vertical="top"/>
    </xf>
    <xf numFmtId="164" fontId="2" fillId="2" borderId="4" xfId="0" applyNumberFormat="1" applyFont="1" applyFill="1" applyBorder="1" applyAlignment="1">
      <alignment horizontal="right" vertical="top"/>
    </xf>
    <xf numFmtId="164" fontId="2" fillId="5" borderId="4" xfId="0" applyNumberFormat="1" applyFont="1" applyFill="1" applyBorder="1" applyAlignment="1">
      <alignment horizontal="right" vertical="top"/>
    </xf>
    <xf numFmtId="166" fontId="0" fillId="5" borderId="4" xfId="0" applyNumberFormat="1" applyFont="1" applyFill="1" applyBorder="1" applyAlignment="1">
      <alignment horizontal="right"/>
    </xf>
    <xf numFmtId="164" fontId="2" fillId="7" borderId="4" xfId="0" applyNumberFormat="1" applyFont="1" applyFill="1" applyBorder="1" applyAlignment="1">
      <alignment vertical="top"/>
    </xf>
    <xf numFmtId="164" fontId="2" fillId="11" borderId="4" xfId="0" applyNumberFormat="1" applyFont="1" applyFill="1" applyBorder="1" applyAlignment="1">
      <alignment horizontal="right" vertical="top"/>
    </xf>
    <xf numFmtId="166" fontId="1" fillId="5" borderId="4" xfId="0" applyNumberFormat="1" applyFont="1" applyFill="1" applyBorder="1" applyAlignment="1">
      <alignment horizontal="left"/>
    </xf>
    <xf numFmtId="164" fontId="2" fillId="12" borderId="4" xfId="0" applyNumberFormat="1" applyFont="1" applyFill="1" applyBorder="1" applyAlignment="1">
      <alignment horizontal="right" vertical="top"/>
    </xf>
    <xf numFmtId="166" fontId="2" fillId="5" borderId="4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2" fillId="5" borderId="4" xfId="0" applyNumberFormat="1" applyFont="1" applyFill="1" applyBorder="1" applyAlignment="1">
      <alignment horizontal="left"/>
    </xf>
    <xf numFmtId="164" fontId="5" fillId="7" borderId="4" xfId="0" applyNumberFormat="1" applyFont="1" applyFill="1" applyBorder="1" applyAlignment="1">
      <alignment vertical="top"/>
    </xf>
    <xf numFmtId="164" fontId="2" fillId="6" borderId="4" xfId="0" applyNumberFormat="1" applyFont="1" applyFill="1" applyBorder="1" applyAlignment="1">
      <alignment horizontal="right" vertical="top"/>
    </xf>
    <xf numFmtId="167" fontId="2" fillId="2" borderId="4" xfId="0" applyNumberFormat="1" applyFont="1" applyFill="1" applyBorder="1" applyAlignment="1">
      <alignment horizontal="right" vertical="top"/>
    </xf>
    <xf numFmtId="164" fontId="5" fillId="7" borderId="4" xfId="0" applyNumberFormat="1" applyFont="1" applyFill="1" applyBorder="1" applyAlignment="1">
      <alignment horizontal="left" vertical="top"/>
    </xf>
    <xf numFmtId="164" fontId="2" fillId="13" borderId="4" xfId="0" applyNumberFormat="1" applyFont="1" applyFill="1" applyBorder="1" applyAlignment="1">
      <alignment horizontal="right" vertical="top"/>
    </xf>
    <xf numFmtId="164" fontId="2" fillId="13" borderId="4" xfId="0" applyNumberFormat="1" applyFont="1" applyFill="1" applyBorder="1" applyAlignment="1">
      <alignment horizontal="right" vertical="top"/>
    </xf>
    <xf numFmtId="0" fontId="0" fillId="0" borderId="0" xfId="0" applyFont="1"/>
    <xf numFmtId="164" fontId="6" fillId="4" borderId="4" xfId="0" applyNumberFormat="1" applyFont="1" applyFill="1" applyBorder="1" applyAlignment="1">
      <alignment horizontal="left"/>
    </xf>
    <xf numFmtId="164" fontId="2" fillId="12" borderId="4" xfId="0" applyNumberFormat="1" applyFont="1" applyFill="1" applyBorder="1" applyAlignment="1">
      <alignment horizontal="right" vertical="top"/>
    </xf>
    <xf numFmtId="166" fontId="2" fillId="7" borderId="4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right" vertical="top"/>
    </xf>
    <xf numFmtId="166" fontId="2" fillId="5" borderId="4" xfId="0" applyNumberFormat="1" applyFont="1" applyFill="1" applyBorder="1" applyAlignment="1">
      <alignment horizontal="right"/>
    </xf>
    <xf numFmtId="165" fontId="2" fillId="4" borderId="4" xfId="0" applyNumberFormat="1" applyFont="1" applyFill="1" applyBorder="1" applyAlignment="1">
      <alignment horizontal="right"/>
    </xf>
    <xf numFmtId="164" fontId="2" fillId="5" borderId="4" xfId="0" applyNumberFormat="1" applyFont="1" applyFill="1" applyBorder="1" applyAlignment="1">
      <alignment vertical="top"/>
    </xf>
    <xf numFmtId="164" fontId="2" fillId="5" borderId="4" xfId="0" applyNumberFormat="1" applyFont="1" applyFill="1" applyBorder="1" applyAlignment="1">
      <alignment horizontal="left" vertical="top"/>
    </xf>
    <xf numFmtId="166" fontId="6" fillId="7" borderId="3" xfId="0" applyNumberFormat="1" applyFont="1" applyFill="1" applyBorder="1" applyAlignment="1">
      <alignment horizontal="left"/>
    </xf>
    <xf numFmtId="164" fontId="7" fillId="7" borderId="4" xfId="0" applyNumberFormat="1" applyFont="1" applyFill="1" applyBorder="1" applyAlignment="1">
      <alignment horizontal="left" vertical="top"/>
    </xf>
    <xf numFmtId="164" fontId="2" fillId="14" borderId="4" xfId="0" applyNumberFormat="1" applyFont="1" applyFill="1" applyBorder="1" applyAlignment="1">
      <alignment horizontal="right" vertical="top"/>
    </xf>
    <xf numFmtId="164" fontId="2" fillId="2" borderId="4" xfId="0" applyNumberFormat="1" applyFont="1" applyFill="1" applyBorder="1" applyAlignment="1">
      <alignment horizontal="right" vertical="top"/>
    </xf>
    <xf numFmtId="167" fontId="2" fillId="2" borderId="4" xfId="0" applyNumberFormat="1" applyFont="1" applyFill="1" applyBorder="1" applyAlignment="1">
      <alignment horizontal="right" vertical="top"/>
    </xf>
    <xf numFmtId="166" fontId="2" fillId="7" borderId="4" xfId="0" applyNumberFormat="1" applyFont="1" applyFill="1" applyBorder="1" applyAlignment="1">
      <alignment horizontal="right"/>
    </xf>
    <xf numFmtId="165" fontId="2" fillId="2" borderId="4" xfId="0" applyNumberFormat="1" applyFont="1" applyFill="1" applyBorder="1" applyAlignment="1">
      <alignment horizontal="right" vertical="top"/>
    </xf>
    <xf numFmtId="168" fontId="2" fillId="7" borderId="4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 vertical="top"/>
    </xf>
    <xf numFmtId="169" fontId="2" fillId="7" borderId="4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7" fontId="2" fillId="6" borderId="4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6" fontId="2" fillId="7" borderId="4" xfId="0" applyNumberFormat="1" applyFont="1" applyFill="1" applyBorder="1" applyAlignment="1">
      <alignment horizontal="left"/>
    </xf>
    <xf numFmtId="0" fontId="8" fillId="0" borderId="0" xfId="0" applyFont="1" applyAlignment="1">
      <alignment horizontal="center"/>
    </xf>
    <xf numFmtId="164" fontId="2" fillId="15" borderId="4" xfId="0" applyNumberFormat="1" applyFont="1" applyFill="1" applyBorder="1" applyAlignment="1">
      <alignment horizontal="right" vertical="top"/>
    </xf>
    <xf numFmtId="0" fontId="9" fillId="0" borderId="0" xfId="0" applyFont="1"/>
    <xf numFmtId="0" fontId="10" fillId="7" borderId="4" xfId="0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1" fillId="5" borderId="0" xfId="0" applyFont="1" applyFill="1" applyAlignment="1">
      <alignment vertical="top"/>
    </xf>
    <xf numFmtId="164" fontId="1" fillId="5" borderId="0" xfId="0" applyNumberFormat="1" applyFont="1" applyFill="1" applyAlignment="1">
      <alignment horizontal="right" vertical="top"/>
    </xf>
    <xf numFmtId="0" fontId="6" fillId="0" borderId="0" xfId="0" applyFont="1"/>
    <xf numFmtId="0" fontId="4" fillId="5" borderId="0" xfId="0" applyFont="1" applyFill="1"/>
    <xf numFmtId="164" fontId="1" fillId="5" borderId="0" xfId="0" applyNumberFormat="1" applyFont="1" applyFill="1" applyAlignment="1">
      <alignment vertical="top"/>
    </xf>
    <xf numFmtId="0" fontId="1" fillId="16" borderId="4" xfId="0" applyFont="1" applyFill="1" applyBorder="1" applyAlignment="1">
      <alignment horizontal="left"/>
    </xf>
    <xf numFmtId="165" fontId="1" fillId="7" borderId="4" xfId="0" applyNumberFormat="1" applyFont="1" applyFill="1" applyBorder="1" applyAlignment="1">
      <alignment horizontal="right" vertical="top"/>
    </xf>
    <xf numFmtId="0" fontId="1" fillId="16" borderId="4" xfId="0" applyFont="1" applyFill="1" applyBorder="1"/>
    <xf numFmtId="1" fontId="2" fillId="7" borderId="4" xfId="0" applyNumberFormat="1" applyFont="1" applyFill="1" applyBorder="1" applyAlignment="1">
      <alignment horizontal="right"/>
    </xf>
    <xf numFmtId="0" fontId="1" fillId="16" borderId="4" xfId="0" applyFont="1" applyFill="1" applyBorder="1" applyAlignment="1">
      <alignment horizontal="right"/>
    </xf>
    <xf numFmtId="164" fontId="11" fillId="7" borderId="4" xfId="0" applyNumberFormat="1" applyFont="1" applyFill="1" applyBorder="1" applyAlignment="1">
      <alignment horizontal="right" vertical="top"/>
    </xf>
    <xf numFmtId="164" fontId="11" fillId="7" borderId="3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right"/>
    </xf>
    <xf numFmtId="0" fontId="2" fillId="0" borderId="0" xfId="0" applyFont="1"/>
    <xf numFmtId="164" fontId="12" fillId="6" borderId="5" xfId="0" applyNumberFormat="1" applyFont="1" applyFill="1" applyBorder="1" applyAlignment="1">
      <alignment horizontal="right" vertical="top"/>
    </xf>
    <xf numFmtId="14" fontId="2" fillId="17" borderId="4" xfId="0" applyNumberFormat="1" applyFont="1" applyFill="1" applyBorder="1" applyAlignment="1">
      <alignment horizontal="left"/>
    </xf>
    <xf numFmtId="167" fontId="12" fillId="2" borderId="6" xfId="0" applyNumberFormat="1" applyFont="1" applyFill="1" applyBorder="1" applyAlignment="1">
      <alignment horizontal="right" vertical="top"/>
    </xf>
    <xf numFmtId="165" fontId="2" fillId="17" borderId="4" xfId="0" applyNumberFormat="1" applyFont="1" applyFill="1" applyBorder="1"/>
    <xf numFmtId="3" fontId="2" fillId="17" borderId="4" xfId="0" applyNumberFormat="1" applyFont="1" applyFill="1" applyBorder="1" applyAlignment="1">
      <alignment horizontal="left"/>
    </xf>
    <xf numFmtId="164" fontId="12" fillId="13" borderId="5" xfId="0" applyNumberFormat="1" applyFont="1" applyFill="1" applyBorder="1" applyAlignment="1">
      <alignment horizontal="right" vertical="top"/>
    </xf>
    <xf numFmtId="165" fontId="2" fillId="17" borderId="4" xfId="0" applyNumberFormat="1" applyFont="1" applyFill="1" applyBorder="1" applyAlignment="1">
      <alignment horizontal="left"/>
    </xf>
    <xf numFmtId="170" fontId="2" fillId="17" borderId="4" xfId="0" applyNumberFormat="1" applyFont="1" applyFill="1" applyBorder="1"/>
    <xf numFmtId="164" fontId="2" fillId="18" borderId="4" xfId="0" applyNumberFormat="1" applyFont="1" applyFill="1" applyBorder="1" applyAlignment="1">
      <alignment horizontal="right" vertical="top"/>
    </xf>
    <xf numFmtId="165" fontId="2" fillId="17" borderId="4" xfId="0" applyNumberFormat="1" applyFont="1" applyFill="1" applyBorder="1" applyAlignment="1">
      <alignment horizontal="right"/>
    </xf>
    <xf numFmtId="164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2" fillId="2" borderId="4" xfId="0" applyNumberFormat="1" applyFont="1" applyFill="1" applyBorder="1" applyAlignment="1">
      <alignment horizontal="right" vertical="top"/>
    </xf>
    <xf numFmtId="164" fontId="2" fillId="0" borderId="0" xfId="0" applyNumberFormat="1" applyFont="1" applyAlignment="1">
      <alignment horizontal="right"/>
    </xf>
    <xf numFmtId="3" fontId="2" fillId="0" borderId="0" xfId="0" applyNumberFormat="1" applyFont="1"/>
    <xf numFmtId="164" fontId="2" fillId="7" borderId="4" xfId="0" applyNumberFormat="1" applyFont="1" applyFill="1" applyBorder="1" applyAlignment="1">
      <alignment horizontal="left" vertical="top"/>
    </xf>
    <xf numFmtId="164" fontId="2" fillId="7" borderId="4" xfId="0" applyNumberFormat="1" applyFont="1" applyFill="1" applyBorder="1" applyAlignment="1">
      <alignment horizontal="right" vertical="top"/>
    </xf>
    <xf numFmtId="171" fontId="2" fillId="7" borderId="4" xfId="0" applyNumberFormat="1" applyFont="1" applyFill="1" applyBorder="1" applyAlignment="1">
      <alignment horizontal="left"/>
    </xf>
    <xf numFmtId="1" fontId="2" fillId="7" borderId="4" xfId="0" applyNumberFormat="1" applyFont="1" applyFill="1" applyBorder="1" applyAlignment="1">
      <alignment horizontal="right" vertical="top"/>
    </xf>
    <xf numFmtId="3" fontId="2" fillId="17" borderId="4" xfId="0" applyNumberFormat="1" applyFont="1" applyFill="1" applyBorder="1"/>
    <xf numFmtId="3" fontId="5" fillId="7" borderId="4" xfId="0" applyNumberFormat="1" applyFont="1" applyFill="1" applyBorder="1" applyAlignment="1">
      <alignment horizontal="right" vertical="top"/>
    </xf>
    <xf numFmtId="166" fontId="5" fillId="5" borderId="4" xfId="0" applyNumberFormat="1" applyFont="1" applyFill="1" applyBorder="1" applyAlignment="1">
      <alignment horizontal="center"/>
    </xf>
    <xf numFmtId="14" fontId="14" fillId="17" borderId="4" xfId="0" applyNumberFormat="1" applyFont="1" applyFill="1" applyBorder="1" applyAlignment="1">
      <alignment horizontal="left"/>
    </xf>
    <xf numFmtId="164" fontId="12" fillId="2" borderId="5" xfId="0" applyNumberFormat="1" applyFont="1" applyFill="1" applyBorder="1" applyAlignment="1">
      <alignment horizontal="right" vertical="top"/>
    </xf>
    <xf numFmtId="0" fontId="14" fillId="17" borderId="4" xfId="0" applyFont="1" applyFill="1" applyBorder="1"/>
    <xf numFmtId="164" fontId="5" fillId="5" borderId="4" xfId="0" applyNumberFormat="1" applyFont="1" applyFill="1" applyBorder="1" applyAlignment="1">
      <alignment horizontal="center" vertical="top"/>
    </xf>
    <xf numFmtId="3" fontId="14" fillId="17" borderId="4" xfId="0" applyNumberFormat="1" applyFont="1" applyFill="1" applyBorder="1" applyAlignment="1">
      <alignment horizontal="left"/>
    </xf>
    <xf numFmtId="17" fontId="14" fillId="17" borderId="4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 vertical="top"/>
    </xf>
    <xf numFmtId="166" fontId="6" fillId="7" borderId="2" xfId="0" applyNumberFormat="1" applyFont="1" applyFill="1" applyBorder="1" applyAlignment="1">
      <alignment horizontal="left"/>
    </xf>
    <xf numFmtId="170" fontId="14" fillId="17" borderId="4" xfId="0" applyNumberFormat="1" applyFont="1" applyFill="1" applyBorder="1" applyAlignment="1">
      <alignment horizontal="right"/>
    </xf>
    <xf numFmtId="0" fontId="14" fillId="17" borderId="4" xfId="0" applyFont="1" applyFill="1" applyBorder="1" applyAlignment="1">
      <alignment horizontal="right"/>
    </xf>
    <xf numFmtId="0" fontId="6" fillId="7" borderId="2" xfId="0" applyFont="1" applyFill="1" applyBorder="1" applyAlignment="1">
      <alignment horizontal="left" vertical="top"/>
    </xf>
    <xf numFmtId="164" fontId="14" fillId="0" borderId="0" xfId="0" applyNumberFormat="1" applyFont="1"/>
    <xf numFmtId="3" fontId="14" fillId="0" borderId="0" xfId="0" applyNumberFormat="1" applyFont="1" applyAlignment="1">
      <alignment horizontal="right"/>
    </xf>
    <xf numFmtId="0" fontId="4" fillId="0" borderId="0" xfId="0" applyFont="1" applyAlignment="1">
      <alignment vertical="top"/>
    </xf>
    <xf numFmtId="168" fontId="1" fillId="7" borderId="4" xfId="0" applyNumberFormat="1" applyFont="1" applyFill="1" applyBorder="1" applyAlignment="1">
      <alignment horizontal="left"/>
    </xf>
    <xf numFmtId="0" fontId="0" fillId="0" borderId="0" xfId="0" applyFont="1" applyAlignment="1">
      <alignment horizontal="right" vertical="top"/>
    </xf>
    <xf numFmtId="164" fontId="14" fillId="0" borderId="0" xfId="0" applyNumberFormat="1" applyFont="1" applyAlignment="1">
      <alignment horizontal="right"/>
    </xf>
    <xf numFmtId="0" fontId="14" fillId="0" borderId="0" xfId="0" applyFont="1"/>
    <xf numFmtId="0" fontId="18" fillId="0" borderId="0" xfId="0" applyFont="1" applyAlignment="1">
      <alignment horizontal="right" vertical="top"/>
    </xf>
    <xf numFmtId="3" fontId="14" fillId="0" borderId="0" xfId="0" applyNumberFormat="1" applyFont="1"/>
    <xf numFmtId="0" fontId="19" fillId="0" borderId="0" xfId="0" applyFont="1" applyAlignment="1">
      <alignment horizontal="right" vertical="top"/>
    </xf>
    <xf numFmtId="165" fontId="14" fillId="17" borderId="4" xfId="0" applyNumberFormat="1" applyFont="1" applyFill="1" applyBorder="1"/>
    <xf numFmtId="164" fontId="16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right"/>
    </xf>
    <xf numFmtId="0" fontId="5" fillId="0" borderId="0" xfId="0" applyFont="1"/>
    <xf numFmtId="14" fontId="0" fillId="17" borderId="4" xfId="0" applyNumberFormat="1" applyFont="1" applyFill="1" applyBorder="1" applyAlignment="1">
      <alignment horizontal="left"/>
    </xf>
    <xf numFmtId="164" fontId="16" fillId="0" borderId="0" xfId="0" applyNumberFormat="1" applyFont="1" applyAlignment="1">
      <alignment vertical="top"/>
    </xf>
    <xf numFmtId="172" fontId="14" fillId="17" borderId="4" xfId="0" applyNumberFormat="1" applyFont="1" applyFill="1" applyBorder="1" applyAlignment="1">
      <alignment horizontal="right"/>
    </xf>
    <xf numFmtId="164" fontId="10" fillId="0" borderId="0" xfId="0" applyNumberFormat="1" applyFont="1" applyAlignment="1">
      <alignment horizontal="right" vertical="top"/>
    </xf>
    <xf numFmtId="0" fontId="0" fillId="17" borderId="4" xfId="0" applyFont="1" applyFill="1" applyBorder="1"/>
    <xf numFmtId="3" fontId="0" fillId="17" borderId="4" xfId="0" applyNumberFormat="1" applyFont="1" applyFill="1" applyBorder="1"/>
    <xf numFmtId="170" fontId="2" fillId="17" borderId="4" xfId="0" applyNumberFormat="1" applyFont="1" applyFill="1" applyBorder="1" applyAlignment="1">
      <alignment horizontal="right"/>
    </xf>
    <xf numFmtId="3" fontId="0" fillId="0" borderId="0" xfId="0" applyNumberFormat="1" applyFont="1"/>
    <xf numFmtId="166" fontId="0" fillId="0" borderId="0" xfId="0" applyNumberFormat="1" applyFont="1"/>
    <xf numFmtId="164" fontId="5" fillId="0" borderId="0" xfId="0" applyNumberFormat="1" applyFont="1" applyAlignment="1">
      <alignment horizontal="right"/>
    </xf>
    <xf numFmtId="14" fontId="22" fillId="17" borderId="4" xfId="0" applyNumberFormat="1" applyFont="1" applyFill="1" applyBorder="1" applyAlignment="1">
      <alignment horizontal="left"/>
    </xf>
    <xf numFmtId="0" fontId="16" fillId="0" borderId="0" xfId="0" applyFont="1" applyAlignment="1">
      <alignment vertical="top"/>
    </xf>
    <xf numFmtId="0" fontId="22" fillId="17" borderId="4" xfId="0" applyFont="1" applyFill="1" applyBorder="1"/>
    <xf numFmtId="3" fontId="22" fillId="17" borderId="4" xfId="0" applyNumberFormat="1" applyFont="1" applyFill="1" applyBorder="1"/>
    <xf numFmtId="0" fontId="2" fillId="17" borderId="4" xfId="0" applyFont="1" applyFill="1" applyBorder="1" applyAlignment="1">
      <alignment horizontal="right"/>
    </xf>
    <xf numFmtId="0" fontId="4" fillId="0" borderId="0" xfId="0" applyFont="1" applyAlignment="1">
      <alignment vertical="top"/>
    </xf>
    <xf numFmtId="164" fontId="22" fillId="0" borderId="0" xfId="0" applyNumberFormat="1" applyFont="1" applyAlignment="1">
      <alignment horizontal="right"/>
    </xf>
    <xf numFmtId="0" fontId="16" fillId="0" borderId="0" xfId="0" applyFont="1" applyAlignment="1">
      <alignment horizontal="right" vertical="top"/>
    </xf>
    <xf numFmtId="3" fontId="22" fillId="0" borderId="0" xfId="0" applyNumberFormat="1" applyFont="1" applyAlignment="1">
      <alignment horizontal="right"/>
    </xf>
    <xf numFmtId="0" fontId="22" fillId="0" borderId="0" xfId="0" applyFont="1"/>
    <xf numFmtId="3" fontId="22" fillId="0" borderId="0" xfId="0" applyNumberFormat="1" applyFont="1"/>
    <xf numFmtId="166" fontId="22" fillId="0" borderId="0" xfId="0" applyNumberFormat="1" applyFont="1"/>
    <xf numFmtId="17" fontId="22" fillId="17" borderId="4" xfId="0" applyNumberFormat="1" applyFont="1" applyFill="1" applyBorder="1"/>
    <xf numFmtId="172" fontId="2" fillId="17" borderId="4" xfId="0" applyNumberFormat="1" applyFont="1" applyFill="1" applyBorder="1" applyAlignment="1">
      <alignment horizontal="right"/>
    </xf>
    <xf numFmtId="0" fontId="1" fillId="0" borderId="0" xfId="0" applyFont="1" applyAlignment="1">
      <alignment vertical="top"/>
    </xf>
    <xf numFmtId="16" fontId="22" fillId="17" borderId="4" xfId="0" applyNumberFormat="1" applyFont="1" applyFill="1" applyBorder="1"/>
    <xf numFmtId="3" fontId="2" fillId="17" borderId="4" xfId="0" applyNumberFormat="1" applyFont="1" applyFill="1" applyBorder="1" applyAlignment="1">
      <alignment horizontal="right"/>
    </xf>
    <xf numFmtId="14" fontId="5" fillId="17" borderId="4" xfId="0" applyNumberFormat="1" applyFont="1" applyFill="1" applyBorder="1" applyAlignment="1">
      <alignment horizontal="left"/>
    </xf>
    <xf numFmtId="0" fontId="5" fillId="17" borderId="4" xfId="0" applyFont="1" applyFill="1" applyBorder="1"/>
    <xf numFmtId="165" fontId="5" fillId="17" borderId="4" xfId="0" applyNumberFormat="1" applyFont="1" applyFill="1" applyBorder="1"/>
    <xf numFmtId="0" fontId="5" fillId="17" borderId="4" xfId="0" applyFont="1" applyFill="1" applyBorder="1" applyAlignment="1">
      <alignment horizontal="left"/>
    </xf>
    <xf numFmtId="3" fontId="5" fillId="17" borderId="4" xfId="0" applyNumberFormat="1" applyFont="1" applyFill="1" applyBorder="1" applyAlignment="1">
      <alignment horizontal="right"/>
    </xf>
    <xf numFmtId="165" fontId="5" fillId="17" borderId="4" xfId="0" applyNumberFormat="1" applyFont="1" applyFill="1" applyBorder="1" applyAlignment="1">
      <alignment horizontal="right"/>
    </xf>
    <xf numFmtId="3" fontId="14" fillId="17" borderId="4" xfId="0" applyNumberFormat="1" applyFont="1" applyFill="1" applyBorder="1"/>
    <xf numFmtId="166" fontId="14" fillId="0" borderId="0" xfId="0" applyNumberFormat="1" applyFont="1"/>
    <xf numFmtId="3" fontId="5" fillId="0" borderId="0" xfId="0" applyNumberFormat="1" applyFont="1" applyAlignment="1">
      <alignment horizontal="right"/>
    </xf>
    <xf numFmtId="164" fontId="5" fillId="0" borderId="0" xfId="0" applyNumberFormat="1" applyFont="1"/>
    <xf numFmtId="0" fontId="20" fillId="0" borderId="0" xfId="0" applyFont="1"/>
    <xf numFmtId="17" fontId="14" fillId="17" borderId="4" xfId="0" applyNumberFormat="1" applyFont="1" applyFill="1" applyBorder="1"/>
    <xf numFmtId="16" fontId="14" fillId="17" borderId="4" xfId="0" applyNumberFormat="1" applyFont="1" applyFill="1" applyBorder="1"/>
    <xf numFmtId="165" fontId="1" fillId="17" borderId="4" xfId="0" applyNumberFormat="1" applyFont="1" applyFill="1" applyBorder="1"/>
    <xf numFmtId="164" fontId="2" fillId="17" borderId="4" xfId="0" applyNumberFormat="1" applyFont="1" applyFill="1" applyBorder="1" applyAlignment="1">
      <alignment horizontal="right"/>
    </xf>
    <xf numFmtId="164" fontId="2" fillId="17" borderId="4" xfId="0" applyNumberFormat="1" applyFont="1" applyFill="1" applyBorder="1"/>
    <xf numFmtId="0" fontId="1" fillId="17" borderId="4" xfId="0" applyFont="1" applyFill="1" applyBorder="1"/>
    <xf numFmtId="0" fontId="0" fillId="17" borderId="0" xfId="0" applyFont="1" applyFill="1"/>
    <xf numFmtId="164" fontId="1" fillId="17" borderId="4" xfId="0" applyNumberFormat="1" applyFont="1" applyFill="1" applyBorder="1" applyAlignment="1">
      <alignment horizontal="right"/>
    </xf>
    <xf numFmtId="173" fontId="2" fillId="17" borderId="4" xfId="0" applyNumberFormat="1" applyFont="1" applyFill="1" applyBorder="1" applyAlignment="1">
      <alignment horizontal="right"/>
    </xf>
    <xf numFmtId="0" fontId="2" fillId="17" borderId="4" xfId="0" applyFont="1" applyFill="1" applyBorder="1"/>
    <xf numFmtId="1" fontId="22" fillId="0" borderId="0" xfId="0" applyNumberFormat="1" applyFont="1"/>
    <xf numFmtId="164" fontId="1" fillId="17" borderId="4" xfId="0" applyNumberFormat="1" applyFont="1" applyFill="1" applyBorder="1"/>
    <xf numFmtId="14" fontId="2" fillId="19" borderId="4" xfId="0" applyNumberFormat="1" applyFont="1" applyFill="1" applyBorder="1" applyAlignment="1">
      <alignment horizontal="left"/>
    </xf>
    <xf numFmtId="165" fontId="2" fillId="19" borderId="4" xfId="0" applyNumberFormat="1" applyFont="1" applyFill="1" applyBorder="1"/>
    <xf numFmtId="165" fontId="2" fillId="19" borderId="4" xfId="0" applyNumberFormat="1" applyFont="1" applyFill="1" applyBorder="1" applyAlignment="1">
      <alignment horizontal="left"/>
    </xf>
    <xf numFmtId="3" fontId="2" fillId="19" borderId="4" xfId="0" applyNumberFormat="1" applyFont="1" applyFill="1" applyBorder="1" applyAlignment="1">
      <alignment horizontal="right"/>
    </xf>
    <xf numFmtId="165" fontId="2" fillId="19" borderId="4" xfId="0" applyNumberFormat="1" applyFont="1" applyFill="1" applyBorder="1" applyAlignment="1">
      <alignment horizontal="right"/>
    </xf>
    <xf numFmtId="3" fontId="2" fillId="19" borderId="4" xfId="0" applyNumberFormat="1" applyFont="1" applyFill="1" applyBorder="1"/>
    <xf numFmtId="1" fontId="5" fillId="0" borderId="0" xfId="0" applyNumberFormat="1" applyFont="1"/>
    <xf numFmtId="0" fontId="2" fillId="19" borderId="4" xfId="0" applyFont="1" applyFill="1" applyBorder="1"/>
    <xf numFmtId="0" fontId="2" fillId="19" borderId="4" xfId="0" applyFont="1" applyFill="1" applyBorder="1" applyAlignment="1">
      <alignment horizontal="left"/>
    </xf>
    <xf numFmtId="0" fontId="2" fillId="19" borderId="4" xfId="0" applyFont="1" applyFill="1" applyBorder="1" applyAlignment="1">
      <alignment horizontal="right"/>
    </xf>
    <xf numFmtId="174" fontId="5" fillId="0" borderId="0" xfId="0" applyNumberFormat="1" applyFont="1" applyAlignment="1">
      <alignment horizontal="right"/>
    </xf>
    <xf numFmtId="172" fontId="2" fillId="19" borderId="4" xfId="0" applyNumberFormat="1" applyFont="1" applyFill="1" applyBorder="1" applyAlignment="1">
      <alignment horizontal="right"/>
    </xf>
    <xf numFmtId="164" fontId="5" fillId="17" borderId="4" xfId="0" applyNumberFormat="1" applyFont="1" applyFill="1" applyBorder="1" applyAlignment="1">
      <alignment horizontal="right"/>
    </xf>
    <xf numFmtId="14" fontId="0" fillId="20" borderId="4" xfId="0" applyNumberFormat="1" applyFont="1" applyFill="1" applyBorder="1" applyAlignment="1">
      <alignment horizontal="left"/>
    </xf>
    <xf numFmtId="0" fontId="0" fillId="20" borderId="4" xfId="0" applyFont="1" applyFill="1" applyBorder="1"/>
    <xf numFmtId="3" fontId="0" fillId="20" borderId="4" xfId="0" applyNumberFormat="1" applyFont="1" applyFill="1" applyBorder="1"/>
    <xf numFmtId="0" fontId="0" fillId="0" borderId="0" xfId="0" applyFont="1" applyAlignment="1"/>
    <xf numFmtId="14" fontId="22" fillId="19" borderId="4" xfId="0" applyNumberFormat="1" applyFont="1" applyFill="1" applyBorder="1" applyAlignment="1">
      <alignment horizontal="left"/>
    </xf>
    <xf numFmtId="165" fontId="22" fillId="19" borderId="4" xfId="0" applyNumberFormat="1" applyFont="1" applyFill="1" applyBorder="1"/>
    <xf numFmtId="165" fontId="22" fillId="19" borderId="4" xfId="0" applyNumberFormat="1" applyFont="1" applyFill="1" applyBorder="1" applyAlignment="1">
      <alignment horizontal="left"/>
    </xf>
    <xf numFmtId="3" fontId="22" fillId="19" borderId="4" xfId="0" applyNumberFormat="1" applyFont="1" applyFill="1" applyBorder="1" applyAlignment="1">
      <alignment horizontal="right"/>
    </xf>
    <xf numFmtId="165" fontId="22" fillId="19" borderId="4" xfId="0" applyNumberFormat="1" applyFont="1" applyFill="1" applyBorder="1" applyAlignment="1">
      <alignment horizontal="right"/>
    </xf>
    <xf numFmtId="164" fontId="22" fillId="0" borderId="0" xfId="0" applyNumberFormat="1" applyFont="1"/>
    <xf numFmtId="14" fontId="22" fillId="20" borderId="4" xfId="0" applyNumberFormat="1" applyFont="1" applyFill="1" applyBorder="1" applyAlignment="1">
      <alignment horizontal="left"/>
    </xf>
    <xf numFmtId="0" fontId="2" fillId="0" borderId="0" xfId="0" applyFont="1" applyAlignment="1"/>
    <xf numFmtId="0" fontId="22" fillId="19" borderId="4" xfId="0" applyFont="1" applyFill="1" applyBorder="1"/>
    <xf numFmtId="0" fontId="22" fillId="19" borderId="4" xfId="0" applyFont="1" applyFill="1" applyBorder="1" applyAlignment="1">
      <alignment horizontal="left"/>
    </xf>
    <xf numFmtId="0" fontId="22" fillId="0" borderId="2" xfId="0" applyFont="1" applyBorder="1" applyAlignment="1"/>
    <xf numFmtId="0" fontId="22" fillId="0" borderId="1" xfId="0" applyFont="1" applyBorder="1" applyAlignment="1"/>
    <xf numFmtId="0" fontId="22" fillId="0" borderId="3" xfId="0" applyFont="1" applyBorder="1" applyAlignment="1"/>
    <xf numFmtId="0" fontId="22" fillId="0" borderId="0" xfId="0" applyFont="1" applyAlignment="1"/>
    <xf numFmtId="0" fontId="22" fillId="20" borderId="4" xfId="0" applyFont="1" applyFill="1" applyBorder="1" applyAlignment="1"/>
    <xf numFmtId="3" fontId="22" fillId="0" borderId="0" xfId="0" applyNumberFormat="1" applyFont="1" applyAlignment="1">
      <alignment horizontal="right"/>
    </xf>
    <xf numFmtId="14" fontId="5" fillId="19" borderId="4" xfId="0" applyNumberFormat="1" applyFont="1" applyFill="1" applyBorder="1" applyAlignment="1">
      <alignment horizontal="left"/>
    </xf>
    <xf numFmtId="0" fontId="5" fillId="19" borderId="4" xfId="0" applyFont="1" applyFill="1" applyBorder="1"/>
    <xf numFmtId="165" fontId="5" fillId="19" borderId="4" xfId="0" applyNumberFormat="1" applyFont="1" applyFill="1" applyBorder="1"/>
    <xf numFmtId="0" fontId="5" fillId="19" borderId="4" xfId="0" applyFont="1" applyFill="1" applyBorder="1" applyAlignment="1">
      <alignment horizontal="left"/>
    </xf>
    <xf numFmtId="0" fontId="22" fillId="0" borderId="4" xfId="0" applyFont="1" applyBorder="1" applyAlignment="1"/>
    <xf numFmtId="3" fontId="5" fillId="19" borderId="4" xfId="0" applyNumberFormat="1" applyFont="1" applyFill="1" applyBorder="1" applyAlignment="1">
      <alignment horizontal="right"/>
    </xf>
    <xf numFmtId="165" fontId="5" fillId="19" borderId="4" xfId="0" applyNumberFormat="1" applyFont="1" applyFill="1" applyBorder="1" applyAlignment="1">
      <alignment horizontal="right"/>
    </xf>
    <xf numFmtId="165" fontId="1" fillId="19" borderId="4" xfId="0" applyNumberFormat="1" applyFont="1" applyFill="1" applyBorder="1"/>
    <xf numFmtId="164" fontId="2" fillId="19" borderId="4" xfId="0" applyNumberFormat="1" applyFont="1" applyFill="1" applyBorder="1" applyAlignment="1">
      <alignment horizontal="right"/>
    </xf>
    <xf numFmtId="164" fontId="2" fillId="19" borderId="4" xfId="0" applyNumberFormat="1" applyFont="1" applyFill="1" applyBorder="1"/>
    <xf numFmtId="0" fontId="1" fillId="19" borderId="4" xfId="0" applyFont="1" applyFill="1" applyBorder="1"/>
    <xf numFmtId="164" fontId="1" fillId="19" borderId="4" xfId="0" applyNumberFormat="1" applyFont="1" applyFill="1" applyBorder="1" applyAlignment="1">
      <alignment horizontal="right"/>
    </xf>
    <xf numFmtId="175" fontId="2" fillId="19" borderId="4" xfId="0" applyNumberFormat="1" applyFont="1" applyFill="1" applyBorder="1" applyAlignment="1">
      <alignment horizontal="right"/>
    </xf>
    <xf numFmtId="164" fontId="1" fillId="19" borderId="4" xfId="0" applyNumberFormat="1" applyFont="1" applyFill="1" applyBorder="1"/>
    <xf numFmtId="14" fontId="2" fillId="18" borderId="4" xfId="0" applyNumberFormat="1" applyFont="1" applyFill="1" applyBorder="1" applyAlignment="1">
      <alignment horizontal="left"/>
    </xf>
    <xf numFmtId="165" fontId="2" fillId="18" borderId="4" xfId="0" applyNumberFormat="1" applyFont="1" applyFill="1" applyBorder="1"/>
    <xf numFmtId="0" fontId="2" fillId="18" borderId="4" xfId="0" applyFont="1" applyFill="1" applyBorder="1" applyAlignment="1">
      <alignment horizontal="left"/>
    </xf>
    <xf numFmtId="165" fontId="2" fillId="18" borderId="4" xfId="0" applyNumberFormat="1" applyFont="1" applyFill="1" applyBorder="1" applyAlignment="1">
      <alignment horizontal="right"/>
    </xf>
    <xf numFmtId="0" fontId="2" fillId="18" borderId="4" xfId="0" applyFont="1" applyFill="1" applyBorder="1" applyAlignment="1">
      <alignment horizontal="right"/>
    </xf>
    <xf numFmtId="172" fontId="2" fillId="18" borderId="4" xfId="0" applyNumberFormat="1" applyFont="1" applyFill="1" applyBorder="1" applyAlignment="1">
      <alignment horizontal="right"/>
    </xf>
    <xf numFmtId="14" fontId="14" fillId="18" borderId="4" xfId="0" applyNumberFormat="1" applyFont="1" applyFill="1" applyBorder="1" applyAlignment="1">
      <alignment horizontal="left"/>
    </xf>
    <xf numFmtId="165" fontId="14" fillId="18" borderId="4" xfId="0" applyNumberFormat="1" applyFont="1" applyFill="1" applyBorder="1"/>
    <xf numFmtId="0" fontId="14" fillId="18" borderId="4" xfId="0" applyFont="1" applyFill="1" applyBorder="1" applyAlignment="1">
      <alignment horizontal="left"/>
    </xf>
    <xf numFmtId="165" fontId="14" fillId="18" borderId="4" xfId="0" applyNumberFormat="1" applyFont="1" applyFill="1" applyBorder="1" applyAlignment="1">
      <alignment horizontal="right"/>
    </xf>
    <xf numFmtId="172" fontId="14" fillId="18" borderId="4" xfId="0" applyNumberFormat="1" applyFont="1" applyFill="1" applyBorder="1" applyAlignment="1">
      <alignment horizontal="right"/>
    </xf>
    <xf numFmtId="0" fontId="14" fillId="18" borderId="4" xfId="0" applyFont="1" applyFill="1" applyBorder="1" applyAlignment="1">
      <alignment horizontal="right"/>
    </xf>
    <xf numFmtId="165" fontId="14" fillId="18" borderId="4" xfId="0" applyNumberFormat="1" applyFont="1" applyFill="1" applyBorder="1" applyAlignment="1">
      <alignment horizontal="left"/>
    </xf>
    <xf numFmtId="14" fontId="5" fillId="20" borderId="4" xfId="0" applyNumberFormat="1" applyFont="1" applyFill="1" applyBorder="1" applyAlignment="1">
      <alignment horizontal="left"/>
    </xf>
    <xf numFmtId="3" fontId="5" fillId="0" borderId="0" xfId="0" applyNumberFormat="1" applyFont="1" applyAlignment="1">
      <alignment horizontal="right"/>
    </xf>
    <xf numFmtId="165" fontId="2" fillId="18" borderId="4" xfId="0" applyNumberFormat="1" applyFont="1" applyFill="1" applyBorder="1" applyAlignment="1">
      <alignment horizontal="left"/>
    </xf>
    <xf numFmtId="3" fontId="2" fillId="18" borderId="4" xfId="0" applyNumberFormat="1" applyFont="1" applyFill="1" applyBorder="1" applyAlignment="1">
      <alignment horizontal="right"/>
    </xf>
    <xf numFmtId="165" fontId="1" fillId="20" borderId="4" xfId="0" applyNumberFormat="1" applyFont="1" applyFill="1" applyBorder="1"/>
    <xf numFmtId="164" fontId="2" fillId="20" borderId="4" xfId="0" applyNumberFormat="1" applyFont="1" applyFill="1" applyBorder="1" applyAlignment="1">
      <alignment horizontal="right"/>
    </xf>
    <xf numFmtId="3" fontId="2" fillId="20" borderId="4" xfId="0" applyNumberFormat="1" applyFont="1" applyFill="1" applyBorder="1" applyAlignment="1">
      <alignment horizontal="right"/>
    </xf>
    <xf numFmtId="14" fontId="22" fillId="18" borderId="4" xfId="0" applyNumberFormat="1" applyFont="1" applyFill="1" applyBorder="1" applyAlignment="1">
      <alignment horizontal="left"/>
    </xf>
    <xf numFmtId="3" fontId="2" fillId="20" borderId="4" xfId="0" applyNumberFormat="1" applyFont="1" applyFill="1" applyBorder="1" applyAlignment="1">
      <alignment horizontal="right"/>
    </xf>
    <xf numFmtId="164" fontId="2" fillId="20" borderId="4" xfId="0" applyNumberFormat="1" applyFont="1" applyFill="1" applyBorder="1"/>
    <xf numFmtId="164" fontId="5" fillId="20" borderId="4" xfId="0" applyNumberFormat="1" applyFont="1" applyFill="1" applyBorder="1" applyAlignment="1">
      <alignment horizontal="right"/>
    </xf>
    <xf numFmtId="0" fontId="1" fillId="20" borderId="4" xfId="0" applyFont="1" applyFill="1" applyBorder="1"/>
    <xf numFmtId="0" fontId="0" fillId="20" borderId="0" xfId="0" applyFont="1" applyFill="1"/>
    <xf numFmtId="164" fontId="23" fillId="0" borderId="0" xfId="0" applyNumberFormat="1" applyFont="1" applyAlignment="1">
      <alignment horizontal="right"/>
    </xf>
    <xf numFmtId="164" fontId="1" fillId="20" borderId="4" xfId="0" applyNumberFormat="1" applyFont="1" applyFill="1" applyBorder="1" applyAlignment="1">
      <alignment horizontal="right"/>
    </xf>
    <xf numFmtId="173" fontId="2" fillId="20" borderId="4" xfId="0" applyNumberFormat="1" applyFont="1" applyFill="1" applyBorder="1" applyAlignment="1">
      <alignment horizontal="right"/>
    </xf>
    <xf numFmtId="0" fontId="2" fillId="20" borderId="4" xfId="0" applyFont="1" applyFill="1" applyBorder="1"/>
    <xf numFmtId="164" fontId="1" fillId="20" borderId="4" xfId="0" applyNumberFormat="1" applyFont="1" applyFill="1" applyBorder="1"/>
    <xf numFmtId="14" fontId="0" fillId="18" borderId="4" xfId="0" applyNumberFormat="1" applyFont="1" applyFill="1" applyBorder="1" applyAlignment="1">
      <alignment horizontal="left"/>
    </xf>
    <xf numFmtId="0" fontId="0" fillId="18" borderId="4" xfId="0" applyFont="1" applyFill="1" applyBorder="1"/>
    <xf numFmtId="3" fontId="0" fillId="18" borderId="4" xfId="0" applyNumberFormat="1" applyFont="1" applyFill="1" applyBorder="1"/>
    <xf numFmtId="0" fontId="14" fillId="18" borderId="4" xfId="0" applyFont="1" applyFill="1" applyBorder="1"/>
    <xf numFmtId="3" fontId="14" fillId="18" borderId="4" xfId="0" applyNumberFormat="1" applyFont="1" applyFill="1" applyBorder="1"/>
    <xf numFmtId="0" fontId="4" fillId="0" borderId="0" xfId="0" applyFont="1" applyAlignment="1"/>
    <xf numFmtId="14" fontId="22" fillId="2" borderId="4" xfId="0" applyNumberFormat="1" applyFont="1" applyFill="1" applyBorder="1" applyAlignment="1">
      <alignment horizontal="left"/>
    </xf>
    <xf numFmtId="0" fontId="25" fillId="0" borderId="0" xfId="0" applyFont="1" applyAlignment="1"/>
    <xf numFmtId="0" fontId="22" fillId="18" borderId="4" xfId="0" applyFont="1" applyFill="1" applyBorder="1"/>
    <xf numFmtId="3" fontId="22" fillId="18" borderId="4" xfId="0" applyNumberFormat="1" applyFont="1" applyFill="1" applyBorder="1"/>
    <xf numFmtId="3" fontId="2" fillId="18" borderId="4" xfId="0" applyNumberFormat="1" applyFont="1" applyFill="1" applyBorder="1"/>
    <xf numFmtId="14" fontId="5" fillId="18" borderId="4" xfId="0" applyNumberFormat="1" applyFont="1" applyFill="1" applyBorder="1" applyAlignment="1">
      <alignment horizontal="left"/>
    </xf>
    <xf numFmtId="165" fontId="1" fillId="18" borderId="4" xfId="0" applyNumberFormat="1" applyFont="1" applyFill="1" applyBorder="1"/>
    <xf numFmtId="0" fontId="1" fillId="18" borderId="4" xfId="0" applyFont="1" applyFill="1" applyBorder="1" applyAlignment="1">
      <alignment horizontal="left"/>
    </xf>
    <xf numFmtId="164" fontId="2" fillId="18" borderId="4" xfId="0" applyNumberFormat="1" applyFont="1" applyFill="1" applyBorder="1" applyAlignment="1">
      <alignment horizontal="right"/>
    </xf>
    <xf numFmtId="0" fontId="2" fillId="18" borderId="4" xfId="0" applyFont="1" applyFill="1" applyBorder="1"/>
    <xf numFmtId="164" fontId="2" fillId="18" borderId="4" xfId="0" applyNumberFormat="1" applyFont="1" applyFill="1" applyBorder="1"/>
    <xf numFmtId="164" fontId="5" fillId="18" borderId="4" xfId="0" applyNumberFormat="1" applyFont="1" applyFill="1" applyBorder="1" applyAlignment="1">
      <alignment horizontal="right"/>
    </xf>
    <xf numFmtId="0" fontId="0" fillId="18" borderId="0" xfId="0" applyFont="1" applyFill="1"/>
    <xf numFmtId="0" fontId="5" fillId="18" borderId="4" xfId="0" applyFont="1" applyFill="1" applyBorder="1"/>
    <xf numFmtId="165" fontId="5" fillId="18" borderId="4" xfId="0" applyNumberFormat="1" applyFont="1" applyFill="1" applyBorder="1"/>
    <xf numFmtId="0" fontId="5" fillId="18" borderId="4" xfId="0" applyFont="1" applyFill="1" applyBorder="1" applyAlignment="1">
      <alignment horizontal="left"/>
    </xf>
    <xf numFmtId="164" fontId="1" fillId="18" borderId="4" xfId="0" applyNumberFormat="1" applyFont="1" applyFill="1" applyBorder="1" applyAlignment="1">
      <alignment horizontal="right"/>
    </xf>
    <xf numFmtId="3" fontId="5" fillId="18" borderId="4" xfId="0" applyNumberFormat="1" applyFont="1" applyFill="1" applyBorder="1" applyAlignment="1">
      <alignment horizontal="right"/>
    </xf>
    <xf numFmtId="165" fontId="5" fillId="18" borderId="4" xfId="0" applyNumberFormat="1" applyFont="1" applyFill="1" applyBorder="1" applyAlignment="1">
      <alignment horizontal="right"/>
    </xf>
    <xf numFmtId="173" fontId="2" fillId="18" borderId="4" xfId="0" applyNumberFormat="1" applyFont="1" applyFill="1" applyBorder="1" applyAlignment="1">
      <alignment horizontal="right"/>
    </xf>
    <xf numFmtId="0" fontId="0" fillId="0" borderId="4" xfId="0" applyFont="1" applyBorder="1"/>
    <xf numFmtId="0" fontId="0" fillId="18" borderId="4" xfId="0" applyFont="1" applyFill="1" applyBorder="1" applyAlignment="1">
      <alignment horizontal="right"/>
    </xf>
    <xf numFmtId="164" fontId="1" fillId="18" borderId="4" xfId="0" applyNumberFormat="1" applyFont="1" applyFill="1" applyBorder="1"/>
    <xf numFmtId="14" fontId="0" fillId="21" borderId="4" xfId="0" applyNumberFormat="1" applyFont="1" applyFill="1" applyBorder="1" applyAlignment="1">
      <alignment horizontal="left"/>
    </xf>
    <xf numFmtId="0" fontId="0" fillId="21" borderId="4" xfId="0" applyFont="1" applyFill="1" applyBorder="1"/>
    <xf numFmtId="3" fontId="0" fillId="21" borderId="4" xfId="0" applyNumberFormat="1" applyFont="1" applyFill="1" applyBorder="1"/>
    <xf numFmtId="14" fontId="22" fillId="21" borderId="4" xfId="0" applyNumberFormat="1" applyFont="1" applyFill="1" applyBorder="1" applyAlignment="1">
      <alignment horizontal="left"/>
    </xf>
    <xf numFmtId="0" fontId="2" fillId="17" borderId="4" xfId="0" applyFont="1" applyFill="1" applyBorder="1" applyAlignment="1">
      <alignment horizontal="left"/>
    </xf>
    <xf numFmtId="0" fontId="22" fillId="21" borderId="4" xfId="0" applyFont="1" applyFill="1" applyBorder="1"/>
    <xf numFmtId="3" fontId="22" fillId="21" borderId="4" xfId="0" applyNumberFormat="1" applyFont="1" applyFill="1" applyBorder="1"/>
    <xf numFmtId="14" fontId="27" fillId="17" borderId="4" xfId="0" applyNumberFormat="1" applyFont="1" applyFill="1" applyBorder="1" applyAlignment="1">
      <alignment horizontal="left"/>
    </xf>
    <xf numFmtId="165" fontId="27" fillId="17" borderId="4" xfId="0" applyNumberFormat="1" applyFont="1" applyFill="1" applyBorder="1"/>
    <xf numFmtId="0" fontId="27" fillId="17" borderId="4" xfId="0" applyFont="1" applyFill="1" applyBorder="1"/>
    <xf numFmtId="0" fontId="27" fillId="17" borderId="4" xfId="0" applyFont="1" applyFill="1" applyBorder="1" applyAlignment="1">
      <alignment horizontal="left"/>
    </xf>
    <xf numFmtId="3" fontId="27" fillId="17" borderId="4" xfId="0" applyNumberFormat="1" applyFont="1" applyFill="1" applyBorder="1" applyAlignment="1">
      <alignment horizontal="right"/>
    </xf>
    <xf numFmtId="0" fontId="27" fillId="17" borderId="4" xfId="0" applyFont="1" applyFill="1" applyBorder="1" applyAlignment="1">
      <alignment horizontal="right"/>
    </xf>
    <xf numFmtId="164" fontId="27" fillId="0" borderId="0" xfId="0" applyNumberFormat="1" applyFont="1" applyAlignment="1">
      <alignment horizontal="right"/>
    </xf>
    <xf numFmtId="3" fontId="27" fillId="0" borderId="0" xfId="0" applyNumberFormat="1" applyFont="1" applyAlignment="1">
      <alignment horizontal="right"/>
    </xf>
    <xf numFmtId="164" fontId="27" fillId="0" borderId="0" xfId="0" applyNumberFormat="1" applyFont="1"/>
    <xf numFmtId="0" fontId="27" fillId="0" borderId="0" xfId="0" applyFont="1"/>
    <xf numFmtId="3" fontId="27" fillId="0" borderId="0" xfId="0" applyNumberFormat="1" applyFont="1"/>
    <xf numFmtId="14" fontId="14" fillId="21" borderId="4" xfId="0" applyNumberFormat="1" applyFont="1" applyFill="1" applyBorder="1" applyAlignment="1">
      <alignment horizontal="left"/>
    </xf>
    <xf numFmtId="0" fontId="14" fillId="21" borderId="4" xfId="0" applyFont="1" applyFill="1" applyBorder="1"/>
    <xf numFmtId="3" fontId="14" fillId="21" borderId="4" xfId="0" applyNumberFormat="1" applyFont="1" applyFill="1" applyBorder="1"/>
    <xf numFmtId="164" fontId="5" fillId="0" borderId="0" xfId="0" applyNumberFormat="1" applyFont="1" applyAlignment="1">
      <alignment horizontal="right"/>
    </xf>
    <xf numFmtId="0" fontId="14" fillId="17" borderId="4" xfId="0" applyFont="1" applyFill="1" applyBorder="1" applyAlignment="1">
      <alignment horizontal="left"/>
    </xf>
    <xf numFmtId="3" fontId="14" fillId="17" borderId="4" xfId="0" applyNumberFormat="1" applyFont="1" applyFill="1" applyBorder="1" applyAlignment="1">
      <alignment horizontal="right"/>
    </xf>
    <xf numFmtId="165" fontId="14" fillId="17" borderId="4" xfId="0" applyNumberFormat="1" applyFont="1" applyFill="1" applyBorder="1" applyAlignment="1">
      <alignment horizontal="left"/>
    </xf>
    <xf numFmtId="3" fontId="2" fillId="0" borderId="0" xfId="0" applyNumberFormat="1" applyFont="1" applyAlignment="1">
      <alignment horizontal="right"/>
    </xf>
    <xf numFmtId="14" fontId="5" fillId="21" borderId="4" xfId="0" applyNumberFormat="1" applyFont="1" applyFill="1" applyBorder="1" applyAlignment="1">
      <alignment horizontal="left"/>
    </xf>
    <xf numFmtId="0" fontId="27" fillId="17" borderId="4" xfId="0" applyFont="1" applyFill="1" applyBorder="1" applyAlignment="1"/>
    <xf numFmtId="3" fontId="27" fillId="0" borderId="0" xfId="0" applyNumberFormat="1" applyFont="1" applyAlignment="1"/>
    <xf numFmtId="172" fontId="27" fillId="17" borderId="4" xfId="0" applyNumberFormat="1" applyFont="1" applyFill="1" applyBorder="1" applyAlignment="1">
      <alignment horizontal="right"/>
    </xf>
    <xf numFmtId="165" fontId="1" fillId="21" borderId="4" xfId="0" applyNumberFormat="1" applyFont="1" applyFill="1" applyBorder="1"/>
    <xf numFmtId="164" fontId="2" fillId="21" borderId="4" xfId="0" applyNumberFormat="1" applyFont="1" applyFill="1" applyBorder="1" applyAlignment="1">
      <alignment horizontal="right"/>
    </xf>
    <xf numFmtId="3" fontId="2" fillId="21" borderId="4" xfId="0" applyNumberFormat="1" applyFont="1" applyFill="1" applyBorder="1" applyAlignment="1">
      <alignment horizontal="right"/>
    </xf>
    <xf numFmtId="164" fontId="2" fillId="21" borderId="4" xfId="0" applyNumberFormat="1" applyFont="1" applyFill="1" applyBorder="1"/>
    <xf numFmtId="165" fontId="27" fillId="17" borderId="4" xfId="0" applyNumberFormat="1" applyFont="1" applyFill="1" applyBorder="1" applyAlignment="1"/>
    <xf numFmtId="164" fontId="5" fillId="21" borderId="4" xfId="0" applyNumberFormat="1" applyFont="1" applyFill="1" applyBorder="1" applyAlignment="1">
      <alignment horizontal="right"/>
    </xf>
    <xf numFmtId="165" fontId="27" fillId="17" borderId="4" xfId="0" applyNumberFormat="1" applyFont="1" applyFill="1" applyBorder="1" applyAlignment="1">
      <alignment horizontal="left"/>
    </xf>
    <xf numFmtId="0" fontId="0" fillId="21" borderId="0" xfId="0" applyFont="1" applyFill="1"/>
    <xf numFmtId="164" fontId="1" fillId="21" borderId="4" xfId="0" applyNumberFormat="1" applyFont="1" applyFill="1" applyBorder="1" applyAlignment="1">
      <alignment horizontal="right"/>
    </xf>
    <xf numFmtId="173" fontId="2" fillId="21" borderId="4" xfId="0" applyNumberFormat="1" applyFont="1" applyFill="1" applyBorder="1" applyAlignment="1">
      <alignment horizontal="right"/>
    </xf>
    <xf numFmtId="0" fontId="2" fillId="21" borderId="4" xfId="0" applyFont="1" applyFill="1" applyBorder="1"/>
    <xf numFmtId="164" fontId="1" fillId="21" borderId="4" xfId="0" applyNumberFormat="1" applyFont="1" applyFill="1" applyBorder="1"/>
    <xf numFmtId="0" fontId="22" fillId="20" borderId="4" xfId="0" applyFont="1" applyFill="1" applyBorder="1"/>
    <xf numFmtId="3" fontId="22" fillId="20" borderId="4" xfId="0" applyNumberFormat="1" applyFont="1" applyFill="1" applyBorder="1"/>
    <xf numFmtId="14" fontId="14" fillId="20" borderId="4" xfId="0" applyNumberFormat="1" applyFont="1" applyFill="1" applyBorder="1" applyAlignment="1">
      <alignment horizontal="left"/>
    </xf>
    <xf numFmtId="0" fontId="14" fillId="20" borderId="4" xfId="0" applyFont="1" applyFill="1" applyBorder="1"/>
    <xf numFmtId="3" fontId="14" fillId="20" borderId="4" xfId="0" applyNumberFormat="1" applyFont="1" applyFill="1" applyBorder="1"/>
    <xf numFmtId="3" fontId="2" fillId="0" borderId="0" xfId="0" applyNumberFormat="1" applyFont="1" applyAlignment="1"/>
    <xf numFmtId="14" fontId="2" fillId="20" borderId="4" xfId="0" applyNumberFormat="1" applyFont="1" applyFill="1" applyBorder="1" applyAlignment="1">
      <alignment horizontal="left"/>
    </xf>
    <xf numFmtId="14" fontId="28" fillId="20" borderId="4" xfId="0" applyNumberFormat="1" applyFont="1" applyFill="1" applyBorder="1" applyAlignment="1">
      <alignment horizontal="left"/>
    </xf>
    <xf numFmtId="0" fontId="28" fillId="20" borderId="4" xfId="0" applyFont="1" applyFill="1" applyBorder="1"/>
    <xf numFmtId="0" fontId="28" fillId="20" borderId="4" xfId="0" applyFont="1" applyFill="1" applyBorder="1" applyAlignment="1">
      <alignment horizontal="left"/>
    </xf>
    <xf numFmtId="3" fontId="28" fillId="20" borderId="4" xfId="0" applyNumberFormat="1" applyFont="1" applyFill="1" applyBorder="1" applyAlignment="1">
      <alignment horizontal="right"/>
    </xf>
    <xf numFmtId="0" fontId="28" fillId="20" borderId="4" xfId="0" applyFont="1" applyFill="1" applyBorder="1" applyAlignment="1">
      <alignment horizontal="right"/>
    </xf>
    <xf numFmtId="164" fontId="28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right"/>
    </xf>
    <xf numFmtId="164" fontId="28" fillId="0" borderId="0" xfId="0" applyNumberFormat="1" applyFont="1"/>
    <xf numFmtId="0" fontId="28" fillId="0" borderId="0" xfId="0" applyFont="1"/>
    <xf numFmtId="3" fontId="28" fillId="0" borderId="0" xfId="0" applyNumberFormat="1" applyFont="1"/>
    <xf numFmtId="165" fontId="28" fillId="20" borderId="4" xfId="0" applyNumberFormat="1" applyFont="1" applyFill="1" applyBorder="1"/>
    <xf numFmtId="165" fontId="28" fillId="20" borderId="4" xfId="0" applyNumberFormat="1" applyFont="1" applyFill="1" applyBorder="1" applyAlignment="1">
      <alignment horizontal="left"/>
    </xf>
    <xf numFmtId="165" fontId="28" fillId="20" borderId="4" xfId="0" applyNumberFormat="1" applyFont="1" applyFill="1" applyBorder="1" applyAlignment="1">
      <alignment horizontal="right"/>
    </xf>
    <xf numFmtId="0" fontId="2" fillId="20" borderId="4" xfId="0" applyFont="1" applyFill="1" applyBorder="1" applyAlignment="1">
      <alignment horizontal="left"/>
    </xf>
    <xf numFmtId="0" fontId="2" fillId="20" borderId="4" xfId="0" applyFont="1" applyFill="1" applyBorder="1" applyAlignment="1">
      <alignment horizontal="right"/>
    </xf>
    <xf numFmtId="172" fontId="2" fillId="20" borderId="4" xfId="0" applyNumberFormat="1" applyFont="1" applyFill="1" applyBorder="1" applyAlignment="1">
      <alignment horizontal="right"/>
    </xf>
    <xf numFmtId="165" fontId="2" fillId="20" borderId="4" xfId="0" applyNumberFormat="1" applyFont="1" applyFill="1" applyBorder="1"/>
    <xf numFmtId="165" fontId="2" fillId="20" borderId="4" xfId="0" applyNumberFormat="1" applyFont="1" applyFill="1" applyBorder="1" applyAlignment="1">
      <alignment horizontal="left"/>
    </xf>
    <xf numFmtId="165" fontId="2" fillId="20" borderId="4" xfId="0" applyNumberFormat="1" applyFont="1" applyFill="1" applyBorder="1" applyAlignment="1">
      <alignment horizontal="right"/>
    </xf>
    <xf numFmtId="14" fontId="29" fillId="20" borderId="4" xfId="0" applyNumberFormat="1" applyFont="1" applyFill="1" applyBorder="1" applyAlignment="1">
      <alignment horizontal="left"/>
    </xf>
    <xf numFmtId="0" fontId="29" fillId="20" borderId="4" xfId="0" applyFont="1" applyFill="1" applyBorder="1"/>
    <xf numFmtId="0" fontId="29" fillId="20" borderId="4" xfId="0" applyFont="1" applyFill="1" applyBorder="1" applyAlignment="1">
      <alignment horizontal="left"/>
    </xf>
    <xf numFmtId="3" fontId="29" fillId="20" borderId="4" xfId="0" applyNumberFormat="1" applyFont="1" applyFill="1" applyBorder="1" applyAlignment="1">
      <alignment horizontal="right"/>
    </xf>
    <xf numFmtId="0" fontId="29" fillId="20" borderId="4" xfId="0" applyFont="1" applyFill="1" applyBorder="1" applyAlignment="1">
      <alignment horizontal="right"/>
    </xf>
    <xf numFmtId="164" fontId="29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164" fontId="29" fillId="0" borderId="0" xfId="0" applyNumberFormat="1" applyFont="1"/>
    <xf numFmtId="0" fontId="29" fillId="0" borderId="0" xfId="0" applyFont="1"/>
    <xf numFmtId="3" fontId="29" fillId="0" borderId="0" xfId="0" applyNumberFormat="1" applyFont="1"/>
    <xf numFmtId="165" fontId="29" fillId="20" borderId="4" xfId="0" applyNumberFormat="1" applyFont="1" applyFill="1" applyBorder="1"/>
    <xf numFmtId="165" fontId="29" fillId="20" borderId="4" xfId="0" applyNumberFormat="1" applyFont="1" applyFill="1" applyBorder="1" applyAlignment="1">
      <alignment horizontal="left"/>
    </xf>
    <xf numFmtId="172" fontId="29" fillId="20" borderId="4" xfId="0" applyNumberFormat="1" applyFont="1" applyFill="1" applyBorder="1" applyAlignment="1">
      <alignment horizontal="right"/>
    </xf>
    <xf numFmtId="165" fontId="29" fillId="20" borderId="4" xfId="0" applyNumberFormat="1" applyFont="1" applyFill="1" applyBorder="1" applyAlignment="1">
      <alignment horizontal="right"/>
    </xf>
    <xf numFmtId="0" fontId="5" fillId="20" borderId="4" xfId="0" applyFont="1" applyFill="1" applyBorder="1"/>
    <xf numFmtId="165" fontId="5" fillId="20" borderId="4" xfId="0" applyNumberFormat="1" applyFont="1" applyFill="1" applyBorder="1"/>
    <xf numFmtId="0" fontId="5" fillId="20" borderId="4" xfId="0" applyFont="1" applyFill="1" applyBorder="1" applyAlignment="1">
      <alignment horizontal="left"/>
    </xf>
    <xf numFmtId="3" fontId="5" fillId="20" borderId="4" xfId="0" applyNumberFormat="1" applyFont="1" applyFill="1" applyBorder="1" applyAlignment="1">
      <alignment horizontal="right"/>
    </xf>
    <xf numFmtId="165" fontId="5" fillId="20" borderId="4" xfId="0" applyNumberFormat="1" applyFont="1" applyFill="1" applyBorder="1" applyAlignment="1">
      <alignment horizontal="right"/>
    </xf>
    <xf numFmtId="0" fontId="0" fillId="18" borderId="4" xfId="0" applyFont="1" applyFill="1" applyBorder="1" applyAlignment="1">
      <alignment horizontal="left"/>
    </xf>
    <xf numFmtId="16" fontId="0" fillId="18" borderId="4" xfId="0" applyNumberFormat="1" applyFont="1" applyFill="1" applyBorder="1"/>
    <xf numFmtId="16" fontId="14" fillId="18" borderId="4" xfId="0" applyNumberFormat="1" applyFont="1" applyFill="1" applyBorder="1"/>
    <xf numFmtId="0" fontId="20" fillId="0" borderId="0" xfId="0" applyFont="1" applyAlignment="1"/>
    <xf numFmtId="14" fontId="30" fillId="18" borderId="4" xfId="0" applyNumberFormat="1" applyFont="1" applyFill="1" applyBorder="1" applyAlignment="1">
      <alignment horizontal="left"/>
    </xf>
    <xf numFmtId="3" fontId="2" fillId="18" borderId="4" xfId="0" applyNumberFormat="1" applyFont="1" applyFill="1" applyBorder="1" applyAlignment="1">
      <alignment horizontal="right"/>
    </xf>
    <xf numFmtId="0" fontId="30" fillId="18" borderId="4" xfId="0" applyFont="1" applyFill="1" applyBorder="1"/>
    <xf numFmtId="0" fontId="30" fillId="18" borderId="4" xfId="0" applyFont="1" applyFill="1" applyBorder="1" applyAlignment="1">
      <alignment horizontal="left"/>
    </xf>
    <xf numFmtId="16" fontId="30" fillId="18" borderId="4" xfId="0" applyNumberFormat="1" applyFont="1" applyFill="1" applyBorder="1"/>
    <xf numFmtId="3" fontId="30" fillId="18" borderId="4" xfId="0" applyNumberFormat="1" applyFont="1" applyFill="1" applyBorder="1"/>
    <xf numFmtId="0" fontId="30" fillId="18" borderId="4" xfId="0" applyFont="1" applyFill="1" applyBorder="1" applyAlignment="1">
      <alignment horizontal="right"/>
    </xf>
    <xf numFmtId="164" fontId="30" fillId="0" borderId="0" xfId="0" applyNumberFormat="1" applyFont="1" applyAlignment="1">
      <alignment horizontal="right"/>
    </xf>
    <xf numFmtId="3" fontId="30" fillId="0" borderId="0" xfId="0" applyNumberFormat="1" applyFont="1" applyAlignment="1">
      <alignment horizontal="right"/>
    </xf>
    <xf numFmtId="164" fontId="30" fillId="0" borderId="0" xfId="0" applyNumberFormat="1" applyFont="1"/>
    <xf numFmtId="0" fontId="30" fillId="0" borderId="0" xfId="0" applyFont="1"/>
    <xf numFmtId="3" fontId="30" fillId="0" borderId="0" xfId="0" applyNumberFormat="1" applyFont="1"/>
    <xf numFmtId="164" fontId="31" fillId="0" borderId="0" xfId="0" applyNumberFormat="1" applyFont="1" applyAlignment="1">
      <alignment horizontal="right"/>
    </xf>
    <xf numFmtId="0" fontId="22" fillId="18" borderId="4" xfId="0" applyFont="1" applyFill="1" applyBorder="1" applyAlignment="1">
      <alignment horizontal="left"/>
    </xf>
    <xf numFmtId="0" fontId="22" fillId="18" borderId="4" xfId="0" applyFont="1" applyFill="1" applyBorder="1" applyAlignment="1">
      <alignment horizontal="right"/>
    </xf>
    <xf numFmtId="17" fontId="0" fillId="18" borderId="4" xfId="0" applyNumberFormat="1" applyFont="1" applyFill="1" applyBorder="1"/>
    <xf numFmtId="0" fontId="0" fillId="0" borderId="0" xfId="0" applyFont="1" applyAlignment="1"/>
    <xf numFmtId="0" fontId="35" fillId="23" borderId="0" xfId="0" applyFont="1" applyFill="1" applyAlignment="1">
      <alignment horizontal="center"/>
    </xf>
    <xf numFmtId="164" fontId="2" fillId="26" borderId="4" xfId="0" applyNumberFormat="1" applyFont="1" applyFill="1" applyBorder="1" applyAlignment="1">
      <alignment horizontal="right" vertical="top"/>
    </xf>
    <xf numFmtId="164" fontId="2" fillId="27" borderId="4" xfId="0" applyNumberFormat="1" applyFont="1" applyFill="1" applyBorder="1" applyAlignment="1">
      <alignment horizontal="right" vertical="top"/>
    </xf>
    <xf numFmtId="164" fontId="2" fillId="28" borderId="4" xfId="0" applyNumberFormat="1" applyFont="1" applyFill="1" applyBorder="1" applyAlignment="1">
      <alignment horizontal="right" vertical="top"/>
    </xf>
    <xf numFmtId="164" fontId="2" fillId="29" borderId="4" xfId="0" applyNumberFormat="1" applyFont="1" applyFill="1" applyBorder="1" applyAlignment="1">
      <alignment horizontal="right" vertical="top"/>
    </xf>
    <xf numFmtId="165" fontId="2" fillId="29" borderId="4" xfId="0" applyNumberFormat="1" applyFont="1" applyFill="1" applyBorder="1" applyAlignment="1">
      <alignment horizontal="right" vertical="top"/>
    </xf>
    <xf numFmtId="164" fontId="2" fillId="31" borderId="4" xfId="0" applyNumberFormat="1" applyFont="1" applyFill="1" applyBorder="1" applyAlignment="1">
      <alignment horizontal="right" vertical="top"/>
    </xf>
    <xf numFmtId="164" fontId="2" fillId="32" borderId="4" xfId="0" applyNumberFormat="1" applyFont="1" applyFill="1" applyBorder="1" applyAlignment="1">
      <alignment horizontal="right" vertical="top"/>
    </xf>
    <xf numFmtId="167" fontId="2" fillId="29" borderId="4" xfId="0" applyNumberFormat="1" applyFont="1" applyFill="1" applyBorder="1" applyAlignment="1">
      <alignment horizontal="right" vertical="top"/>
    </xf>
    <xf numFmtId="164" fontId="2" fillId="33" borderId="4" xfId="0" applyNumberFormat="1" applyFont="1" applyFill="1" applyBorder="1" applyAlignment="1">
      <alignment horizontal="right" vertical="top"/>
    </xf>
    <xf numFmtId="167" fontId="2" fillId="34" borderId="4" xfId="0" applyNumberFormat="1" applyFont="1" applyFill="1" applyBorder="1" applyAlignment="1">
      <alignment horizontal="right" vertical="top"/>
    </xf>
    <xf numFmtId="164" fontId="2" fillId="35" borderId="4" xfId="0" applyNumberFormat="1" applyFont="1" applyFill="1" applyBorder="1" applyAlignment="1">
      <alignment horizontal="right" vertical="top"/>
    </xf>
    <xf numFmtId="164" fontId="2" fillId="36" borderId="4" xfId="0" applyNumberFormat="1" applyFont="1" applyFill="1" applyBorder="1" applyAlignment="1">
      <alignment horizontal="right" vertical="top"/>
    </xf>
    <xf numFmtId="0" fontId="38" fillId="7" borderId="4" xfId="0" applyFont="1" applyFill="1" applyBorder="1" applyAlignment="1">
      <alignment horizontal="left" vertical="top"/>
    </xf>
    <xf numFmtId="3" fontId="2" fillId="37" borderId="4" xfId="0" applyNumberFormat="1" applyFont="1" applyFill="1" applyBorder="1" applyAlignment="1">
      <alignment horizontal="right" vertical="top"/>
    </xf>
    <xf numFmtId="164" fontId="2" fillId="38" borderId="4" xfId="0" applyNumberFormat="1" applyFont="1" applyFill="1" applyBorder="1" applyAlignment="1">
      <alignment horizontal="right" vertical="top"/>
    </xf>
    <xf numFmtId="164" fontId="2" fillId="34" borderId="4" xfId="0" applyNumberFormat="1" applyFont="1" applyFill="1" applyBorder="1" applyAlignment="1">
      <alignment horizontal="right" vertical="top"/>
    </xf>
    <xf numFmtId="167" fontId="2" fillId="36" borderId="4" xfId="0" applyNumberFormat="1" applyFont="1" applyFill="1" applyBorder="1" applyAlignment="1">
      <alignment horizontal="right" vertical="top"/>
    </xf>
    <xf numFmtId="164" fontId="36" fillId="39" borderId="4" xfId="0" applyNumberFormat="1" applyFont="1" applyFill="1" applyBorder="1" applyAlignment="1">
      <alignment horizontal="right" vertical="top"/>
    </xf>
    <xf numFmtId="164" fontId="36" fillId="40" borderId="4" xfId="0" applyNumberFormat="1" applyFont="1" applyFill="1" applyBorder="1" applyAlignment="1">
      <alignment horizontal="right" vertical="top"/>
    </xf>
    <xf numFmtId="167" fontId="36" fillId="41" borderId="4" xfId="0" applyNumberFormat="1" applyFont="1" applyFill="1" applyBorder="1" applyAlignment="1">
      <alignment horizontal="right" vertical="top"/>
    </xf>
    <xf numFmtId="167" fontId="36" fillId="29" borderId="4" xfId="0" applyNumberFormat="1" applyFont="1" applyFill="1" applyBorder="1" applyAlignment="1">
      <alignment horizontal="right" vertical="top"/>
    </xf>
    <xf numFmtId="1" fontId="2" fillId="42" borderId="4" xfId="0" applyNumberFormat="1" applyFont="1" applyFill="1" applyBorder="1" applyAlignment="1">
      <alignment horizontal="right" vertical="top"/>
    </xf>
    <xf numFmtId="3" fontId="2" fillId="43" borderId="4" xfId="0" applyNumberFormat="1" applyFont="1" applyFill="1" applyBorder="1" applyAlignment="1">
      <alignment horizontal="right" vertical="top"/>
    </xf>
    <xf numFmtId="164" fontId="11" fillId="44" borderId="4" xfId="0" applyNumberFormat="1" applyFont="1" applyFill="1" applyBorder="1" applyAlignment="1">
      <alignment horizontal="right" vertical="top"/>
    </xf>
    <xf numFmtId="164" fontId="11" fillId="44" borderId="3" xfId="0" applyNumberFormat="1" applyFont="1" applyFill="1" applyBorder="1" applyAlignment="1">
      <alignment horizontal="right" vertical="top"/>
    </xf>
    <xf numFmtId="164" fontId="12" fillId="36" borderId="5" xfId="0" applyNumberFormat="1" applyFont="1" applyFill="1" applyBorder="1" applyAlignment="1">
      <alignment horizontal="right" vertical="top"/>
    </xf>
    <xf numFmtId="167" fontId="12" fillId="34" borderId="6" xfId="0" applyNumberFormat="1" applyFont="1" applyFill="1" applyBorder="1" applyAlignment="1">
      <alignment horizontal="right" vertical="top"/>
    </xf>
    <xf numFmtId="164" fontId="12" fillId="38" borderId="5" xfId="0" applyNumberFormat="1" applyFont="1" applyFill="1" applyBorder="1" applyAlignment="1">
      <alignment horizontal="right" vertical="top"/>
    </xf>
    <xf numFmtId="164" fontId="12" fillId="34" borderId="5" xfId="0" applyNumberFormat="1" applyFont="1" applyFill="1" applyBorder="1" applyAlignment="1">
      <alignment horizontal="right" vertical="top"/>
    </xf>
    <xf numFmtId="164" fontId="42" fillId="7" borderId="4" xfId="0" applyNumberFormat="1" applyFont="1" applyFill="1" applyBorder="1" applyAlignment="1">
      <alignment horizontal="left" vertical="top"/>
    </xf>
    <xf numFmtId="164" fontId="12" fillId="40" borderId="5" xfId="0" applyNumberFormat="1" applyFont="1" applyFill="1" applyBorder="1" applyAlignment="1">
      <alignment horizontal="right" vertical="top"/>
    </xf>
    <xf numFmtId="164" fontId="12" fillId="39" borderId="5" xfId="0" applyNumberFormat="1" applyFont="1" applyFill="1" applyBorder="1" applyAlignment="1">
      <alignment horizontal="right" vertical="top"/>
    </xf>
    <xf numFmtId="167" fontId="12" fillId="29" borderId="6" xfId="0" applyNumberFormat="1" applyFont="1" applyFill="1" applyBorder="1" applyAlignment="1">
      <alignment horizontal="right" vertical="top"/>
    </xf>
    <xf numFmtId="164" fontId="34" fillId="7" borderId="4" xfId="0" applyNumberFormat="1" applyFont="1" applyFill="1" applyBorder="1" applyAlignment="1">
      <alignment horizontal="left" vertical="top"/>
    </xf>
    <xf numFmtId="164" fontId="2" fillId="45" borderId="4" xfId="0" applyNumberFormat="1" applyFont="1" applyFill="1" applyBorder="1" applyAlignment="1">
      <alignment horizontal="right" vertical="top"/>
    </xf>
    <xf numFmtId="0" fontId="42" fillId="7" borderId="2" xfId="0" applyFont="1" applyFill="1" applyBorder="1" applyAlignment="1">
      <alignment horizontal="left" vertical="top"/>
    </xf>
    <xf numFmtId="0" fontId="34" fillId="7" borderId="2" xfId="0" applyFont="1" applyFill="1" applyBorder="1" applyAlignment="1">
      <alignment horizontal="center" vertical="center"/>
    </xf>
    <xf numFmtId="164" fontId="36" fillId="7" borderId="2" xfId="0" applyNumberFormat="1" applyFont="1" applyFill="1" applyBorder="1" applyAlignment="1">
      <alignment horizontal="right" vertical="center"/>
    </xf>
    <xf numFmtId="167" fontId="36" fillId="7" borderId="2" xfId="0" applyNumberFormat="1" applyFont="1" applyFill="1" applyBorder="1" applyAlignment="1">
      <alignment horizontal="right" vertical="center"/>
    </xf>
    <xf numFmtId="164" fontId="34" fillId="3" borderId="4" xfId="0" applyNumberFormat="1" applyFont="1" applyFill="1" applyBorder="1" applyAlignment="1">
      <alignment horizontal="right"/>
    </xf>
    <xf numFmtId="0" fontId="44" fillId="0" borderId="0" xfId="0" applyFont="1" applyAlignment="1">
      <alignment horizontal="left" vertical="top"/>
    </xf>
    <xf numFmtId="0" fontId="34" fillId="0" borderId="0" xfId="0" applyFont="1" applyAlignment="1">
      <alignment vertical="top"/>
    </xf>
    <xf numFmtId="0" fontId="45" fillId="0" borderId="0" xfId="0" applyFont="1" applyAlignment="1">
      <alignment vertical="top"/>
    </xf>
    <xf numFmtId="0" fontId="44" fillId="0" borderId="0" xfId="0" applyFont="1" applyAlignment="1">
      <alignment vertical="top"/>
    </xf>
    <xf numFmtId="3" fontId="46" fillId="0" borderId="0" xfId="0" applyNumberFormat="1" applyFont="1" applyAlignment="1">
      <alignment vertical="top"/>
    </xf>
    <xf numFmtId="3" fontId="45" fillId="0" borderId="0" xfId="0" applyNumberFormat="1" applyFont="1" applyAlignment="1">
      <alignment horizontal="right" vertical="top"/>
    </xf>
    <xf numFmtId="0" fontId="44" fillId="0" borderId="0" xfId="0" applyFont="1" applyAlignment="1">
      <alignment horizontal="right" vertical="top"/>
    </xf>
    <xf numFmtId="0" fontId="46" fillId="0" borderId="0" xfId="0" applyFont="1" applyAlignment="1"/>
    <xf numFmtId="0" fontId="46" fillId="0" borderId="0" xfId="0" applyFont="1" applyAlignment="1">
      <alignment vertical="top"/>
    </xf>
    <xf numFmtId="176" fontId="45" fillId="0" borderId="0" xfId="1" applyNumberFormat="1" applyFont="1" applyAlignment="1">
      <alignment vertical="top"/>
    </xf>
    <xf numFmtId="176" fontId="46" fillId="0" borderId="0" xfId="1" applyNumberFormat="1" applyFont="1" applyAlignment="1">
      <alignment vertical="center"/>
    </xf>
    <xf numFmtId="176" fontId="45" fillId="0" borderId="0" xfId="1" applyNumberFormat="1" applyFont="1" applyAlignment="1">
      <alignment vertical="center"/>
    </xf>
    <xf numFmtId="0" fontId="45" fillId="0" borderId="0" xfId="0" applyFont="1" applyAlignment="1">
      <alignment vertical="top"/>
    </xf>
    <xf numFmtId="0" fontId="46" fillId="0" borderId="0" xfId="0" applyFont="1" applyAlignment="1"/>
    <xf numFmtId="0" fontId="0" fillId="0" borderId="0" xfId="0" applyFont="1" applyAlignment="1"/>
    <xf numFmtId="0" fontId="17" fillId="0" borderId="0" xfId="0" applyFont="1" applyAlignment="1">
      <alignment horizontal="right"/>
    </xf>
    <xf numFmtId="164" fontId="43" fillId="0" borderId="0" xfId="0" applyNumberFormat="1" applyFont="1" applyAlignment="1">
      <alignment horizontal="right" vertical="top"/>
    </xf>
    <xf numFmtId="3" fontId="44" fillId="0" borderId="0" xfId="0" applyNumberFormat="1" applyFont="1" applyAlignment="1">
      <alignment horizontal="left" vertical="top"/>
    </xf>
    <xf numFmtId="0" fontId="16" fillId="47" borderId="0" xfId="0" applyFont="1" applyFill="1" applyAlignment="1">
      <alignment horizontal="right" vertical="top"/>
    </xf>
    <xf numFmtId="0" fontId="44" fillId="47" borderId="0" xfId="0" applyFont="1" applyFill="1" applyAlignment="1">
      <alignment horizontal="right" vertical="top"/>
    </xf>
    <xf numFmtId="0" fontId="17" fillId="47" borderId="0" xfId="0" applyFont="1" applyFill="1" applyAlignment="1">
      <alignment horizontal="right"/>
    </xf>
    <xf numFmtId="166" fontId="34" fillId="9" borderId="4" xfId="0" applyNumberFormat="1" applyFont="1" applyFill="1" applyBorder="1" applyAlignment="1">
      <alignment horizontal="right" vertical="top"/>
    </xf>
    <xf numFmtId="0" fontId="42" fillId="0" borderId="0" xfId="0" applyFont="1" applyAlignment="1">
      <alignment horizontal="center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right"/>
    </xf>
    <xf numFmtId="0" fontId="44" fillId="0" borderId="0" xfId="0" applyFont="1" applyAlignment="1">
      <alignment horizontal="right"/>
    </xf>
    <xf numFmtId="0" fontId="45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164" fontId="16" fillId="46" borderId="0" xfId="0" applyNumberFormat="1" applyFont="1" applyFill="1" applyAlignment="1">
      <alignment horizontal="right" vertical="top"/>
    </xf>
    <xf numFmtId="0" fontId="44" fillId="0" borderId="0" xfId="0" applyFont="1" applyFill="1" applyAlignment="1">
      <alignment horizontal="right" vertical="top"/>
    </xf>
    <xf numFmtId="164" fontId="44" fillId="0" borderId="0" xfId="0" applyNumberFormat="1" applyFont="1" applyFill="1" applyAlignment="1">
      <alignment horizontal="center" vertical="top"/>
    </xf>
    <xf numFmtId="0" fontId="44" fillId="0" borderId="0" xfId="0" applyFont="1" applyFill="1" applyAlignment="1">
      <alignment horizontal="center" vertical="top"/>
    </xf>
    <xf numFmtId="164" fontId="16" fillId="51" borderId="0" xfId="0" applyNumberFormat="1" applyFont="1" applyFill="1" applyAlignment="1">
      <alignment horizontal="right" vertical="top"/>
    </xf>
    <xf numFmtId="0" fontId="47" fillId="51" borderId="0" xfId="0" applyFont="1" applyFill="1" applyAlignment="1"/>
    <xf numFmtId="0" fontId="47" fillId="51" borderId="0" xfId="0" applyFont="1" applyFill="1" applyAlignment="1">
      <alignment horizontal="right"/>
    </xf>
    <xf numFmtId="0" fontId="46" fillId="0" borderId="0" xfId="0" applyFont="1" applyAlignment="1">
      <alignment horizontal="left"/>
    </xf>
    <xf numFmtId="0" fontId="46" fillId="0" borderId="0" xfId="0" applyFont="1" applyFill="1" applyAlignment="1"/>
    <xf numFmtId="176" fontId="46" fillId="0" borderId="0" xfId="1" applyNumberFormat="1" applyFont="1" applyFill="1" applyAlignment="1"/>
    <xf numFmtId="176" fontId="46" fillId="0" borderId="0" xfId="1" applyNumberFormat="1" applyFont="1" applyFill="1" applyAlignment="1">
      <alignment horizontal="right"/>
    </xf>
    <xf numFmtId="10" fontId="46" fillId="0" borderId="0" xfId="2" applyNumberFormat="1" applyFont="1" applyFill="1" applyAlignment="1"/>
    <xf numFmtId="0" fontId="51" fillId="0" borderId="0" xfId="3" applyFont="1" applyAlignment="1"/>
    <xf numFmtId="176" fontId="46" fillId="25" borderId="0" xfId="1" applyNumberFormat="1" applyFont="1" applyFill="1" applyAlignment="1"/>
    <xf numFmtId="0" fontId="46" fillId="0" borderId="0" xfId="0" applyFont="1" applyAlignment="1"/>
    <xf numFmtId="0" fontId="46" fillId="0" borderId="0" xfId="0" applyFont="1" applyFill="1" applyAlignment="1"/>
    <xf numFmtId="0" fontId="0" fillId="0" borderId="0" xfId="0" applyFont="1" applyAlignment="1"/>
    <xf numFmtId="0" fontId="47" fillId="52" borderId="0" xfId="0" applyFont="1" applyFill="1" applyAlignment="1"/>
    <xf numFmtId="0" fontId="46" fillId="52" borderId="0" xfId="0" applyFont="1" applyFill="1" applyAlignment="1"/>
    <xf numFmtId="0" fontId="0" fillId="52" borderId="0" xfId="0" applyFont="1" applyFill="1" applyAlignment="1"/>
    <xf numFmtId="0" fontId="52" fillId="0" borderId="0" xfId="0" applyFont="1" applyAlignment="1"/>
    <xf numFmtId="9" fontId="46" fillId="0" borderId="0" xfId="2" applyFont="1" applyFill="1" applyAlignment="1"/>
    <xf numFmtId="176" fontId="47" fillId="0" borderId="0" xfId="1" applyNumberFormat="1" applyFont="1" applyFill="1" applyAlignment="1">
      <alignment horizontal="right"/>
    </xf>
    <xf numFmtId="176" fontId="53" fillId="0" borderId="0" xfId="1" applyNumberFormat="1" applyFont="1" applyFill="1" applyAlignment="1">
      <alignment horizontal="right"/>
    </xf>
    <xf numFmtId="0" fontId="44" fillId="30" borderId="0" xfId="0" applyFont="1" applyFill="1" applyAlignment="1">
      <alignment vertical="top"/>
    </xf>
    <xf numFmtId="0" fontId="44" fillId="30" borderId="0" xfId="0" applyFont="1" applyFill="1" applyAlignment="1">
      <alignment horizontal="right" vertical="top"/>
    </xf>
    <xf numFmtId="3" fontId="47" fillId="30" borderId="0" xfId="0" applyNumberFormat="1" applyFont="1" applyFill="1" applyAlignment="1">
      <alignment vertical="top"/>
    </xf>
    <xf numFmtId="3" fontId="44" fillId="30" borderId="0" xfId="0" applyNumberFormat="1" applyFont="1" applyFill="1" applyAlignment="1">
      <alignment horizontal="right" vertical="top"/>
    </xf>
    <xf numFmtId="3" fontId="44" fillId="30" borderId="0" xfId="0" applyNumberFormat="1" applyFont="1" applyFill="1" applyAlignment="1">
      <alignment vertical="top"/>
    </xf>
    <xf numFmtId="0" fontId="0" fillId="30" borderId="0" xfId="0" applyFont="1" applyFill="1" applyAlignment="1"/>
    <xf numFmtId="4" fontId="46" fillId="0" borderId="0" xfId="0" applyNumberFormat="1" applyFont="1" applyAlignment="1">
      <alignment vertical="top"/>
    </xf>
    <xf numFmtId="4" fontId="45" fillId="0" borderId="0" xfId="0" applyNumberFormat="1" applyFont="1" applyAlignment="1">
      <alignment vertical="top"/>
    </xf>
    <xf numFmtId="4" fontId="45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right" vertical="top"/>
    </xf>
    <xf numFmtId="14" fontId="0" fillId="0" borderId="0" xfId="0" applyNumberFormat="1" applyFont="1" applyAlignment="1"/>
    <xf numFmtId="6" fontId="0" fillId="0" borderId="0" xfId="0" applyNumberFormat="1" applyFont="1" applyAlignment="1"/>
    <xf numFmtId="14" fontId="46" fillId="0" borderId="0" xfId="0" applyNumberFormat="1" applyFont="1" applyAlignment="1"/>
    <xf numFmtId="6" fontId="46" fillId="0" borderId="0" xfId="0" applyNumberFormat="1" applyFont="1" applyAlignment="1">
      <alignment horizontal="right"/>
    </xf>
    <xf numFmtId="14" fontId="47" fillId="30" borderId="0" xfId="0" applyNumberFormat="1" applyFont="1" applyFill="1" applyAlignment="1">
      <alignment horizontal="right"/>
    </xf>
    <xf numFmtId="0" fontId="47" fillId="30" borderId="0" xfId="0" applyFont="1" applyFill="1" applyAlignment="1">
      <alignment horizontal="right"/>
    </xf>
    <xf numFmtId="0" fontId="44" fillId="0" borderId="0" xfId="0" applyFont="1" applyFill="1" applyAlignment="1">
      <alignment horizontal="center" vertical="top"/>
    </xf>
    <xf numFmtId="0" fontId="47" fillId="54" borderId="0" xfId="0" applyFont="1" applyFill="1" applyAlignment="1">
      <alignment horizontal="right" vertical="top"/>
    </xf>
    <xf numFmtId="0" fontId="44" fillId="54" borderId="0" xfId="0" applyFont="1" applyFill="1" applyAlignment="1">
      <alignment vertical="top"/>
    </xf>
    <xf numFmtId="170" fontId="44" fillId="54" borderId="0" xfId="0" applyNumberFormat="1" applyFont="1" applyFill="1" applyAlignment="1">
      <alignment vertical="top"/>
    </xf>
    <xf numFmtId="0" fontId="44" fillId="54" borderId="0" xfId="0" applyFont="1" applyFill="1" applyAlignment="1">
      <alignment horizontal="right" vertical="top"/>
    </xf>
    <xf numFmtId="6" fontId="46" fillId="25" borderId="0" xfId="0" applyNumberFormat="1" applyFont="1" applyFill="1" applyAlignment="1">
      <alignment horizontal="right"/>
    </xf>
    <xf numFmtId="0" fontId="0" fillId="25" borderId="0" xfId="0" applyFont="1" applyFill="1" applyAlignment="1"/>
    <xf numFmtId="6" fontId="46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6" fontId="46" fillId="53" borderId="0" xfId="0" applyNumberFormat="1" applyFont="1" applyFill="1" applyAlignment="1">
      <alignment horizontal="right"/>
    </xf>
    <xf numFmtId="0" fontId="0" fillId="53" borderId="0" xfId="0" applyFont="1" applyFill="1" applyAlignment="1"/>
    <xf numFmtId="176" fontId="44" fillId="30" borderId="0" xfId="1" applyNumberFormat="1" applyFont="1" applyFill="1" applyAlignment="1"/>
    <xf numFmtId="14" fontId="44" fillId="30" borderId="0" xfId="1" applyNumberFormat="1" applyFont="1" applyFill="1" applyAlignment="1">
      <alignment horizontal="right"/>
    </xf>
    <xf numFmtId="14" fontId="44" fillId="30" borderId="0" xfId="0" applyNumberFormat="1" applyFont="1" applyFill="1" applyAlignment="1">
      <alignment horizontal="right"/>
    </xf>
    <xf numFmtId="176" fontId="45" fillId="0" borderId="0" xfId="1" applyNumberFormat="1" applyFont="1" applyAlignment="1"/>
    <xf numFmtId="176" fontId="45" fillId="0" borderId="0" xfId="1" applyNumberFormat="1" applyFont="1" applyAlignment="1">
      <alignment horizontal="right"/>
    </xf>
    <xf numFmtId="6" fontId="45" fillId="0" borderId="0" xfId="0" applyNumberFormat="1" applyFont="1" applyAlignment="1">
      <alignment horizontal="right"/>
    </xf>
    <xf numFmtId="176" fontId="45" fillId="25" borderId="0" xfId="1" applyNumberFormat="1" applyFont="1" applyFill="1" applyAlignment="1"/>
    <xf numFmtId="176" fontId="45" fillId="25" borderId="0" xfId="1" applyNumberFormat="1" applyFont="1" applyFill="1" applyAlignment="1">
      <alignment horizontal="right"/>
    </xf>
    <xf numFmtId="6" fontId="45" fillId="25" borderId="0" xfId="0" applyNumberFormat="1" applyFont="1" applyFill="1" applyAlignment="1">
      <alignment horizontal="right"/>
    </xf>
    <xf numFmtId="176" fontId="46" fillId="0" borderId="0" xfId="1" applyNumberFormat="1" applyFont="1" applyAlignment="1"/>
    <xf numFmtId="176" fontId="45" fillId="0" borderId="0" xfId="1" applyNumberFormat="1" applyFont="1" applyAlignment="1">
      <alignment horizontal="left"/>
    </xf>
    <xf numFmtId="176" fontId="45" fillId="0" borderId="0" xfId="1" applyNumberFormat="1" applyFont="1" applyFill="1" applyAlignment="1"/>
    <xf numFmtId="176" fontId="45" fillId="0" borderId="0" xfId="1" applyNumberFormat="1" applyFont="1" applyFill="1" applyAlignment="1">
      <alignment horizontal="right"/>
    </xf>
    <xf numFmtId="176" fontId="45" fillId="53" borderId="0" xfId="1" applyNumberFormat="1" applyFont="1" applyFill="1" applyAlignment="1"/>
    <xf numFmtId="176" fontId="45" fillId="53" borderId="0" xfId="1" applyNumberFormat="1" applyFont="1" applyFill="1" applyAlignment="1">
      <alignment horizontal="right"/>
    </xf>
    <xf numFmtId="176" fontId="45" fillId="55" borderId="0" xfId="1" applyNumberFormat="1" applyFont="1" applyFill="1" applyAlignment="1"/>
    <xf numFmtId="176" fontId="46" fillId="55" borderId="0" xfId="1" applyNumberFormat="1" applyFont="1" applyFill="1" applyAlignment="1"/>
    <xf numFmtId="176" fontId="45" fillId="0" borderId="0" xfId="1" applyNumberFormat="1" applyFont="1" applyFill="1" applyAlignment="1">
      <alignment horizontal="left"/>
    </xf>
    <xf numFmtId="176" fontId="55" fillId="0" borderId="0" xfId="1" applyNumberFormat="1" applyFont="1" applyFill="1" applyAlignment="1">
      <alignment horizontal="right"/>
    </xf>
    <xf numFmtId="1" fontId="47" fillId="0" borderId="0" xfId="0" applyNumberFormat="1" applyFont="1" applyFill="1" applyAlignment="1"/>
    <xf numFmtId="176" fontId="55" fillId="25" borderId="0" xfId="1" applyNumberFormat="1" applyFont="1" applyFill="1" applyAlignment="1">
      <alignment horizontal="right"/>
    </xf>
    <xf numFmtId="176" fontId="34" fillId="25" borderId="0" xfId="1" applyNumberFormat="1" applyFont="1" applyFill="1" applyAlignment="1"/>
    <xf numFmtId="176" fontId="0" fillId="0" borderId="0" xfId="1" applyNumberFormat="1" applyFont="1" applyFill="1" applyAlignment="1"/>
    <xf numFmtId="176" fontId="46" fillId="25" borderId="0" xfId="1" applyNumberFormat="1" applyFont="1" applyFill="1" applyAlignment="1">
      <alignment horizontal="right"/>
    </xf>
    <xf numFmtId="176" fontId="0" fillId="25" borderId="0" xfId="1" applyNumberFormat="1" applyFont="1" applyFill="1" applyAlignment="1"/>
    <xf numFmtId="176" fontId="46" fillId="56" borderId="0" xfId="1" applyNumberFormat="1" applyFont="1" applyFill="1" applyAlignment="1">
      <alignment horizontal="right"/>
    </xf>
    <xf numFmtId="170" fontId="45" fillId="0" borderId="0" xfId="4" applyNumberFormat="1" applyFont="1" applyFill="1" applyAlignment="1">
      <alignment horizontal="right"/>
    </xf>
    <xf numFmtId="170" fontId="46" fillId="0" borderId="0" xfId="4" applyNumberFormat="1" applyFont="1" applyFill="1" applyAlignment="1">
      <alignment horizontal="right"/>
    </xf>
    <xf numFmtId="170" fontId="0" fillId="0" borderId="0" xfId="4" applyNumberFormat="1" applyFont="1" applyFill="1" applyAlignment="1"/>
    <xf numFmtId="1" fontId="46" fillId="0" borderId="0" xfId="0" applyNumberFormat="1" applyFont="1" applyFill="1" applyAlignment="1">
      <alignment horizontal="left"/>
    </xf>
    <xf numFmtId="1" fontId="45" fillId="0" borderId="0" xfId="1" applyNumberFormat="1" applyFont="1" applyFill="1" applyAlignment="1">
      <alignment horizontal="left"/>
    </xf>
    <xf numFmtId="0" fontId="47" fillId="0" borderId="0" xfId="0" applyFont="1" applyFill="1" applyAlignment="1"/>
    <xf numFmtId="176" fontId="53" fillId="25" borderId="0" xfId="1" applyNumberFormat="1" applyFont="1" applyFill="1" applyAlignment="1">
      <alignment horizontal="right"/>
    </xf>
    <xf numFmtId="0" fontId="46" fillId="0" borderId="0" xfId="0" applyFont="1" applyFill="1" applyAlignment="1">
      <alignment horizontal="left"/>
    </xf>
    <xf numFmtId="176" fontId="56" fillId="0" borderId="0" xfId="1" applyNumberFormat="1" applyFont="1" applyFill="1" applyAlignment="1"/>
    <xf numFmtId="176" fontId="44" fillId="55" borderId="0" xfId="1" applyNumberFormat="1" applyFont="1" applyFill="1" applyAlignment="1"/>
    <xf numFmtId="176" fontId="44" fillId="55" borderId="0" xfId="1" applyNumberFormat="1" applyFont="1" applyFill="1" applyAlignment="1">
      <alignment horizontal="right"/>
    </xf>
    <xf numFmtId="176" fontId="46" fillId="55" borderId="0" xfId="1" applyNumberFormat="1" applyFont="1" applyFill="1" applyAlignment="1">
      <alignment horizontal="right"/>
    </xf>
    <xf numFmtId="176" fontId="0" fillId="0" borderId="0" xfId="1" applyNumberFormat="1" applyFont="1" applyAlignment="1"/>
    <xf numFmtId="49" fontId="46" fillId="0" borderId="0" xfId="1" applyNumberFormat="1" applyFont="1" applyAlignment="1"/>
    <xf numFmtId="176" fontId="38" fillId="25" borderId="0" xfId="1" applyNumberFormat="1" applyFont="1" applyFill="1" applyAlignment="1">
      <alignment horizontal="left"/>
    </xf>
    <xf numFmtId="0" fontId="37" fillId="0" borderId="0" xfId="0" applyFont="1" applyAlignment="1"/>
    <xf numFmtId="176" fontId="0" fillId="0" borderId="0" xfId="0" applyNumberFormat="1" applyFont="1" applyAlignment="1"/>
    <xf numFmtId="0" fontId="58" fillId="0" borderId="0" xfId="0" applyFont="1" applyAlignment="1"/>
    <xf numFmtId="0" fontId="46" fillId="0" borderId="0" xfId="0" applyFont="1" applyAlignment="1"/>
    <xf numFmtId="0" fontId="0" fillId="0" borderId="0" xfId="0" applyFont="1" applyAlignment="1"/>
    <xf numFmtId="176" fontId="38" fillId="25" borderId="0" xfId="1" applyNumberFormat="1" applyFont="1" applyFill="1" applyAlignment="1">
      <alignment horizontal="right"/>
    </xf>
    <xf numFmtId="176" fontId="38" fillId="0" borderId="0" xfId="1" applyNumberFormat="1" applyFont="1" applyFill="1" applyAlignment="1"/>
    <xf numFmtId="176" fontId="38" fillId="0" borderId="0" xfId="1" applyNumberFormat="1" applyFont="1" applyFill="1" applyAlignment="1">
      <alignment horizontal="right"/>
    </xf>
    <xf numFmtId="176" fontId="58" fillId="0" borderId="0" xfId="1" applyNumberFormat="1" applyFont="1" applyFill="1" applyAlignment="1"/>
    <xf numFmtId="176" fontId="44" fillId="25" borderId="0" xfId="1" applyNumberFormat="1" applyFont="1" applyFill="1" applyAlignment="1"/>
    <xf numFmtId="176" fontId="59" fillId="0" borderId="0" xfId="1" applyNumberFormat="1" applyFont="1" applyFill="1" applyAlignment="1"/>
    <xf numFmtId="176" fontId="60" fillId="25" borderId="0" xfId="1" applyNumberFormat="1" applyFont="1" applyFill="1" applyAlignment="1">
      <alignment horizontal="right"/>
    </xf>
    <xf numFmtId="1" fontId="46" fillId="23" borderId="0" xfId="0" applyNumberFormat="1" applyFont="1" applyFill="1" applyAlignment="1">
      <alignment horizontal="left"/>
    </xf>
    <xf numFmtId="176" fontId="46" fillId="23" borderId="0" xfId="1" applyNumberFormat="1" applyFont="1" applyFill="1" applyAlignment="1"/>
    <xf numFmtId="0" fontId="0" fillId="23" borderId="0" xfId="0" applyFont="1" applyFill="1" applyAlignment="1"/>
    <xf numFmtId="176" fontId="41" fillId="0" borderId="0" xfId="1" applyNumberFormat="1" applyFont="1" applyFill="1" applyAlignment="1"/>
    <xf numFmtId="176" fontId="44" fillId="0" borderId="0" xfId="1" applyNumberFormat="1" applyFont="1" applyFill="1" applyAlignment="1"/>
    <xf numFmtId="176" fontId="44" fillId="58" borderId="0" xfId="1" applyNumberFormat="1" applyFont="1" applyFill="1" applyAlignment="1"/>
    <xf numFmtId="176" fontId="46" fillId="0" borderId="0" xfId="1" applyNumberFormat="1" applyFont="1" applyAlignment="1">
      <alignment horizontal="right"/>
    </xf>
    <xf numFmtId="176" fontId="56" fillId="25" borderId="0" xfId="1" applyNumberFormat="1" applyFont="1" applyFill="1" applyAlignment="1"/>
    <xf numFmtId="6" fontId="55" fillId="58" borderId="0" xfId="0" applyNumberFormat="1" applyFont="1" applyFill="1" applyAlignment="1">
      <alignment horizontal="right"/>
    </xf>
    <xf numFmtId="0" fontId="56" fillId="58" borderId="0" xfId="0" applyFont="1" applyFill="1" applyAlignment="1"/>
    <xf numFmtId="176" fontId="58" fillId="25" borderId="0" xfId="1" applyNumberFormat="1" applyFont="1" applyFill="1" applyAlignment="1"/>
    <xf numFmtId="176" fontId="57" fillId="25" borderId="0" xfId="1" applyNumberFormat="1" applyFont="1" applyFill="1" applyAlignment="1">
      <alignment horizontal="right"/>
    </xf>
    <xf numFmtId="176" fontId="61" fillId="0" borderId="0" xfId="1" applyNumberFormat="1" applyFont="1" applyFill="1" applyAlignment="1">
      <alignment horizontal="right"/>
    </xf>
    <xf numFmtId="176" fontId="44" fillId="25" borderId="0" xfId="1" applyNumberFormat="1" applyFont="1" applyFill="1" applyAlignment="1">
      <alignment horizontal="right"/>
    </xf>
    <xf numFmtId="176" fontId="62" fillId="25" borderId="0" xfId="1" applyNumberFormat="1" applyFont="1" applyFill="1" applyAlignment="1">
      <alignment horizontal="right"/>
    </xf>
    <xf numFmtId="176" fontId="62" fillId="0" borderId="0" xfId="1" applyNumberFormat="1" applyFont="1" applyFill="1" applyAlignment="1">
      <alignment horizontal="right"/>
    </xf>
    <xf numFmtId="176" fontId="62" fillId="53" borderId="0" xfId="1" applyNumberFormat="1" applyFont="1" applyFill="1" applyAlignment="1">
      <alignment horizontal="right"/>
    </xf>
    <xf numFmtId="176" fontId="62" fillId="0" borderId="0" xfId="1" applyNumberFormat="1" applyFont="1" applyAlignment="1"/>
    <xf numFmtId="6" fontId="62" fillId="58" borderId="0" xfId="0" applyNumberFormat="1" applyFont="1" applyFill="1" applyAlignment="1">
      <alignment horizontal="right"/>
    </xf>
    <xf numFmtId="176" fontId="62" fillId="58" borderId="0" xfId="1" applyNumberFormat="1" applyFont="1" applyFill="1" applyAlignment="1">
      <alignment horizontal="right"/>
    </xf>
    <xf numFmtId="176" fontId="62" fillId="0" borderId="0" xfId="1" applyNumberFormat="1" applyFont="1" applyFill="1" applyAlignment="1"/>
    <xf numFmtId="176" fontId="63" fillId="0" borderId="0" xfId="1" applyNumberFormat="1" applyFont="1" applyFill="1" applyAlignment="1"/>
    <xf numFmtId="176" fontId="64" fillId="0" borderId="0" xfId="1" applyNumberFormat="1" applyFont="1" applyFill="1" applyAlignment="1"/>
    <xf numFmtId="176" fontId="64" fillId="0" borderId="0" xfId="1" applyNumberFormat="1" applyFont="1" applyFill="1" applyAlignment="1">
      <alignment horizontal="right"/>
    </xf>
    <xf numFmtId="0" fontId="47" fillId="0" borderId="0" xfId="0" applyFont="1" applyAlignment="1"/>
    <xf numFmtId="0" fontId="44" fillId="46" borderId="0" xfId="0" applyFont="1" applyFill="1" applyAlignment="1"/>
    <xf numFmtId="0" fontId="45" fillId="46" borderId="0" xfId="0" applyFont="1" applyFill="1" applyAlignment="1"/>
    <xf numFmtId="176" fontId="44" fillId="46" borderId="0" xfId="0" applyNumberFormat="1" applyFont="1" applyFill="1" applyAlignment="1"/>
    <xf numFmtId="176" fontId="46" fillId="0" borderId="0" xfId="0" applyNumberFormat="1" applyFont="1" applyAlignment="1"/>
    <xf numFmtId="4" fontId="46" fillId="0" borderId="0" xfId="0" applyNumberFormat="1" applyFont="1" applyAlignment="1"/>
    <xf numFmtId="0" fontId="0" fillId="0" borderId="0" xfId="0"/>
    <xf numFmtId="0" fontId="0" fillId="0" borderId="0" xfId="0"/>
    <xf numFmtId="176" fontId="0" fillId="0" borderId="0" xfId="1" applyNumberFormat="1" applyFont="1"/>
    <xf numFmtId="10" fontId="0" fillId="0" borderId="0" xfId="2" applyNumberFormat="1" applyFont="1"/>
    <xf numFmtId="0" fontId="0" fillId="0" borderId="0" xfId="0"/>
    <xf numFmtId="3" fontId="44" fillId="0" borderId="0" xfId="0" applyNumberFormat="1" applyFont="1" applyAlignment="1">
      <alignment horizontal="left" vertical="top"/>
    </xf>
    <xf numFmtId="0" fontId="46" fillId="0" borderId="0" xfId="0" applyFont="1" applyAlignment="1">
      <alignment horizontal="left"/>
    </xf>
    <xf numFmtId="0" fontId="46" fillId="0" borderId="0" xfId="0" applyFont="1" applyFill="1" applyAlignment="1"/>
    <xf numFmtId="0" fontId="46" fillId="51" borderId="0" xfId="0" applyFont="1" applyFill="1" applyAlignment="1"/>
    <xf numFmtId="0" fontId="47" fillId="0" borderId="0" xfId="0" applyFont="1" applyFill="1" applyAlignment="1"/>
    <xf numFmtId="0" fontId="47" fillId="49" borderId="6" xfId="0" applyFont="1" applyFill="1" applyBorder="1" applyAlignment="1"/>
    <xf numFmtId="0" fontId="46" fillId="47" borderId="0" xfId="0" applyFont="1" applyFill="1" applyAlignment="1"/>
    <xf numFmtId="0" fontId="46" fillId="46" borderId="0" xfId="0" applyFont="1" applyFill="1" applyAlignment="1"/>
    <xf numFmtId="164" fontId="13" fillId="7" borderId="2" xfId="0" applyNumberFormat="1" applyFont="1" applyFill="1" applyBorder="1" applyAlignment="1">
      <alignment horizontal="left" vertical="top"/>
    </xf>
    <xf numFmtId="0" fontId="4" fillId="0" borderId="3" xfId="0" applyFont="1" applyBorder="1"/>
    <xf numFmtId="164" fontId="6" fillId="7" borderId="2" xfId="0" applyNumberFormat="1" applyFont="1" applyFill="1" applyBorder="1" applyAlignment="1">
      <alignment horizontal="left" vertical="top"/>
    </xf>
    <xf numFmtId="0" fontId="4" fillId="0" borderId="1" xfId="0" applyFont="1" applyBorder="1"/>
    <xf numFmtId="0" fontId="7" fillId="0" borderId="0" xfId="0" applyFont="1" applyAlignment="1">
      <alignment horizontal="left" vertical="top"/>
    </xf>
    <xf numFmtId="0" fontId="0" fillId="0" borderId="0" xfId="0" applyFont="1" applyAlignment="1"/>
    <xf numFmtId="0" fontId="21" fillId="0" borderId="0" xfId="0" applyFont="1" applyAlignment="1">
      <alignment horizontal="left" vertical="top"/>
    </xf>
    <xf numFmtId="0" fontId="15" fillId="50" borderId="0" xfId="0" applyFont="1" applyFill="1" applyAlignment="1">
      <alignment horizontal="right" vertical="top" wrapText="1"/>
    </xf>
    <xf numFmtId="0" fontId="0" fillId="49" borderId="0" xfId="0" applyFont="1" applyFill="1" applyAlignment="1"/>
    <xf numFmtId="164" fontId="7" fillId="0" borderId="0" xfId="0" applyNumberFormat="1" applyFont="1" applyAlignment="1">
      <alignment horizontal="left" vertical="top"/>
    </xf>
    <xf numFmtId="0" fontId="49" fillId="48" borderId="2" xfId="0" applyFont="1" applyFill="1" applyBorder="1" applyAlignment="1">
      <alignment horizontal="center" vertical="top"/>
    </xf>
    <xf numFmtId="0" fontId="4" fillId="49" borderId="1" xfId="0" applyFont="1" applyFill="1" applyBorder="1"/>
    <xf numFmtId="0" fontId="4" fillId="49" borderId="3" xfId="0" applyFont="1" applyFill="1" applyBorder="1"/>
    <xf numFmtId="165" fontId="5" fillId="7" borderId="2" xfId="0" applyNumberFormat="1" applyFont="1" applyFill="1" applyBorder="1" applyAlignment="1">
      <alignment horizontal="left" vertical="top"/>
    </xf>
    <xf numFmtId="0" fontId="6" fillId="7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top"/>
    </xf>
    <xf numFmtId="164" fontId="39" fillId="7" borderId="2" xfId="0" applyNumberFormat="1" applyFont="1" applyFill="1" applyBorder="1" applyAlignment="1">
      <alignment horizontal="center" vertical="top"/>
    </xf>
    <xf numFmtId="0" fontId="40" fillId="0" borderId="3" xfId="0" applyFont="1" applyBorder="1" applyAlignment="1">
      <alignment horizontal="center"/>
    </xf>
    <xf numFmtId="0" fontId="39" fillId="7" borderId="2" xfId="0" applyFont="1" applyFill="1" applyBorder="1" applyAlignment="1">
      <alignment horizontal="center" vertical="top"/>
    </xf>
    <xf numFmtId="0" fontId="41" fillId="0" borderId="1" xfId="0" applyFont="1" applyBorder="1" applyAlignment="1">
      <alignment horizontal="center"/>
    </xf>
    <xf numFmtId="0" fontId="41" fillId="0" borderId="3" xfId="0" applyFont="1" applyBorder="1" applyAlignment="1">
      <alignment horizontal="center"/>
    </xf>
    <xf numFmtId="0" fontId="16" fillId="0" borderId="0" xfId="0" applyFont="1" applyAlignment="1">
      <alignment vertical="top"/>
    </xf>
    <xf numFmtId="0" fontId="45" fillId="0" borderId="0" xfId="0" applyFont="1" applyAlignment="1">
      <alignment vertical="top"/>
    </xf>
    <xf numFmtId="0" fontId="44" fillId="0" borderId="0" xfId="0" applyFont="1" applyAlignment="1">
      <alignment vertical="top"/>
    </xf>
    <xf numFmtId="0" fontId="35" fillId="22" borderId="0" xfId="0" applyFont="1" applyFill="1" applyAlignment="1">
      <alignment horizontal="center" vertical="center"/>
    </xf>
    <xf numFmtId="0" fontId="36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164" fontId="33" fillId="5" borderId="4" xfId="0" applyNumberFormat="1" applyFont="1" applyFill="1" applyBorder="1" applyAlignment="1">
      <alignment horizontal="center" vertical="top"/>
    </xf>
    <xf numFmtId="0" fontId="37" fillId="25" borderId="0" xfId="0" applyFont="1" applyFill="1" applyAlignment="1">
      <alignment horizontal="center"/>
    </xf>
    <xf numFmtId="0" fontId="36" fillId="24" borderId="0" xfId="0" applyFont="1" applyFill="1" applyAlignment="1">
      <alignment horizontal="center" vertical="top"/>
    </xf>
    <xf numFmtId="0" fontId="36" fillId="30" borderId="0" xfId="0" applyFont="1" applyFill="1" applyAlignment="1">
      <alignment horizontal="center" vertical="top"/>
    </xf>
    <xf numFmtId="0" fontId="1" fillId="30" borderId="0" xfId="0" applyFont="1" applyFill="1" applyAlignment="1">
      <alignment horizontal="center" vertical="top"/>
    </xf>
    <xf numFmtId="0" fontId="34" fillId="0" borderId="2" xfId="0" applyFont="1" applyFill="1" applyBorder="1" applyAlignment="1">
      <alignment horizontal="left" vertical="top"/>
    </xf>
    <xf numFmtId="0" fontId="4" fillId="0" borderId="1" xfId="0" applyFont="1" applyFill="1" applyBorder="1"/>
    <xf numFmtId="0" fontId="3" fillId="48" borderId="2" xfId="0" applyFont="1" applyFill="1" applyBorder="1" applyAlignment="1">
      <alignment horizontal="center" vertical="top"/>
    </xf>
    <xf numFmtId="164" fontId="39" fillId="7" borderId="4" xfId="0" applyNumberFormat="1" applyFont="1" applyFill="1" applyBorder="1" applyAlignment="1">
      <alignment horizontal="center" vertical="center"/>
    </xf>
    <xf numFmtId="164" fontId="39" fillId="7" borderId="2" xfId="0" applyNumberFormat="1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47" fillId="51" borderId="0" xfId="0" applyFont="1" applyFill="1" applyAlignment="1"/>
    <xf numFmtId="0" fontId="46" fillId="0" borderId="0" xfId="0" applyFont="1" applyAlignment="1"/>
    <xf numFmtId="0" fontId="4" fillId="0" borderId="0" xfId="0" applyFont="1" applyAlignment="1">
      <alignment vertical="top"/>
    </xf>
    <xf numFmtId="176" fontId="45" fillId="0" borderId="0" xfId="1" applyNumberFormat="1" applyFont="1" applyFill="1" applyAlignment="1">
      <alignment horizontal="center"/>
    </xf>
    <xf numFmtId="0" fontId="46" fillId="0" borderId="0" xfId="0" applyFont="1" applyAlignment="1">
      <alignment horizontal="center"/>
    </xf>
    <xf numFmtId="0" fontId="48" fillId="46" borderId="0" xfId="0" applyFont="1" applyFill="1" applyAlignment="1">
      <alignment horizontal="center" vertical="center"/>
    </xf>
    <xf numFmtId="0" fontId="0" fillId="46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 vertical="top"/>
    </xf>
    <xf numFmtId="0" fontId="54" fillId="24" borderId="0" xfId="0" applyFont="1" applyFill="1" applyAlignment="1">
      <alignment horizontal="center" vertical="top"/>
    </xf>
    <xf numFmtId="0" fontId="54" fillId="24" borderId="0" xfId="0" applyFont="1" applyFill="1" applyAlignment="1">
      <alignment horizontal="center"/>
    </xf>
    <xf numFmtId="0" fontId="45" fillId="0" borderId="0" xfId="0" applyFont="1" applyFill="1" applyAlignment="1">
      <alignment horizontal="center" vertical="top"/>
    </xf>
    <xf numFmtId="0" fontId="46" fillId="0" borderId="6" xfId="0" applyFont="1" applyFill="1" applyBorder="1" applyAlignment="1">
      <alignment horizontal="center" vertical="center"/>
    </xf>
    <xf numFmtId="0" fontId="44" fillId="23" borderId="0" xfId="0" applyFont="1" applyFill="1" applyAlignment="1">
      <alignment horizontal="center"/>
    </xf>
    <xf numFmtId="176" fontId="45" fillId="23" borderId="0" xfId="1" applyNumberFormat="1" applyFont="1" applyFill="1" applyAlignment="1">
      <alignment horizontal="center"/>
    </xf>
    <xf numFmtId="0" fontId="45" fillId="23" borderId="0" xfId="0" applyFont="1" applyFill="1" applyAlignment="1">
      <alignment horizontal="center"/>
    </xf>
    <xf numFmtId="0" fontId="37" fillId="57" borderId="0" xfId="0" applyFont="1" applyFill="1" applyAlignment="1">
      <alignment horizontal="center"/>
    </xf>
    <xf numFmtId="0" fontId="1" fillId="17" borderId="2" xfId="0" applyFont="1" applyFill="1" applyBorder="1"/>
    <xf numFmtId="0" fontId="1" fillId="17" borderId="2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17" borderId="2" xfId="0" applyFont="1" applyFill="1" applyBorder="1"/>
    <xf numFmtId="0" fontId="22" fillId="17" borderId="2" xfId="0" applyFont="1" applyFill="1" applyBorder="1"/>
    <xf numFmtId="0" fontId="14" fillId="17" borderId="2" xfId="0" applyFont="1" applyFill="1" applyBorder="1"/>
    <xf numFmtId="0" fontId="1" fillId="21" borderId="2" xfId="0" applyFont="1" applyFill="1" applyBorder="1" applyAlignment="1">
      <alignment horizontal="left"/>
    </xf>
    <xf numFmtId="0" fontId="5" fillId="21" borderId="2" xfId="0" applyFont="1" applyFill="1" applyBorder="1"/>
    <xf numFmtId="0" fontId="5" fillId="18" borderId="2" xfId="0" applyFont="1" applyFill="1" applyBorder="1"/>
    <xf numFmtId="0" fontId="1" fillId="18" borderId="2" xfId="0" applyFont="1" applyFill="1" applyBorder="1"/>
    <xf numFmtId="0" fontId="14" fillId="21" borderId="2" xfId="0" applyFont="1" applyFill="1" applyBorder="1"/>
    <xf numFmtId="0" fontId="5" fillId="20" borderId="2" xfId="0" applyFont="1" applyFill="1" applyBorder="1"/>
    <xf numFmtId="0" fontId="14" fillId="18" borderId="2" xfId="0" applyFont="1" applyFill="1" applyBorder="1"/>
    <xf numFmtId="0" fontId="1" fillId="20" borderId="2" xfId="0" applyFont="1" applyFill="1" applyBorder="1" applyAlignment="1">
      <alignment horizontal="left"/>
    </xf>
    <xf numFmtId="0" fontId="14" fillId="20" borderId="2" xfId="0" applyFont="1" applyFill="1" applyBorder="1"/>
    <xf numFmtId="0" fontId="1" fillId="21" borderId="2" xfId="0" applyFont="1" applyFill="1" applyBorder="1"/>
    <xf numFmtId="0" fontId="1" fillId="18" borderId="2" xfId="0" applyFont="1" applyFill="1" applyBorder="1" applyAlignment="1">
      <alignment horizontal="left"/>
    </xf>
    <xf numFmtId="0" fontId="1" fillId="20" borderId="2" xfId="0" applyFont="1" applyFill="1" applyBorder="1"/>
    <xf numFmtId="166" fontId="6" fillId="7" borderId="2" xfId="0" applyNumberFormat="1" applyFont="1" applyFill="1" applyBorder="1" applyAlignment="1">
      <alignment horizontal="left"/>
    </xf>
    <xf numFmtId="166" fontId="13" fillId="7" borderId="2" xfId="0" applyNumberFormat="1" applyFont="1" applyFill="1" applyBorder="1" applyAlignment="1">
      <alignment horizontal="left"/>
    </xf>
    <xf numFmtId="0" fontId="14" fillId="18" borderId="2" xfId="0" applyFont="1" applyFill="1" applyBorder="1" applyAlignment="1"/>
    <xf numFmtId="0" fontId="22" fillId="20" borderId="2" xfId="0" applyFont="1" applyFill="1" applyBorder="1" applyAlignment="1"/>
    <xf numFmtId="166" fontId="49" fillId="9" borderId="2" xfId="0" applyNumberFormat="1" applyFont="1" applyFill="1" applyBorder="1" applyAlignment="1">
      <alignment horizontal="center" vertical="top"/>
    </xf>
    <xf numFmtId="166" fontId="5" fillId="7" borderId="2" xfId="0" applyNumberFormat="1" applyFont="1" applyFill="1" applyBorder="1" applyAlignment="1">
      <alignment horizontal="left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3" fontId="1" fillId="18" borderId="2" xfId="0" applyNumberFormat="1" applyFont="1" applyFill="1" applyBorder="1" applyAlignment="1">
      <alignment horizontal="right"/>
    </xf>
    <xf numFmtId="164" fontId="1" fillId="18" borderId="2" xfId="0" applyNumberFormat="1" applyFont="1" applyFill="1" applyBorder="1" applyAlignment="1">
      <alignment horizontal="right"/>
    </xf>
    <xf numFmtId="3" fontId="1" fillId="20" borderId="2" xfId="0" applyNumberFormat="1" applyFont="1" applyFill="1" applyBorder="1" applyAlignment="1">
      <alignment horizontal="right"/>
    </xf>
    <xf numFmtId="164" fontId="1" fillId="20" borderId="2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3" fontId="1" fillId="21" borderId="2" xfId="0" applyNumberFormat="1" applyFont="1" applyFill="1" applyBorder="1" applyAlignment="1">
      <alignment horizontal="right"/>
    </xf>
    <xf numFmtId="164" fontId="1" fillId="21" borderId="2" xfId="0" applyNumberFormat="1" applyFont="1" applyFill="1" applyBorder="1" applyAlignment="1">
      <alignment horizontal="right"/>
    </xf>
    <xf numFmtId="164" fontId="1" fillId="17" borderId="2" xfId="0" applyNumberFormat="1" applyFont="1" applyFill="1" applyBorder="1" applyAlignment="1">
      <alignment horizontal="right"/>
    </xf>
    <xf numFmtId="3" fontId="1" fillId="17" borderId="2" xfId="0" applyNumberFormat="1" applyFont="1" applyFill="1" applyBorder="1" applyAlignment="1">
      <alignment horizontal="right"/>
    </xf>
    <xf numFmtId="164" fontId="5" fillId="4" borderId="2" xfId="0" applyNumberFormat="1" applyFont="1" applyFill="1" applyBorder="1" applyAlignment="1">
      <alignment horizontal="left"/>
    </xf>
    <xf numFmtId="164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165" fontId="14" fillId="17" borderId="2" xfId="0" applyNumberFormat="1" applyFont="1" applyFill="1" applyBorder="1"/>
    <xf numFmtId="165" fontId="14" fillId="18" borderId="2" xfId="0" applyNumberFormat="1" applyFont="1" applyFill="1" applyBorder="1"/>
    <xf numFmtId="0" fontId="22" fillId="18" borderId="2" xfId="0" applyFont="1" applyFill="1" applyBorder="1"/>
    <xf numFmtId="0" fontId="1" fillId="19" borderId="2" xfId="0" applyFont="1" applyFill="1" applyBorder="1" applyAlignment="1">
      <alignment horizontal="left"/>
    </xf>
    <xf numFmtId="0" fontId="1" fillId="19" borderId="2" xfId="0" applyFont="1" applyFill="1" applyBorder="1"/>
    <xf numFmtId="0" fontId="38" fillId="0" borderId="0" xfId="0" applyFont="1" applyAlignment="1">
      <alignment horizontal="center"/>
    </xf>
    <xf numFmtId="165" fontId="1" fillId="4" borderId="2" xfId="0" applyNumberFormat="1" applyFont="1" applyFill="1" applyBorder="1" applyAlignment="1">
      <alignment horizontal="left"/>
    </xf>
    <xf numFmtId="0" fontId="49" fillId="3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22" fillId="2" borderId="2" xfId="0" applyFont="1" applyFill="1" applyBorder="1" applyAlignment="1"/>
    <xf numFmtId="0" fontId="30" fillId="18" borderId="2" xfId="0" applyFont="1" applyFill="1" applyBorder="1"/>
    <xf numFmtId="0" fontId="0" fillId="0" borderId="0" xfId="0" applyFont="1"/>
    <xf numFmtId="0" fontId="1" fillId="0" borderId="0" xfId="0" applyFont="1" applyAlignment="1">
      <alignment horizontal="left"/>
    </xf>
    <xf numFmtId="0" fontId="22" fillId="18" borderId="2" xfId="0" applyFont="1" applyFill="1" applyBorder="1" applyAlignment="1"/>
    <xf numFmtId="3" fontId="1" fillId="19" borderId="2" xfId="0" applyNumberFormat="1" applyFont="1" applyFill="1" applyBorder="1" applyAlignment="1">
      <alignment horizontal="right"/>
    </xf>
    <xf numFmtId="164" fontId="1" fillId="19" borderId="2" xfId="0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/>
    <xf numFmtId="0" fontId="27" fillId="17" borderId="2" xfId="0" applyFont="1" applyFill="1" applyBorder="1" applyAlignment="1"/>
    <xf numFmtId="0" fontId="4" fillId="0" borderId="0" xfId="0" applyFont="1" applyAlignment="1"/>
    <xf numFmtId="0" fontId="3" fillId="10" borderId="2" xfId="0" applyFont="1" applyFill="1" applyBorder="1" applyAlignment="1">
      <alignment horizontal="center" vertical="top"/>
    </xf>
    <xf numFmtId="0" fontId="0" fillId="8" borderId="0" xfId="0" applyFont="1" applyFill="1" applyAlignment="1">
      <alignment horizontal="right" vertical="top"/>
    </xf>
    <xf numFmtId="0" fontId="1" fillId="0" borderId="0" xfId="0" applyFont="1" applyAlignment="1"/>
    <xf numFmtId="0" fontId="2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6" fillId="7" borderId="2" xfId="0" applyFont="1" applyFill="1" applyBorder="1" applyAlignment="1">
      <alignment horizontal="left" vertical="top"/>
    </xf>
    <xf numFmtId="164" fontId="5" fillId="7" borderId="2" xfId="0" applyNumberFormat="1" applyFont="1" applyFill="1" applyBorder="1" applyAlignment="1">
      <alignment horizontal="left" vertical="top"/>
    </xf>
    <xf numFmtId="0" fontId="24" fillId="10" borderId="2" xfId="0" applyFont="1" applyFill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52" fillId="0" borderId="0" xfId="0" applyFont="1"/>
    <xf numFmtId="176" fontId="52" fillId="0" borderId="0" xfId="1" applyNumberFormat="1" applyFont="1"/>
    <xf numFmtId="10" fontId="52" fillId="0" borderId="0" xfId="2" applyNumberFormat="1" applyFont="1"/>
    <xf numFmtId="176" fontId="58" fillId="0" borderId="0" xfId="1" applyNumberFormat="1" applyFont="1"/>
    <xf numFmtId="0" fontId="46" fillId="0" borderId="0" xfId="0" applyFont="1"/>
    <xf numFmtId="176" fontId="47" fillId="0" borderId="0" xfId="1" applyNumberFormat="1" applyFont="1" applyAlignment="1"/>
    <xf numFmtId="9" fontId="46" fillId="0" borderId="0" xfId="2" applyFont="1" applyAlignment="1"/>
    <xf numFmtId="176" fontId="55" fillId="0" borderId="0" xfId="0" applyNumberFormat="1" applyFont="1" applyAlignment="1"/>
    <xf numFmtId="0" fontId="67" fillId="0" borderId="0" xfId="0" applyFont="1" applyAlignment="1"/>
    <xf numFmtId="0" fontId="53" fillId="0" borderId="0" xfId="0" applyFont="1" applyAlignment="1"/>
    <xf numFmtId="176" fontId="47" fillId="0" borderId="0" xfId="0" applyNumberFormat="1" applyFont="1" applyAlignment="1"/>
    <xf numFmtId="176" fontId="53" fillId="0" borderId="0" xfId="1" applyNumberFormat="1" applyFont="1" applyAlignment="1"/>
    <xf numFmtId="0" fontId="45" fillId="0" borderId="0" xfId="3" applyFont="1" applyAlignment="1"/>
    <xf numFmtId="10" fontId="53" fillId="0" borderId="0" xfId="2" applyNumberFormat="1" applyFont="1" applyAlignment="1"/>
    <xf numFmtId="177" fontId="46" fillId="0" borderId="0" xfId="0" applyNumberFormat="1" applyFont="1" applyAlignment="1"/>
    <xf numFmtId="170" fontId="46" fillId="0" borderId="0" xfId="4" applyNumberFormat="1" applyFont="1" applyAlignment="1"/>
    <xf numFmtId="0" fontId="68" fillId="57" borderId="0" xfId="0" applyFont="1" applyFill="1" applyAlignment="1">
      <alignment horizontal="center"/>
    </xf>
    <xf numFmtId="0" fontId="47" fillId="0" borderId="0" xfId="0" applyFont="1"/>
    <xf numFmtId="0" fontId="46" fillId="0" borderId="0" xfId="0" applyFont="1"/>
    <xf numFmtId="176" fontId="46" fillId="0" borderId="0" xfId="1" applyNumberFormat="1" applyFont="1"/>
    <xf numFmtId="176" fontId="69" fillId="0" borderId="0" xfId="1" applyNumberFormat="1" applyFont="1"/>
    <xf numFmtId="0" fontId="53" fillId="0" borderId="0" xfId="0" applyFont="1"/>
    <xf numFmtId="176" fontId="53" fillId="0" borderId="0" xfId="1" applyNumberFormat="1" applyFont="1"/>
    <xf numFmtId="10" fontId="46" fillId="0" borderId="0" xfId="2" applyNumberFormat="1" applyFont="1"/>
    <xf numFmtId="0" fontId="47" fillId="30" borderId="0" xfId="0" applyFont="1" applyFill="1"/>
    <xf numFmtId="0" fontId="69" fillId="30" borderId="0" xfId="0" applyFont="1" applyFill="1"/>
    <xf numFmtId="0" fontId="37" fillId="24" borderId="0" xfId="0" applyFont="1" applyFill="1" applyAlignment="1">
      <alignment horizontal="center"/>
    </xf>
    <xf numFmtId="176" fontId="47" fillId="0" borderId="0" xfId="1" applyNumberFormat="1" applyFont="1"/>
    <xf numFmtId="176" fontId="70" fillId="0" borderId="0" xfId="1" applyNumberFormat="1" applyFont="1"/>
    <xf numFmtId="176" fontId="70" fillId="55" borderId="0" xfId="1" applyNumberFormat="1" applyFont="1" applyFill="1"/>
    <xf numFmtId="10" fontId="46" fillId="55" borderId="0" xfId="2" applyNumberFormat="1" applyFont="1" applyFill="1"/>
    <xf numFmtId="0" fontId="53" fillId="0" borderId="0" xfId="0" applyFont="1" applyAlignment="1">
      <alignment horizontal="center"/>
    </xf>
    <xf numFmtId="0" fontId="53" fillId="0" borderId="0" xfId="0" applyFont="1"/>
    <xf numFmtId="0" fontId="47" fillId="0" borderId="0" xfId="0" applyFont="1"/>
    <xf numFmtId="0" fontId="46" fillId="55" borderId="0" xfId="0" applyFont="1" applyFill="1"/>
    <xf numFmtId="0" fontId="71" fillId="55" borderId="0" xfId="0" applyFont="1" applyFill="1"/>
    <xf numFmtId="176" fontId="46" fillId="55" borderId="0" xfId="1" applyNumberFormat="1" applyFont="1" applyFill="1"/>
    <xf numFmtId="176" fontId="70" fillId="0" borderId="0" xfId="1" applyNumberFormat="1" applyFont="1" applyFill="1"/>
    <xf numFmtId="0" fontId="46" fillId="0" borderId="0" xfId="0" applyFont="1" applyFill="1"/>
    <xf numFmtId="176" fontId="46" fillId="0" borderId="0" xfId="1" applyNumberFormat="1" applyFont="1" applyFill="1"/>
    <xf numFmtId="0" fontId="53" fillId="0" borderId="0" xfId="0" applyFont="1" applyAlignment="1">
      <alignment horizontal="center"/>
    </xf>
    <xf numFmtId="0" fontId="37" fillId="24" borderId="6" xfId="0" applyFont="1" applyFill="1" applyBorder="1" applyAlignment="1">
      <alignment horizontal="center"/>
    </xf>
    <xf numFmtId="0" fontId="46" fillId="0" borderId="6" xfId="0" applyFont="1" applyBorder="1" applyAlignment="1">
      <alignment horizontal="center"/>
    </xf>
    <xf numFmtId="0" fontId="53" fillId="0" borderId="6" xfId="0" applyFont="1" applyBorder="1" applyAlignment="1">
      <alignment horizontal="center"/>
    </xf>
    <xf numFmtId="0" fontId="66" fillId="46" borderId="6" xfId="0" applyFont="1" applyFill="1" applyBorder="1" applyAlignment="1">
      <alignment horizontal="center" vertical="center"/>
    </xf>
    <xf numFmtId="0" fontId="47" fillId="30" borderId="0" xfId="0" applyFont="1" applyFill="1"/>
    <xf numFmtId="0" fontId="47" fillId="30" borderId="6" xfId="0" applyFont="1" applyFill="1" applyBorder="1"/>
    <xf numFmtId="0" fontId="46" fillId="0" borderId="6" xfId="0" applyFont="1" applyBorder="1"/>
    <xf numFmtId="0" fontId="69" fillId="0" borderId="6" xfId="0" applyFont="1" applyBorder="1"/>
    <xf numFmtId="0" fontId="53" fillId="0" borderId="6" xfId="0" applyFont="1" applyBorder="1"/>
    <xf numFmtId="0" fontId="70" fillId="55" borderId="6" xfId="0" applyFont="1" applyFill="1" applyBorder="1"/>
    <xf numFmtId="0" fontId="46" fillId="55" borderId="6" xfId="0" applyFont="1" applyFill="1" applyBorder="1"/>
    <xf numFmtId="0" fontId="53" fillId="0" borderId="6" xfId="0" applyFont="1" applyBorder="1" applyAlignment="1">
      <alignment horizontal="center"/>
    </xf>
    <xf numFmtId="0" fontId="47" fillId="30" borderId="6" xfId="0" applyFont="1" applyFill="1" applyBorder="1"/>
    <xf numFmtId="0" fontId="53" fillId="0" borderId="6" xfId="0" applyFont="1" applyBorder="1"/>
    <xf numFmtId="0" fontId="46" fillId="55" borderId="6" xfId="0" applyFont="1" applyFill="1" applyBorder="1"/>
    <xf numFmtId="176" fontId="45" fillId="0" borderId="4" xfId="1" applyNumberFormat="1" applyFont="1" applyBorder="1" applyAlignment="1"/>
    <xf numFmtId="10" fontId="53" fillId="0" borderId="0" xfId="2" applyNumberFormat="1" applyFont="1"/>
    <xf numFmtId="176" fontId="38" fillId="0" borderId="6" xfId="1" applyNumberFormat="1" applyFont="1" applyBorder="1" applyAlignment="1"/>
    <xf numFmtId="10" fontId="58" fillId="0" borderId="0" xfId="2" applyNumberFormat="1" applyFont="1"/>
    <xf numFmtId="176" fontId="37" fillId="0" borderId="0" xfId="1" applyNumberFormat="1" applyFont="1"/>
    <xf numFmtId="10" fontId="37" fillId="0" borderId="0" xfId="2" applyNumberFormat="1" applyFont="1"/>
    <xf numFmtId="0" fontId="46" fillId="0" borderId="0" xfId="0" applyFont="1" applyFill="1"/>
    <xf numFmtId="0" fontId="53" fillId="55" borderId="6" xfId="0" applyFont="1" applyFill="1" applyBorder="1"/>
    <xf numFmtId="0" fontId="47" fillId="24" borderId="6" xfId="0" applyFont="1" applyFill="1" applyBorder="1"/>
    <xf numFmtId="0" fontId="52" fillId="59" borderId="0" xfId="0" applyFont="1" applyFill="1"/>
    <xf numFmtId="0" fontId="0" fillId="59" borderId="0" xfId="0" applyFill="1"/>
    <xf numFmtId="0" fontId="65" fillId="59" borderId="0" xfId="0" applyFont="1" applyFill="1"/>
    <xf numFmtId="0" fontId="52" fillId="59" borderId="6" xfId="0" applyFont="1" applyFill="1" applyBorder="1"/>
    <xf numFmtId="0" fontId="69" fillId="30" borderId="0" xfId="0" applyFont="1" applyFill="1" applyAlignment="1">
      <alignment horizontal="right"/>
    </xf>
    <xf numFmtId="0" fontId="69" fillId="24" borderId="0" xfId="0" applyFont="1" applyFill="1" applyAlignment="1">
      <alignment horizontal="right"/>
    </xf>
    <xf numFmtId="0" fontId="47" fillId="24" borderId="0" xfId="0" applyFont="1" applyFill="1"/>
    <xf numFmtId="176" fontId="52" fillId="0" borderId="0" xfId="0" applyNumberFormat="1" applyFont="1"/>
    <xf numFmtId="176" fontId="46" fillId="0" borderId="0" xfId="0" applyNumberFormat="1" applyFont="1"/>
    <xf numFmtId="183" fontId="46" fillId="0" borderId="0" xfId="0" applyNumberFormat="1" applyFont="1"/>
    <xf numFmtId="0" fontId="70" fillId="0" borderId="6" xfId="0" applyFont="1" applyBorder="1"/>
    <xf numFmtId="0" fontId="47" fillId="0" borderId="6" xfId="0" applyFont="1" applyBorder="1"/>
    <xf numFmtId="0" fontId="47" fillId="24" borderId="0" xfId="0" applyFont="1" applyFill="1"/>
    <xf numFmtId="0" fontId="69" fillId="0" borderId="0" xfId="0" applyFont="1" applyFill="1" applyAlignment="1">
      <alignment horizontal="right"/>
    </xf>
    <xf numFmtId="10" fontId="46" fillId="0" borderId="0" xfId="2" applyNumberFormat="1" applyFont="1" applyFill="1"/>
    <xf numFmtId="176" fontId="47" fillId="0" borderId="0" xfId="1" applyNumberFormat="1" applyFont="1" applyFill="1"/>
    <xf numFmtId="176" fontId="53" fillId="0" borderId="0" xfId="1" applyNumberFormat="1" applyFont="1" applyFill="1"/>
    <xf numFmtId="0" fontId="46" fillId="0" borderId="6" xfId="0" applyFont="1" applyFill="1" applyBorder="1"/>
    <xf numFmtId="0" fontId="53" fillId="0" borderId="0" xfId="0" applyFont="1" applyFill="1" applyAlignment="1">
      <alignment horizontal="center"/>
    </xf>
    <xf numFmtId="0" fontId="0" fillId="0" borderId="0" xfId="0" applyFill="1"/>
    <xf numFmtId="0" fontId="52" fillId="0" borderId="0" xfId="0" applyFont="1" applyFill="1"/>
    <xf numFmtId="0" fontId="47" fillId="0" borderId="6" xfId="0" applyFont="1" applyFill="1" applyBorder="1"/>
    <xf numFmtId="0" fontId="53" fillId="0" borderId="0" xfId="0" applyFont="1" applyFill="1"/>
    <xf numFmtId="10" fontId="53" fillId="0" borderId="0" xfId="2" applyNumberFormat="1" applyFont="1" applyFill="1"/>
    <xf numFmtId="176" fontId="38" fillId="0" borderId="6" xfId="1" applyNumberFormat="1" applyFont="1" applyFill="1" applyBorder="1" applyAlignment="1"/>
    <xf numFmtId="0" fontId="47" fillId="0" borderId="0" xfId="0" applyFont="1" applyFill="1"/>
    <xf numFmtId="176" fontId="37" fillId="0" borderId="0" xfId="1" applyNumberFormat="1" applyFont="1" applyFill="1"/>
    <xf numFmtId="10" fontId="37" fillId="0" borderId="0" xfId="2" applyNumberFormat="1" applyFont="1" applyFill="1"/>
    <xf numFmtId="176" fontId="0" fillId="0" borderId="0" xfId="1" applyNumberFormat="1" applyFont="1" applyFill="1"/>
    <xf numFmtId="10" fontId="0" fillId="0" borderId="0" xfId="2" applyNumberFormat="1" applyFont="1" applyFill="1"/>
    <xf numFmtId="176" fontId="52" fillId="0" borderId="0" xfId="1" applyNumberFormat="1" applyFont="1" applyFill="1"/>
    <xf numFmtId="10" fontId="52" fillId="0" borderId="0" xfId="2" applyNumberFormat="1" applyFont="1" applyFill="1"/>
    <xf numFmtId="176" fontId="69" fillId="0" borderId="0" xfId="1" applyNumberFormat="1" applyFont="1" applyFill="1"/>
    <xf numFmtId="183" fontId="46" fillId="0" borderId="0" xfId="0" applyNumberFormat="1" applyFont="1" applyFill="1"/>
    <xf numFmtId="0" fontId="70" fillId="0" borderId="6" xfId="0" applyFont="1" applyFill="1" applyBorder="1"/>
    <xf numFmtId="0" fontId="53" fillId="0" borderId="6" xfId="0" applyFont="1" applyFill="1" applyBorder="1"/>
    <xf numFmtId="176" fontId="45" fillId="0" borderId="4" xfId="1" applyNumberFormat="1" applyFont="1" applyFill="1" applyBorder="1" applyAlignment="1"/>
    <xf numFmtId="176" fontId="58" fillId="0" borderId="0" xfId="1" applyNumberFormat="1" applyFont="1" applyFill="1"/>
    <xf numFmtId="10" fontId="58" fillId="0" borderId="0" xfId="2" applyNumberFormat="1" applyFont="1" applyFill="1"/>
    <xf numFmtId="176" fontId="52" fillId="0" borderId="0" xfId="0" applyNumberFormat="1" applyFont="1" applyFill="1"/>
    <xf numFmtId="0" fontId="69" fillId="0" borderId="6" xfId="0" applyFont="1" applyFill="1" applyBorder="1"/>
    <xf numFmtId="0" fontId="66" fillId="0" borderId="6" xfId="0" applyFont="1" applyFill="1" applyBorder="1" applyAlignment="1">
      <alignment horizontal="center" vertical="center"/>
    </xf>
    <xf numFmtId="0" fontId="70" fillId="24" borderId="6" xfId="0" applyFont="1" applyFill="1" applyBorder="1"/>
    <xf numFmtId="0" fontId="46" fillId="24" borderId="0" xfId="0" applyFont="1" applyFill="1"/>
    <xf numFmtId="0" fontId="47" fillId="25" borderId="0" xfId="0" applyFont="1" applyFill="1"/>
    <xf numFmtId="176" fontId="46" fillId="0" borderId="6" xfId="1" applyNumberFormat="1" applyFont="1" applyFill="1" applyBorder="1"/>
    <xf numFmtId="176" fontId="55" fillId="0" borderId="0" xfId="1" applyNumberFormat="1" applyFont="1"/>
    <xf numFmtId="0" fontId="47" fillId="24" borderId="0" xfId="0" applyFont="1" applyFill="1" applyAlignment="1">
      <alignment horizontal="right"/>
    </xf>
    <xf numFmtId="0" fontId="46" fillId="25" borderId="6" xfId="0" applyFont="1" applyFill="1" applyBorder="1"/>
    <xf numFmtId="176" fontId="46" fillId="25" borderId="0" xfId="1" applyNumberFormat="1" applyFont="1" applyFill="1"/>
    <xf numFmtId="0" fontId="70" fillId="25" borderId="6" xfId="0" applyFont="1" applyFill="1" applyBorder="1"/>
    <xf numFmtId="176" fontId="70" fillId="25" borderId="0" xfId="1" applyNumberFormat="1" applyFont="1" applyFill="1"/>
    <xf numFmtId="176" fontId="47" fillId="0" borderId="0" xfId="0" applyNumberFormat="1" applyFont="1"/>
    <xf numFmtId="0" fontId="47" fillId="60" borderId="6" xfId="0" applyFont="1" applyFill="1" applyBorder="1"/>
    <xf numFmtId="176" fontId="47" fillId="60" borderId="0" xfId="1" applyNumberFormat="1" applyFont="1" applyFill="1" applyAlignment="1">
      <alignment horizontal="right"/>
    </xf>
  </cellXfs>
  <cellStyles count="5">
    <cellStyle name="Comma" xfId="4" builtinId="3"/>
    <cellStyle name="Currency" xfId="1" builtinId="4"/>
    <cellStyle name="Hyperlink" xfId="3" builtinId="8"/>
    <cellStyle name="Normal" xfId="0" builtinId="0"/>
    <cellStyle name="Percent" xfId="2" builtinId="5"/>
  </cellStyles>
  <dxfs count="36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>
          <bgColor rgb="FFFFB3B5"/>
        </patternFill>
      </fill>
    </dxf>
    <dxf>
      <fill>
        <patternFill>
          <bgColor theme="9" tint="0.79998168889431442"/>
        </patternFill>
      </fill>
    </dxf>
  </dxfs>
  <tableStyles count="1" defaultTableStyle="TableStyleMedium2" defaultPivotStyle="PivotStyleLight16">
    <tableStyle name="Table Style 1" pivot="0" count="2" xr9:uid="{EB95EFF0-C661-402B-824D-8B692E874C5F}">
      <tableStyleElement type="firstRowStripe" dxfId="35"/>
      <tableStyleElement type="secondRowStripe" dxfId="34"/>
    </tableStyle>
  </tableStyles>
  <colors>
    <mruColors>
      <color rgb="FFFFB3B5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.com/planet-futbol/2016/05/17/copa-america-centenario-prize-money" TargetMode="External"/><Relationship Id="rId2" Type="http://schemas.openxmlformats.org/officeDocument/2006/relationships/hyperlink" Target="https://www.reuters.com/article/us-soccer-world-prizemoney/soccer-world-cup-money-pot-increased-to-576m-idUSBRE9B40QG20131205" TargetMode="External"/><Relationship Id="rId1" Type="http://schemas.openxmlformats.org/officeDocument/2006/relationships/hyperlink" Target="https://resources.fifa.com/image/upload/statistical-kit-the-official-draw-for-the-fifa-women-s-world-cup-france-2019tm.pdf?cloudid=sthkfoowsnlmtrpfzywp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fa.com.au/sites/ffa/files/2019-11/PFA%20CBA%20Facts%20Sheet_v3.pdf?_ga=2.57913258.1201089789.1572996097-2105797974.1572996097" TargetMode="External"/><Relationship Id="rId2" Type="http://schemas.openxmlformats.org/officeDocument/2006/relationships/hyperlink" Target="https://www.ffa.com.au/sites/ffa/files/2019-01/FFA_2018_Annual%20Review.pdf" TargetMode="External"/><Relationship Id="rId1" Type="http://schemas.openxmlformats.org/officeDocument/2006/relationships/hyperlink" Target="https://www.ffa.com.au/sites/ffa/files/2018-12/FFA%20FY2018%20Statutory%20Accounts%20FINAL.pdf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guardian.com/football/blog/2017/oct/17/norway-historic-pay-deal-for-womens-team-shows-it-can-be-done" TargetMode="External"/><Relationship Id="rId2" Type="http://schemas.openxmlformats.org/officeDocument/2006/relationships/hyperlink" Target="https://idrettsforbundet-my.sharepoint.com/personal/andre_flem_fotball_no/Documents/%C3%85rsrapport/%C3%85rsrapport_2018.pdf" TargetMode="External"/><Relationship Id="rId1" Type="http://schemas.openxmlformats.org/officeDocument/2006/relationships/hyperlink" Target="https://www.theguardian.com/football/2017/oct/07/norway-football-pay-male-female-internationals-equally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si.com/soccer/2017/10/08/fifa-women-soccer-equal-pay-norway-gianni-infantino" TargetMode="External"/><Relationship Id="rId4" Type="http://schemas.openxmlformats.org/officeDocument/2006/relationships/hyperlink" Target="https://www.independent.co.uk/sport/football/international/norway-footballers-equal-pay-agreement-a81120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8031-664A-486F-A7C8-2F37654B3563}">
  <dimension ref="A1:M65"/>
  <sheetViews>
    <sheetView tabSelected="1" workbookViewId="0">
      <selection activeCell="B28" sqref="B28"/>
    </sheetView>
  </sheetViews>
  <sheetFormatPr defaultRowHeight="14" customHeight="1" x14ac:dyDescent="0.35"/>
  <cols>
    <col min="1" max="1" width="33.1328125" style="622" customWidth="1"/>
    <col min="2" max="2" width="10.59765625" style="622" customWidth="1"/>
    <col min="3" max="3" width="10.59765625" style="765" customWidth="1"/>
    <col min="4" max="4" width="15.59765625" style="765" bestFit="1" customWidth="1"/>
    <col min="5" max="5" width="14.59765625" style="765" bestFit="1" customWidth="1"/>
    <col min="6" max="6" width="1.59765625" style="850" customWidth="1"/>
    <col min="7" max="7" width="46.19921875" style="622" customWidth="1"/>
    <col min="8" max="8" width="12" style="622" customWidth="1"/>
    <col min="9" max="11" width="2.06640625" style="622" customWidth="1"/>
    <col min="12" max="16384" width="9.06640625" style="622"/>
  </cols>
  <sheetData>
    <row r="1" spans="1:13" ht="20.65" customHeight="1" x14ac:dyDescent="0.35">
      <c r="A1" s="809" t="s">
        <v>683</v>
      </c>
      <c r="B1" s="809"/>
      <c r="C1" s="809"/>
      <c r="D1" s="809"/>
      <c r="E1" s="809"/>
      <c r="F1" s="809"/>
      <c r="G1" s="809"/>
      <c r="H1" s="809"/>
      <c r="I1" s="871"/>
      <c r="J1" s="871"/>
      <c r="K1" s="871"/>
    </row>
    <row r="3" spans="1:13" ht="14" customHeight="1" x14ac:dyDescent="0.35">
      <c r="A3" s="811" t="s">
        <v>789</v>
      </c>
      <c r="B3" s="811"/>
      <c r="C3" s="811"/>
      <c r="D3" s="834" t="s">
        <v>757</v>
      </c>
      <c r="E3" s="834" t="s">
        <v>758</v>
      </c>
      <c r="G3" s="836" t="s">
        <v>792</v>
      </c>
      <c r="H3" s="836"/>
      <c r="I3" s="855"/>
      <c r="J3" s="843"/>
      <c r="K3" s="843"/>
      <c r="M3" s="783"/>
    </row>
    <row r="4" spans="1:13" ht="14" customHeight="1" x14ac:dyDescent="0.35">
      <c r="A4" s="840" t="s">
        <v>787</v>
      </c>
      <c r="B4" s="840"/>
      <c r="C4" s="840"/>
      <c r="D4" s="793">
        <v>28164786</v>
      </c>
      <c r="E4" s="784">
        <v>24010584.450000003</v>
      </c>
      <c r="G4" s="872" t="s">
        <v>793</v>
      </c>
      <c r="H4" s="872"/>
      <c r="I4" s="864"/>
      <c r="J4" s="802"/>
      <c r="K4" s="802"/>
      <c r="M4" s="783"/>
    </row>
    <row r="5" spans="1:13" ht="14" customHeight="1" x14ac:dyDescent="0.35">
      <c r="A5" s="812" t="s">
        <v>786</v>
      </c>
      <c r="B5" s="812"/>
      <c r="C5" s="812"/>
      <c r="D5" s="784">
        <v>7812500</v>
      </c>
      <c r="E5" s="784">
        <v>10578500</v>
      </c>
      <c r="G5" s="873" t="s">
        <v>794</v>
      </c>
      <c r="H5" s="873"/>
      <c r="I5" s="827"/>
      <c r="J5" s="844"/>
      <c r="K5" s="844"/>
      <c r="M5" s="783"/>
    </row>
    <row r="6" spans="1:13" ht="14" customHeight="1" x14ac:dyDescent="0.35">
      <c r="A6" s="841" t="s">
        <v>788</v>
      </c>
      <c r="B6" s="841"/>
      <c r="C6" s="841"/>
      <c r="D6" s="792">
        <f>D4+D5</f>
        <v>35977286</v>
      </c>
      <c r="E6" s="792">
        <f>E4+E5</f>
        <v>34589084.450000003</v>
      </c>
      <c r="G6" s="873" t="s">
        <v>795</v>
      </c>
      <c r="H6" s="873"/>
      <c r="I6" s="827"/>
      <c r="J6" s="844"/>
      <c r="K6" s="844"/>
      <c r="M6" s="783"/>
    </row>
    <row r="7" spans="1:13" ht="14" customHeight="1" x14ac:dyDescent="0.35">
      <c r="A7" s="814" t="s">
        <v>754</v>
      </c>
      <c r="B7" s="814"/>
      <c r="C7" s="814"/>
      <c r="D7" s="787">
        <f>D6/6</f>
        <v>5996214.333333333</v>
      </c>
      <c r="E7" s="787">
        <f>E6/6</f>
        <v>5764847.4083333341</v>
      </c>
      <c r="G7" s="827"/>
      <c r="H7" s="827"/>
      <c r="I7" s="827"/>
      <c r="J7" s="844"/>
      <c r="K7" s="844"/>
      <c r="M7" s="783"/>
    </row>
    <row r="8" spans="1:13" ht="14" customHeight="1" x14ac:dyDescent="0.35">
      <c r="A8" s="819"/>
      <c r="B8" s="819"/>
      <c r="C8" s="819"/>
      <c r="D8" s="787"/>
      <c r="E8" s="787"/>
      <c r="G8" s="827"/>
      <c r="H8" s="827"/>
      <c r="I8" s="827"/>
      <c r="J8" s="844"/>
      <c r="K8" s="844"/>
      <c r="M8" s="783"/>
    </row>
    <row r="9" spans="1:13" ht="14" customHeight="1" x14ac:dyDescent="0.35">
      <c r="A9" s="811" t="s">
        <v>790</v>
      </c>
      <c r="B9" s="811"/>
      <c r="C9" s="811"/>
      <c r="D9" s="834" t="s">
        <v>757</v>
      </c>
      <c r="E9" s="834" t="s">
        <v>758</v>
      </c>
      <c r="G9" s="874" t="s">
        <v>796</v>
      </c>
      <c r="H9" s="874"/>
      <c r="I9" s="855"/>
      <c r="J9" s="845"/>
      <c r="K9" s="845"/>
      <c r="M9" s="783"/>
    </row>
    <row r="10" spans="1:13" ht="14" customHeight="1" x14ac:dyDescent="0.35">
      <c r="A10" s="840" t="s">
        <v>787</v>
      </c>
      <c r="B10" s="840"/>
      <c r="C10" s="840"/>
      <c r="D10" s="784">
        <v>3906000</v>
      </c>
      <c r="E10" s="784">
        <v>3906000</v>
      </c>
      <c r="G10" s="847" t="s">
        <v>500</v>
      </c>
      <c r="H10" s="875">
        <v>647241570</v>
      </c>
      <c r="I10" s="865"/>
      <c r="J10" s="846"/>
      <c r="K10" s="846"/>
      <c r="M10" s="783"/>
    </row>
    <row r="11" spans="1:13" ht="14" customHeight="1" x14ac:dyDescent="0.35">
      <c r="A11" s="812" t="s">
        <v>786</v>
      </c>
      <c r="B11" s="812"/>
      <c r="C11" s="812"/>
      <c r="D11" s="784">
        <v>4020000</v>
      </c>
      <c r="E11" s="784">
        <v>3787500</v>
      </c>
      <c r="G11" s="847" t="s">
        <v>635</v>
      </c>
      <c r="H11" s="876">
        <v>-553478032</v>
      </c>
      <c r="I11" s="847"/>
      <c r="J11" s="804"/>
      <c r="K11" s="804"/>
      <c r="M11" s="783"/>
    </row>
    <row r="12" spans="1:13" ht="14" customHeight="1" x14ac:dyDescent="0.35">
      <c r="A12" s="841" t="s">
        <v>788</v>
      </c>
      <c r="B12" s="841"/>
      <c r="C12" s="841"/>
      <c r="D12" s="792">
        <f>D10+D11</f>
        <v>7926000</v>
      </c>
      <c r="E12" s="792">
        <f>E10+E11</f>
        <v>7693500</v>
      </c>
      <c r="G12" s="847" t="s">
        <v>505</v>
      </c>
      <c r="H12" s="804">
        <v>93763538</v>
      </c>
      <c r="I12" s="847"/>
      <c r="J12" s="844"/>
      <c r="K12" s="844"/>
      <c r="M12" s="783"/>
    </row>
    <row r="13" spans="1:13" ht="14" customHeight="1" x14ac:dyDescent="0.35">
      <c r="A13" s="814" t="s">
        <v>754</v>
      </c>
      <c r="B13" s="814"/>
      <c r="C13" s="814"/>
      <c r="D13" s="787">
        <f>D12/6</f>
        <v>1321000</v>
      </c>
      <c r="E13" s="787">
        <f>E12/6</f>
        <v>1282250</v>
      </c>
      <c r="G13" s="847" t="s">
        <v>801</v>
      </c>
      <c r="H13" s="875">
        <v>385886764.5</v>
      </c>
      <c r="I13" s="848"/>
      <c r="J13" s="848"/>
      <c r="K13" s="848"/>
      <c r="M13" s="783"/>
    </row>
    <row r="14" spans="1:13" ht="14" customHeight="1" x14ac:dyDescent="0.35">
      <c r="A14" s="819"/>
      <c r="B14" s="819"/>
      <c r="C14" s="819"/>
      <c r="D14" s="787"/>
      <c r="E14" s="787"/>
      <c r="G14" s="817"/>
      <c r="H14" s="817"/>
      <c r="I14" s="817"/>
      <c r="J14" s="817"/>
      <c r="K14" s="817"/>
      <c r="M14" s="783"/>
    </row>
    <row r="15" spans="1:13" ht="14" customHeight="1" x14ac:dyDescent="0.35">
      <c r="A15" s="811" t="s">
        <v>791</v>
      </c>
      <c r="B15" s="811"/>
      <c r="C15" s="811"/>
      <c r="D15" s="834" t="s">
        <v>757</v>
      </c>
      <c r="E15" s="834" t="s">
        <v>758</v>
      </c>
      <c r="G15" s="842" t="s">
        <v>800</v>
      </c>
      <c r="H15" s="842"/>
      <c r="I15" s="850"/>
      <c r="J15" s="850"/>
      <c r="K15" s="850"/>
    </row>
    <row r="16" spans="1:13" ht="14" customHeight="1" x14ac:dyDescent="0.35">
      <c r="A16" s="840" t="s">
        <v>787</v>
      </c>
      <c r="B16" s="840"/>
      <c r="C16" s="840"/>
      <c r="D16" s="784">
        <v>39553393.361249998</v>
      </c>
      <c r="E16" s="784">
        <v>39553393.361249998</v>
      </c>
      <c r="G16" s="873" t="s">
        <v>797</v>
      </c>
      <c r="H16" s="873"/>
      <c r="I16" s="851"/>
      <c r="J16" s="843"/>
      <c r="K16" s="843"/>
    </row>
    <row r="17" spans="1:11" ht="14" customHeight="1" x14ac:dyDescent="0.35">
      <c r="A17" s="812" t="s">
        <v>786</v>
      </c>
      <c r="B17" s="812"/>
      <c r="C17" s="812"/>
      <c r="D17" s="784">
        <v>5020000</v>
      </c>
      <c r="E17" s="784">
        <v>6854000</v>
      </c>
      <c r="G17" s="873" t="s">
        <v>798</v>
      </c>
      <c r="H17" s="873"/>
      <c r="I17" s="844"/>
      <c r="J17" s="804"/>
      <c r="K17" s="804"/>
    </row>
    <row r="18" spans="1:11" ht="14" customHeight="1" x14ac:dyDescent="0.35">
      <c r="A18" s="841" t="s">
        <v>788</v>
      </c>
      <c r="B18" s="841"/>
      <c r="C18" s="841"/>
      <c r="D18" s="792">
        <f>D16+D17</f>
        <v>44573393.361249998</v>
      </c>
      <c r="E18" s="792">
        <f>E16+E17</f>
        <v>46407393.361249998</v>
      </c>
      <c r="G18" s="873" t="s">
        <v>799</v>
      </c>
      <c r="H18" s="873"/>
      <c r="I18" s="844"/>
      <c r="J18" s="804"/>
      <c r="K18" s="804"/>
    </row>
    <row r="19" spans="1:11" ht="14" customHeight="1" x14ac:dyDescent="0.35">
      <c r="A19" s="814" t="s">
        <v>754</v>
      </c>
      <c r="B19" s="814"/>
      <c r="C19" s="814"/>
      <c r="D19" s="787">
        <f>D18/6</f>
        <v>7428898.8935416667</v>
      </c>
      <c r="E19" s="787">
        <f>E18/6</f>
        <v>7734565.5602083327</v>
      </c>
      <c r="I19" s="844"/>
      <c r="J19" s="804"/>
      <c r="K19" s="804"/>
    </row>
    <row r="20" spans="1:11" ht="14" customHeight="1" x14ac:dyDescent="0.35">
      <c r="A20" s="819"/>
      <c r="B20" s="819"/>
      <c r="C20" s="819"/>
      <c r="D20" s="787"/>
      <c r="E20" s="787"/>
      <c r="I20" s="844"/>
      <c r="J20" s="804"/>
      <c r="K20" s="804"/>
    </row>
    <row r="21" spans="1:11" ht="14" customHeight="1" x14ac:dyDescent="0.35">
      <c r="A21" s="883" t="s">
        <v>810</v>
      </c>
      <c r="B21" s="883"/>
      <c r="C21" s="883"/>
      <c r="D21" s="884" t="s">
        <v>757</v>
      </c>
      <c r="E21" s="884" t="s">
        <v>758</v>
      </c>
      <c r="I21" s="844"/>
      <c r="J21" s="804"/>
      <c r="K21" s="804"/>
    </row>
    <row r="22" spans="1:11" ht="14" customHeight="1" x14ac:dyDescent="0.35">
      <c r="A22" s="769" t="s">
        <v>807</v>
      </c>
      <c r="B22" s="769"/>
      <c r="C22" s="769"/>
      <c r="D22" s="838">
        <v>13535972.012746869</v>
      </c>
      <c r="E22" s="838">
        <v>13535972.012746869</v>
      </c>
      <c r="I22" s="844"/>
      <c r="J22" s="804"/>
      <c r="K22" s="804"/>
    </row>
    <row r="23" spans="1:11" ht="14" customHeight="1" x14ac:dyDescent="0.35">
      <c r="A23" s="769" t="s">
        <v>808</v>
      </c>
      <c r="B23" s="769"/>
      <c r="C23" s="769"/>
      <c r="D23" s="784">
        <v>5020000</v>
      </c>
      <c r="E23" s="784">
        <v>6854000</v>
      </c>
      <c r="G23" s="827"/>
      <c r="H23" s="849"/>
      <c r="I23" s="849"/>
      <c r="J23" s="849"/>
      <c r="K23" s="849"/>
    </row>
    <row r="24" spans="1:11" ht="14" customHeight="1" x14ac:dyDescent="0.35">
      <c r="A24" s="798" t="s">
        <v>809</v>
      </c>
      <c r="B24" s="798"/>
      <c r="C24" s="798"/>
      <c r="D24" s="882">
        <v>18555972.012746871</v>
      </c>
      <c r="E24" s="882">
        <v>20389972.012746871</v>
      </c>
      <c r="G24" s="827"/>
      <c r="H24" s="849"/>
      <c r="I24" s="849"/>
      <c r="J24" s="849"/>
      <c r="K24" s="849"/>
    </row>
    <row r="25" spans="1:11" ht="14" customHeight="1" x14ac:dyDescent="0.35">
      <c r="A25" s="814" t="s">
        <v>754</v>
      </c>
      <c r="B25" s="814"/>
      <c r="C25" s="814"/>
      <c r="D25" s="787">
        <f>D24/6</f>
        <v>3092662.0021244786</v>
      </c>
      <c r="E25" s="787">
        <f>E24/6</f>
        <v>3398328.6687911451</v>
      </c>
      <c r="G25" s="827"/>
      <c r="H25" s="804"/>
      <c r="I25" s="844"/>
      <c r="J25" s="804"/>
      <c r="K25" s="804"/>
    </row>
    <row r="26" spans="1:11" ht="14" customHeight="1" x14ac:dyDescent="0.4">
      <c r="A26" s="827"/>
      <c r="B26" s="804"/>
      <c r="C26" s="844"/>
      <c r="D26" s="804"/>
      <c r="E26" s="804"/>
      <c r="G26" s="855"/>
      <c r="H26" s="856"/>
      <c r="I26" s="857"/>
      <c r="J26" s="845"/>
      <c r="K26" s="845"/>
    </row>
    <row r="27" spans="1:11" ht="14" customHeight="1" x14ac:dyDescent="0.35">
      <c r="A27" s="827"/>
      <c r="B27" s="804"/>
      <c r="C27" s="844"/>
      <c r="D27" s="804"/>
      <c r="E27" s="866"/>
      <c r="G27" s="848"/>
      <c r="H27" s="848"/>
      <c r="I27" s="848"/>
      <c r="J27" s="848"/>
      <c r="K27" s="848"/>
    </row>
    <row r="28" spans="1:11" ht="14" customHeight="1" x14ac:dyDescent="0.35">
      <c r="A28" s="852"/>
      <c r="B28" s="846"/>
      <c r="C28" s="853"/>
      <c r="D28" s="854"/>
      <c r="E28" s="849"/>
      <c r="G28" s="848"/>
      <c r="H28" s="848"/>
      <c r="I28" s="848"/>
      <c r="J28" s="848"/>
      <c r="K28" s="848"/>
    </row>
    <row r="29" spans="1:11" ht="14" customHeight="1" x14ac:dyDescent="0.35">
      <c r="A29" s="852"/>
      <c r="B29" s="846"/>
      <c r="C29" s="853"/>
      <c r="D29" s="854"/>
      <c r="E29" s="849"/>
      <c r="G29" s="851"/>
      <c r="H29" s="851"/>
      <c r="I29" s="851"/>
      <c r="J29" s="843"/>
      <c r="K29" s="843"/>
    </row>
    <row r="30" spans="1:11" ht="14" customHeight="1" x14ac:dyDescent="0.35">
      <c r="A30" s="852"/>
      <c r="B30" s="846"/>
      <c r="C30" s="853"/>
      <c r="D30" s="854"/>
      <c r="E30" s="849"/>
      <c r="G30" s="827"/>
      <c r="H30" s="804"/>
      <c r="I30" s="844"/>
      <c r="J30" s="849"/>
      <c r="K30" s="804"/>
    </row>
    <row r="31" spans="1:11" ht="14" customHeight="1" x14ac:dyDescent="0.35">
      <c r="A31" s="827"/>
      <c r="B31" s="804"/>
      <c r="C31" s="844"/>
      <c r="D31" s="804"/>
      <c r="E31" s="804"/>
      <c r="G31" s="827"/>
      <c r="H31" s="804"/>
      <c r="I31" s="844"/>
      <c r="J31" s="849"/>
      <c r="K31" s="804"/>
    </row>
    <row r="32" spans="1:11" ht="14" customHeight="1" x14ac:dyDescent="0.35">
      <c r="A32" s="827"/>
      <c r="B32" s="804"/>
      <c r="C32" s="844"/>
      <c r="D32" s="804"/>
      <c r="E32" s="804"/>
      <c r="G32" s="827"/>
      <c r="H32" s="804"/>
      <c r="I32" s="844"/>
      <c r="J32" s="849"/>
      <c r="K32" s="804"/>
    </row>
    <row r="33" spans="1:11" ht="14" customHeight="1" x14ac:dyDescent="0.35">
      <c r="A33" s="852"/>
      <c r="B33" s="846"/>
      <c r="C33" s="853"/>
      <c r="D33" s="846"/>
      <c r="E33" s="849"/>
      <c r="G33" s="827"/>
      <c r="H33" s="804"/>
      <c r="I33" s="844"/>
      <c r="J33" s="849"/>
      <c r="K33" s="804"/>
    </row>
    <row r="34" spans="1:11" ht="14" customHeight="1" x14ac:dyDescent="0.35">
      <c r="A34" s="852"/>
      <c r="B34" s="867"/>
      <c r="C34" s="868"/>
      <c r="D34" s="846"/>
      <c r="E34" s="849"/>
      <c r="G34" s="852"/>
      <c r="H34" s="846"/>
      <c r="I34" s="853"/>
      <c r="J34" s="846"/>
      <c r="K34" s="849"/>
    </row>
    <row r="35" spans="1:11" ht="14" customHeight="1" x14ac:dyDescent="0.35">
      <c r="A35" s="827"/>
      <c r="B35" s="804"/>
      <c r="C35" s="844"/>
      <c r="D35" s="804"/>
      <c r="E35" s="804"/>
      <c r="G35" s="852"/>
      <c r="H35" s="846"/>
      <c r="I35" s="853"/>
      <c r="J35" s="846"/>
      <c r="K35" s="849"/>
    </row>
    <row r="36" spans="1:11" ht="14" customHeight="1" x14ac:dyDescent="0.4">
      <c r="A36" s="855"/>
      <c r="B36" s="845"/>
      <c r="C36" s="857"/>
      <c r="D36" s="845"/>
      <c r="E36" s="845"/>
      <c r="G36" s="852"/>
      <c r="H36" s="846"/>
      <c r="I36" s="853"/>
      <c r="J36" s="846"/>
      <c r="K36" s="849"/>
    </row>
    <row r="37" spans="1:11" ht="14" customHeight="1" x14ac:dyDescent="0.35">
      <c r="A37" s="848"/>
      <c r="B37" s="848"/>
      <c r="C37" s="848"/>
      <c r="D37" s="848"/>
      <c r="E37" s="848"/>
      <c r="G37" s="827"/>
      <c r="H37" s="858"/>
      <c r="I37" s="859"/>
      <c r="J37" s="849"/>
      <c r="K37" s="804"/>
    </row>
    <row r="38" spans="1:11" ht="14" customHeight="1" x14ac:dyDescent="0.35">
      <c r="A38" s="848"/>
      <c r="B38" s="848"/>
      <c r="C38" s="848"/>
      <c r="D38" s="848"/>
      <c r="E38" s="848"/>
      <c r="G38" s="827"/>
      <c r="H38" s="860"/>
      <c r="I38" s="861"/>
      <c r="J38" s="849"/>
      <c r="K38" s="804"/>
    </row>
    <row r="39" spans="1:11" ht="14" customHeight="1" x14ac:dyDescent="0.35">
      <c r="A39" s="851"/>
      <c r="B39" s="851"/>
      <c r="C39" s="851"/>
      <c r="D39" s="843"/>
      <c r="E39" s="843"/>
      <c r="G39" s="827"/>
      <c r="H39" s="860"/>
      <c r="I39" s="861"/>
      <c r="J39" s="849"/>
      <c r="K39" s="804"/>
    </row>
    <row r="40" spans="1:11" ht="14" customHeight="1" x14ac:dyDescent="0.35">
      <c r="A40" s="827"/>
      <c r="B40" s="804"/>
      <c r="C40" s="844"/>
      <c r="D40" s="849"/>
      <c r="E40" s="804"/>
      <c r="G40" s="827"/>
      <c r="H40" s="827"/>
      <c r="I40" s="827"/>
      <c r="J40" s="849"/>
      <c r="K40" s="804"/>
    </row>
    <row r="41" spans="1:11" ht="14" customHeight="1" x14ac:dyDescent="0.35">
      <c r="A41" s="827"/>
      <c r="B41" s="804"/>
      <c r="C41" s="844"/>
      <c r="D41" s="849"/>
      <c r="E41" s="804"/>
      <c r="G41" s="827"/>
      <c r="H41" s="827"/>
      <c r="I41" s="827"/>
      <c r="J41" s="849"/>
      <c r="K41" s="804"/>
    </row>
    <row r="42" spans="1:11" ht="14" customHeight="1" x14ac:dyDescent="0.35">
      <c r="A42" s="827"/>
      <c r="B42" s="804"/>
      <c r="C42" s="844"/>
      <c r="D42" s="849"/>
      <c r="E42" s="804"/>
      <c r="G42" s="827"/>
      <c r="H42" s="827"/>
      <c r="I42" s="827"/>
      <c r="J42" s="849"/>
      <c r="K42" s="804"/>
    </row>
    <row r="43" spans="1:11" ht="14" customHeight="1" x14ac:dyDescent="0.4">
      <c r="A43" s="827"/>
      <c r="B43" s="804"/>
      <c r="C43" s="844"/>
      <c r="D43" s="849"/>
      <c r="E43" s="804"/>
      <c r="G43" s="855"/>
      <c r="H43" s="856"/>
      <c r="I43" s="857"/>
      <c r="J43" s="845"/>
      <c r="K43" s="845"/>
    </row>
    <row r="44" spans="1:11" ht="14" customHeight="1" x14ac:dyDescent="0.35">
      <c r="A44" s="852"/>
      <c r="B44" s="846"/>
      <c r="C44" s="853"/>
      <c r="D44" s="846"/>
      <c r="E44" s="849"/>
      <c r="G44" s="827"/>
      <c r="H44" s="827"/>
      <c r="I44" s="827"/>
      <c r="J44" s="827"/>
      <c r="K44" s="846"/>
    </row>
    <row r="45" spans="1:11" ht="14" customHeight="1" x14ac:dyDescent="0.35">
      <c r="A45" s="852"/>
      <c r="B45" s="846"/>
      <c r="C45" s="853"/>
      <c r="D45" s="846"/>
      <c r="E45" s="849"/>
      <c r="G45" s="851"/>
      <c r="H45" s="851"/>
      <c r="I45" s="851"/>
      <c r="J45" s="843"/>
      <c r="K45" s="843"/>
    </row>
    <row r="46" spans="1:11" ht="14" customHeight="1" x14ac:dyDescent="0.35">
      <c r="A46" s="852"/>
      <c r="B46" s="846"/>
      <c r="C46" s="853"/>
      <c r="D46" s="846"/>
      <c r="E46" s="849"/>
      <c r="G46" s="855"/>
      <c r="H46" s="855"/>
      <c r="I46" s="855"/>
      <c r="J46" s="862"/>
      <c r="K46" s="845"/>
    </row>
    <row r="47" spans="1:11" ht="14" customHeight="1" x14ac:dyDescent="0.35">
      <c r="A47" s="827"/>
      <c r="B47" s="858"/>
      <c r="C47" s="859"/>
      <c r="D47" s="849"/>
      <c r="E47" s="804"/>
      <c r="G47" s="865"/>
      <c r="H47" s="865"/>
      <c r="I47" s="865"/>
      <c r="J47" s="846"/>
      <c r="K47" s="846"/>
    </row>
    <row r="48" spans="1:11" ht="14" customHeight="1" x14ac:dyDescent="0.35">
      <c r="A48" s="827"/>
      <c r="B48" s="860"/>
      <c r="C48" s="861"/>
      <c r="D48" s="849"/>
      <c r="E48" s="804"/>
      <c r="G48" s="847"/>
      <c r="H48" s="847"/>
      <c r="I48" s="847"/>
      <c r="J48" s="804"/>
      <c r="K48" s="804"/>
    </row>
    <row r="49" spans="1:13" ht="14" customHeight="1" x14ac:dyDescent="0.35">
      <c r="A49" s="827"/>
      <c r="B49" s="860"/>
      <c r="C49" s="861"/>
      <c r="D49" s="849"/>
      <c r="E49" s="804"/>
      <c r="G49" s="847"/>
      <c r="H49" s="847"/>
      <c r="I49" s="847"/>
      <c r="J49" s="844"/>
      <c r="K49" s="844"/>
    </row>
    <row r="50" spans="1:13" ht="14" customHeight="1" x14ac:dyDescent="0.35">
      <c r="A50" s="827"/>
      <c r="B50" s="827"/>
      <c r="C50" s="827"/>
      <c r="D50" s="849"/>
      <c r="E50" s="804"/>
      <c r="G50" s="864"/>
      <c r="H50" s="864"/>
      <c r="I50" s="864"/>
      <c r="J50" s="802"/>
      <c r="K50" s="802"/>
    </row>
    <row r="51" spans="1:13" ht="14" customHeight="1" x14ac:dyDescent="0.35">
      <c r="A51" s="827"/>
      <c r="B51" s="827"/>
      <c r="C51" s="827"/>
      <c r="D51" s="849"/>
      <c r="E51" s="804"/>
      <c r="G51" s="827"/>
      <c r="H51" s="827"/>
      <c r="I51" s="827"/>
      <c r="J51" s="844"/>
      <c r="K51" s="844"/>
    </row>
    <row r="52" spans="1:13" ht="14" customHeight="1" x14ac:dyDescent="0.35">
      <c r="A52" s="827"/>
      <c r="B52" s="827"/>
      <c r="C52" s="827"/>
      <c r="D52" s="849"/>
      <c r="E52" s="804"/>
      <c r="G52" s="849"/>
      <c r="H52" s="849"/>
      <c r="I52" s="849"/>
      <c r="J52" s="849"/>
      <c r="K52" s="849"/>
    </row>
    <row r="53" spans="1:13" ht="14" customHeight="1" x14ac:dyDescent="0.4">
      <c r="A53" s="855"/>
      <c r="B53" s="845"/>
      <c r="C53" s="857"/>
      <c r="D53" s="845"/>
      <c r="E53" s="845"/>
      <c r="G53" s="855"/>
      <c r="H53" s="855"/>
      <c r="I53" s="855"/>
      <c r="J53" s="843"/>
      <c r="K53" s="843"/>
    </row>
    <row r="54" spans="1:13" ht="14" customHeight="1" x14ac:dyDescent="0.35">
      <c r="A54" s="827"/>
      <c r="B54" s="827"/>
      <c r="C54" s="827"/>
      <c r="D54" s="827"/>
      <c r="E54" s="846"/>
      <c r="G54" s="864"/>
      <c r="H54" s="864"/>
      <c r="I54" s="864"/>
      <c r="J54" s="804"/>
      <c r="K54" s="804"/>
    </row>
    <row r="55" spans="1:13" ht="14" customHeight="1" x14ac:dyDescent="0.35">
      <c r="A55" s="851"/>
      <c r="B55" s="851"/>
      <c r="C55" s="851"/>
      <c r="D55" s="843"/>
      <c r="E55" s="843"/>
      <c r="G55" s="827"/>
      <c r="H55" s="827"/>
      <c r="I55" s="827"/>
      <c r="J55" s="863"/>
      <c r="K55" s="863"/>
    </row>
    <row r="56" spans="1:13" ht="14" customHeight="1" x14ac:dyDescent="0.35">
      <c r="A56" s="870"/>
      <c r="B56" s="870"/>
      <c r="C56" s="870"/>
      <c r="D56" s="862"/>
      <c r="E56" s="845"/>
      <c r="G56" s="855"/>
      <c r="H56" s="855"/>
      <c r="I56" s="855"/>
      <c r="J56" s="845"/>
      <c r="K56" s="845"/>
    </row>
    <row r="57" spans="1:13" ht="14" customHeight="1" x14ac:dyDescent="0.35">
      <c r="A57" s="865"/>
      <c r="B57" s="865"/>
      <c r="C57" s="865"/>
      <c r="D57" s="846"/>
      <c r="E57" s="846"/>
      <c r="G57" s="865"/>
      <c r="H57" s="865"/>
      <c r="I57" s="865"/>
      <c r="J57" s="846"/>
      <c r="K57" s="846"/>
    </row>
    <row r="58" spans="1:13" ht="14" customHeight="1" x14ac:dyDescent="0.35">
      <c r="A58" s="847"/>
      <c r="B58" s="847"/>
      <c r="C58" s="847"/>
      <c r="D58" s="804"/>
      <c r="E58" s="804"/>
      <c r="G58" s="847"/>
      <c r="H58" s="847"/>
      <c r="I58" s="847"/>
      <c r="J58" s="804"/>
      <c r="K58" s="804"/>
    </row>
    <row r="59" spans="1:13" ht="14" customHeight="1" x14ac:dyDescent="0.35">
      <c r="A59" s="847"/>
      <c r="B59" s="847"/>
      <c r="C59" s="847"/>
      <c r="D59" s="844"/>
      <c r="E59" s="844"/>
      <c r="G59" s="847"/>
      <c r="H59" s="847"/>
      <c r="I59" s="847"/>
      <c r="J59" s="844"/>
      <c r="K59" s="844"/>
    </row>
    <row r="60" spans="1:13" ht="14" customHeight="1" x14ac:dyDescent="0.35">
      <c r="A60" s="864"/>
      <c r="B60" s="864"/>
      <c r="C60" s="864"/>
      <c r="D60" s="802"/>
      <c r="E60" s="802"/>
      <c r="G60" s="864"/>
      <c r="H60" s="864"/>
      <c r="I60" s="864"/>
      <c r="J60" s="802"/>
      <c r="K60" s="802"/>
    </row>
    <row r="61" spans="1:13" ht="14" customHeight="1" x14ac:dyDescent="0.35">
      <c r="A61" s="847"/>
      <c r="B61" s="847"/>
      <c r="C61" s="847"/>
      <c r="D61" s="844"/>
      <c r="E61" s="844"/>
      <c r="G61" s="827"/>
      <c r="H61" s="827"/>
      <c r="I61" s="827"/>
      <c r="J61" s="844"/>
      <c r="K61" s="844"/>
    </row>
    <row r="62" spans="1:13" ht="14" customHeight="1" x14ac:dyDescent="0.35">
      <c r="A62" s="849"/>
      <c r="B62" s="849"/>
      <c r="C62" s="849"/>
      <c r="D62" s="849"/>
      <c r="E62" s="849"/>
      <c r="G62" s="849"/>
      <c r="H62" s="849"/>
      <c r="I62" s="849"/>
      <c r="J62" s="849"/>
      <c r="K62" s="849"/>
    </row>
    <row r="63" spans="1:13" s="765" customFormat="1" ht="14" customHeight="1" x14ac:dyDescent="0.35">
      <c r="A63" s="849"/>
      <c r="B63" s="849"/>
      <c r="C63" s="850"/>
      <c r="D63" s="850"/>
      <c r="E63" s="850"/>
      <c r="F63" s="850"/>
      <c r="G63" s="849"/>
      <c r="H63" s="849"/>
      <c r="I63" s="849"/>
      <c r="J63" s="849"/>
      <c r="K63" s="849"/>
      <c r="L63" s="622"/>
      <c r="M63" s="622"/>
    </row>
    <row r="64" spans="1:13" ht="14" customHeight="1" x14ac:dyDescent="0.35">
      <c r="A64" s="849"/>
      <c r="B64" s="849"/>
      <c r="C64" s="850"/>
      <c r="D64" s="804"/>
      <c r="E64" s="850"/>
      <c r="G64" s="849"/>
      <c r="H64" s="849"/>
      <c r="I64" s="849"/>
      <c r="J64" s="849"/>
      <c r="K64" s="849"/>
    </row>
    <row r="65" spans="1:11" ht="14" customHeight="1" x14ac:dyDescent="0.35">
      <c r="A65" s="849"/>
      <c r="B65" s="849"/>
      <c r="C65" s="850"/>
      <c r="D65" s="869"/>
      <c r="E65" s="850"/>
      <c r="G65" s="849"/>
      <c r="H65" s="849"/>
      <c r="I65" s="849"/>
      <c r="J65" s="849"/>
      <c r="K65" s="849"/>
    </row>
  </sheetData>
  <mergeCells count="28">
    <mergeCell ref="A23:C23"/>
    <mergeCell ref="A21:C21"/>
    <mergeCell ref="A25:C25"/>
    <mergeCell ref="G4:H4"/>
    <mergeCell ref="G5:H5"/>
    <mergeCell ref="G6:H6"/>
    <mergeCell ref="G16:H16"/>
    <mergeCell ref="G17:H17"/>
    <mergeCell ref="G18:H18"/>
    <mergeCell ref="A9:C9"/>
    <mergeCell ref="A10:C10"/>
    <mergeCell ref="A11:C11"/>
    <mergeCell ref="A12:C12"/>
    <mergeCell ref="A13:C13"/>
    <mergeCell ref="A15:C15"/>
    <mergeCell ref="A16:C16"/>
    <mergeCell ref="A24:C24"/>
    <mergeCell ref="A17:C17"/>
    <mergeCell ref="A18:C18"/>
    <mergeCell ref="A19:C19"/>
    <mergeCell ref="A22:C22"/>
    <mergeCell ref="A5:C5"/>
    <mergeCell ref="A6:C6"/>
    <mergeCell ref="A7:C7"/>
    <mergeCell ref="A3:C3"/>
    <mergeCell ref="A4:C4"/>
    <mergeCell ref="A1:H1"/>
    <mergeCell ref="G3:H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1569-3DEA-4D72-A4CB-4BA4E447BB5C}">
  <dimension ref="A1:S85"/>
  <sheetViews>
    <sheetView topLeftCell="G52" workbookViewId="0">
      <selection activeCell="P73" sqref="P73:Q75"/>
    </sheetView>
  </sheetViews>
  <sheetFormatPr defaultRowHeight="14" customHeight="1" x14ac:dyDescent="0.35"/>
  <cols>
    <col min="1" max="1" width="33.1328125" style="622" customWidth="1"/>
    <col min="2" max="2" width="10.59765625" style="622" customWidth="1"/>
    <col min="3" max="3" width="10.59765625" style="765" customWidth="1"/>
    <col min="4" max="4" width="15.59765625" style="765" bestFit="1" customWidth="1"/>
    <col min="5" max="5" width="14.59765625" style="765" bestFit="1" customWidth="1"/>
    <col min="6" max="6" width="1.59765625" style="830" customWidth="1"/>
    <col min="7" max="7" width="39.796875" style="765" customWidth="1"/>
    <col min="8" max="8" width="11.1328125" style="765" customWidth="1"/>
    <col min="9" max="9" width="9.33203125" style="765" customWidth="1"/>
    <col min="10" max="10" width="12.59765625" style="765" customWidth="1"/>
    <col min="11" max="11" width="13.19921875" style="765" customWidth="1"/>
    <col min="12" max="12" width="1.59765625" style="831" customWidth="1"/>
    <col min="13" max="13" width="39.73046875" style="621" customWidth="1"/>
    <col min="14" max="14" width="10.86328125" style="621" customWidth="1"/>
    <col min="15" max="15" width="10.3984375" style="621" customWidth="1"/>
    <col min="16" max="17" width="13.6640625" style="621" bestFit="1" customWidth="1"/>
    <col min="18" max="16384" width="9.06640625" style="621"/>
  </cols>
  <sheetData>
    <row r="1" spans="1:19" ht="20.65" customHeight="1" x14ac:dyDescent="0.35">
      <c r="A1" s="809" t="s">
        <v>683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</row>
    <row r="3" spans="1:19" ht="14" customHeight="1" x14ac:dyDescent="0.4">
      <c r="A3" s="806" t="s">
        <v>693</v>
      </c>
      <c r="B3" s="806"/>
      <c r="C3" s="806"/>
      <c r="D3" s="806"/>
      <c r="E3" s="806"/>
      <c r="G3" s="791" t="s">
        <v>737</v>
      </c>
      <c r="H3" s="791"/>
      <c r="I3" s="791"/>
      <c r="J3" s="791"/>
      <c r="K3" s="791"/>
      <c r="M3" s="791" t="s">
        <v>750</v>
      </c>
      <c r="N3" s="791"/>
      <c r="O3" s="791"/>
      <c r="P3" s="791"/>
      <c r="Q3" s="791"/>
    </row>
    <row r="4" spans="1:19" ht="14" customHeight="1" x14ac:dyDescent="0.35">
      <c r="A4" s="807" t="s">
        <v>695</v>
      </c>
      <c r="B4" s="807"/>
      <c r="C4" s="807"/>
      <c r="D4" s="807"/>
      <c r="E4" s="807"/>
      <c r="G4" s="677" t="s">
        <v>769</v>
      </c>
      <c r="H4" s="677"/>
      <c r="I4" s="677"/>
      <c r="J4" s="677"/>
      <c r="K4" s="677"/>
      <c r="M4" s="677" t="s">
        <v>770</v>
      </c>
      <c r="N4" s="677"/>
      <c r="O4" s="677"/>
      <c r="P4" s="677"/>
      <c r="Q4" s="677"/>
    </row>
    <row r="5" spans="1:19" s="622" customFormat="1" ht="14" customHeight="1" x14ac:dyDescent="0.35">
      <c r="A5" s="807" t="s">
        <v>694</v>
      </c>
      <c r="B5" s="807"/>
      <c r="C5" s="807"/>
      <c r="D5" s="807"/>
      <c r="E5" s="807"/>
      <c r="F5" s="830"/>
      <c r="G5" s="677" t="s">
        <v>762</v>
      </c>
      <c r="H5" s="677"/>
      <c r="I5" s="677"/>
      <c r="J5" s="677"/>
      <c r="K5" s="677"/>
      <c r="L5" s="831"/>
      <c r="M5" s="677" t="s">
        <v>745</v>
      </c>
      <c r="N5" s="677"/>
      <c r="O5" s="677"/>
      <c r="P5" s="677"/>
      <c r="Q5" s="677"/>
    </row>
    <row r="6" spans="1:19" s="622" customFormat="1" ht="14" customHeight="1" x14ac:dyDescent="0.35">
      <c r="A6" s="807" t="s">
        <v>696</v>
      </c>
      <c r="B6" s="807"/>
      <c r="C6" s="807"/>
      <c r="D6" s="807"/>
      <c r="E6" s="807"/>
      <c r="F6" s="830"/>
      <c r="G6" s="677" t="s">
        <v>699</v>
      </c>
      <c r="H6" s="677"/>
      <c r="I6" s="677"/>
      <c r="J6" s="677"/>
      <c r="K6" s="677"/>
      <c r="L6" s="831"/>
      <c r="M6" s="677" t="s">
        <v>751</v>
      </c>
      <c r="N6" s="677"/>
      <c r="O6" s="677"/>
      <c r="P6" s="677"/>
      <c r="Q6" s="677"/>
    </row>
    <row r="7" spans="1:19" s="622" customFormat="1" ht="14" customHeight="1" x14ac:dyDescent="0.35">
      <c r="A7" s="808" t="s">
        <v>697</v>
      </c>
      <c r="B7" s="808"/>
      <c r="C7" s="808"/>
      <c r="D7" s="808"/>
      <c r="E7" s="808"/>
      <c r="F7" s="830"/>
      <c r="L7" s="831"/>
      <c r="M7" s="677" t="s">
        <v>756</v>
      </c>
      <c r="N7" s="677"/>
      <c r="O7" s="677"/>
      <c r="P7" s="677"/>
      <c r="Q7" s="677"/>
    </row>
    <row r="8" spans="1:19" ht="14" customHeight="1" x14ac:dyDescent="0.35">
      <c r="A8" s="811" t="s">
        <v>773</v>
      </c>
      <c r="B8" s="811"/>
      <c r="C8" s="811"/>
      <c r="D8" s="834" t="s">
        <v>757</v>
      </c>
      <c r="E8" s="834" t="s">
        <v>758</v>
      </c>
      <c r="G8" s="810" t="s">
        <v>774</v>
      </c>
      <c r="H8" s="810"/>
      <c r="I8" s="810"/>
      <c r="J8" s="834" t="s">
        <v>757</v>
      </c>
      <c r="K8" s="834" t="s">
        <v>758</v>
      </c>
      <c r="M8" s="810" t="s">
        <v>775</v>
      </c>
      <c r="N8" s="810"/>
      <c r="O8" s="810"/>
      <c r="P8" s="834" t="s">
        <v>757</v>
      </c>
      <c r="Q8" s="834" t="s">
        <v>758</v>
      </c>
      <c r="S8" s="783"/>
    </row>
    <row r="9" spans="1:19" ht="14" customHeight="1" x14ac:dyDescent="0.35">
      <c r="A9" s="813" t="s">
        <v>702</v>
      </c>
      <c r="B9" s="813"/>
      <c r="C9" s="813"/>
      <c r="D9" s="785">
        <v>28164786</v>
      </c>
      <c r="E9" s="792">
        <v>24010584.450000003</v>
      </c>
      <c r="G9" s="798" t="s">
        <v>702</v>
      </c>
      <c r="H9" s="798"/>
      <c r="I9" s="798"/>
      <c r="J9" s="792">
        <v>3906000</v>
      </c>
      <c r="K9" s="792">
        <v>3906000</v>
      </c>
      <c r="M9" s="815" t="s">
        <v>782</v>
      </c>
      <c r="N9" s="815"/>
      <c r="O9" s="815"/>
      <c r="P9" s="794">
        <v>385886764.5</v>
      </c>
      <c r="Q9" s="794">
        <v>385886764.5</v>
      </c>
      <c r="S9" s="783"/>
    </row>
    <row r="10" spans="1:19" ht="14" customHeight="1" x14ac:dyDescent="0.35">
      <c r="A10" s="814" t="s">
        <v>680</v>
      </c>
      <c r="B10" s="814"/>
      <c r="C10" s="814"/>
      <c r="D10" s="787">
        <f>D9/6</f>
        <v>4694131</v>
      </c>
      <c r="E10" s="787">
        <f>E9/6</f>
        <v>4001764.0750000007</v>
      </c>
      <c r="G10" s="814" t="s">
        <v>680</v>
      </c>
      <c r="H10" s="814"/>
      <c r="I10" s="814"/>
      <c r="J10" s="787">
        <f>J9/6</f>
        <v>651000</v>
      </c>
      <c r="K10" s="787">
        <f>K9/6</f>
        <v>651000</v>
      </c>
      <c r="M10" s="799" t="s">
        <v>682</v>
      </c>
      <c r="N10" s="799"/>
      <c r="O10" s="799"/>
      <c r="P10" s="795">
        <v>0.10249999999999999</v>
      </c>
      <c r="Q10" s="795">
        <v>0.10249999999999999</v>
      </c>
      <c r="S10" s="783"/>
    </row>
    <row r="11" spans="1:19" s="622" customFormat="1" ht="14" customHeight="1" x14ac:dyDescent="0.35">
      <c r="A11" s="816" t="s">
        <v>739</v>
      </c>
      <c r="B11" s="828"/>
      <c r="C11" s="828"/>
      <c r="D11" s="801">
        <v>647241570</v>
      </c>
      <c r="E11" s="801">
        <v>647241570</v>
      </c>
      <c r="F11" s="830"/>
      <c r="G11" s="816" t="s">
        <v>739</v>
      </c>
      <c r="H11" s="828"/>
      <c r="I11" s="828"/>
      <c r="J11" s="801">
        <v>647241570</v>
      </c>
      <c r="K11" s="801">
        <v>647241570</v>
      </c>
      <c r="L11" s="831"/>
      <c r="M11" s="798" t="s">
        <v>702</v>
      </c>
      <c r="N11" s="798"/>
      <c r="O11" s="798"/>
      <c r="P11" s="792">
        <f>P9*P10</f>
        <v>39553393.361249998</v>
      </c>
      <c r="Q11" s="792">
        <f>Q9*Q10</f>
        <v>39553393.361249998</v>
      </c>
      <c r="S11" s="783"/>
    </row>
    <row r="12" spans="1:19" s="622" customFormat="1" ht="14" customHeight="1" x14ac:dyDescent="0.35">
      <c r="A12" s="816" t="s">
        <v>772</v>
      </c>
      <c r="B12" s="816"/>
      <c r="C12" s="816"/>
      <c r="D12" s="795">
        <f>D9/D11</f>
        <v>4.351510673209695E-2</v>
      </c>
      <c r="E12" s="795">
        <f>E9/E11</f>
        <v>3.7096789765836587E-2</v>
      </c>
      <c r="F12" s="830"/>
      <c r="G12" s="816" t="s">
        <v>772</v>
      </c>
      <c r="H12" s="816"/>
      <c r="I12" s="816"/>
      <c r="J12" s="795">
        <f>J9/J11</f>
        <v>6.0348410563307916E-3</v>
      </c>
      <c r="K12" s="795">
        <f>K9/K11</f>
        <v>6.0348410563307916E-3</v>
      </c>
      <c r="L12" s="831"/>
      <c r="M12" s="814" t="s">
        <v>680</v>
      </c>
      <c r="N12" s="814"/>
      <c r="O12" s="814"/>
      <c r="P12" s="787">
        <f>P11/6</f>
        <v>6592232.2268749997</v>
      </c>
      <c r="Q12" s="787">
        <f>Q11/6</f>
        <v>6592232.2268749997</v>
      </c>
      <c r="S12" s="783"/>
    </row>
    <row r="13" spans="1:19" ht="14" customHeight="1" x14ac:dyDescent="0.35">
      <c r="A13" s="815" t="s">
        <v>681</v>
      </c>
      <c r="B13" s="815"/>
      <c r="C13" s="815"/>
      <c r="D13" s="794">
        <v>385886764.5</v>
      </c>
      <c r="E13" s="794">
        <v>385886764.5</v>
      </c>
      <c r="G13" s="815" t="s">
        <v>782</v>
      </c>
      <c r="H13" s="815"/>
      <c r="I13" s="815"/>
      <c r="J13" s="794">
        <v>385886764.5</v>
      </c>
      <c r="K13" s="794">
        <v>385886764.5</v>
      </c>
      <c r="M13" s="816" t="s">
        <v>738</v>
      </c>
      <c r="N13" s="816"/>
      <c r="O13" s="816"/>
      <c r="P13" s="801">
        <f>Australia!B25*6</f>
        <v>540257280</v>
      </c>
      <c r="Q13" s="801">
        <f>Australia!B25*6</f>
        <v>540257280</v>
      </c>
      <c r="S13" s="783"/>
    </row>
    <row r="14" spans="1:19" ht="14" customHeight="1" x14ac:dyDescent="0.35">
      <c r="A14" s="816" t="s">
        <v>682</v>
      </c>
      <c r="B14" s="816"/>
      <c r="C14" s="816"/>
      <c r="D14" s="795">
        <f>D9/D13</f>
        <v>7.298717808187484E-2</v>
      </c>
      <c r="E14" s="795">
        <f>E9/E13</f>
        <v>6.2221839821614312E-2</v>
      </c>
      <c r="G14" s="816" t="s">
        <v>682</v>
      </c>
      <c r="H14" s="816"/>
      <c r="I14" s="816"/>
      <c r="J14" s="795">
        <f>J9/J13</f>
        <v>1.0122140377271219E-2</v>
      </c>
      <c r="K14" s="795">
        <f>K9/K13</f>
        <v>1.0122140377271219E-2</v>
      </c>
      <c r="M14" s="820" t="s">
        <v>740</v>
      </c>
      <c r="N14" s="820"/>
      <c r="O14" s="820"/>
      <c r="P14" s="795">
        <f>P11/P13</f>
        <v>7.3212143224150539E-2</v>
      </c>
      <c r="Q14" s="795">
        <f>Q11/Q13</f>
        <v>7.3212143224150539E-2</v>
      </c>
      <c r="S14" s="783"/>
    </row>
    <row r="15" spans="1:19" ht="14" customHeight="1" x14ac:dyDescent="0.35">
      <c r="A15" s="808" t="s">
        <v>746</v>
      </c>
      <c r="B15" s="808"/>
      <c r="C15" s="808"/>
      <c r="D15" s="808"/>
      <c r="E15" s="808"/>
      <c r="G15" s="796" t="s">
        <v>755</v>
      </c>
      <c r="H15" s="796"/>
      <c r="I15" s="796"/>
      <c r="J15" s="796"/>
      <c r="K15" s="796"/>
      <c r="M15" s="796" t="s">
        <v>771</v>
      </c>
      <c r="N15" s="796"/>
      <c r="O15" s="796"/>
      <c r="P15" s="796"/>
      <c r="Q15" s="796"/>
      <c r="S15" s="783"/>
    </row>
    <row r="16" spans="1:19" ht="14" customHeight="1" x14ac:dyDescent="0.35">
      <c r="D16" s="784"/>
      <c r="G16" s="621"/>
      <c r="H16" s="622"/>
      <c r="M16" s="622"/>
      <c r="N16" s="622"/>
      <c r="O16" s="765"/>
      <c r="P16" s="765"/>
      <c r="Q16" s="765"/>
    </row>
    <row r="17" spans="1:17" ht="14" customHeight="1" x14ac:dyDescent="0.35">
      <c r="A17" s="818" t="s">
        <v>735</v>
      </c>
      <c r="B17" s="818" t="s">
        <v>572</v>
      </c>
      <c r="C17" s="818" t="s">
        <v>708</v>
      </c>
      <c r="D17" s="834" t="s">
        <v>93</v>
      </c>
      <c r="E17" s="834" t="s">
        <v>136</v>
      </c>
      <c r="G17" s="818" t="s">
        <v>741</v>
      </c>
      <c r="H17" s="818" t="s">
        <v>572</v>
      </c>
      <c r="I17" s="818" t="s">
        <v>708</v>
      </c>
      <c r="J17" s="834" t="s">
        <v>93</v>
      </c>
      <c r="K17" s="834" t="s">
        <v>136</v>
      </c>
      <c r="M17" s="818" t="s">
        <v>752</v>
      </c>
      <c r="N17" s="818" t="s">
        <v>572</v>
      </c>
      <c r="O17" s="818" t="s">
        <v>708</v>
      </c>
      <c r="P17" s="834" t="s">
        <v>93</v>
      </c>
      <c r="Q17" s="834" t="s">
        <v>136</v>
      </c>
    </row>
    <row r="18" spans="1:17" ht="14" customHeight="1" x14ac:dyDescent="0.35">
      <c r="A18" s="783" t="s">
        <v>721</v>
      </c>
      <c r="B18" s="784">
        <v>1000000</v>
      </c>
      <c r="C18" s="788">
        <f>E18/B18</f>
        <v>0.25874999999999998</v>
      </c>
      <c r="D18" s="784"/>
      <c r="E18" s="784">
        <v>258750</v>
      </c>
      <c r="G18" s="783" t="s">
        <v>742</v>
      </c>
      <c r="H18" s="784">
        <v>1000000</v>
      </c>
      <c r="I18" s="788">
        <v>0.25</v>
      </c>
      <c r="J18" s="784"/>
      <c r="K18" s="784">
        <f>H18*I18</f>
        <v>250000</v>
      </c>
      <c r="M18" s="783" t="s">
        <v>742</v>
      </c>
      <c r="N18" s="784">
        <v>1000000</v>
      </c>
      <c r="O18" s="788">
        <v>0.4</v>
      </c>
      <c r="P18" s="784"/>
      <c r="Q18" s="784">
        <f>N18*O18</f>
        <v>400000</v>
      </c>
    </row>
    <row r="19" spans="1:17" s="622" customFormat="1" ht="14" customHeight="1" x14ac:dyDescent="0.35">
      <c r="A19" s="783" t="s">
        <v>714</v>
      </c>
      <c r="B19" s="784">
        <v>1500000</v>
      </c>
      <c r="C19" s="788">
        <f>E19/B19</f>
        <v>1.6666666666666667</v>
      </c>
      <c r="D19" s="784"/>
      <c r="E19" s="784">
        <v>2500000</v>
      </c>
      <c r="F19" s="830"/>
      <c r="G19" s="783" t="s">
        <v>714</v>
      </c>
      <c r="H19" s="784">
        <v>1500000</v>
      </c>
      <c r="I19" s="788">
        <v>0.25</v>
      </c>
      <c r="J19" s="784"/>
      <c r="K19" s="784">
        <f t="shared" ref="K19:K28" si="0">H19*I19</f>
        <v>375000</v>
      </c>
      <c r="L19" s="831"/>
      <c r="M19" s="783" t="s">
        <v>714</v>
      </c>
      <c r="N19" s="784">
        <v>1500000</v>
      </c>
      <c r="O19" s="788">
        <v>0.4</v>
      </c>
      <c r="P19" s="784"/>
      <c r="Q19" s="784">
        <f t="shared" ref="Q19:Q28" si="1">N19*O19</f>
        <v>600000</v>
      </c>
    </row>
    <row r="20" spans="1:17" ht="14" customHeight="1" x14ac:dyDescent="0.4">
      <c r="A20" s="783" t="s">
        <v>711</v>
      </c>
      <c r="B20" s="784">
        <v>9000000</v>
      </c>
      <c r="C20" s="788">
        <f t="shared" ref="C20" si="2">E20/B20</f>
        <v>0.79059722222222217</v>
      </c>
      <c r="D20" s="784"/>
      <c r="E20" s="821">
        <f>SUM(D21:D23)</f>
        <v>7115375</v>
      </c>
      <c r="G20" s="783" t="s">
        <v>711</v>
      </c>
      <c r="H20" s="784">
        <v>9000000</v>
      </c>
      <c r="I20" s="788">
        <v>0.25</v>
      </c>
      <c r="J20" s="784"/>
      <c r="K20" s="784">
        <f t="shared" si="0"/>
        <v>2250000</v>
      </c>
      <c r="L20" s="832"/>
      <c r="M20" s="783" t="s">
        <v>711</v>
      </c>
      <c r="N20" s="784">
        <v>9000000</v>
      </c>
      <c r="O20" s="788">
        <v>0.5</v>
      </c>
      <c r="P20" s="784"/>
      <c r="Q20" s="784">
        <f t="shared" si="1"/>
        <v>4500000</v>
      </c>
    </row>
    <row r="21" spans="1:17" ht="14" customHeight="1" x14ac:dyDescent="0.35">
      <c r="A21" s="786" t="s">
        <v>722</v>
      </c>
      <c r="B21" s="787"/>
      <c r="C21" s="822"/>
      <c r="D21" s="823">
        <f>68750*23</f>
        <v>1581250</v>
      </c>
      <c r="E21" s="621"/>
      <c r="G21" s="786"/>
      <c r="H21" s="787"/>
      <c r="I21" s="822"/>
      <c r="J21" s="823"/>
      <c r="K21" s="784">
        <f t="shared" si="0"/>
        <v>0</v>
      </c>
      <c r="L21" s="830"/>
      <c r="M21" s="786"/>
      <c r="N21" s="787"/>
      <c r="O21" s="822"/>
      <c r="P21" s="823"/>
      <c r="Q21" s="784">
        <f t="shared" si="1"/>
        <v>0</v>
      </c>
    </row>
    <row r="22" spans="1:17" s="622" customFormat="1" ht="14" customHeight="1" x14ac:dyDescent="0.35">
      <c r="A22" s="786" t="s">
        <v>712</v>
      </c>
      <c r="B22" s="787"/>
      <c r="C22" s="822"/>
      <c r="D22" s="823">
        <f>219000*4</f>
        <v>876000</v>
      </c>
      <c r="F22" s="830"/>
      <c r="G22" s="786"/>
      <c r="H22" s="787"/>
      <c r="I22" s="822"/>
      <c r="J22" s="823"/>
      <c r="K22" s="784">
        <f t="shared" si="0"/>
        <v>0</v>
      </c>
      <c r="L22" s="830"/>
      <c r="M22" s="786"/>
      <c r="N22" s="787"/>
      <c r="O22" s="822"/>
      <c r="P22" s="823"/>
      <c r="Q22" s="784">
        <f t="shared" si="1"/>
        <v>0</v>
      </c>
    </row>
    <row r="23" spans="1:17" s="622" customFormat="1" ht="14" customHeight="1" x14ac:dyDescent="0.35">
      <c r="A23" s="786" t="s">
        <v>713</v>
      </c>
      <c r="B23" s="787"/>
      <c r="C23" s="822"/>
      <c r="D23" s="823">
        <v>4658125</v>
      </c>
      <c r="F23" s="830"/>
      <c r="G23" s="786"/>
      <c r="H23" s="787"/>
      <c r="I23" s="822"/>
      <c r="J23" s="823"/>
      <c r="K23" s="784">
        <f t="shared" si="0"/>
        <v>0</v>
      </c>
      <c r="L23" s="830"/>
      <c r="M23" s="786"/>
      <c r="N23" s="787"/>
      <c r="O23" s="822"/>
      <c r="P23" s="823"/>
      <c r="Q23" s="784">
        <f t="shared" si="1"/>
        <v>0</v>
      </c>
    </row>
    <row r="24" spans="1:17" s="622" customFormat="1" ht="14" customHeight="1" x14ac:dyDescent="0.35">
      <c r="A24" s="783" t="s">
        <v>710</v>
      </c>
      <c r="B24" s="784">
        <v>150000</v>
      </c>
      <c r="C24" s="788">
        <v>0</v>
      </c>
      <c r="D24" s="784"/>
      <c r="E24" s="784">
        <v>0</v>
      </c>
      <c r="F24" s="830"/>
      <c r="G24" s="783" t="s">
        <v>710</v>
      </c>
      <c r="H24" s="784">
        <v>150000</v>
      </c>
      <c r="I24" s="788">
        <v>0.25</v>
      </c>
      <c r="J24" s="784"/>
      <c r="K24" s="784">
        <f t="shared" si="0"/>
        <v>37500</v>
      </c>
      <c r="L24" s="830"/>
      <c r="M24" s="783" t="s">
        <v>710</v>
      </c>
      <c r="N24" s="784">
        <v>150000</v>
      </c>
      <c r="O24" s="788">
        <v>0.36</v>
      </c>
      <c r="P24" s="784"/>
      <c r="Q24" s="784">
        <f t="shared" si="1"/>
        <v>54000</v>
      </c>
    </row>
    <row r="25" spans="1:17" ht="14" customHeight="1" x14ac:dyDescent="0.35">
      <c r="A25" s="783" t="s">
        <v>717</v>
      </c>
      <c r="B25" s="784">
        <v>2500000</v>
      </c>
      <c r="C25" s="788">
        <f t="shared" ref="C25" si="3">E25/B25</f>
        <v>0.17824999999999999</v>
      </c>
      <c r="D25" s="784"/>
      <c r="E25" s="784">
        <f>SUM(D26:D27)</f>
        <v>445625</v>
      </c>
      <c r="G25" s="783" t="s">
        <v>717</v>
      </c>
      <c r="H25" s="784">
        <v>2500000</v>
      </c>
      <c r="I25" s="788">
        <v>0.25</v>
      </c>
      <c r="J25" s="784"/>
      <c r="K25" s="784">
        <f t="shared" si="0"/>
        <v>625000</v>
      </c>
      <c r="L25" s="830"/>
      <c r="M25" s="783" t="s">
        <v>717</v>
      </c>
      <c r="N25" s="784">
        <v>2500000</v>
      </c>
      <c r="O25" s="788">
        <v>0.36</v>
      </c>
      <c r="P25" s="784"/>
      <c r="Q25" s="784">
        <f t="shared" si="1"/>
        <v>900000</v>
      </c>
    </row>
    <row r="26" spans="1:17" ht="14" customHeight="1" x14ac:dyDescent="0.35">
      <c r="A26" s="786" t="s">
        <v>724</v>
      </c>
      <c r="B26" s="787"/>
      <c r="C26" s="822"/>
      <c r="D26" s="787">
        <v>287500</v>
      </c>
      <c r="E26" s="621"/>
      <c r="G26" s="786"/>
      <c r="H26" s="787"/>
      <c r="I26" s="822"/>
      <c r="J26" s="787"/>
      <c r="K26" s="784">
        <f t="shared" si="0"/>
        <v>0</v>
      </c>
    </row>
    <row r="27" spans="1:17" ht="14" customHeight="1" x14ac:dyDescent="0.35">
      <c r="A27" s="786" t="s">
        <v>725</v>
      </c>
      <c r="B27" s="768"/>
      <c r="C27" s="824"/>
      <c r="D27" s="787">
        <v>158125</v>
      </c>
      <c r="E27" s="621"/>
      <c r="G27" s="786"/>
      <c r="H27" s="768"/>
      <c r="I27" s="824"/>
      <c r="J27" s="787"/>
      <c r="K27" s="784">
        <f t="shared" si="0"/>
        <v>0</v>
      </c>
      <c r="L27" s="833"/>
    </row>
    <row r="28" spans="1:17" ht="14" customHeight="1" x14ac:dyDescent="0.35">
      <c r="A28" s="783" t="s">
        <v>723</v>
      </c>
      <c r="B28" s="784">
        <v>1000000</v>
      </c>
      <c r="C28" s="788">
        <f>E28/B28</f>
        <v>0.25874999999999998</v>
      </c>
      <c r="D28" s="784"/>
      <c r="E28" s="784">
        <v>258750</v>
      </c>
      <c r="G28" s="783" t="s">
        <v>743</v>
      </c>
      <c r="H28" s="784">
        <v>1000000</v>
      </c>
      <c r="I28" s="788">
        <v>0.25</v>
      </c>
      <c r="J28" s="784"/>
      <c r="K28" s="784">
        <f t="shared" si="0"/>
        <v>250000</v>
      </c>
      <c r="L28" s="833"/>
      <c r="M28" s="783" t="s">
        <v>743</v>
      </c>
      <c r="N28" s="784">
        <v>1000000</v>
      </c>
      <c r="O28" s="788">
        <v>0.4</v>
      </c>
      <c r="P28" s="784"/>
      <c r="Q28" s="784">
        <f t="shared" si="1"/>
        <v>400000</v>
      </c>
    </row>
    <row r="29" spans="1:17" s="622" customFormat="1" ht="14" customHeight="1" x14ac:dyDescent="0.4">
      <c r="A29" s="782" t="s">
        <v>448</v>
      </c>
      <c r="B29" s="792">
        <f>SUM(B18:B28)</f>
        <v>15150000</v>
      </c>
      <c r="C29" s="826"/>
      <c r="D29" s="792"/>
      <c r="E29" s="792">
        <f>SUM(E18:E28)</f>
        <v>10578500</v>
      </c>
      <c r="F29" s="830"/>
      <c r="G29" s="782" t="s">
        <v>448</v>
      </c>
      <c r="H29" s="825"/>
      <c r="I29" s="826"/>
      <c r="J29" s="792"/>
      <c r="K29" s="792">
        <f>SUM(K18:K28)</f>
        <v>3787500</v>
      </c>
      <c r="L29" s="833"/>
      <c r="M29" s="782" t="s">
        <v>448</v>
      </c>
      <c r="N29" s="825"/>
      <c r="O29" s="826"/>
      <c r="P29" s="792"/>
      <c r="Q29" s="792">
        <f>SUM(Q18:Q28)</f>
        <v>6854000</v>
      </c>
    </row>
    <row r="30" spans="1:17" ht="14" customHeight="1" x14ac:dyDescent="0.35">
      <c r="A30" s="796" t="s">
        <v>719</v>
      </c>
      <c r="B30" s="796"/>
      <c r="C30" s="796"/>
      <c r="D30" s="796"/>
      <c r="E30" s="796"/>
      <c r="G30" s="796"/>
      <c r="H30" s="796"/>
      <c r="I30" s="796"/>
      <c r="J30" s="796"/>
      <c r="K30" s="796"/>
      <c r="M30" s="796"/>
      <c r="N30" s="796"/>
      <c r="O30" s="796"/>
      <c r="P30" s="796"/>
      <c r="Q30" s="796"/>
    </row>
    <row r="31" spans="1:17" s="622" customFormat="1" ht="14" customHeight="1" x14ac:dyDescent="0.35">
      <c r="A31" s="805"/>
      <c r="B31" s="805"/>
      <c r="C31" s="805"/>
      <c r="D31" s="805"/>
      <c r="E31" s="805"/>
      <c r="F31" s="830"/>
      <c r="G31" s="805"/>
      <c r="H31" s="805"/>
      <c r="I31" s="805"/>
      <c r="J31" s="805"/>
      <c r="K31" s="805"/>
      <c r="L31" s="831"/>
      <c r="M31" s="805"/>
      <c r="N31" s="805"/>
      <c r="O31" s="805"/>
      <c r="P31" s="805"/>
      <c r="Q31" s="805"/>
    </row>
    <row r="32" spans="1:17" s="622" customFormat="1" ht="14" customHeight="1" x14ac:dyDescent="0.35">
      <c r="A32" s="818" t="s">
        <v>736</v>
      </c>
      <c r="B32" s="818" t="s">
        <v>572</v>
      </c>
      <c r="C32" s="818" t="s">
        <v>708</v>
      </c>
      <c r="D32" s="834" t="s">
        <v>93</v>
      </c>
      <c r="E32" s="834" t="s">
        <v>136</v>
      </c>
      <c r="F32" s="830"/>
      <c r="G32" s="818" t="s">
        <v>736</v>
      </c>
      <c r="H32" s="818" t="s">
        <v>572</v>
      </c>
      <c r="I32" s="818" t="s">
        <v>708</v>
      </c>
      <c r="J32" s="834" t="s">
        <v>93</v>
      </c>
      <c r="K32" s="834" t="s">
        <v>136</v>
      </c>
      <c r="L32" s="831"/>
      <c r="M32" s="818" t="s">
        <v>736</v>
      </c>
      <c r="N32" s="818" t="s">
        <v>572</v>
      </c>
      <c r="O32" s="818" t="s">
        <v>708</v>
      </c>
      <c r="P32" s="834" t="s">
        <v>93</v>
      </c>
      <c r="Q32" s="834" t="s">
        <v>136</v>
      </c>
    </row>
    <row r="33" spans="1:17" ht="14" customHeight="1" x14ac:dyDescent="0.35">
      <c r="A33" s="783" t="s">
        <v>734</v>
      </c>
      <c r="B33" s="784"/>
      <c r="C33" s="788"/>
      <c r="D33" s="621"/>
      <c r="E33" s="784">
        <v>115000</v>
      </c>
      <c r="G33" s="783" t="s">
        <v>734</v>
      </c>
      <c r="H33" s="784"/>
      <c r="I33" s="788"/>
      <c r="J33" s="622"/>
      <c r="K33" s="784">
        <v>115000</v>
      </c>
      <c r="M33" s="783" t="s">
        <v>734</v>
      </c>
      <c r="N33" s="784"/>
      <c r="O33" s="788"/>
      <c r="P33" s="622"/>
      <c r="Q33" s="784">
        <v>115000</v>
      </c>
    </row>
    <row r="34" spans="1:17" ht="14" customHeight="1" x14ac:dyDescent="0.35">
      <c r="A34" s="783" t="s">
        <v>733</v>
      </c>
      <c r="B34" s="784"/>
      <c r="C34" s="788"/>
      <c r="D34" s="621"/>
      <c r="E34" s="784">
        <v>750000</v>
      </c>
      <c r="G34" s="783" t="s">
        <v>744</v>
      </c>
      <c r="H34" s="784"/>
      <c r="I34" s="788"/>
      <c r="J34" s="622"/>
      <c r="K34" s="784">
        <v>750000</v>
      </c>
      <c r="M34" s="783" t="s">
        <v>744</v>
      </c>
      <c r="N34" s="784"/>
      <c r="O34" s="788"/>
      <c r="P34" s="622"/>
      <c r="Q34" s="784">
        <v>750000</v>
      </c>
    </row>
    <row r="35" spans="1:17" ht="14" customHeight="1" x14ac:dyDescent="0.35">
      <c r="A35" s="783" t="s">
        <v>709</v>
      </c>
      <c r="B35" s="784"/>
      <c r="C35" s="788"/>
      <c r="D35" s="621"/>
      <c r="E35" s="784">
        <v>115000</v>
      </c>
      <c r="G35" s="783" t="s">
        <v>709</v>
      </c>
      <c r="H35" s="784"/>
      <c r="I35" s="788"/>
      <c r="J35" s="622"/>
      <c r="K35" s="784">
        <v>115000</v>
      </c>
      <c r="M35" s="783" t="s">
        <v>709</v>
      </c>
      <c r="N35" s="784"/>
      <c r="O35" s="788"/>
      <c r="P35" s="622"/>
      <c r="Q35" s="784">
        <v>115000</v>
      </c>
    </row>
    <row r="36" spans="1:17" ht="14" customHeight="1" x14ac:dyDescent="0.35">
      <c r="A36" s="783" t="s">
        <v>718</v>
      </c>
      <c r="B36" s="784">
        <v>4000000</v>
      </c>
      <c r="C36" s="788">
        <f>E36/B36</f>
        <v>1.1981250000000001</v>
      </c>
      <c r="D36" s="621"/>
      <c r="E36" s="784">
        <f>SUM(D37:D39)</f>
        <v>4792500</v>
      </c>
      <c r="G36" s="783" t="s">
        <v>718</v>
      </c>
      <c r="H36" s="784">
        <v>4000000</v>
      </c>
      <c r="I36" s="788">
        <v>0.25</v>
      </c>
      <c r="J36" s="622"/>
      <c r="K36" s="784">
        <f>H36*I36</f>
        <v>1000000</v>
      </c>
      <c r="M36" s="783" t="s">
        <v>718</v>
      </c>
      <c r="N36" s="784">
        <v>4000000</v>
      </c>
      <c r="O36" s="788">
        <v>0.5</v>
      </c>
      <c r="P36" s="622"/>
      <c r="Q36" s="784">
        <f>N36*O36</f>
        <v>2000000</v>
      </c>
    </row>
    <row r="37" spans="1:17" ht="14" customHeight="1" x14ac:dyDescent="0.35">
      <c r="A37" s="786" t="s">
        <v>732</v>
      </c>
      <c r="B37" s="787"/>
      <c r="C37" s="822"/>
      <c r="D37" s="787">
        <f>37500*23</f>
        <v>862500</v>
      </c>
      <c r="E37" s="621"/>
      <c r="G37" s="786"/>
      <c r="H37" s="787"/>
      <c r="I37" s="822"/>
      <c r="J37" s="787"/>
      <c r="K37" s="622"/>
      <c r="M37" s="786"/>
      <c r="N37" s="787"/>
      <c r="O37" s="822"/>
      <c r="P37" s="787"/>
      <c r="Q37" s="622"/>
    </row>
    <row r="38" spans="1:17" ht="14" customHeight="1" x14ac:dyDescent="0.35">
      <c r="A38" s="786" t="s">
        <v>715</v>
      </c>
      <c r="B38" s="787"/>
      <c r="C38" s="822"/>
      <c r="D38" s="787">
        <v>2530000</v>
      </c>
      <c r="E38" s="621"/>
      <c r="G38" s="786"/>
      <c r="H38" s="787"/>
      <c r="I38" s="822"/>
      <c r="J38" s="787"/>
      <c r="K38" s="622"/>
      <c r="M38" s="786"/>
      <c r="N38" s="787"/>
      <c r="O38" s="822"/>
      <c r="P38" s="787"/>
      <c r="Q38" s="622"/>
    </row>
    <row r="39" spans="1:17" ht="14" customHeight="1" x14ac:dyDescent="0.35">
      <c r="A39" s="786" t="s">
        <v>716</v>
      </c>
      <c r="B39" s="787"/>
      <c r="C39" s="822"/>
      <c r="D39" s="787">
        <v>1400000</v>
      </c>
      <c r="E39" s="621"/>
      <c r="G39" s="786"/>
      <c r="H39" s="787"/>
      <c r="I39" s="822"/>
      <c r="J39" s="787"/>
      <c r="K39" s="622"/>
      <c r="M39" s="786"/>
      <c r="N39" s="787"/>
      <c r="O39" s="822"/>
      <c r="P39" s="787"/>
      <c r="Q39" s="622"/>
    </row>
    <row r="40" spans="1:17" ht="14" customHeight="1" x14ac:dyDescent="0.35">
      <c r="A40" s="783" t="s">
        <v>731</v>
      </c>
      <c r="B40" s="623"/>
      <c r="C40" s="624"/>
      <c r="D40" s="621"/>
      <c r="E40" s="784">
        <v>110000</v>
      </c>
      <c r="G40" s="783" t="s">
        <v>731</v>
      </c>
      <c r="H40" s="623"/>
      <c r="I40" s="624"/>
      <c r="J40" s="622"/>
      <c r="K40" s="784">
        <v>110000</v>
      </c>
      <c r="M40" s="783" t="s">
        <v>731</v>
      </c>
      <c r="N40" s="623"/>
      <c r="O40" s="624"/>
      <c r="P40" s="622"/>
      <c r="Q40" s="784">
        <v>110000</v>
      </c>
    </row>
    <row r="41" spans="1:17" ht="14" customHeight="1" x14ac:dyDescent="0.35">
      <c r="A41" s="783" t="s">
        <v>730</v>
      </c>
      <c r="B41" s="766"/>
      <c r="C41" s="767"/>
      <c r="D41" s="621"/>
      <c r="E41" s="784">
        <v>500000</v>
      </c>
      <c r="G41" s="783" t="s">
        <v>730</v>
      </c>
      <c r="H41" s="766"/>
      <c r="I41" s="767"/>
      <c r="J41" s="622"/>
      <c r="K41" s="784">
        <v>500000</v>
      </c>
      <c r="M41" s="783" t="s">
        <v>730</v>
      </c>
      <c r="N41" s="766"/>
      <c r="O41" s="767"/>
      <c r="P41" s="622"/>
      <c r="Q41" s="784">
        <v>500000</v>
      </c>
    </row>
    <row r="42" spans="1:17" ht="14" customHeight="1" x14ac:dyDescent="0.35">
      <c r="A42" s="783" t="s">
        <v>729</v>
      </c>
      <c r="B42" s="766"/>
      <c r="C42" s="767"/>
      <c r="D42" s="621"/>
      <c r="E42" s="784">
        <v>450000</v>
      </c>
      <c r="G42" s="783" t="s">
        <v>729</v>
      </c>
      <c r="H42" s="766"/>
      <c r="I42" s="767"/>
      <c r="J42" s="622"/>
      <c r="K42" s="784">
        <v>450000</v>
      </c>
      <c r="M42" s="783" t="s">
        <v>729</v>
      </c>
      <c r="N42" s="766"/>
      <c r="O42" s="767"/>
      <c r="P42" s="622"/>
      <c r="Q42" s="784">
        <v>450000</v>
      </c>
    </row>
    <row r="43" spans="1:17" ht="14" customHeight="1" x14ac:dyDescent="0.35">
      <c r="A43" s="783" t="s">
        <v>726</v>
      </c>
      <c r="B43" s="783"/>
      <c r="C43" s="783"/>
      <c r="D43" s="621"/>
      <c r="E43" s="784">
        <v>115000</v>
      </c>
      <c r="G43" s="783" t="s">
        <v>726</v>
      </c>
      <c r="H43" s="783"/>
      <c r="I43" s="783"/>
      <c r="J43" s="622"/>
      <c r="K43" s="784">
        <v>115000</v>
      </c>
      <c r="M43" s="783" t="s">
        <v>726</v>
      </c>
      <c r="N43" s="783"/>
      <c r="O43" s="783"/>
      <c r="P43" s="622"/>
      <c r="Q43" s="784">
        <v>115000</v>
      </c>
    </row>
    <row r="44" spans="1:17" ht="14" customHeight="1" x14ac:dyDescent="0.35">
      <c r="A44" s="783" t="s">
        <v>727</v>
      </c>
      <c r="B44" s="783"/>
      <c r="C44" s="783"/>
      <c r="D44" s="621"/>
      <c r="E44" s="784">
        <v>115000</v>
      </c>
      <c r="G44" s="783" t="s">
        <v>727</v>
      </c>
      <c r="H44" s="783"/>
      <c r="I44" s="783"/>
      <c r="J44" s="622"/>
      <c r="K44" s="784">
        <v>115000</v>
      </c>
      <c r="M44" s="783" t="s">
        <v>727</v>
      </c>
      <c r="N44" s="783"/>
      <c r="O44" s="783"/>
      <c r="P44" s="622"/>
      <c r="Q44" s="784">
        <v>115000</v>
      </c>
    </row>
    <row r="45" spans="1:17" ht="14" customHeight="1" x14ac:dyDescent="0.35">
      <c r="A45" s="783" t="s">
        <v>728</v>
      </c>
      <c r="B45" s="783"/>
      <c r="C45" s="783"/>
      <c r="D45" s="621"/>
      <c r="E45" s="784">
        <v>750000</v>
      </c>
      <c r="G45" s="783" t="s">
        <v>728</v>
      </c>
      <c r="H45" s="783"/>
      <c r="I45" s="783"/>
      <c r="J45" s="622"/>
      <c r="K45" s="784">
        <v>750000</v>
      </c>
      <c r="M45" s="783" t="s">
        <v>728</v>
      </c>
      <c r="N45" s="783"/>
      <c r="O45" s="783"/>
      <c r="P45" s="622"/>
      <c r="Q45" s="784">
        <v>750000</v>
      </c>
    </row>
    <row r="46" spans="1:17" ht="14" customHeight="1" x14ac:dyDescent="0.4">
      <c r="A46" s="782" t="s">
        <v>448</v>
      </c>
      <c r="B46" s="792">
        <f>SUM(B33:B45)</f>
        <v>4000000</v>
      </c>
      <c r="C46" s="826"/>
      <c r="D46" s="792"/>
      <c r="E46" s="792">
        <f>SUM(E33:E45)</f>
        <v>7812500</v>
      </c>
      <c r="G46" s="782" t="s">
        <v>448</v>
      </c>
      <c r="H46" s="825"/>
      <c r="I46" s="826"/>
      <c r="J46" s="792"/>
      <c r="K46" s="792">
        <f>SUM(K33:K45)</f>
        <v>4020000</v>
      </c>
      <c r="M46" s="782" t="s">
        <v>448</v>
      </c>
      <c r="N46" s="825"/>
      <c r="O46" s="826"/>
      <c r="P46" s="792"/>
      <c r="Q46" s="792">
        <f>SUM(Q33:Q45)</f>
        <v>5020000</v>
      </c>
    </row>
    <row r="47" spans="1:17" ht="14" customHeight="1" x14ac:dyDescent="0.35">
      <c r="A47" s="783"/>
      <c r="B47" s="783"/>
      <c r="C47" s="783"/>
      <c r="D47" s="783"/>
      <c r="E47" s="787"/>
      <c r="G47" s="783"/>
      <c r="H47" s="783"/>
      <c r="I47" s="783"/>
      <c r="J47" s="783"/>
      <c r="K47" s="787"/>
      <c r="M47" s="783"/>
      <c r="N47" s="783"/>
      <c r="O47" s="783"/>
      <c r="P47" s="783"/>
      <c r="Q47" s="787"/>
    </row>
    <row r="48" spans="1:17" ht="14" customHeight="1" x14ac:dyDescent="0.35">
      <c r="A48" s="829" t="s">
        <v>759</v>
      </c>
      <c r="B48" s="829"/>
      <c r="C48" s="829"/>
      <c r="D48" s="835" t="s">
        <v>757</v>
      </c>
      <c r="E48" s="835" t="s">
        <v>758</v>
      </c>
      <c r="G48" s="829" t="s">
        <v>777</v>
      </c>
      <c r="H48" s="829"/>
      <c r="I48" s="829"/>
      <c r="J48" s="835" t="s">
        <v>757</v>
      </c>
      <c r="K48" s="835" t="s">
        <v>758</v>
      </c>
      <c r="M48" s="829" t="s">
        <v>778</v>
      </c>
      <c r="N48" s="829"/>
      <c r="O48" s="829"/>
      <c r="P48" s="835" t="s">
        <v>757</v>
      </c>
      <c r="Q48" s="835" t="s">
        <v>758</v>
      </c>
    </row>
    <row r="49" spans="1:17" ht="14" customHeight="1" x14ac:dyDescent="0.35">
      <c r="A49" s="813" t="s">
        <v>753</v>
      </c>
      <c r="B49" s="813"/>
      <c r="C49" s="813"/>
      <c r="D49" s="785">
        <f>D9+E46</f>
        <v>35977286</v>
      </c>
      <c r="E49" s="792">
        <f>E9+E29</f>
        <v>34589084.450000003</v>
      </c>
      <c r="G49" s="813" t="s">
        <v>753</v>
      </c>
      <c r="H49" s="813"/>
      <c r="I49" s="813"/>
      <c r="J49" s="785">
        <f>$J$9+$K$46</f>
        <v>7926000</v>
      </c>
      <c r="K49" s="792">
        <f>$K$9+$K$29</f>
        <v>7693500</v>
      </c>
      <c r="M49" s="798" t="s">
        <v>764</v>
      </c>
      <c r="N49" s="798"/>
      <c r="O49" s="798"/>
      <c r="P49" s="785">
        <f>P11+Q46</f>
        <v>44573393.361249998</v>
      </c>
      <c r="Q49" s="792">
        <f>Q11+Q29</f>
        <v>46407393.361249998</v>
      </c>
    </row>
    <row r="50" spans="1:17" ht="14" customHeight="1" x14ac:dyDescent="0.35">
      <c r="A50" s="814" t="s">
        <v>754</v>
      </c>
      <c r="B50" s="814"/>
      <c r="C50" s="814"/>
      <c r="D50" s="787">
        <f>D49/6</f>
        <v>5996214.333333333</v>
      </c>
      <c r="E50" s="787">
        <f>E49/6</f>
        <v>5764847.4083333341</v>
      </c>
      <c r="G50" s="814" t="s">
        <v>754</v>
      </c>
      <c r="H50" s="814"/>
      <c r="I50" s="814"/>
      <c r="J50" s="787">
        <f>J49/6</f>
        <v>1321000</v>
      </c>
      <c r="K50" s="787">
        <f>K49/6</f>
        <v>1282250</v>
      </c>
      <c r="M50" s="814" t="s">
        <v>754</v>
      </c>
      <c r="N50" s="814"/>
      <c r="O50" s="814"/>
      <c r="P50" s="787">
        <f>P49/6</f>
        <v>7428898.8935416667</v>
      </c>
      <c r="Q50" s="787">
        <f>Q49/6</f>
        <v>7734565.5602083327</v>
      </c>
    </row>
    <row r="51" spans="1:17" ht="14" customHeight="1" x14ac:dyDescent="0.35">
      <c r="A51" s="816" t="s">
        <v>739</v>
      </c>
      <c r="B51" s="816"/>
      <c r="C51" s="816"/>
      <c r="D51" s="801">
        <v>647241570</v>
      </c>
      <c r="E51" s="801">
        <v>647241570</v>
      </c>
      <c r="G51" s="816" t="s">
        <v>739</v>
      </c>
      <c r="H51" s="816"/>
      <c r="I51" s="816"/>
      <c r="J51" s="801">
        <v>647241570</v>
      </c>
      <c r="K51" s="801">
        <v>647241570</v>
      </c>
      <c r="M51" s="816" t="s">
        <v>739</v>
      </c>
      <c r="N51" s="816"/>
      <c r="O51" s="816"/>
      <c r="P51" s="801">
        <v>647241570</v>
      </c>
      <c r="Q51" s="801">
        <v>647241570</v>
      </c>
    </row>
    <row r="52" spans="1:17" ht="14" customHeight="1" x14ac:dyDescent="0.35">
      <c r="A52" s="816" t="s">
        <v>740</v>
      </c>
      <c r="B52" s="816"/>
      <c r="C52" s="816"/>
      <c r="D52" s="795">
        <f>D49/D51</f>
        <v>5.5585561353854326E-2</v>
      </c>
      <c r="E52" s="795">
        <f>E49/E51</f>
        <v>5.3440764705517917E-2</v>
      </c>
      <c r="G52" s="816" t="s">
        <v>740</v>
      </c>
      <c r="H52" s="816"/>
      <c r="I52" s="816"/>
      <c r="J52" s="795">
        <f>J49/J51</f>
        <v>1.2245814186502267E-2</v>
      </c>
      <c r="K52" s="795">
        <f>K49/K51</f>
        <v>1.1886597456958768E-2</v>
      </c>
      <c r="M52" s="816" t="s">
        <v>740</v>
      </c>
      <c r="N52" s="816"/>
      <c r="O52" s="816"/>
      <c r="P52" s="795">
        <f>P49/P51</f>
        <v>6.8866703603802829E-2</v>
      </c>
      <c r="Q52" s="795">
        <f>Q49/Q51</f>
        <v>7.1700266967169607E-2</v>
      </c>
    </row>
    <row r="53" spans="1:17" ht="14" customHeight="1" x14ac:dyDescent="0.35">
      <c r="A53" s="815" t="s">
        <v>766</v>
      </c>
      <c r="B53" s="815"/>
      <c r="C53" s="815"/>
      <c r="D53" s="794">
        <v>405036764.5</v>
      </c>
      <c r="E53" s="794">
        <v>405036764.5</v>
      </c>
      <c r="G53" s="815" t="s">
        <v>681</v>
      </c>
      <c r="H53" s="815"/>
      <c r="I53" s="815"/>
      <c r="J53" s="794">
        <v>405036764.5</v>
      </c>
      <c r="K53" s="794">
        <v>405036764.5</v>
      </c>
      <c r="M53" s="815" t="s">
        <v>681</v>
      </c>
      <c r="N53" s="815"/>
      <c r="O53" s="815"/>
      <c r="P53" s="794">
        <v>405036764.5</v>
      </c>
      <c r="Q53" s="794">
        <v>405036764.5</v>
      </c>
    </row>
    <row r="54" spans="1:17" ht="14" customHeight="1" x14ac:dyDescent="0.35">
      <c r="A54" s="816" t="s">
        <v>776</v>
      </c>
      <c r="B54" s="816"/>
      <c r="C54" s="816"/>
      <c r="D54" s="795">
        <f>D49/D53</f>
        <v>8.8824741735265361E-2</v>
      </c>
      <c r="E54" s="795">
        <f>E49/E53</f>
        <v>8.5397394709832583E-2</v>
      </c>
      <c r="G54" s="799" t="s">
        <v>767</v>
      </c>
      <c r="H54" s="799"/>
      <c r="I54" s="799"/>
      <c r="J54" s="795">
        <f>J49/J53</f>
        <v>1.9568594001051477E-2</v>
      </c>
      <c r="K54" s="795">
        <f>K49/K53</f>
        <v>1.8994572034707235E-2</v>
      </c>
      <c r="M54" s="799" t="s">
        <v>767</v>
      </c>
      <c r="N54" s="799"/>
      <c r="O54" s="799"/>
      <c r="P54" s="795">
        <f>P49/P53</f>
        <v>0.11004777162950599</v>
      </c>
      <c r="Q54" s="795">
        <f>Q49/Q53</f>
        <v>0.11457575565649671</v>
      </c>
    </row>
    <row r="55" spans="1:17" s="622" customFormat="1" ht="14" customHeight="1" x14ac:dyDescent="0.35">
      <c r="F55" s="830"/>
      <c r="G55" s="765"/>
      <c r="H55" s="765"/>
      <c r="I55" s="765"/>
      <c r="J55" s="765"/>
      <c r="K55" s="765"/>
      <c r="L55" s="831"/>
    </row>
    <row r="56" spans="1:17" ht="14" customHeight="1" x14ac:dyDescent="0.35">
      <c r="A56" s="621"/>
      <c r="G56" s="836" t="s">
        <v>763</v>
      </c>
      <c r="H56" s="836"/>
      <c r="I56" s="836"/>
      <c r="J56" s="835" t="s">
        <v>757</v>
      </c>
      <c r="K56" s="835" t="s">
        <v>758</v>
      </c>
      <c r="M56" s="836" t="s">
        <v>765</v>
      </c>
      <c r="N56" s="836"/>
      <c r="O56" s="836"/>
      <c r="P56" s="835" t="s">
        <v>757</v>
      </c>
      <c r="Q56" s="835" t="s">
        <v>758</v>
      </c>
    </row>
    <row r="57" spans="1:17" ht="14" customHeight="1" x14ac:dyDescent="0.35">
      <c r="A57" s="621"/>
      <c r="D57" s="784"/>
      <c r="G57" s="798" t="s">
        <v>764</v>
      </c>
      <c r="H57" s="798"/>
      <c r="I57" s="798"/>
      <c r="J57" s="785">
        <f>$J$9+$K$46</f>
        <v>7926000</v>
      </c>
      <c r="K57" s="792">
        <f>$K$9+$K$29</f>
        <v>7693500</v>
      </c>
      <c r="M57" s="815" t="s">
        <v>783</v>
      </c>
      <c r="N57" s="815"/>
      <c r="O57" s="815"/>
      <c r="P57" s="801">
        <v>91079999.999999985</v>
      </c>
      <c r="Q57" s="801">
        <v>91079999.999999985</v>
      </c>
    </row>
    <row r="58" spans="1:17" ht="14" customHeight="1" x14ac:dyDescent="0.35">
      <c r="A58" s="621"/>
      <c r="D58" s="837"/>
      <c r="G58" s="814" t="s">
        <v>754</v>
      </c>
      <c r="H58" s="814"/>
      <c r="I58" s="814"/>
      <c r="J58" s="787">
        <f>J57/6</f>
        <v>1321000</v>
      </c>
      <c r="K58" s="787">
        <f>K57/6</f>
        <v>1282250</v>
      </c>
      <c r="M58" s="769" t="s">
        <v>702</v>
      </c>
      <c r="N58" s="769"/>
      <c r="O58" s="769"/>
      <c r="P58" s="839">
        <f>P57*10.5%</f>
        <v>9563399.9999999981</v>
      </c>
      <c r="Q58" s="839">
        <f>Q57*10.5%</f>
        <v>9563399.9999999981</v>
      </c>
    </row>
    <row r="59" spans="1:17" ht="14" customHeight="1" x14ac:dyDescent="0.35">
      <c r="A59" s="621"/>
      <c r="G59" s="816" t="s">
        <v>768</v>
      </c>
      <c r="H59" s="816"/>
      <c r="I59" s="816"/>
      <c r="J59" s="801">
        <f>Norway!$B$29*6</f>
        <v>590775900</v>
      </c>
      <c r="K59" s="801">
        <f>Norway!$B$29*6</f>
        <v>590775900</v>
      </c>
      <c r="M59" s="798" t="s">
        <v>785</v>
      </c>
      <c r="N59" s="798"/>
      <c r="O59" s="798"/>
      <c r="P59" s="792">
        <f>$P$58+$Q$46</f>
        <v>14583399.999999998</v>
      </c>
      <c r="Q59" s="792">
        <f>$P$58+$Q$29</f>
        <v>16417399.999999998</v>
      </c>
    </row>
    <row r="60" spans="1:17" ht="14" customHeight="1" x14ac:dyDescent="0.35">
      <c r="A60" s="621"/>
      <c r="G60" s="820" t="s">
        <v>760</v>
      </c>
      <c r="H60" s="820"/>
      <c r="I60" s="820"/>
      <c r="J60" s="795">
        <f>J57/J59</f>
        <v>1.3416254793061124E-2</v>
      </c>
      <c r="K60" s="795">
        <f>K57/K59</f>
        <v>1.3022704548374434E-2</v>
      </c>
      <c r="M60" s="814" t="s">
        <v>754</v>
      </c>
      <c r="N60" s="814"/>
      <c r="O60" s="814"/>
      <c r="P60" s="787">
        <f>P59/6</f>
        <v>2430566.6666666665</v>
      </c>
      <c r="Q60" s="787">
        <f>Q59/6</f>
        <v>2736233.333333333</v>
      </c>
    </row>
    <row r="61" spans="1:17" ht="14" customHeight="1" x14ac:dyDescent="0.35">
      <c r="A61" s="621"/>
      <c r="G61" s="815" t="s">
        <v>766</v>
      </c>
      <c r="H61" s="815"/>
      <c r="I61" s="815"/>
      <c r="J61" s="794">
        <v>110229999.99999999</v>
      </c>
      <c r="K61" s="794">
        <v>110229999.99999999</v>
      </c>
      <c r="M61" s="816" t="s">
        <v>781</v>
      </c>
      <c r="N61" s="816"/>
      <c r="O61" s="816"/>
      <c r="P61" s="801">
        <f>Australia!$B$25*6</f>
        <v>540257280</v>
      </c>
      <c r="Q61" s="801">
        <f>Australia!$B$25*6</f>
        <v>540257280</v>
      </c>
    </row>
    <row r="62" spans="1:17" ht="14" customHeight="1" x14ac:dyDescent="0.35">
      <c r="A62" s="621"/>
      <c r="G62" s="799" t="s">
        <v>761</v>
      </c>
      <c r="H62" s="799"/>
      <c r="I62" s="799"/>
      <c r="J62" s="795">
        <f>J57/J61</f>
        <v>7.1904200308445992E-2</v>
      </c>
      <c r="K62" s="795">
        <f>K57/K61</f>
        <v>6.9794974144969615E-2</v>
      </c>
      <c r="M62" s="816" t="s">
        <v>779</v>
      </c>
      <c r="N62" s="816"/>
      <c r="O62" s="816"/>
      <c r="P62" s="795">
        <f>Q59/P61</f>
        <v>3.0388114344336088E-2</v>
      </c>
      <c r="Q62" s="795">
        <f>P59/Q61</f>
        <v>2.6993435423952081E-2</v>
      </c>
    </row>
    <row r="63" spans="1:17" ht="14" customHeight="1" x14ac:dyDescent="0.35">
      <c r="A63" s="621"/>
      <c r="G63" s="796"/>
      <c r="H63" s="796"/>
      <c r="I63" s="796"/>
      <c r="J63" s="796"/>
      <c r="K63" s="796"/>
      <c r="M63" s="815" t="s">
        <v>766</v>
      </c>
      <c r="N63" s="815"/>
      <c r="O63" s="815"/>
      <c r="P63" s="794">
        <v>110229999.99999999</v>
      </c>
      <c r="Q63" s="794">
        <v>110229999.99999999</v>
      </c>
    </row>
    <row r="64" spans="1:17" ht="14" customHeight="1" x14ac:dyDescent="0.35">
      <c r="M64" s="799" t="s">
        <v>780</v>
      </c>
      <c r="N64" s="799"/>
      <c r="O64" s="799"/>
      <c r="P64" s="795">
        <f>Q59/P63</f>
        <v>0.14893767576884695</v>
      </c>
      <c r="Q64" s="795">
        <v>0.10249999999999999</v>
      </c>
    </row>
    <row r="66" spans="10:17" ht="14" customHeight="1" x14ac:dyDescent="0.35">
      <c r="J66" s="838"/>
      <c r="M66" s="836" t="s">
        <v>802</v>
      </c>
      <c r="N66" s="836"/>
      <c r="O66" s="836"/>
      <c r="P66" s="877" t="s">
        <v>757</v>
      </c>
      <c r="Q66" s="877" t="s">
        <v>758</v>
      </c>
    </row>
    <row r="67" spans="10:17" ht="14" customHeight="1" x14ac:dyDescent="0.35">
      <c r="M67" s="816" t="s">
        <v>781</v>
      </c>
      <c r="N67" s="816"/>
      <c r="O67" s="816"/>
      <c r="P67" s="801">
        <f>Australia!$B$25*6</f>
        <v>540257280</v>
      </c>
      <c r="Q67" s="801">
        <f>Australia!$B$25*6</f>
        <v>540257280</v>
      </c>
    </row>
    <row r="68" spans="10:17" ht="14" customHeight="1" x14ac:dyDescent="0.35">
      <c r="M68" s="815" t="s">
        <v>766</v>
      </c>
      <c r="N68" s="815"/>
      <c r="O68" s="815"/>
      <c r="P68" s="794">
        <v>110229999.99999999</v>
      </c>
      <c r="Q68" s="794">
        <v>110229999.99999999</v>
      </c>
    </row>
    <row r="69" spans="10:17" ht="14" customHeight="1" x14ac:dyDescent="0.35">
      <c r="M69" s="816" t="s">
        <v>803</v>
      </c>
      <c r="N69" s="816"/>
      <c r="O69" s="816"/>
      <c r="P69" s="795">
        <f>P68/P67</f>
        <v>0.20403241951686424</v>
      </c>
      <c r="Q69" s="795">
        <f>Q68/Q67</f>
        <v>0.20403241951686424</v>
      </c>
    </row>
    <row r="70" spans="10:17" ht="14" customHeight="1" x14ac:dyDescent="0.35">
      <c r="M70" s="878" t="s">
        <v>804</v>
      </c>
      <c r="N70" s="878"/>
      <c r="O70" s="878"/>
      <c r="P70" s="879">
        <v>647241570</v>
      </c>
      <c r="Q70" s="879">
        <v>647241570</v>
      </c>
    </row>
    <row r="71" spans="10:17" ht="14" customHeight="1" x14ac:dyDescent="0.35">
      <c r="M71" s="880" t="s">
        <v>805</v>
      </c>
      <c r="N71" s="880"/>
      <c r="O71" s="880"/>
      <c r="P71" s="881">
        <f>P69*P70</f>
        <v>132058263.53899385</v>
      </c>
      <c r="Q71" s="881">
        <f>Q69*Q70</f>
        <v>132058263.53899385</v>
      </c>
    </row>
    <row r="72" spans="10:17" ht="14" customHeight="1" x14ac:dyDescent="0.35">
      <c r="M72" s="803" t="s">
        <v>806</v>
      </c>
      <c r="N72" s="803"/>
      <c r="O72" s="803"/>
      <c r="P72" s="844">
        <v>0.10249999999999999</v>
      </c>
      <c r="Q72" s="844">
        <v>0.10249999999999999</v>
      </c>
    </row>
    <row r="73" spans="10:17" ht="14" customHeight="1" x14ac:dyDescent="0.35">
      <c r="M73" s="769" t="s">
        <v>807</v>
      </c>
      <c r="N73" s="769"/>
      <c r="O73" s="769"/>
      <c r="P73" s="838">
        <f>P71*P72</f>
        <v>13535972.012746869</v>
      </c>
      <c r="Q73" s="838">
        <f>Q71*Q72</f>
        <v>13535972.012746869</v>
      </c>
    </row>
    <row r="74" spans="10:17" ht="14" customHeight="1" x14ac:dyDescent="0.35">
      <c r="M74" s="769" t="s">
        <v>808</v>
      </c>
      <c r="N74" s="769"/>
      <c r="O74" s="769"/>
      <c r="P74" s="784">
        <v>5020000</v>
      </c>
      <c r="Q74" s="784">
        <v>6854000</v>
      </c>
    </row>
    <row r="75" spans="10:17" ht="14" customHeight="1" x14ac:dyDescent="0.35">
      <c r="M75" s="798" t="s">
        <v>809</v>
      </c>
      <c r="N75" s="798"/>
      <c r="O75" s="798"/>
      <c r="P75" s="882">
        <f>P73+P74</f>
        <v>18555972.012746871</v>
      </c>
      <c r="Q75" s="882">
        <f>Q73+Q74</f>
        <v>20389972.012746871</v>
      </c>
    </row>
    <row r="76" spans="10:17" ht="14" customHeight="1" x14ac:dyDescent="0.35">
      <c r="M76" s="769"/>
      <c r="N76" s="769"/>
      <c r="O76" s="769"/>
      <c r="P76" s="783"/>
      <c r="Q76" s="783"/>
    </row>
    <row r="77" spans="10:17" ht="14" customHeight="1" x14ac:dyDescent="0.35">
      <c r="M77" s="769"/>
      <c r="N77" s="769"/>
      <c r="O77" s="769"/>
      <c r="Q77" s="783"/>
    </row>
    <row r="78" spans="10:17" ht="14" customHeight="1" x14ac:dyDescent="0.35">
      <c r="M78" s="769"/>
      <c r="N78" s="769"/>
      <c r="O78" s="769"/>
      <c r="P78" s="783"/>
      <c r="Q78" s="783"/>
    </row>
    <row r="79" spans="10:17" ht="14" customHeight="1" x14ac:dyDescent="0.35">
      <c r="M79" s="769"/>
      <c r="N79" s="769"/>
      <c r="O79" s="769"/>
      <c r="P79" s="783"/>
      <c r="Q79" s="783"/>
    </row>
    <row r="80" spans="10:17" ht="14" customHeight="1" x14ac:dyDescent="0.35">
      <c r="M80" s="769"/>
      <c r="N80" s="769"/>
      <c r="O80" s="769"/>
      <c r="P80" s="783"/>
      <c r="Q80" s="783"/>
    </row>
    <row r="81" spans="13:17" ht="14" customHeight="1" x14ac:dyDescent="0.35">
      <c r="M81" s="769"/>
      <c r="N81" s="769"/>
      <c r="O81" s="769"/>
      <c r="P81" s="783"/>
      <c r="Q81" s="783"/>
    </row>
    <row r="82" spans="13:17" ht="14" customHeight="1" x14ac:dyDescent="0.35">
      <c r="M82" s="769"/>
      <c r="N82" s="769"/>
      <c r="O82" s="769"/>
      <c r="P82" s="783"/>
      <c r="Q82" s="783"/>
    </row>
    <row r="83" spans="13:17" ht="14" customHeight="1" x14ac:dyDescent="0.35">
      <c r="M83" s="625"/>
      <c r="N83" s="625"/>
      <c r="O83" s="625"/>
    </row>
    <row r="84" spans="13:17" ht="14" customHeight="1" x14ac:dyDescent="0.35">
      <c r="M84" s="625"/>
      <c r="N84" s="625"/>
      <c r="O84" s="625"/>
    </row>
    <row r="85" spans="13:17" ht="14" customHeight="1" x14ac:dyDescent="0.35">
      <c r="M85" s="625"/>
      <c r="N85" s="625"/>
      <c r="O85" s="625"/>
    </row>
  </sheetData>
  <mergeCells count="98">
    <mergeCell ref="M81:O81"/>
    <mergeCell ref="M82:O82"/>
    <mergeCell ref="M83:O83"/>
    <mergeCell ref="M84:O84"/>
    <mergeCell ref="M85:O85"/>
    <mergeCell ref="M76:O76"/>
    <mergeCell ref="M77:O77"/>
    <mergeCell ref="M78:O78"/>
    <mergeCell ref="M79:O79"/>
    <mergeCell ref="M80:O80"/>
    <mergeCell ref="M71:O71"/>
    <mergeCell ref="M72:O72"/>
    <mergeCell ref="M73:O73"/>
    <mergeCell ref="M74:O74"/>
    <mergeCell ref="M75:O75"/>
    <mergeCell ref="M66:O66"/>
    <mergeCell ref="M67:O67"/>
    <mergeCell ref="M68:O68"/>
    <mergeCell ref="M69:O69"/>
    <mergeCell ref="M70:O70"/>
    <mergeCell ref="M60:O60"/>
    <mergeCell ref="M61:O61"/>
    <mergeCell ref="M57:O57"/>
    <mergeCell ref="M58:O58"/>
    <mergeCell ref="M63:O63"/>
    <mergeCell ref="M64:O64"/>
    <mergeCell ref="G62:I62"/>
    <mergeCell ref="G63:K63"/>
    <mergeCell ref="G56:I56"/>
    <mergeCell ref="M56:O56"/>
    <mergeCell ref="M62:O62"/>
    <mergeCell ref="G58:I58"/>
    <mergeCell ref="G59:I59"/>
    <mergeCell ref="G61:I61"/>
    <mergeCell ref="M52:O52"/>
    <mergeCell ref="A1:Q1"/>
    <mergeCell ref="G15:K15"/>
    <mergeCell ref="M15:Q15"/>
    <mergeCell ref="G57:I57"/>
    <mergeCell ref="M59:O59"/>
    <mergeCell ref="A53:C53"/>
    <mergeCell ref="A54:C54"/>
    <mergeCell ref="G53:I53"/>
    <mergeCell ref="G54:I54"/>
    <mergeCell ref="M53:O53"/>
    <mergeCell ref="M54:O54"/>
    <mergeCell ref="G8:I8"/>
    <mergeCell ref="M8:O8"/>
    <mergeCell ref="M30:Q30"/>
    <mergeCell ref="M48:O48"/>
    <mergeCell ref="M49:O49"/>
    <mergeCell ref="M50:O50"/>
    <mergeCell ref="M51:O51"/>
    <mergeCell ref="M11:O11"/>
    <mergeCell ref="M12:O12"/>
    <mergeCell ref="M13:O13"/>
    <mergeCell ref="M9:O9"/>
    <mergeCell ref="M10:O10"/>
    <mergeCell ref="M3:Q3"/>
    <mergeCell ref="M4:Q4"/>
    <mergeCell ref="M5:Q5"/>
    <mergeCell ref="M6:Q6"/>
    <mergeCell ref="M7:Q7"/>
    <mergeCell ref="G50:I50"/>
    <mergeCell ref="G51:I51"/>
    <mergeCell ref="G52:I52"/>
    <mergeCell ref="A50:C50"/>
    <mergeCell ref="A51:C51"/>
    <mergeCell ref="A52:C52"/>
    <mergeCell ref="G13:I13"/>
    <mergeCell ref="A12:C12"/>
    <mergeCell ref="G12:I12"/>
    <mergeCell ref="A48:C48"/>
    <mergeCell ref="A49:C49"/>
    <mergeCell ref="G30:K30"/>
    <mergeCell ref="G48:I48"/>
    <mergeCell ref="G49:I49"/>
    <mergeCell ref="A30:E30"/>
    <mergeCell ref="A11:C11"/>
    <mergeCell ref="A3:E3"/>
    <mergeCell ref="A4:E4"/>
    <mergeCell ref="A5:E5"/>
    <mergeCell ref="A6:E6"/>
    <mergeCell ref="A7:E7"/>
    <mergeCell ref="A8:C8"/>
    <mergeCell ref="A9:C9"/>
    <mergeCell ref="G3:K3"/>
    <mergeCell ref="G4:K4"/>
    <mergeCell ref="G5:K5"/>
    <mergeCell ref="G6:K6"/>
    <mergeCell ref="G9:I9"/>
    <mergeCell ref="G10:I10"/>
    <mergeCell ref="G14:I14"/>
    <mergeCell ref="A10:C10"/>
    <mergeCell ref="A13:C13"/>
    <mergeCell ref="A14:C14"/>
    <mergeCell ref="A15:E15"/>
    <mergeCell ref="G11:I1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1"/>
  <sheetViews>
    <sheetView topLeftCell="A29" workbookViewId="0">
      <selection activeCell="P53" sqref="P53"/>
    </sheetView>
  </sheetViews>
  <sheetFormatPr defaultColWidth="14.3984375" defaultRowHeight="15" customHeight="1" x14ac:dyDescent="0.35"/>
  <cols>
    <col min="1" max="1" width="18.73046875" customWidth="1"/>
    <col min="2" max="2" width="8.3984375" customWidth="1"/>
    <col min="3" max="3" width="0.3984375" customWidth="1"/>
    <col min="4" max="4" width="11.86328125" customWidth="1"/>
    <col min="5" max="5" width="8.86328125" customWidth="1"/>
    <col min="6" max="6" width="0.3984375" customWidth="1"/>
    <col min="7" max="7" width="11.86328125" customWidth="1"/>
    <col min="8" max="8" width="10.6640625" customWidth="1"/>
    <col min="9" max="9" width="10.86328125" customWidth="1"/>
    <col min="10" max="10" width="11.86328125" customWidth="1"/>
    <col min="11" max="11" width="0.3984375" customWidth="1"/>
    <col min="12" max="12" width="11.86328125" customWidth="1"/>
    <col min="13" max="13" width="10.3984375" customWidth="1"/>
    <col min="14" max="14" width="11.1328125" customWidth="1"/>
    <col min="15" max="15" width="0.53125" customWidth="1"/>
    <col min="16" max="16" width="12.73046875" customWidth="1"/>
    <col min="17" max="17" width="10" customWidth="1"/>
    <col min="18" max="18" width="9.265625" customWidth="1"/>
    <col min="19" max="19" width="11.86328125" customWidth="1"/>
    <col min="20" max="20" width="9.73046875" customWidth="1"/>
    <col min="21" max="21" width="5.73046875" customWidth="1"/>
  </cols>
  <sheetData>
    <row r="1" spans="1:21" s="417" customFormat="1" ht="27" customHeight="1" x14ac:dyDescent="0.55000000000000004">
      <c r="A1" s="658" t="s">
        <v>425</v>
      </c>
      <c r="B1" s="658"/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</row>
    <row r="2" spans="1:21" ht="16.5" customHeight="1" x14ac:dyDescent="0.35">
      <c r="A2" s="659" t="s">
        <v>426</v>
      </c>
      <c r="B2" s="660"/>
      <c r="C2" s="1"/>
      <c r="D2" s="666" t="s">
        <v>429</v>
      </c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11"/>
    </row>
    <row r="3" spans="1:21" ht="16.5" customHeight="1" x14ac:dyDescent="0.35">
      <c r="A3" s="659" t="s">
        <v>428</v>
      </c>
      <c r="B3" s="660"/>
      <c r="C3" s="13"/>
      <c r="D3" s="666" t="s">
        <v>427</v>
      </c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11"/>
    </row>
    <row r="4" spans="1:21" ht="15" customHeight="1" x14ac:dyDescent="0.4">
      <c r="A4" s="663" t="s">
        <v>430</v>
      </c>
      <c r="B4" s="663"/>
      <c r="C4" s="663"/>
      <c r="D4" s="663"/>
      <c r="E4" s="663"/>
      <c r="F4" s="663"/>
      <c r="G4" s="663"/>
      <c r="H4" s="664" t="s">
        <v>432</v>
      </c>
      <c r="I4" s="665"/>
      <c r="J4" s="665"/>
      <c r="K4" s="665"/>
      <c r="L4" s="665"/>
      <c r="M4" s="665"/>
      <c r="N4" s="662" t="s">
        <v>431</v>
      </c>
      <c r="O4" s="662"/>
      <c r="P4" s="662"/>
      <c r="Q4" s="662"/>
      <c r="R4" s="662"/>
      <c r="S4" s="662"/>
      <c r="T4" s="662"/>
      <c r="U4" s="11"/>
    </row>
    <row r="5" spans="1:21" ht="6.75" customHeight="1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6"/>
      <c r="R5" s="18"/>
      <c r="S5" s="16"/>
      <c r="T5" s="18"/>
      <c r="U5" s="11"/>
    </row>
    <row r="6" spans="1:21" ht="18.75" customHeight="1" x14ac:dyDescent="0.35">
      <c r="A6" s="668" t="s">
        <v>424</v>
      </c>
      <c r="B6" s="645"/>
      <c r="C6" s="645"/>
      <c r="D6" s="645"/>
      <c r="E6" s="645"/>
      <c r="F6" s="645"/>
      <c r="G6" s="645"/>
      <c r="H6" s="645"/>
      <c r="I6" s="645"/>
      <c r="J6" s="645"/>
      <c r="K6" s="645"/>
      <c r="L6" s="645"/>
      <c r="M6" s="645"/>
      <c r="N6" s="645"/>
      <c r="O6" s="645"/>
      <c r="P6" s="645"/>
      <c r="Q6" s="645"/>
      <c r="R6" s="645"/>
      <c r="S6" s="645"/>
      <c r="T6" s="646"/>
      <c r="U6" s="23"/>
    </row>
    <row r="7" spans="1:21" ht="13.5" customHeight="1" x14ac:dyDescent="0.35">
      <c r="A7" s="24" t="s">
        <v>2</v>
      </c>
      <c r="B7" s="26"/>
      <c r="C7" s="29"/>
      <c r="D7" s="30" t="s">
        <v>3</v>
      </c>
      <c r="E7" s="31"/>
      <c r="F7" s="33"/>
      <c r="G7" s="24" t="s">
        <v>4</v>
      </c>
      <c r="H7" s="26"/>
      <c r="I7" s="26" t="s">
        <v>6</v>
      </c>
      <c r="J7" s="26" t="s">
        <v>7</v>
      </c>
      <c r="K7" s="34"/>
      <c r="L7" s="36" t="s">
        <v>8</v>
      </c>
      <c r="M7" s="37"/>
      <c r="N7" s="37" t="s">
        <v>10</v>
      </c>
      <c r="O7" s="38"/>
      <c r="P7" s="24" t="s">
        <v>11</v>
      </c>
      <c r="Q7" s="647" t="s">
        <v>12</v>
      </c>
      <c r="R7" s="635"/>
      <c r="S7" s="647" t="s">
        <v>13</v>
      </c>
      <c r="T7" s="635"/>
      <c r="U7" s="41"/>
    </row>
    <row r="8" spans="1:21" ht="13.5" customHeight="1" x14ac:dyDescent="0.35">
      <c r="A8" s="43" t="s">
        <v>14</v>
      </c>
      <c r="B8" s="44">
        <v>100000</v>
      </c>
      <c r="C8" s="45"/>
      <c r="D8" s="43" t="s">
        <v>15</v>
      </c>
      <c r="E8" s="44">
        <v>8500</v>
      </c>
      <c r="F8" s="33"/>
      <c r="G8" s="47" t="s">
        <v>16</v>
      </c>
      <c r="H8" s="423"/>
      <c r="I8" s="423"/>
      <c r="J8" s="423"/>
      <c r="K8" s="45"/>
      <c r="L8" s="47" t="s">
        <v>18</v>
      </c>
      <c r="M8" s="50"/>
      <c r="N8" s="44">
        <v>3000</v>
      </c>
      <c r="O8" s="38"/>
      <c r="P8" s="43" t="s">
        <v>19</v>
      </c>
      <c r="Q8" s="44">
        <v>37500</v>
      </c>
      <c r="R8" s="120"/>
      <c r="S8" s="44">
        <v>25000</v>
      </c>
      <c r="T8" s="120"/>
      <c r="U8" s="41"/>
    </row>
    <row r="9" spans="1:21" ht="13.5" customHeight="1" x14ac:dyDescent="0.35">
      <c r="A9" s="43" t="s">
        <v>20</v>
      </c>
      <c r="B9" s="44">
        <v>100000</v>
      </c>
      <c r="C9" s="45"/>
      <c r="D9" s="43" t="s">
        <v>21</v>
      </c>
      <c r="E9" s="44">
        <v>6500</v>
      </c>
      <c r="F9" s="33"/>
      <c r="G9" s="54" t="s">
        <v>22</v>
      </c>
      <c r="H9" s="423"/>
      <c r="I9" s="423"/>
      <c r="J9" s="423"/>
      <c r="K9" s="45"/>
      <c r="L9" s="47" t="s">
        <v>24</v>
      </c>
      <c r="M9" s="50"/>
      <c r="N9" s="44">
        <v>500</v>
      </c>
      <c r="O9" s="38"/>
      <c r="P9" s="43"/>
      <c r="Q9" s="37" t="s">
        <v>25</v>
      </c>
      <c r="R9" s="37" t="s">
        <v>26</v>
      </c>
      <c r="S9" s="37" t="s">
        <v>25</v>
      </c>
      <c r="T9" s="37" t="s">
        <v>26</v>
      </c>
      <c r="U9" s="41"/>
    </row>
    <row r="10" spans="1:21" ht="13.5" customHeight="1" x14ac:dyDescent="0.35">
      <c r="A10" s="43"/>
      <c r="B10" s="31"/>
      <c r="C10" s="45"/>
      <c r="D10" s="43" t="s">
        <v>27</v>
      </c>
      <c r="E10" s="44">
        <v>5250</v>
      </c>
      <c r="F10" s="33"/>
      <c r="G10" s="54" t="s">
        <v>28</v>
      </c>
      <c r="H10" s="423"/>
      <c r="I10" s="423"/>
      <c r="J10" s="423"/>
      <c r="K10" s="45"/>
      <c r="L10" s="47" t="s">
        <v>29</v>
      </c>
      <c r="M10" s="50"/>
      <c r="N10" s="44">
        <v>0</v>
      </c>
      <c r="O10" s="38"/>
      <c r="P10" s="43" t="s">
        <v>30</v>
      </c>
      <c r="Q10" s="429">
        <f t="shared" ref="Q10:Q13" si="0">(R10*1000000)/23</f>
        <v>0</v>
      </c>
      <c r="R10" s="427">
        <v>0</v>
      </c>
      <c r="S10" s="429">
        <f>(T10*1000000)/18</f>
        <v>0</v>
      </c>
      <c r="T10" s="427">
        <v>0</v>
      </c>
      <c r="U10" s="41"/>
    </row>
    <row r="11" spans="1:21" ht="13.5" customHeight="1" x14ac:dyDescent="0.35">
      <c r="A11" s="31"/>
      <c r="B11" s="31"/>
      <c r="C11" s="45"/>
      <c r="D11" s="43" t="s">
        <v>31</v>
      </c>
      <c r="E11" s="44">
        <v>1750</v>
      </c>
      <c r="F11" s="33"/>
      <c r="G11" s="57" t="s">
        <v>32</v>
      </c>
      <c r="H11" s="423"/>
      <c r="I11" s="423"/>
      <c r="J11" s="423"/>
      <c r="K11" s="45"/>
      <c r="L11" s="43"/>
      <c r="M11" s="43"/>
      <c r="N11" s="43"/>
      <c r="O11" s="38"/>
      <c r="P11" s="43" t="s">
        <v>33</v>
      </c>
      <c r="Q11" s="432">
        <f t="shared" si="0"/>
        <v>0</v>
      </c>
      <c r="R11" s="427">
        <v>0</v>
      </c>
      <c r="S11" s="432" t="s">
        <v>17</v>
      </c>
      <c r="T11" s="427" t="s">
        <v>17</v>
      </c>
      <c r="U11" s="41"/>
    </row>
    <row r="12" spans="1:21" ht="13.5" customHeight="1" x14ac:dyDescent="0.35">
      <c r="A12" s="30" t="s">
        <v>34</v>
      </c>
      <c r="B12" s="31"/>
      <c r="C12" s="45"/>
      <c r="D12" s="43" t="s">
        <v>35</v>
      </c>
      <c r="E12" s="44">
        <v>1250</v>
      </c>
      <c r="F12" s="33"/>
      <c r="G12" s="47" t="s">
        <v>36</v>
      </c>
      <c r="H12" s="423"/>
      <c r="I12" s="44">
        <v>5000</v>
      </c>
      <c r="J12" s="44">
        <v>5000</v>
      </c>
      <c r="K12" s="45"/>
      <c r="L12" s="30" t="s">
        <v>37</v>
      </c>
      <c r="M12" s="37" t="s">
        <v>38</v>
      </c>
      <c r="N12" s="37" t="s">
        <v>39</v>
      </c>
      <c r="O12" s="38"/>
      <c r="P12" s="43" t="s">
        <v>16</v>
      </c>
      <c r="Q12" s="432">
        <f t="shared" si="0"/>
        <v>0</v>
      </c>
      <c r="R12" s="427">
        <v>0</v>
      </c>
      <c r="S12" s="435">
        <f t="shared" ref="S12:S16" si="1">(T12*1000000)/18</f>
        <v>0</v>
      </c>
      <c r="T12" s="438">
        <v>0</v>
      </c>
      <c r="U12" s="41"/>
    </row>
    <row r="13" spans="1:21" ht="13.5" customHeight="1" x14ac:dyDescent="0.35">
      <c r="A13" s="43" t="s">
        <v>40</v>
      </c>
      <c r="B13" s="418">
        <v>1500</v>
      </c>
      <c r="C13" s="45"/>
      <c r="D13" s="43" t="s">
        <v>41</v>
      </c>
      <c r="E13" s="44">
        <v>0</v>
      </c>
      <c r="F13" s="33"/>
      <c r="G13" s="47"/>
      <c r="H13" s="62"/>
      <c r="I13" s="62"/>
      <c r="J13" s="62"/>
      <c r="K13" s="45"/>
      <c r="L13" s="43" t="s">
        <v>12</v>
      </c>
      <c r="M13" s="44">
        <v>37500</v>
      </c>
      <c r="N13" s="431">
        <v>20</v>
      </c>
      <c r="O13" s="38"/>
      <c r="P13" s="43" t="s">
        <v>42</v>
      </c>
      <c r="Q13" s="432">
        <f t="shared" si="0"/>
        <v>0</v>
      </c>
      <c r="R13" s="427">
        <v>0</v>
      </c>
      <c r="S13" s="432">
        <f t="shared" si="1"/>
        <v>0</v>
      </c>
      <c r="T13" s="427">
        <v>0</v>
      </c>
      <c r="U13" s="41"/>
    </row>
    <row r="14" spans="1:21" ht="13.5" customHeight="1" x14ac:dyDescent="0.35">
      <c r="A14" s="43" t="s">
        <v>43</v>
      </c>
      <c r="B14" s="419">
        <v>2000</v>
      </c>
      <c r="C14" s="45"/>
      <c r="D14" s="43" t="s">
        <v>29</v>
      </c>
      <c r="E14" s="44">
        <v>0</v>
      </c>
      <c r="F14" s="33"/>
      <c r="G14" s="636"/>
      <c r="H14" s="637"/>
      <c r="I14" s="637"/>
      <c r="J14" s="635"/>
      <c r="K14" s="45"/>
      <c r="L14" s="43" t="s">
        <v>13</v>
      </c>
      <c r="M14" s="44">
        <v>25000</v>
      </c>
      <c r="N14" s="431">
        <v>20</v>
      </c>
      <c r="O14" s="38"/>
      <c r="P14" s="54" t="s">
        <v>28</v>
      </c>
      <c r="Q14" s="432">
        <f>(R14*1000000)/23</f>
        <v>25000</v>
      </c>
      <c r="R14" s="427">
        <v>0.57499999999999996</v>
      </c>
      <c r="S14" s="432">
        <f t="shared" si="1"/>
        <v>25000</v>
      </c>
      <c r="T14" s="427">
        <v>0.45</v>
      </c>
      <c r="U14" s="41"/>
    </row>
    <row r="15" spans="1:21" ht="13.5" customHeight="1" x14ac:dyDescent="0.35">
      <c r="A15" s="43" t="s">
        <v>45</v>
      </c>
      <c r="B15" s="419">
        <v>2500</v>
      </c>
      <c r="C15" s="45"/>
      <c r="D15" s="43"/>
      <c r="E15" s="31"/>
      <c r="F15" s="33"/>
      <c r="G15" s="661" t="s">
        <v>434</v>
      </c>
      <c r="H15" s="661"/>
      <c r="I15" s="661"/>
      <c r="J15" s="661"/>
      <c r="K15" s="661"/>
      <c r="L15" s="661"/>
      <c r="M15" s="661"/>
      <c r="N15" s="661"/>
      <c r="O15" s="38"/>
      <c r="P15" s="54" t="s">
        <v>32</v>
      </c>
      <c r="Q15" s="432">
        <f t="shared" ref="Q15:Q16" si="2">(R15*1000000)/23</f>
        <v>50000</v>
      </c>
      <c r="R15" s="427">
        <v>1.1499999999999999</v>
      </c>
      <c r="S15" s="432">
        <f t="shared" si="1"/>
        <v>55500</v>
      </c>
      <c r="T15" s="427">
        <v>0.999</v>
      </c>
      <c r="U15" s="41"/>
    </row>
    <row r="16" spans="1:21" ht="13.5" customHeight="1" x14ac:dyDescent="0.35">
      <c r="A16" s="43" t="s">
        <v>46</v>
      </c>
      <c r="B16" s="419">
        <v>3000</v>
      </c>
      <c r="C16" s="45"/>
      <c r="D16" s="30" t="s">
        <v>47</v>
      </c>
      <c r="E16" s="31"/>
      <c r="F16" s="33"/>
      <c r="G16" s="43"/>
      <c r="H16" s="30" t="s">
        <v>48</v>
      </c>
      <c r="I16" s="37" t="s">
        <v>49</v>
      </c>
      <c r="J16" s="37" t="s">
        <v>26</v>
      </c>
      <c r="K16" s="37"/>
      <c r="L16" s="37" t="s">
        <v>13</v>
      </c>
      <c r="M16" s="37" t="s">
        <v>26</v>
      </c>
      <c r="N16" s="62"/>
      <c r="O16" s="38"/>
      <c r="P16" s="47" t="s">
        <v>36</v>
      </c>
      <c r="Q16" s="435">
        <f t="shared" si="2"/>
        <v>110000</v>
      </c>
      <c r="R16" s="438">
        <v>2.5299999999999998</v>
      </c>
      <c r="S16" s="432">
        <f t="shared" si="1"/>
        <v>100000</v>
      </c>
      <c r="T16" s="427">
        <v>1.8</v>
      </c>
      <c r="U16" s="41"/>
    </row>
    <row r="17" spans="1:21" ht="13.5" customHeight="1" x14ac:dyDescent="0.35">
      <c r="A17" s="43" t="s">
        <v>50</v>
      </c>
      <c r="B17" s="418">
        <v>3250</v>
      </c>
      <c r="C17" s="45"/>
      <c r="D17" s="43" t="s">
        <v>51</v>
      </c>
      <c r="E17" s="421">
        <v>350000</v>
      </c>
      <c r="F17" s="33"/>
      <c r="G17" s="70"/>
      <c r="H17" s="43" t="s">
        <v>53</v>
      </c>
      <c r="I17" s="424">
        <f t="shared" ref="I17:I19" si="3">(J17*1000000)/23</f>
        <v>60869.565217391304</v>
      </c>
      <c r="J17" s="425">
        <v>1.4</v>
      </c>
      <c r="K17" s="62"/>
      <c r="L17" s="429">
        <f t="shared" ref="L17:L19" si="4">(M17*1000000)/18</f>
        <v>66666.666666666672</v>
      </c>
      <c r="M17" s="427">
        <v>1.2</v>
      </c>
      <c r="N17" s="62"/>
      <c r="O17" s="38"/>
      <c r="P17" s="43" t="s">
        <v>54</v>
      </c>
      <c r="Q17" s="72">
        <v>4500</v>
      </c>
      <c r="R17" s="425"/>
      <c r="S17" s="433">
        <v>0</v>
      </c>
      <c r="T17" s="427"/>
      <c r="U17" s="41"/>
    </row>
    <row r="18" spans="1:21" ht="13.5" customHeight="1" x14ac:dyDescent="0.35">
      <c r="A18" s="43" t="s">
        <v>56</v>
      </c>
      <c r="B18" s="418">
        <v>3750</v>
      </c>
      <c r="C18" s="45"/>
      <c r="D18" s="43" t="s">
        <v>57</v>
      </c>
      <c r="E18" s="422">
        <v>1.5</v>
      </c>
      <c r="F18" s="33"/>
      <c r="G18" s="70"/>
      <c r="H18" s="43" t="s">
        <v>60</v>
      </c>
      <c r="I18" s="426">
        <f t="shared" si="3"/>
        <v>52173.913043478264</v>
      </c>
      <c r="J18" s="427">
        <v>1.2</v>
      </c>
      <c r="K18" s="428"/>
      <c r="L18" s="429">
        <f t="shared" si="4"/>
        <v>55555.555555555555</v>
      </c>
      <c r="M18" s="427">
        <v>1</v>
      </c>
      <c r="N18" s="62"/>
      <c r="O18" s="38"/>
      <c r="P18" s="447" t="s">
        <v>438</v>
      </c>
      <c r="Q18" s="436">
        <f>(Q10*9)+Q11+Q12+Q13+Q16+(Q17*7)</f>
        <v>141500</v>
      </c>
      <c r="R18" s="437">
        <f>(R10*9)+R11+R12+R13+R16+(R17*7)</f>
        <v>2.5299999999999998</v>
      </c>
      <c r="S18" s="429">
        <f t="shared" ref="S18:T18" si="5">(S10*9)+S12+S13+S16+(S17*7)</f>
        <v>100000</v>
      </c>
      <c r="T18" s="434">
        <f t="shared" si="5"/>
        <v>1.8</v>
      </c>
      <c r="U18" s="41"/>
    </row>
    <row r="19" spans="1:21" ht="13.5" customHeight="1" x14ac:dyDescent="0.35">
      <c r="A19" s="43" t="s">
        <v>64</v>
      </c>
      <c r="B19" s="420">
        <f>$Q$17</f>
        <v>4500</v>
      </c>
      <c r="C19" s="45"/>
      <c r="D19" s="650" t="s">
        <v>68</v>
      </c>
      <c r="E19" s="651"/>
      <c r="F19" s="33"/>
      <c r="G19" s="43"/>
      <c r="H19" s="43" t="s">
        <v>69</v>
      </c>
      <c r="I19" s="426">
        <f t="shared" si="3"/>
        <v>43478.260869565216</v>
      </c>
      <c r="J19" s="427">
        <v>1</v>
      </c>
      <c r="K19" s="428"/>
      <c r="L19" s="429">
        <f t="shared" si="4"/>
        <v>44444.444444444445</v>
      </c>
      <c r="M19" s="427">
        <v>0.8</v>
      </c>
      <c r="N19" s="62"/>
      <c r="O19" s="38"/>
      <c r="P19" s="430" t="s">
        <v>433</v>
      </c>
      <c r="Q19" s="648"/>
      <c r="R19" s="637"/>
      <c r="S19" s="637"/>
      <c r="T19" s="635"/>
      <c r="U19" s="41"/>
    </row>
    <row r="20" spans="1:21" ht="6.75" customHeight="1" x14ac:dyDescent="0.35"/>
    <row r="21" spans="1:21" ht="6.75" customHeight="1" x14ac:dyDescent="0.35">
      <c r="A21" s="14"/>
      <c r="B21" s="14"/>
      <c r="C21" s="14"/>
      <c r="D21" s="91"/>
      <c r="E21" s="91"/>
      <c r="F21" s="92"/>
      <c r="G21" s="92"/>
      <c r="H21" s="92"/>
      <c r="I21" s="92"/>
      <c r="J21" s="94"/>
      <c r="K21" s="94"/>
      <c r="L21" s="94"/>
      <c r="M21" s="92"/>
      <c r="N21" s="92"/>
      <c r="O21" s="14"/>
      <c r="P21" s="95"/>
      <c r="Q21" s="16"/>
      <c r="R21" s="18"/>
      <c r="S21" s="16"/>
      <c r="T21" s="18"/>
      <c r="U21" s="41"/>
    </row>
    <row r="22" spans="1:21" ht="20.25" customHeight="1" x14ac:dyDescent="0.35">
      <c r="A22" s="644" t="s">
        <v>451</v>
      </c>
      <c r="B22" s="645"/>
      <c r="C22" s="645"/>
      <c r="D22" s="645"/>
      <c r="E22" s="645"/>
      <c r="F22" s="645"/>
      <c r="G22" s="645"/>
      <c r="H22" s="645"/>
      <c r="I22" s="645"/>
      <c r="J22" s="645"/>
      <c r="K22" s="645"/>
      <c r="L22" s="645"/>
      <c r="M22" s="645"/>
      <c r="N22" s="645"/>
      <c r="O22" s="645"/>
      <c r="P22" s="645"/>
      <c r="Q22" s="645"/>
      <c r="R22" s="645"/>
      <c r="S22" s="645"/>
      <c r="T22" s="646"/>
      <c r="U22" s="23"/>
    </row>
    <row r="23" spans="1:21" ht="13.5" customHeight="1" x14ac:dyDescent="0.35">
      <c r="A23" s="24" t="s">
        <v>2</v>
      </c>
      <c r="B23" s="26"/>
      <c r="C23" s="29"/>
      <c r="D23" s="30" t="s">
        <v>3</v>
      </c>
      <c r="E23" s="31"/>
      <c r="F23" s="33"/>
      <c r="G23" s="24" t="s">
        <v>4</v>
      </c>
      <c r="H23" s="97" t="s">
        <v>95</v>
      </c>
      <c r="I23" s="26"/>
      <c r="J23" s="30" t="s">
        <v>97</v>
      </c>
      <c r="K23" s="34"/>
      <c r="L23" s="36" t="s">
        <v>8</v>
      </c>
      <c r="M23" s="37" t="s">
        <v>9</v>
      </c>
      <c r="N23" s="37" t="s">
        <v>10</v>
      </c>
      <c r="O23" s="38"/>
      <c r="P23" s="24" t="s">
        <v>11</v>
      </c>
      <c r="Q23" s="647" t="s">
        <v>98</v>
      </c>
      <c r="R23" s="635"/>
      <c r="S23" s="647" t="s">
        <v>23</v>
      </c>
      <c r="T23" s="635"/>
      <c r="U23" s="41"/>
    </row>
    <row r="24" spans="1:21" ht="13.5" customHeight="1" x14ac:dyDescent="0.35">
      <c r="A24" s="43" t="s">
        <v>102</v>
      </c>
      <c r="B24" s="72">
        <v>0</v>
      </c>
      <c r="C24" s="45"/>
      <c r="D24" s="43" t="s">
        <v>103</v>
      </c>
      <c r="E24" s="44">
        <v>17625</v>
      </c>
      <c r="F24" s="33"/>
      <c r="G24" s="43" t="s">
        <v>104</v>
      </c>
      <c r="H24" s="423">
        <v>14125</v>
      </c>
      <c r="I24" s="423"/>
      <c r="J24" s="423">
        <v>14125</v>
      </c>
      <c r="K24" s="45"/>
      <c r="L24" s="47" t="s">
        <v>18</v>
      </c>
      <c r="M24" s="44">
        <v>15625</v>
      </c>
      <c r="N24" s="44">
        <v>18125</v>
      </c>
      <c r="O24" s="38"/>
      <c r="P24" s="43" t="s">
        <v>19</v>
      </c>
      <c r="Q24" s="72">
        <v>68750</v>
      </c>
      <c r="R24" s="433"/>
      <c r="S24" s="433">
        <v>68750</v>
      </c>
      <c r="T24" s="433"/>
      <c r="U24" s="41"/>
    </row>
    <row r="25" spans="1:21" ht="13.5" customHeight="1" x14ac:dyDescent="0.35">
      <c r="A25" s="43" t="s">
        <v>105</v>
      </c>
      <c r="B25" s="72">
        <v>0</v>
      </c>
      <c r="C25" s="45"/>
      <c r="D25" s="43" t="s">
        <v>106</v>
      </c>
      <c r="E25" s="44">
        <v>12500</v>
      </c>
      <c r="F25" s="33"/>
      <c r="G25" s="43" t="s">
        <v>107</v>
      </c>
      <c r="H25" s="423">
        <v>9375</v>
      </c>
      <c r="I25" s="423"/>
      <c r="J25" s="423">
        <v>14125</v>
      </c>
      <c r="K25" s="45"/>
      <c r="L25" s="47" t="s">
        <v>24</v>
      </c>
      <c r="M25" s="44">
        <v>7500</v>
      </c>
      <c r="N25" s="44">
        <v>10000</v>
      </c>
      <c r="O25" s="38"/>
      <c r="P25" s="43"/>
      <c r="Q25" s="101" t="s">
        <v>25</v>
      </c>
      <c r="R25" s="102" t="s">
        <v>26</v>
      </c>
      <c r="S25" s="441" t="s">
        <v>25</v>
      </c>
      <c r="T25" s="442" t="s">
        <v>26</v>
      </c>
      <c r="U25" s="41"/>
    </row>
    <row r="26" spans="1:21" ht="13.5" customHeight="1" x14ac:dyDescent="0.35">
      <c r="A26" s="31"/>
      <c r="B26" s="31"/>
      <c r="C26" s="45"/>
      <c r="D26" s="43" t="s">
        <v>107</v>
      </c>
      <c r="E26" s="44">
        <v>9375</v>
      </c>
      <c r="F26" s="33"/>
      <c r="G26" s="43" t="s">
        <v>24</v>
      </c>
      <c r="H26" s="423">
        <v>6563</v>
      </c>
      <c r="I26" s="423"/>
      <c r="J26" s="423">
        <v>6563</v>
      </c>
      <c r="K26" s="45"/>
      <c r="L26" s="47" t="s">
        <v>29</v>
      </c>
      <c r="M26" s="44">
        <v>5000</v>
      </c>
      <c r="N26" s="44">
        <v>5000</v>
      </c>
      <c r="O26" s="38"/>
      <c r="P26" s="451" t="s">
        <v>439</v>
      </c>
      <c r="Q26" s="448">
        <f t="shared" ref="Q26:Q32" si="6">(R26*1000000)/23</f>
        <v>9521.7391304347821</v>
      </c>
      <c r="R26" s="450">
        <v>0.219</v>
      </c>
      <c r="S26" s="443">
        <f t="shared" ref="S26:S32" si="7">(T26*1000000)/23</f>
        <v>9521.7391304347821</v>
      </c>
      <c r="T26" s="444">
        <v>0.219</v>
      </c>
      <c r="U26" s="41"/>
    </row>
    <row r="27" spans="1:21" ht="13.5" customHeight="1" x14ac:dyDescent="0.35">
      <c r="A27" s="31"/>
      <c r="B27" s="31"/>
      <c r="C27" s="45"/>
      <c r="D27" s="43" t="s">
        <v>121</v>
      </c>
      <c r="E27" s="44">
        <v>8125</v>
      </c>
      <c r="F27" s="33"/>
      <c r="G27" s="47" t="s">
        <v>29</v>
      </c>
      <c r="H27" s="423">
        <v>5000</v>
      </c>
      <c r="I27" s="423"/>
      <c r="J27" s="423">
        <v>6563</v>
      </c>
      <c r="K27" s="45"/>
      <c r="L27" s="43"/>
      <c r="M27" s="43"/>
      <c r="N27" s="43"/>
      <c r="O27" s="38"/>
      <c r="P27" s="43" t="s">
        <v>33</v>
      </c>
      <c r="Q27" s="449">
        <f t="shared" si="6"/>
        <v>195652.17391304349</v>
      </c>
      <c r="R27" s="450">
        <v>4.5</v>
      </c>
      <c r="S27" s="445">
        <f t="shared" si="7"/>
        <v>195652.17391304349</v>
      </c>
      <c r="T27" s="444">
        <v>4.5</v>
      </c>
      <c r="U27" s="41"/>
    </row>
    <row r="28" spans="1:21" ht="13.5" customHeight="1" x14ac:dyDescent="0.35">
      <c r="A28" s="30" t="s">
        <v>34</v>
      </c>
      <c r="B28" s="31"/>
      <c r="C28" s="45"/>
      <c r="D28" s="43" t="s">
        <v>123</v>
      </c>
      <c r="E28" s="44">
        <v>6250</v>
      </c>
      <c r="F28" s="33"/>
      <c r="G28" s="47" t="s">
        <v>124</v>
      </c>
      <c r="H28" s="423">
        <v>0</v>
      </c>
      <c r="I28" s="423"/>
      <c r="J28" s="44">
        <v>12500</v>
      </c>
      <c r="K28" s="45"/>
      <c r="L28" s="30" t="s">
        <v>37</v>
      </c>
      <c r="M28" s="37" t="s">
        <v>38</v>
      </c>
      <c r="N28" s="37" t="s">
        <v>39</v>
      </c>
      <c r="O28" s="38"/>
      <c r="P28" s="43" t="s">
        <v>16</v>
      </c>
      <c r="Q28" s="445">
        <f t="shared" si="6"/>
        <v>217391.30434782608</v>
      </c>
      <c r="R28" s="444">
        <v>5</v>
      </c>
      <c r="S28" s="445">
        <f t="shared" si="7"/>
        <v>217391.30434782608</v>
      </c>
      <c r="T28" s="444">
        <v>5</v>
      </c>
      <c r="U28" s="41"/>
    </row>
    <row r="29" spans="1:21" ht="13.5" customHeight="1" x14ac:dyDescent="0.35">
      <c r="A29" s="43" t="s">
        <v>125</v>
      </c>
      <c r="B29" s="44">
        <v>1875</v>
      </c>
      <c r="C29" s="45"/>
      <c r="D29" s="43" t="s">
        <v>126</v>
      </c>
      <c r="E29" s="44">
        <v>6250</v>
      </c>
      <c r="F29" s="33"/>
      <c r="G29" s="47" t="s">
        <v>36</v>
      </c>
      <c r="H29" s="113">
        <v>11250</v>
      </c>
      <c r="I29" s="423"/>
      <c r="J29" s="423">
        <v>20000</v>
      </c>
      <c r="K29" s="45"/>
      <c r="L29" s="43" t="s">
        <v>127</v>
      </c>
      <c r="M29" s="44">
        <v>78000</v>
      </c>
      <c r="N29" s="439">
        <v>18</v>
      </c>
      <c r="O29" s="38"/>
      <c r="P29" s="43" t="s">
        <v>42</v>
      </c>
      <c r="Q29" s="445">
        <f t="shared" si="6"/>
        <v>244565.21739130435</v>
      </c>
      <c r="R29" s="444">
        <v>5.625</v>
      </c>
      <c r="S29" s="445">
        <f t="shared" si="7"/>
        <v>244565.21739130435</v>
      </c>
      <c r="T29" s="444">
        <v>5.625</v>
      </c>
      <c r="U29" s="41"/>
    </row>
    <row r="30" spans="1:21" ht="13.5" customHeight="1" x14ac:dyDescent="0.35">
      <c r="A30" s="43" t="s">
        <v>128</v>
      </c>
      <c r="B30" s="44">
        <v>2500</v>
      </c>
      <c r="C30" s="45"/>
      <c r="D30" s="43" t="s">
        <v>29</v>
      </c>
      <c r="E30" s="44">
        <v>5000</v>
      </c>
      <c r="F30" s="33"/>
      <c r="G30" s="47" t="s">
        <v>32</v>
      </c>
      <c r="H30" s="423">
        <v>5000</v>
      </c>
      <c r="I30" s="423"/>
      <c r="J30" s="423">
        <v>15000</v>
      </c>
      <c r="K30" s="45"/>
      <c r="L30" s="43" t="s">
        <v>65</v>
      </c>
      <c r="M30" s="44">
        <v>46000</v>
      </c>
      <c r="N30" s="440">
        <v>15</v>
      </c>
      <c r="O30" s="38"/>
      <c r="P30" s="54" t="s">
        <v>28</v>
      </c>
      <c r="Q30" s="445">
        <f t="shared" si="6"/>
        <v>54347.82608695652</v>
      </c>
      <c r="R30" s="444">
        <v>1.25</v>
      </c>
      <c r="S30" s="445">
        <f t="shared" si="7"/>
        <v>54347.82608695652</v>
      </c>
      <c r="T30" s="444">
        <v>1.25</v>
      </c>
      <c r="U30" s="41"/>
    </row>
    <row r="31" spans="1:21" ht="13.5" customHeight="1" x14ac:dyDescent="0.35">
      <c r="A31" s="634" t="s">
        <v>119</v>
      </c>
      <c r="B31" s="635"/>
      <c r="C31" s="45"/>
      <c r="D31" s="43"/>
      <c r="E31" s="31"/>
      <c r="F31" s="33"/>
      <c r="G31" s="47" t="s">
        <v>28</v>
      </c>
      <c r="H31" s="423">
        <v>0</v>
      </c>
      <c r="I31" s="423"/>
      <c r="J31" s="423">
        <v>11250</v>
      </c>
      <c r="K31" s="45"/>
      <c r="L31" s="43" t="s">
        <v>66</v>
      </c>
      <c r="M31" s="44">
        <v>18454</v>
      </c>
      <c r="N31" s="440">
        <v>22</v>
      </c>
      <c r="O31" s="38"/>
      <c r="P31" s="54" t="s">
        <v>32</v>
      </c>
      <c r="Q31" s="445">
        <f t="shared" si="6"/>
        <v>271739.13043478259</v>
      </c>
      <c r="R31" s="444">
        <v>6.25</v>
      </c>
      <c r="S31" s="445">
        <f t="shared" si="7"/>
        <v>271739.13043478259</v>
      </c>
      <c r="T31" s="444">
        <v>6.25</v>
      </c>
      <c r="U31" s="41"/>
    </row>
    <row r="32" spans="1:21" ht="13.5" customHeight="1" x14ac:dyDescent="0.35">
      <c r="A32" s="120" t="s">
        <v>129</v>
      </c>
      <c r="B32" s="121">
        <v>0</v>
      </c>
      <c r="C32" s="45"/>
      <c r="D32" s="30" t="s">
        <v>47</v>
      </c>
      <c r="E32" s="31"/>
      <c r="F32" s="33"/>
      <c r="G32" s="43" t="s">
        <v>22</v>
      </c>
      <c r="H32" s="113">
        <v>0</v>
      </c>
      <c r="I32" s="423"/>
      <c r="J32" s="72">
        <v>6875</v>
      </c>
      <c r="K32" s="45"/>
      <c r="L32" s="77" t="s">
        <v>130</v>
      </c>
      <c r="M32" s="452">
        <f>SUMPRODUCT(M29:M31,N29:N31)</f>
        <v>2499988</v>
      </c>
      <c r="N32" s="439">
        <f>SUM(N29:N31)</f>
        <v>55</v>
      </c>
      <c r="O32" s="38"/>
      <c r="P32" s="47" t="s">
        <v>36</v>
      </c>
      <c r="Q32" s="445">
        <f t="shared" si="6"/>
        <v>407608.69565217389</v>
      </c>
      <c r="R32" s="444">
        <v>9.375</v>
      </c>
      <c r="S32" s="445">
        <f t="shared" si="7"/>
        <v>407608.69565217389</v>
      </c>
      <c r="T32" s="444">
        <v>9.375</v>
      </c>
      <c r="U32" s="41"/>
    </row>
    <row r="33" spans="1:21" ht="13.5" customHeight="1" x14ac:dyDescent="0.35">
      <c r="A33" s="43"/>
      <c r="B33" s="43"/>
      <c r="C33" s="45"/>
      <c r="D33" s="43" t="s">
        <v>51</v>
      </c>
      <c r="E33" s="62">
        <v>0</v>
      </c>
      <c r="F33" s="33"/>
      <c r="G33" s="43"/>
      <c r="H33" s="31"/>
      <c r="I33" s="125"/>
      <c r="J33" s="31"/>
      <c r="K33" s="45"/>
      <c r="L33" s="669" t="s">
        <v>440</v>
      </c>
      <c r="M33" s="669"/>
      <c r="N33" s="669"/>
      <c r="O33" s="38"/>
      <c r="P33" s="43" t="s">
        <v>132</v>
      </c>
      <c r="Q33" s="128">
        <v>6875</v>
      </c>
      <c r="R33" s="433"/>
      <c r="S33" s="446">
        <v>6875</v>
      </c>
      <c r="T33" s="444"/>
      <c r="U33" s="41"/>
    </row>
    <row r="34" spans="1:21" ht="13.5" customHeight="1" x14ac:dyDescent="0.35">
      <c r="A34" s="43"/>
      <c r="B34" s="43"/>
      <c r="C34" s="45"/>
      <c r="D34" s="43" t="s">
        <v>57</v>
      </c>
      <c r="E34" s="422">
        <v>1.5</v>
      </c>
      <c r="F34" s="33"/>
      <c r="G34" s="636"/>
      <c r="H34" s="637"/>
      <c r="I34" s="637"/>
      <c r="J34" s="635"/>
      <c r="K34" s="130"/>
      <c r="L34" s="670" t="s">
        <v>134</v>
      </c>
      <c r="M34" s="671"/>
      <c r="N34" s="672"/>
      <c r="O34" s="38"/>
      <c r="P34" s="447" t="s">
        <v>437</v>
      </c>
      <c r="Q34" s="436">
        <f t="shared" ref="Q34:T34" si="8">(Q26*9)+Q27+Q28+Q29+Q32+(Q33*7)</f>
        <v>1199038.0434782607</v>
      </c>
      <c r="R34" s="437">
        <f t="shared" si="8"/>
        <v>26.471</v>
      </c>
      <c r="S34" s="429">
        <f t="shared" si="8"/>
        <v>1199038.0434782607</v>
      </c>
      <c r="T34" s="434">
        <f t="shared" si="8"/>
        <v>26.471</v>
      </c>
      <c r="U34" s="41"/>
    </row>
    <row r="35" spans="1:21" ht="13.5" customHeight="1" x14ac:dyDescent="0.35">
      <c r="A35" s="43"/>
      <c r="B35" s="43"/>
      <c r="C35" s="45"/>
      <c r="D35" s="650" t="s">
        <v>68</v>
      </c>
      <c r="E35" s="651"/>
      <c r="F35" s="33"/>
      <c r="G35" s="652" t="s">
        <v>435</v>
      </c>
      <c r="H35" s="653"/>
      <c r="I35" s="653"/>
      <c r="J35" s="654"/>
      <c r="K35" s="130"/>
      <c r="L35" s="670" t="s">
        <v>436</v>
      </c>
      <c r="M35" s="671"/>
      <c r="N35" s="672"/>
      <c r="O35" s="38"/>
      <c r="P35" s="453" t="s">
        <v>441</v>
      </c>
      <c r="Q35" s="455">
        <f>($Q$26*4)+($Q$33*4)+$Q$27</f>
        <v>261239.13043478262</v>
      </c>
      <c r="R35" s="456">
        <f>($R$26*4)+($R$33*4)+$R$27</f>
        <v>5.3760000000000003</v>
      </c>
      <c r="S35" s="454"/>
      <c r="T35" s="454"/>
      <c r="U35" s="41"/>
    </row>
    <row r="36" spans="1:21" ht="13.5" customHeight="1" x14ac:dyDescent="0.3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</row>
    <row r="37" spans="1:21" ht="12.75" customHeight="1" x14ac:dyDescent="0.35">
      <c r="A37" s="641" t="s">
        <v>139</v>
      </c>
      <c r="B37" s="642"/>
      <c r="C37" s="142"/>
      <c r="D37" s="649" t="s">
        <v>140</v>
      </c>
      <c r="E37" s="639"/>
      <c r="F37" s="639"/>
      <c r="G37" s="639"/>
      <c r="H37" s="476">
        <v>2013</v>
      </c>
      <c r="I37" s="477" t="s">
        <v>454</v>
      </c>
      <c r="J37" s="477" t="s">
        <v>442</v>
      </c>
      <c r="K37" s="478"/>
      <c r="L37" s="477" t="s">
        <v>443</v>
      </c>
      <c r="M37" s="169">
        <v>2017</v>
      </c>
      <c r="N37" s="464" t="s">
        <v>455</v>
      </c>
      <c r="O37" s="145"/>
      <c r="P37" s="147" t="s">
        <v>142</v>
      </c>
      <c r="Q37" s="488"/>
      <c r="R37" s="626"/>
      <c r="S37" s="626"/>
      <c r="T37" s="626"/>
      <c r="U37" s="41"/>
    </row>
    <row r="38" spans="1:21" ht="12.75" customHeight="1" x14ac:dyDescent="0.35">
      <c r="A38" s="642"/>
      <c r="B38" s="642"/>
      <c r="C38" s="142"/>
      <c r="D38" s="640" t="s">
        <v>150</v>
      </c>
      <c r="E38" s="639"/>
      <c r="F38" s="639"/>
      <c r="G38" s="639"/>
      <c r="H38" s="149">
        <f>WNT!$G$43</f>
        <v>210346.59782608697</v>
      </c>
      <c r="I38" s="491">
        <f>WNT!$G$72</f>
        <v>248387.65833333335</v>
      </c>
      <c r="J38" s="491">
        <f>WNT!$G$107</f>
        <v>430662.23760869558</v>
      </c>
      <c r="K38" s="473"/>
      <c r="L38" s="487">
        <f>WNT!$G$144</f>
        <v>302920.59334650857</v>
      </c>
      <c r="M38" s="149">
        <f>WNT!$G$164</f>
        <v>204966.34637681159</v>
      </c>
      <c r="N38" s="491">
        <f>WNT!$G$191</f>
        <v>275378.06518445321</v>
      </c>
      <c r="O38" s="145"/>
      <c r="P38" s="153">
        <f t="shared" ref="P38:P42" si="9">SUM(G38:N38)</f>
        <v>1672661.4986758896</v>
      </c>
      <c r="Q38" s="489"/>
      <c r="R38" s="626"/>
      <c r="S38" s="626"/>
      <c r="T38" s="626"/>
      <c r="U38" s="41"/>
    </row>
    <row r="39" spans="1:21" ht="12.75" customHeight="1" x14ac:dyDescent="0.35">
      <c r="A39" s="642"/>
      <c r="B39" s="642"/>
      <c r="C39" s="142"/>
      <c r="D39" s="643" t="s">
        <v>159</v>
      </c>
      <c r="E39" s="639"/>
      <c r="F39" s="639"/>
      <c r="G39" s="639"/>
      <c r="H39" s="155">
        <f>WNT!$I$43</f>
        <v>176808.2699275362</v>
      </c>
      <c r="I39" s="155">
        <f>WNT!$I$72</f>
        <v>213359.81333333332</v>
      </c>
      <c r="J39" s="155">
        <f>WNT!$I$107</f>
        <v>382455.94669082121</v>
      </c>
      <c r="K39" s="473"/>
      <c r="L39" s="155">
        <f>WNT!$I$144</f>
        <v>258440.15501070488</v>
      </c>
      <c r="M39" s="155">
        <f>WNT!$I$164</f>
        <v>183376.21946169771</v>
      </c>
      <c r="N39" s="155">
        <f>WNT!$I$191</f>
        <v>267062.61240667541</v>
      </c>
      <c r="O39" s="145"/>
      <c r="P39" s="153">
        <f t="shared" si="9"/>
        <v>1481503.0168307687</v>
      </c>
      <c r="Q39" s="490"/>
      <c r="R39" s="626"/>
      <c r="S39" s="626"/>
      <c r="T39" s="626"/>
      <c r="U39" s="41"/>
    </row>
    <row r="40" spans="1:21" ht="12.75" customHeight="1" x14ac:dyDescent="0.35">
      <c r="A40" s="642"/>
      <c r="B40" s="642"/>
      <c r="C40" s="142"/>
      <c r="D40" s="638" t="s">
        <v>161</v>
      </c>
      <c r="E40" s="639"/>
      <c r="F40" s="639"/>
      <c r="G40" s="639"/>
      <c r="H40" s="155">
        <f>WNT!$K$43</f>
        <v>92768.698369565216</v>
      </c>
      <c r="I40" s="155">
        <f>WNT!$K$72</f>
        <v>122636.49583333333</v>
      </c>
      <c r="J40" s="155">
        <f>WNT!$K$107</f>
        <v>278241.71923913038</v>
      </c>
      <c r="K40" s="473"/>
      <c r="L40" s="155">
        <f>WNT!$K$144</f>
        <v>213862.22251317522</v>
      </c>
      <c r="M40" s="155">
        <f>WNT!$K$164</f>
        <v>90091.868840579715</v>
      </c>
      <c r="N40" s="155">
        <f>WNT!$K$191</f>
        <v>138652.773698946</v>
      </c>
      <c r="O40" s="145"/>
      <c r="P40" s="153">
        <f t="shared" si="9"/>
        <v>936253.77849472989</v>
      </c>
      <c r="Q40" s="490"/>
      <c r="R40" s="626"/>
      <c r="S40" s="626"/>
      <c r="T40" s="626"/>
      <c r="U40" s="41"/>
    </row>
    <row r="41" spans="1:21" ht="12.75" customHeight="1" x14ac:dyDescent="0.35">
      <c r="A41" s="142"/>
      <c r="B41" s="142"/>
      <c r="C41" s="142"/>
      <c r="D41" s="638" t="s">
        <v>162</v>
      </c>
      <c r="E41" s="639"/>
      <c r="F41" s="639"/>
      <c r="G41" s="639"/>
      <c r="H41" s="155">
        <f>WNT!$M$43</f>
        <v>51767.405797101448</v>
      </c>
      <c r="I41" s="155">
        <f>WNT!$M$72</f>
        <v>22420.633333333335</v>
      </c>
      <c r="J41" s="155">
        <f>WNT!$M$107</f>
        <v>90912.223532608696</v>
      </c>
      <c r="K41" s="473"/>
      <c r="L41" s="155">
        <f>WNT!$M$144</f>
        <v>58745.572732762397</v>
      </c>
      <c r="M41" s="155">
        <f>WNT!$M$164</f>
        <v>32618.969565217387</v>
      </c>
      <c r="N41" s="155">
        <f>WNT!$M$191</f>
        <v>62700.504503105585</v>
      </c>
      <c r="O41" s="145"/>
      <c r="P41" s="153">
        <f t="shared" si="9"/>
        <v>319165.30946412886</v>
      </c>
      <c r="Q41" s="490"/>
      <c r="R41" s="626"/>
      <c r="S41" s="626"/>
      <c r="T41" s="626"/>
      <c r="U41" s="41"/>
    </row>
    <row r="42" spans="1:21" ht="12.75" customHeight="1" x14ac:dyDescent="0.35">
      <c r="A42" s="142"/>
      <c r="B42" s="142"/>
      <c r="C42" s="142"/>
      <c r="D42" s="655" t="s">
        <v>130</v>
      </c>
      <c r="E42" s="639"/>
      <c r="F42" s="639"/>
      <c r="G42" s="639"/>
      <c r="H42" s="149">
        <f>WNT!$R$43</f>
        <v>4510460.4999999991</v>
      </c>
      <c r="I42" s="491">
        <f>WNT!$R$72</f>
        <v>5251544.5</v>
      </c>
      <c r="J42" s="491">
        <f>WNT!$R$107</f>
        <v>10154473.999999998</v>
      </c>
      <c r="K42" s="473"/>
      <c r="L42" s="487">
        <f>WNT!$R$144</f>
        <v>6313649.5</v>
      </c>
      <c r="M42" s="149">
        <f>WNT!$R$164</f>
        <v>4111181</v>
      </c>
      <c r="N42" s="491">
        <f>WNT!$R$191</f>
        <v>5635976.5</v>
      </c>
      <c r="O42" s="145"/>
      <c r="P42" s="153">
        <f t="shared" si="9"/>
        <v>35977286</v>
      </c>
      <c r="Q42" s="489"/>
      <c r="R42" s="626"/>
      <c r="S42" s="626"/>
      <c r="T42" s="626"/>
      <c r="U42" s="41"/>
    </row>
    <row r="43" spans="1:21" s="472" customFormat="1" ht="12.75" customHeight="1" x14ac:dyDescent="0.35">
      <c r="A43" s="142"/>
      <c r="B43" s="142"/>
      <c r="C43" s="142"/>
      <c r="D43" s="656" t="s">
        <v>483</v>
      </c>
      <c r="E43" s="656"/>
      <c r="F43" s="656"/>
      <c r="G43" s="656"/>
      <c r="H43" s="149"/>
      <c r="I43" s="149"/>
      <c r="J43" s="149"/>
      <c r="K43" s="473"/>
      <c r="L43" s="149"/>
      <c r="M43" s="149"/>
      <c r="N43" s="149"/>
      <c r="O43" s="145"/>
      <c r="P43" s="153">
        <v>7812500</v>
      </c>
      <c r="Q43" s="489" t="s">
        <v>582</v>
      </c>
      <c r="R43" s="475"/>
      <c r="S43" s="475"/>
      <c r="T43" s="475"/>
      <c r="U43" s="176"/>
    </row>
    <row r="44" spans="1:21" s="472" customFormat="1" ht="12.75" customHeight="1" x14ac:dyDescent="0.35">
      <c r="A44" s="142"/>
      <c r="B44" s="142"/>
      <c r="C44" s="142"/>
      <c r="D44" s="657" t="s">
        <v>484</v>
      </c>
      <c r="E44" s="657"/>
      <c r="F44" s="657"/>
      <c r="G44" s="657"/>
      <c r="H44" s="149"/>
      <c r="I44" s="149"/>
      <c r="J44" s="149"/>
      <c r="K44" s="473"/>
      <c r="L44" s="149"/>
      <c r="M44" s="149"/>
      <c r="N44" s="149"/>
      <c r="O44" s="145"/>
      <c r="P44" s="153">
        <f>P42-P43</f>
        <v>28164786</v>
      </c>
      <c r="Q44" s="489">
        <f>P44/6</f>
        <v>4694131</v>
      </c>
      <c r="R44" s="475"/>
      <c r="S44" s="475"/>
      <c r="T44" s="475"/>
      <c r="U44" s="176"/>
    </row>
    <row r="45" spans="1:21" s="218" customFormat="1" ht="12.75" customHeight="1" x14ac:dyDescent="0.35">
      <c r="A45" s="142"/>
      <c r="B45" s="142"/>
      <c r="C45" s="142"/>
      <c r="D45" s="163"/>
      <c r="H45" s="474"/>
      <c r="I45" s="474"/>
      <c r="J45" s="474"/>
      <c r="K45" s="474"/>
      <c r="L45" s="474"/>
      <c r="M45" s="149"/>
      <c r="N45" s="149"/>
      <c r="O45" s="145"/>
      <c r="P45" s="153"/>
      <c r="Q45" s="490"/>
      <c r="R45" s="626"/>
      <c r="S45" s="626"/>
      <c r="T45" s="626"/>
      <c r="U45" s="176"/>
    </row>
    <row r="46" spans="1:21" ht="12.75" customHeight="1" x14ac:dyDescent="0.35">
      <c r="A46" s="641" t="s">
        <v>169</v>
      </c>
      <c r="B46" s="642"/>
      <c r="C46" s="167"/>
      <c r="D46" s="649" t="s">
        <v>140</v>
      </c>
      <c r="E46" s="639"/>
      <c r="F46" s="639"/>
      <c r="G46" s="639"/>
      <c r="H46" s="464" t="s">
        <v>444</v>
      </c>
      <c r="I46" s="464" t="s">
        <v>445</v>
      </c>
      <c r="J46" s="169">
        <v>2015</v>
      </c>
      <c r="K46" s="84"/>
      <c r="L46" s="464" t="s">
        <v>446</v>
      </c>
      <c r="M46" s="464" t="s">
        <v>447</v>
      </c>
      <c r="N46" s="169">
        <v>2018</v>
      </c>
      <c r="P46" s="169" t="s">
        <v>142</v>
      </c>
      <c r="Q46" s="488"/>
      <c r="R46" s="627"/>
      <c r="S46" s="627"/>
      <c r="T46" s="627"/>
      <c r="U46" s="140"/>
    </row>
    <row r="47" spans="1:21" ht="12.75" customHeight="1" x14ac:dyDescent="0.35">
      <c r="A47" s="642"/>
      <c r="B47" s="642"/>
      <c r="C47" s="167"/>
      <c r="D47" s="640" t="s">
        <v>150</v>
      </c>
      <c r="E47" s="639"/>
      <c r="F47" s="639"/>
      <c r="G47" s="639"/>
      <c r="H47" s="491">
        <f>MNT!$G$51</f>
        <v>361317.64094202896</v>
      </c>
      <c r="I47" s="491">
        <f>MNT!$G$74</f>
        <v>429948.80507246387</v>
      </c>
      <c r="J47" s="149">
        <f>MNT!$G$99</f>
        <v>189804.10869565216</v>
      </c>
      <c r="K47" s="84"/>
      <c r="L47" s="149">
        <f>MNT!$G$124</f>
        <v>208677.71920289853</v>
      </c>
      <c r="M47" s="149">
        <f>MNT!$G$149</f>
        <v>210246.62282608697</v>
      </c>
      <c r="N47" s="149">
        <f>MNT!$G$172</f>
        <v>94574.588043478259</v>
      </c>
      <c r="P47" s="149">
        <f t="shared" ref="P47:P51" si="10">SUM(G47:N47)</f>
        <v>1494569.4847826087</v>
      </c>
      <c r="Q47" s="489"/>
      <c r="R47" s="627"/>
      <c r="S47" s="627"/>
      <c r="T47" s="627"/>
      <c r="U47" s="140"/>
    </row>
    <row r="48" spans="1:21" ht="12.75" customHeight="1" x14ac:dyDescent="0.35">
      <c r="A48" s="642"/>
      <c r="B48" s="642"/>
      <c r="C48" s="167"/>
      <c r="D48" s="643" t="s">
        <v>159</v>
      </c>
      <c r="E48" s="639"/>
      <c r="F48" s="639"/>
      <c r="G48" s="639"/>
      <c r="H48" s="155">
        <f>MNT!$I$51</f>
        <v>264571.1136008919</v>
      </c>
      <c r="I48" s="155">
        <f>MNT!$I$74</f>
        <v>359908.4072463768</v>
      </c>
      <c r="J48" s="155">
        <f>MNT!$I$99</f>
        <v>131793.95398550725</v>
      </c>
      <c r="K48" s="84"/>
      <c r="L48" s="155">
        <f>MNT!$I$124</f>
        <v>144881.69489130436</v>
      </c>
      <c r="M48" s="155">
        <f>MNT!$I$149</f>
        <v>137289.52572463767</v>
      </c>
      <c r="N48" s="155">
        <f>MNT!$I$172</f>
        <v>80268.75054347828</v>
      </c>
      <c r="P48" s="149">
        <f t="shared" si="10"/>
        <v>1118713.4459921962</v>
      </c>
      <c r="Q48" s="490"/>
      <c r="R48" s="627"/>
      <c r="S48" s="627"/>
      <c r="T48" s="627"/>
      <c r="U48" s="140"/>
    </row>
    <row r="49" spans="1:21" ht="12.75" customHeight="1" x14ac:dyDescent="0.35">
      <c r="A49" s="642"/>
      <c r="B49" s="642"/>
      <c r="C49" s="167"/>
      <c r="D49" s="638" t="s">
        <v>161</v>
      </c>
      <c r="E49" s="639"/>
      <c r="F49" s="639"/>
      <c r="G49" s="639"/>
      <c r="H49" s="155">
        <f>MNT!$K$51</f>
        <v>160126.71154589375</v>
      </c>
      <c r="I49" s="155">
        <f>MNT!$K$74</f>
        <v>125747.81344605476</v>
      </c>
      <c r="J49" s="155">
        <f>MNT!$K$99</f>
        <v>85381.127329192546</v>
      </c>
      <c r="L49" s="155">
        <f>MNT!$K$124</f>
        <v>91165.363405797107</v>
      </c>
      <c r="M49" s="155">
        <f>MNT!$K$149</f>
        <v>89248.873985507234</v>
      </c>
      <c r="N49" s="155">
        <f>MNT!$K$172</f>
        <v>51226.829658385097</v>
      </c>
      <c r="P49" s="149">
        <f t="shared" si="10"/>
        <v>602896.71937083057</v>
      </c>
      <c r="Q49" s="490"/>
      <c r="R49" s="627"/>
      <c r="S49" s="627"/>
      <c r="T49" s="627"/>
      <c r="U49" s="140"/>
    </row>
    <row r="50" spans="1:21" ht="12.75" customHeight="1" x14ac:dyDescent="0.35">
      <c r="A50" s="167"/>
      <c r="B50" s="167"/>
      <c r="C50" s="167"/>
      <c r="D50" s="638" t="s">
        <v>162</v>
      </c>
      <c r="E50" s="639"/>
      <c r="F50" s="639"/>
      <c r="G50" s="639"/>
      <c r="H50" s="155">
        <f>MNT!$M$51</f>
        <v>68607.743840579715</v>
      </c>
      <c r="I50" s="155">
        <f>MNT!$M$74</f>
        <v>34682.752133655391</v>
      </c>
      <c r="J50" s="155">
        <f>MNT!$M$99</f>
        <v>21009.005585748793</v>
      </c>
      <c r="L50" s="155">
        <f>MNT!$M$124</f>
        <v>40507.700199275365</v>
      </c>
      <c r="M50" s="155">
        <f>MNT!$M$149</f>
        <v>38654.998188405792</v>
      </c>
      <c r="N50" s="155">
        <f>MNT!$M$172</f>
        <v>22596.494402173914</v>
      </c>
      <c r="P50" s="149">
        <f t="shared" si="10"/>
        <v>226058.69434983897</v>
      </c>
      <c r="Q50" s="490"/>
      <c r="R50" s="627"/>
      <c r="S50" s="627"/>
      <c r="T50" s="627"/>
      <c r="U50" s="140"/>
    </row>
    <row r="51" spans="1:21" ht="12.75" customHeight="1" x14ac:dyDescent="0.35">
      <c r="A51" s="167"/>
      <c r="B51" s="167"/>
      <c r="C51" s="167"/>
      <c r="D51" s="655" t="s">
        <v>130</v>
      </c>
      <c r="E51" s="639"/>
      <c r="F51" s="639"/>
      <c r="G51" s="639"/>
      <c r="H51" s="491">
        <f>MNT!$R$51</f>
        <v>8831745</v>
      </c>
      <c r="I51" s="491">
        <f>MNT!$R$74</f>
        <v>9733803.5</v>
      </c>
      <c r="J51" s="149">
        <f>MNT!$R$99</f>
        <v>3977761.9999999995</v>
      </c>
      <c r="L51" s="149">
        <f>MNT!$R$124</f>
        <v>4681090</v>
      </c>
      <c r="M51" s="149">
        <f>MNT!$R$149</f>
        <v>4748230.5</v>
      </c>
      <c r="N51" s="149">
        <f>MNT!$R$172</f>
        <v>2616453.4500000002</v>
      </c>
      <c r="P51" s="149">
        <f t="shared" si="10"/>
        <v>34589084.450000003</v>
      </c>
      <c r="Q51" s="489"/>
      <c r="R51" s="627"/>
      <c r="S51" s="627"/>
      <c r="T51" s="627"/>
      <c r="U51" s="140"/>
    </row>
    <row r="52" spans="1:21" s="472" customFormat="1" ht="12.75" customHeight="1" x14ac:dyDescent="0.35">
      <c r="A52" s="142"/>
      <c r="B52" s="142"/>
      <c r="C52" s="142"/>
      <c r="D52" s="656" t="s">
        <v>483</v>
      </c>
      <c r="E52" s="656"/>
      <c r="F52" s="656"/>
      <c r="G52" s="656"/>
      <c r="H52" s="149"/>
      <c r="I52" s="149"/>
      <c r="J52" s="149"/>
      <c r="K52" s="473"/>
      <c r="L52" s="149"/>
      <c r="M52" s="149"/>
      <c r="N52" s="149"/>
      <c r="O52" s="145"/>
      <c r="P52" s="153">
        <v>10578500</v>
      </c>
      <c r="Q52" s="489" t="s">
        <v>582</v>
      </c>
      <c r="R52" s="475"/>
      <c r="S52" s="475"/>
      <c r="T52" s="475"/>
      <c r="U52" s="176"/>
    </row>
    <row r="53" spans="1:21" s="472" customFormat="1" ht="12.75" customHeight="1" x14ac:dyDescent="0.35">
      <c r="A53" s="142"/>
      <c r="B53" s="142"/>
      <c r="C53" s="142"/>
      <c r="D53" s="657" t="s">
        <v>484</v>
      </c>
      <c r="E53" s="657"/>
      <c r="F53" s="657"/>
      <c r="G53" s="657"/>
      <c r="H53" s="149"/>
      <c r="I53" s="149"/>
      <c r="J53" s="149"/>
      <c r="K53" s="473"/>
      <c r="L53" s="149"/>
      <c r="M53" s="149"/>
      <c r="N53" s="149"/>
      <c r="O53" s="145"/>
      <c r="P53" s="153">
        <f>P51-P52</f>
        <v>24010584.450000003</v>
      </c>
      <c r="Q53" s="489">
        <f>P53/6</f>
        <v>4001764.0750000007</v>
      </c>
      <c r="R53" s="475"/>
      <c r="S53" s="475"/>
      <c r="T53" s="475"/>
      <c r="U53" s="176"/>
    </row>
    <row r="54" spans="1:21" s="218" customFormat="1" ht="12.75" customHeight="1" x14ac:dyDescent="0.35">
      <c r="A54" s="167"/>
      <c r="B54" s="167"/>
      <c r="C54" s="167"/>
      <c r="D54" s="163"/>
      <c r="H54" s="149"/>
      <c r="I54" s="149"/>
      <c r="J54" s="149"/>
      <c r="L54" s="149"/>
      <c r="M54" s="149"/>
      <c r="N54" s="149"/>
      <c r="P54" s="149"/>
      <c r="Q54" s="465"/>
      <c r="R54" s="627"/>
      <c r="S54" s="627"/>
      <c r="T54" s="627"/>
      <c r="U54" s="167"/>
    </row>
    <row r="55" spans="1:21" ht="13.5" customHeight="1" x14ac:dyDescent="0.35">
      <c r="A55" s="167"/>
      <c r="B55" s="167"/>
      <c r="C55" s="167"/>
      <c r="D55" s="631" t="s">
        <v>450</v>
      </c>
      <c r="E55" s="631"/>
      <c r="F55" s="631"/>
      <c r="G55" s="631"/>
      <c r="H55" s="631"/>
      <c r="I55" s="631"/>
      <c r="J55" s="631"/>
      <c r="K55" s="631"/>
      <c r="L55" s="631"/>
      <c r="M55" s="631"/>
      <c r="N55" s="631"/>
      <c r="O55" s="631"/>
      <c r="P55" s="631"/>
      <c r="Q55" s="465"/>
      <c r="R55" s="627"/>
      <c r="S55" s="627"/>
      <c r="T55" s="627"/>
      <c r="U55" s="140"/>
    </row>
    <row r="56" spans="1:21" ht="13.5" customHeight="1" x14ac:dyDescent="0.35">
      <c r="A56" s="167"/>
      <c r="B56" s="167"/>
      <c r="C56" s="167"/>
      <c r="D56" s="632" t="s">
        <v>452</v>
      </c>
      <c r="E56" s="632"/>
      <c r="F56" s="632"/>
      <c r="G56" s="632"/>
      <c r="H56" s="632"/>
      <c r="I56" s="632"/>
      <c r="J56" s="632"/>
      <c r="K56" s="632"/>
      <c r="L56" s="632"/>
      <c r="M56" s="632"/>
      <c r="N56" s="632"/>
      <c r="O56" s="632"/>
      <c r="P56" s="632"/>
      <c r="Q56" s="465"/>
      <c r="R56" s="627"/>
      <c r="S56" s="627"/>
      <c r="T56" s="627"/>
      <c r="U56" s="140"/>
    </row>
    <row r="57" spans="1:21" s="416" customFormat="1" ht="13.5" customHeight="1" x14ac:dyDescent="0.35">
      <c r="A57" s="167"/>
      <c r="B57" s="167"/>
      <c r="C57" s="167"/>
      <c r="D57" s="633" t="s">
        <v>459</v>
      </c>
      <c r="E57" s="633"/>
      <c r="F57" s="633"/>
      <c r="G57" s="633"/>
      <c r="H57" s="633"/>
      <c r="I57" s="633"/>
      <c r="J57" s="633"/>
      <c r="K57" s="633"/>
      <c r="L57" s="633"/>
      <c r="M57" s="633"/>
      <c r="N57" s="633"/>
      <c r="O57" s="633"/>
      <c r="P57" s="633"/>
      <c r="Q57" s="465"/>
      <c r="R57" s="494"/>
      <c r="S57" s="494"/>
      <c r="T57" s="494"/>
      <c r="U57" s="167"/>
    </row>
    <row r="58" spans="1:21" ht="13.5" customHeight="1" x14ac:dyDescent="0.35">
      <c r="A58" s="167"/>
      <c r="B58" s="167"/>
      <c r="C58" s="167"/>
      <c r="D58" s="629" t="s">
        <v>460</v>
      </c>
      <c r="E58" s="629"/>
      <c r="F58" s="629"/>
      <c r="G58" s="629"/>
      <c r="H58" s="629"/>
      <c r="I58" s="629"/>
      <c r="J58" s="629"/>
      <c r="K58" s="629"/>
      <c r="L58" s="629"/>
      <c r="M58" s="629"/>
      <c r="N58" s="629"/>
      <c r="O58" s="629"/>
      <c r="P58" s="629"/>
      <c r="Q58" s="465"/>
      <c r="U58" s="140"/>
    </row>
    <row r="59" spans="1:21" s="472" customFormat="1" ht="13.5" customHeight="1" x14ac:dyDescent="0.35">
      <c r="A59" s="167"/>
      <c r="B59" s="167"/>
      <c r="C59" s="167"/>
      <c r="D59" s="628" t="s">
        <v>479</v>
      </c>
      <c r="E59" s="628"/>
      <c r="F59" s="628"/>
      <c r="G59" s="628"/>
      <c r="H59" s="628"/>
      <c r="I59" s="628"/>
      <c r="J59" s="628"/>
      <c r="K59" s="628"/>
      <c r="L59" s="628"/>
      <c r="M59" s="628"/>
      <c r="N59" s="628"/>
      <c r="O59" s="628"/>
      <c r="P59" s="628"/>
      <c r="Q59" s="471"/>
      <c r="U59" s="167"/>
    </row>
    <row r="60" spans="1:21" s="472" customFormat="1" ht="13.5" customHeight="1" x14ac:dyDescent="0.35">
      <c r="A60" s="167"/>
      <c r="B60" s="167"/>
      <c r="C60" s="167"/>
      <c r="D60" s="495"/>
      <c r="E60" s="495"/>
      <c r="F60" s="495"/>
      <c r="G60" s="495"/>
      <c r="H60" s="495"/>
      <c r="I60" s="495"/>
      <c r="J60" s="495"/>
      <c r="K60" s="495"/>
      <c r="L60" s="495"/>
      <c r="M60" s="495"/>
      <c r="N60" s="495"/>
      <c r="O60" s="495"/>
      <c r="P60" s="495"/>
      <c r="Q60" s="471"/>
      <c r="U60" s="167"/>
    </row>
    <row r="61" spans="1:21" s="472" customFormat="1" ht="13.5" customHeight="1" x14ac:dyDescent="0.35">
      <c r="A61" s="167"/>
      <c r="B61" s="167"/>
      <c r="C61" s="167"/>
      <c r="D61" s="631" t="s">
        <v>476</v>
      </c>
      <c r="E61" s="631"/>
      <c r="F61" s="631"/>
      <c r="G61" s="631"/>
      <c r="H61" s="631"/>
      <c r="I61" s="631"/>
      <c r="J61" s="631"/>
      <c r="K61" s="631"/>
      <c r="L61" s="631"/>
      <c r="M61" s="631"/>
      <c r="N61" s="631"/>
      <c r="O61" s="631"/>
      <c r="P61" s="631"/>
      <c r="Q61" s="471"/>
      <c r="U61" s="167"/>
    </row>
    <row r="62" spans="1:21" ht="13.5" customHeight="1" x14ac:dyDescent="0.35">
      <c r="A62" s="140"/>
      <c r="B62" s="140"/>
      <c r="C62" s="140"/>
      <c r="D62" s="673" t="s">
        <v>456</v>
      </c>
      <c r="E62" s="673"/>
      <c r="F62" s="673"/>
      <c r="G62" s="673"/>
      <c r="H62" s="492">
        <v>2013</v>
      </c>
      <c r="I62" s="492">
        <v>2014</v>
      </c>
      <c r="J62" s="492">
        <v>2015</v>
      </c>
      <c r="K62" s="492"/>
      <c r="L62" s="492">
        <v>2016</v>
      </c>
      <c r="M62" s="492">
        <v>2017</v>
      </c>
      <c r="N62" s="492">
        <v>2018</v>
      </c>
      <c r="O62" s="492"/>
      <c r="P62" s="493" t="s">
        <v>142</v>
      </c>
      <c r="U62" s="140"/>
    </row>
    <row r="63" spans="1:21" ht="13.5" customHeight="1" x14ac:dyDescent="0.35">
      <c r="A63" s="140"/>
      <c r="B63" s="140"/>
      <c r="C63" s="140"/>
      <c r="D63" s="628" t="s">
        <v>25</v>
      </c>
      <c r="E63" s="628"/>
      <c r="F63" s="628"/>
      <c r="G63" s="628"/>
      <c r="H63" s="496"/>
      <c r="I63" s="496">
        <v>37500</v>
      </c>
      <c r="J63" s="496">
        <v>202370</v>
      </c>
      <c r="K63" s="496"/>
      <c r="L63" s="496"/>
      <c r="M63" s="496"/>
      <c r="N63" s="496">
        <v>37500</v>
      </c>
      <c r="O63" s="496"/>
      <c r="P63" s="497">
        <f>SUM(I63:N63)</f>
        <v>277370</v>
      </c>
      <c r="U63" s="140"/>
    </row>
    <row r="64" spans="1:21" ht="13.5" customHeight="1" x14ac:dyDescent="0.35">
      <c r="A64" s="140"/>
      <c r="B64" s="140"/>
      <c r="C64" s="140"/>
      <c r="D64" s="628" t="s">
        <v>457</v>
      </c>
      <c r="E64" s="628"/>
      <c r="F64" s="628"/>
      <c r="G64" s="628"/>
      <c r="H64" s="496"/>
      <c r="I64" s="496">
        <v>675000</v>
      </c>
      <c r="J64" s="496">
        <v>3930000</v>
      </c>
      <c r="K64" s="496"/>
      <c r="L64" s="496"/>
      <c r="M64" s="496"/>
      <c r="N64" s="496">
        <v>675000</v>
      </c>
      <c r="O64" s="496"/>
      <c r="P64" s="497">
        <f t="shared" ref="P64" si="11">SUM(I64:N64)</f>
        <v>5280000</v>
      </c>
      <c r="U64" s="140"/>
    </row>
    <row r="65" spans="1:21" s="472" customFormat="1" ht="13.5" customHeight="1" x14ac:dyDescent="0.35">
      <c r="A65" s="167"/>
      <c r="B65" s="167"/>
      <c r="C65" s="167"/>
      <c r="D65" s="673" t="s">
        <v>477</v>
      </c>
      <c r="E65" s="673"/>
      <c r="F65" s="673"/>
      <c r="G65" s="673"/>
      <c r="H65" s="492">
        <v>2013</v>
      </c>
      <c r="I65" s="492">
        <v>2014</v>
      </c>
      <c r="J65" s="492">
        <v>2015</v>
      </c>
      <c r="K65" s="492"/>
      <c r="L65" s="492">
        <v>2016</v>
      </c>
      <c r="M65" s="492">
        <v>2017</v>
      </c>
      <c r="N65" s="492">
        <v>2018</v>
      </c>
      <c r="O65" s="492"/>
      <c r="P65" s="493" t="s">
        <v>142</v>
      </c>
      <c r="U65" s="167"/>
    </row>
    <row r="66" spans="1:21" s="472" customFormat="1" ht="13.5" customHeight="1" x14ac:dyDescent="0.35">
      <c r="A66" s="167"/>
      <c r="B66" s="167"/>
      <c r="C66" s="167"/>
      <c r="D66" s="628" t="s">
        <v>25</v>
      </c>
      <c r="E66" s="628"/>
      <c r="F66" s="628"/>
      <c r="G66" s="628"/>
      <c r="H66" s="496">
        <v>5000</v>
      </c>
      <c r="I66" s="496"/>
      <c r="J66" s="496">
        <v>5000</v>
      </c>
      <c r="K66" s="496"/>
      <c r="L66" s="496">
        <v>5000</v>
      </c>
      <c r="M66" s="496"/>
      <c r="N66" s="496">
        <v>10000</v>
      </c>
      <c r="O66" s="496"/>
      <c r="P66" s="497">
        <f>SUM(H66:N66)</f>
        <v>25000</v>
      </c>
      <c r="U66" s="167"/>
    </row>
    <row r="67" spans="1:21" s="472" customFormat="1" ht="13.5" customHeight="1" x14ac:dyDescent="0.35">
      <c r="A67" s="167"/>
      <c r="B67" s="459"/>
      <c r="C67" s="167"/>
      <c r="D67" s="628" t="s">
        <v>457</v>
      </c>
      <c r="E67" s="628"/>
      <c r="F67" s="628"/>
      <c r="G67" s="628"/>
      <c r="H67" s="496">
        <f>H66*23</f>
        <v>115000</v>
      </c>
      <c r="I67" s="496"/>
      <c r="J67" s="496">
        <f>J66*23</f>
        <v>115000</v>
      </c>
      <c r="K67" s="496"/>
      <c r="L67" s="496">
        <f>L66*22</f>
        <v>110000</v>
      </c>
      <c r="M67" s="496"/>
      <c r="N67" s="496">
        <f>N66*23</f>
        <v>230000</v>
      </c>
      <c r="O67" s="496"/>
      <c r="P67" s="497">
        <f t="shared" ref="P67" si="12">SUM(H67:N67)</f>
        <v>570000</v>
      </c>
      <c r="Q67" s="167"/>
      <c r="R67" s="167"/>
      <c r="S67" s="167"/>
      <c r="T67" s="167"/>
      <c r="U67" s="167"/>
    </row>
    <row r="68" spans="1:21" s="472" customFormat="1" ht="13.5" customHeight="1" x14ac:dyDescent="0.35">
      <c r="A68" s="167"/>
      <c r="B68" s="167"/>
      <c r="C68" s="167"/>
      <c r="D68" s="630" t="s">
        <v>478</v>
      </c>
      <c r="E68" s="630"/>
      <c r="F68" s="630"/>
      <c r="G68" s="630"/>
      <c r="H68" s="496"/>
      <c r="I68" s="496"/>
      <c r="J68" s="496"/>
      <c r="K68" s="496"/>
      <c r="L68" s="496"/>
      <c r="M68" s="496"/>
      <c r="N68" s="496"/>
      <c r="O68" s="496"/>
      <c r="P68" s="509">
        <f>P64+P67</f>
        <v>5850000</v>
      </c>
      <c r="Q68" s="167"/>
      <c r="R68" s="167"/>
      <c r="S68" s="167"/>
      <c r="T68" s="167"/>
      <c r="U68" s="167"/>
    </row>
    <row r="69" spans="1:21" s="472" customFormat="1" ht="13.5" customHeight="1" x14ac:dyDescent="0.35">
      <c r="A69" s="167"/>
      <c r="B69" s="167"/>
      <c r="C69" s="167"/>
      <c r="D69" s="628"/>
      <c r="E69" s="628"/>
      <c r="F69" s="628"/>
      <c r="G69" s="628"/>
      <c r="H69" s="498"/>
      <c r="I69" s="498"/>
      <c r="J69" s="508"/>
      <c r="K69" s="496"/>
      <c r="L69" s="508"/>
      <c r="M69" s="496"/>
      <c r="N69" s="496"/>
      <c r="O69" s="496"/>
      <c r="P69" s="497"/>
      <c r="Q69" s="167"/>
      <c r="R69" s="167"/>
      <c r="S69" s="167"/>
      <c r="T69" s="167"/>
      <c r="U69" s="167"/>
    </row>
    <row r="70" spans="1:21" ht="13.5" customHeight="1" x14ac:dyDescent="0.35">
      <c r="A70" s="140"/>
      <c r="B70" s="140"/>
      <c r="C70" s="140"/>
      <c r="D70" s="673" t="s">
        <v>458</v>
      </c>
      <c r="E70" s="673"/>
      <c r="F70" s="673"/>
      <c r="G70" s="673"/>
      <c r="H70" s="492">
        <v>2013</v>
      </c>
      <c r="I70" s="492">
        <v>2014</v>
      </c>
      <c r="J70" s="492">
        <v>2015</v>
      </c>
      <c r="K70" s="492"/>
      <c r="L70" s="492">
        <v>2016</v>
      </c>
      <c r="M70" s="492">
        <v>2017</v>
      </c>
      <c r="N70" s="492">
        <v>2018</v>
      </c>
      <c r="O70" s="492"/>
      <c r="P70" s="493" t="s">
        <v>142</v>
      </c>
      <c r="U70" s="140"/>
    </row>
    <row r="71" spans="1:21" ht="13.5" customHeight="1" x14ac:dyDescent="0.35">
      <c r="A71" s="140"/>
      <c r="B71" s="140"/>
      <c r="C71" s="140"/>
      <c r="D71" s="628" t="s">
        <v>25</v>
      </c>
      <c r="E71" s="628"/>
      <c r="F71" s="628"/>
      <c r="G71" s="628"/>
      <c r="H71" s="497" t="s">
        <v>467</v>
      </c>
      <c r="I71" s="496">
        <v>329989</v>
      </c>
      <c r="J71" s="496"/>
      <c r="K71" s="496"/>
      <c r="L71" s="496"/>
      <c r="M71" s="496"/>
      <c r="N71" s="496"/>
      <c r="O71" s="496"/>
      <c r="P71" s="497" t="s">
        <v>466</v>
      </c>
      <c r="U71" s="140"/>
    </row>
    <row r="72" spans="1:21" ht="13.5" customHeight="1" x14ac:dyDescent="0.35">
      <c r="A72" s="140"/>
      <c r="B72" s="459"/>
      <c r="C72" s="140"/>
      <c r="D72" s="628" t="s">
        <v>457</v>
      </c>
      <c r="E72" s="628"/>
      <c r="F72" s="628"/>
      <c r="G72" s="628"/>
      <c r="H72" s="496">
        <v>2500000</v>
      </c>
      <c r="I72" s="496">
        <v>7589747</v>
      </c>
      <c r="J72" s="496"/>
      <c r="K72" s="496"/>
      <c r="L72" s="496"/>
      <c r="M72" s="496"/>
      <c r="N72" s="496"/>
      <c r="O72" s="496"/>
      <c r="P72" s="497">
        <f t="shared" ref="P72" si="13">SUM(I72:N72)</f>
        <v>7589747</v>
      </c>
      <c r="Q72" s="140"/>
      <c r="R72" s="140"/>
      <c r="S72" s="140"/>
      <c r="T72" s="140"/>
      <c r="U72" s="140"/>
    </row>
    <row r="73" spans="1:21" s="472" customFormat="1" ht="13.5" customHeight="1" x14ac:dyDescent="0.35">
      <c r="A73" s="167"/>
      <c r="B73" s="167"/>
      <c r="C73" s="167"/>
      <c r="D73" s="673" t="s">
        <v>472</v>
      </c>
      <c r="E73" s="673"/>
      <c r="F73" s="673"/>
      <c r="G73" s="673"/>
      <c r="H73" s="493" t="s">
        <v>474</v>
      </c>
      <c r="I73" s="493">
        <v>2014</v>
      </c>
      <c r="J73" s="493" t="s">
        <v>480</v>
      </c>
      <c r="K73" s="493"/>
      <c r="L73" s="493" t="s">
        <v>473</v>
      </c>
      <c r="M73" s="493" t="s">
        <v>475</v>
      </c>
      <c r="N73" s="492">
        <v>2018</v>
      </c>
      <c r="O73" s="492"/>
      <c r="P73" s="493" t="s">
        <v>142</v>
      </c>
      <c r="U73" s="167"/>
    </row>
    <row r="74" spans="1:21" s="472" customFormat="1" ht="13.5" customHeight="1" x14ac:dyDescent="0.35">
      <c r="A74" s="167"/>
      <c r="B74" s="167"/>
      <c r="C74" s="167"/>
      <c r="D74" s="628" t="s">
        <v>25</v>
      </c>
      <c r="E74" s="628"/>
      <c r="F74" s="628"/>
      <c r="G74" s="628"/>
      <c r="H74" s="496">
        <v>11250</v>
      </c>
      <c r="I74" s="496"/>
      <c r="J74" s="496">
        <v>0</v>
      </c>
      <c r="K74" s="496"/>
      <c r="L74" s="496">
        <v>19375</v>
      </c>
      <c r="M74" s="496">
        <v>11250</v>
      </c>
      <c r="N74" s="496"/>
      <c r="O74" s="496"/>
      <c r="P74" s="497">
        <f>SUM(H74:N74)</f>
        <v>41875</v>
      </c>
      <c r="U74" s="167"/>
    </row>
    <row r="75" spans="1:21" s="472" customFormat="1" ht="13.5" customHeight="1" x14ac:dyDescent="0.35">
      <c r="A75" s="167"/>
      <c r="B75" s="459"/>
      <c r="C75" s="167"/>
      <c r="D75" s="628" t="s">
        <v>457</v>
      </c>
      <c r="E75" s="628"/>
      <c r="F75" s="628"/>
      <c r="G75" s="628"/>
      <c r="H75" s="496">
        <f>H74*23</f>
        <v>258750</v>
      </c>
      <c r="I75" s="496"/>
      <c r="J75" s="496">
        <v>0</v>
      </c>
      <c r="K75" s="496"/>
      <c r="L75" s="496">
        <f>L74*23</f>
        <v>445625</v>
      </c>
      <c r="M75" s="496">
        <f>M74*23</f>
        <v>258750</v>
      </c>
      <c r="N75" s="496"/>
      <c r="O75" s="496"/>
      <c r="P75" s="497">
        <f t="shared" ref="P75" si="14">SUM(H75:N75)</f>
        <v>963125</v>
      </c>
      <c r="Q75" s="167"/>
      <c r="R75" s="167"/>
      <c r="S75" s="167"/>
      <c r="T75" s="167"/>
      <c r="U75" s="167"/>
    </row>
    <row r="76" spans="1:21" s="472" customFormat="1" ht="13.5" customHeight="1" x14ac:dyDescent="0.35">
      <c r="A76" s="167"/>
      <c r="B76" s="167"/>
      <c r="C76" s="167"/>
      <c r="D76" s="630" t="s">
        <v>482</v>
      </c>
      <c r="E76" s="630"/>
      <c r="F76" s="630"/>
      <c r="G76" s="630"/>
      <c r="H76" s="498"/>
      <c r="I76" s="498"/>
      <c r="J76" s="508"/>
      <c r="K76" s="496"/>
      <c r="L76" s="508"/>
      <c r="M76" s="496"/>
      <c r="N76" s="496"/>
      <c r="O76" s="496"/>
      <c r="P76" s="509">
        <f>P72+P75</f>
        <v>8552872</v>
      </c>
      <c r="Q76" s="167"/>
      <c r="R76" s="167"/>
      <c r="S76" s="167"/>
      <c r="T76" s="167"/>
      <c r="U76" s="167"/>
    </row>
    <row r="77" spans="1:21" s="472" customFormat="1" ht="13.5" customHeight="1" x14ac:dyDescent="0.35">
      <c r="A77" s="167"/>
      <c r="B77" s="167"/>
      <c r="C77" s="167"/>
      <c r="D77" s="471"/>
      <c r="E77" s="471"/>
      <c r="F77" s="471"/>
      <c r="G77" s="471"/>
      <c r="H77" s="471"/>
      <c r="I77" s="471"/>
      <c r="J77" s="471"/>
      <c r="K77" s="471"/>
      <c r="L77" s="471"/>
      <c r="M77" s="471"/>
      <c r="N77" s="471"/>
      <c r="O77" s="471"/>
      <c r="P77" s="471"/>
      <c r="Q77" s="167"/>
      <c r="R77" s="167"/>
      <c r="S77" s="167"/>
      <c r="T77" s="167"/>
      <c r="U77" s="167"/>
    </row>
    <row r="78" spans="1:21" s="472" customFormat="1" ht="13.5" customHeight="1" x14ac:dyDescent="0.35">
      <c r="A78" s="167"/>
      <c r="B78" s="167"/>
      <c r="C78" s="167"/>
      <c r="D78" s="629" t="s">
        <v>720</v>
      </c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29"/>
      <c r="P78" s="629"/>
      <c r="Q78" s="167"/>
      <c r="R78" s="167"/>
      <c r="S78" s="167"/>
      <c r="T78" s="167"/>
      <c r="U78" s="167"/>
    </row>
    <row r="79" spans="1:21" s="472" customFormat="1" ht="13.5" customHeight="1" x14ac:dyDescent="0.35">
      <c r="A79" s="167"/>
      <c r="B79" s="167"/>
      <c r="C79" s="167"/>
      <c r="D79" s="495"/>
      <c r="E79" s="495"/>
      <c r="F79" s="495"/>
      <c r="G79" s="495"/>
      <c r="H79" s="498"/>
      <c r="I79" s="498"/>
      <c r="J79" s="496"/>
      <c r="K79" s="496"/>
      <c r="L79" s="496"/>
      <c r="M79" s="496"/>
      <c r="N79" s="496"/>
      <c r="O79" s="496"/>
      <c r="P79" s="497"/>
      <c r="Q79" s="167"/>
      <c r="R79" s="167"/>
      <c r="S79" s="167"/>
      <c r="T79" s="167"/>
      <c r="U79" s="167"/>
    </row>
    <row r="80" spans="1:21" ht="13.5" customHeight="1" x14ac:dyDescent="0.35">
      <c r="A80" s="140"/>
      <c r="B80" s="140"/>
      <c r="C80" s="140"/>
      <c r="D80" s="504" t="s">
        <v>461</v>
      </c>
      <c r="E80" s="505"/>
      <c r="F80" s="505"/>
      <c r="G80" s="505"/>
      <c r="H80" s="506"/>
      <c r="I80" s="506"/>
      <c r="J80" s="506"/>
      <c r="K80" s="506"/>
      <c r="L80" s="506"/>
      <c r="M80" s="506"/>
      <c r="N80" s="506"/>
      <c r="O80" s="506"/>
      <c r="P80" s="506"/>
      <c r="Q80" s="140"/>
      <c r="R80" s="140"/>
      <c r="S80" s="140"/>
      <c r="T80" s="140"/>
      <c r="U80" s="140"/>
    </row>
    <row r="81" spans="1:21" ht="13.5" customHeight="1" x14ac:dyDescent="0.35">
      <c r="A81" s="140"/>
      <c r="B81" s="140"/>
      <c r="C81" s="140"/>
      <c r="D81" s="674" t="s">
        <v>470</v>
      </c>
      <c r="E81" s="674"/>
      <c r="F81" s="674"/>
      <c r="G81" s="674"/>
      <c r="H81" s="499" t="s">
        <v>462</v>
      </c>
      <c r="Q81" s="140"/>
      <c r="R81" s="140"/>
      <c r="S81" s="140"/>
      <c r="T81" s="140"/>
      <c r="U81" s="140"/>
    </row>
    <row r="82" spans="1:21" ht="13.5" customHeight="1" x14ac:dyDescent="0.35">
      <c r="A82" s="140"/>
      <c r="B82" s="140"/>
      <c r="C82" s="140"/>
      <c r="D82" s="674" t="s">
        <v>471</v>
      </c>
      <c r="E82" s="674"/>
      <c r="F82" s="674"/>
      <c r="G82" s="674"/>
      <c r="H82" s="499" t="s">
        <v>463</v>
      </c>
      <c r="Q82" s="140"/>
      <c r="R82" s="140"/>
      <c r="S82" s="140"/>
      <c r="T82" s="140"/>
      <c r="U82" s="140"/>
    </row>
    <row r="83" spans="1:21" ht="13.5" customHeight="1" x14ac:dyDescent="0.35">
      <c r="A83" s="140"/>
      <c r="B83" s="140"/>
      <c r="C83" s="140"/>
      <c r="D83" s="674" t="s">
        <v>465</v>
      </c>
      <c r="E83" s="674"/>
      <c r="F83" s="674"/>
      <c r="G83" s="674"/>
      <c r="H83" s="465" t="s">
        <v>464</v>
      </c>
      <c r="Q83" s="140"/>
      <c r="R83" s="140"/>
      <c r="S83" s="140"/>
      <c r="T83" s="140"/>
      <c r="U83" s="140"/>
    </row>
    <row r="84" spans="1:21" ht="13.5" customHeight="1" x14ac:dyDescent="0.35">
      <c r="A84" s="140"/>
      <c r="B84" s="140"/>
      <c r="C84" s="140"/>
      <c r="D84" s="674" t="s">
        <v>469</v>
      </c>
      <c r="E84" s="674"/>
      <c r="F84" s="674"/>
      <c r="G84" s="674"/>
      <c r="H84" s="499" t="s">
        <v>468</v>
      </c>
      <c r="Q84" s="140"/>
      <c r="R84" s="140"/>
      <c r="S84" s="140"/>
      <c r="T84" s="140"/>
      <c r="U84" s="140"/>
    </row>
    <row r="85" spans="1:21" ht="13.5" customHeight="1" x14ac:dyDescent="0.35">
      <c r="A85" s="140"/>
      <c r="B85" s="140"/>
      <c r="C85" s="140"/>
      <c r="D85" s="674"/>
      <c r="E85" s="674"/>
      <c r="F85" s="674"/>
      <c r="G85" s="674"/>
      <c r="Q85" s="140"/>
      <c r="R85" s="140"/>
      <c r="S85" s="140"/>
      <c r="T85" s="140"/>
      <c r="U85" s="140"/>
    </row>
    <row r="86" spans="1:21" ht="13.5" customHeight="1" x14ac:dyDescent="0.35">
      <c r="A86" s="140"/>
      <c r="B86" s="140"/>
      <c r="C86" s="140"/>
      <c r="D86" s="674"/>
      <c r="E86" s="674"/>
      <c r="F86" s="674"/>
      <c r="G86" s="674"/>
      <c r="Q86" s="140"/>
      <c r="R86" s="140"/>
      <c r="S86" s="140"/>
      <c r="T86" s="140"/>
      <c r="U86" s="140"/>
    </row>
    <row r="87" spans="1:21" ht="13.5" customHeight="1" x14ac:dyDescent="0.35">
      <c r="A87" s="140"/>
      <c r="B87" s="140"/>
      <c r="C87" s="140"/>
      <c r="D87" s="674"/>
      <c r="E87" s="674"/>
      <c r="F87" s="674"/>
      <c r="G87" s="674"/>
      <c r="Q87" s="140"/>
      <c r="R87" s="140"/>
      <c r="S87" s="140"/>
      <c r="T87" s="140"/>
      <c r="U87" s="140"/>
    </row>
    <row r="88" spans="1:21" ht="13.5" customHeight="1" x14ac:dyDescent="0.35">
      <c r="A88" s="140"/>
      <c r="B88" s="140"/>
      <c r="C88" s="140"/>
      <c r="D88" s="674"/>
      <c r="E88" s="674"/>
      <c r="F88" s="674"/>
      <c r="G88" s="674"/>
      <c r="Q88" s="140"/>
      <c r="R88" s="140"/>
      <c r="S88" s="140"/>
      <c r="T88" s="140"/>
      <c r="U88" s="140"/>
    </row>
    <row r="89" spans="1:21" ht="13.5" customHeight="1" x14ac:dyDescent="0.35">
      <c r="A89" s="140"/>
      <c r="B89" s="140"/>
      <c r="C89" s="140"/>
      <c r="D89" s="674"/>
      <c r="E89" s="674"/>
      <c r="F89" s="674"/>
      <c r="G89" s="674"/>
      <c r="Q89" s="140"/>
      <c r="R89" s="140"/>
      <c r="S89" s="140"/>
      <c r="T89" s="140"/>
      <c r="U89" s="140"/>
    </row>
    <row r="90" spans="1:21" ht="13.5" customHeight="1" x14ac:dyDescent="0.35">
      <c r="A90" s="140"/>
      <c r="B90" s="140"/>
      <c r="C90" s="140"/>
      <c r="D90" s="674"/>
      <c r="E90" s="674"/>
      <c r="F90" s="674"/>
      <c r="G90" s="674"/>
      <c r="Q90" s="140"/>
      <c r="R90" s="140"/>
      <c r="S90" s="140"/>
      <c r="T90" s="140"/>
      <c r="U90" s="140"/>
    </row>
    <row r="91" spans="1:21" ht="13.5" customHeight="1" x14ac:dyDescent="0.35">
      <c r="A91" s="140"/>
      <c r="B91" s="140"/>
      <c r="C91" s="140"/>
      <c r="D91" s="674"/>
      <c r="E91" s="674"/>
      <c r="F91" s="674"/>
      <c r="G91" s="674"/>
      <c r="Q91" s="140"/>
      <c r="R91" s="140"/>
      <c r="S91" s="140"/>
      <c r="T91" s="140"/>
      <c r="U91" s="140"/>
    </row>
    <row r="92" spans="1:21" ht="15.75" customHeight="1" x14ac:dyDescent="0.35">
      <c r="A92" s="140"/>
      <c r="B92" s="140"/>
      <c r="C92" s="140"/>
      <c r="D92" s="656"/>
      <c r="E92" s="656"/>
      <c r="F92" s="656"/>
      <c r="G92" s="656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</row>
    <row r="93" spans="1:21" ht="15.75" customHeight="1" x14ac:dyDescent="0.35">
      <c r="A93" s="140"/>
      <c r="B93" s="140"/>
      <c r="C93" s="140"/>
      <c r="D93" s="656"/>
      <c r="E93" s="656"/>
      <c r="F93" s="656"/>
      <c r="G93" s="656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</row>
    <row r="94" spans="1:21" ht="15.75" customHeight="1" x14ac:dyDescent="0.35">
      <c r="A94" s="140"/>
      <c r="B94" s="140"/>
      <c r="C94" s="140"/>
      <c r="D94" s="656"/>
      <c r="E94" s="656"/>
      <c r="F94" s="656"/>
      <c r="G94" s="656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</row>
    <row r="95" spans="1:21" ht="15.75" customHeight="1" x14ac:dyDescent="0.35">
      <c r="A95" s="140"/>
      <c r="B95" s="140"/>
      <c r="C95" s="140"/>
      <c r="D95" s="656"/>
      <c r="E95" s="656"/>
      <c r="F95" s="656"/>
      <c r="G95" s="656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</row>
    <row r="96" spans="1:21" ht="15.75" customHeight="1" x14ac:dyDescent="0.35">
      <c r="A96" s="140"/>
      <c r="B96" s="140"/>
      <c r="C96" s="140"/>
      <c r="D96" s="656"/>
      <c r="E96" s="656"/>
      <c r="F96" s="656"/>
      <c r="G96" s="656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</row>
    <row r="97" spans="1:21" ht="15.75" customHeight="1" x14ac:dyDescent="0.35">
      <c r="A97" s="140"/>
      <c r="B97" s="140"/>
      <c r="C97" s="140"/>
      <c r="D97" s="656"/>
      <c r="E97" s="656"/>
      <c r="F97" s="656"/>
      <c r="G97" s="656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</row>
    <row r="98" spans="1:21" ht="15.75" customHeight="1" x14ac:dyDescent="0.35">
      <c r="A98" s="140"/>
      <c r="B98" s="140"/>
      <c r="C98" s="140"/>
      <c r="D98" s="656"/>
      <c r="E98" s="656"/>
      <c r="F98" s="656"/>
      <c r="G98" s="656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</row>
    <row r="99" spans="1:21" ht="15.75" customHeight="1" x14ac:dyDescent="0.35">
      <c r="A99" s="140"/>
      <c r="B99" s="140"/>
      <c r="C99" s="140"/>
      <c r="D99" s="656"/>
      <c r="E99" s="656"/>
      <c r="F99" s="656"/>
      <c r="G99" s="656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</row>
    <row r="100" spans="1:21" ht="15.75" customHeight="1" x14ac:dyDescent="0.35">
      <c r="A100" s="140"/>
      <c r="B100" s="140"/>
      <c r="C100" s="140"/>
      <c r="D100" s="656"/>
      <c r="E100" s="656"/>
      <c r="F100" s="656"/>
      <c r="G100" s="656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</row>
    <row r="101" spans="1:21" ht="15.75" customHeight="1" x14ac:dyDescent="0.35">
      <c r="A101" s="140"/>
      <c r="B101" s="140"/>
      <c r="C101" s="140"/>
      <c r="D101" s="675"/>
      <c r="E101" s="675"/>
      <c r="F101" s="675"/>
      <c r="G101" s="675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</row>
    <row r="102" spans="1:21" ht="15.75" customHeight="1" x14ac:dyDescent="0.35">
      <c r="A102" s="140"/>
      <c r="B102" s="140"/>
      <c r="C102" s="140"/>
      <c r="D102" s="675"/>
      <c r="E102" s="675"/>
      <c r="F102" s="675"/>
      <c r="G102" s="675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</row>
    <row r="103" spans="1:21" ht="15.75" customHeight="1" x14ac:dyDescent="0.35">
      <c r="A103" s="140"/>
      <c r="B103" s="140"/>
      <c r="C103" s="140"/>
      <c r="D103" s="675"/>
      <c r="E103" s="675"/>
      <c r="F103" s="675"/>
      <c r="G103" s="675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</row>
    <row r="104" spans="1:21" ht="15.75" customHeight="1" x14ac:dyDescent="0.35">
      <c r="A104" s="140"/>
      <c r="B104" s="140"/>
      <c r="C104" s="140"/>
      <c r="D104" s="675"/>
      <c r="E104" s="675"/>
      <c r="F104" s="675"/>
      <c r="G104" s="675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</row>
    <row r="105" spans="1:21" ht="15.75" customHeight="1" x14ac:dyDescent="0.35">
      <c r="A105" s="140"/>
      <c r="B105" s="140"/>
      <c r="C105" s="140"/>
      <c r="D105" s="675"/>
      <c r="E105" s="675"/>
      <c r="F105" s="675"/>
      <c r="G105" s="675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</row>
    <row r="106" spans="1:21" ht="15.75" customHeight="1" x14ac:dyDescent="0.35">
      <c r="A106" s="140"/>
      <c r="B106" s="140"/>
      <c r="C106" s="140"/>
      <c r="D106" s="167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</row>
    <row r="107" spans="1:21" ht="15.75" customHeight="1" x14ac:dyDescent="0.35">
      <c r="A107" s="140"/>
      <c r="B107" s="140"/>
      <c r="C107" s="140"/>
      <c r="D107" s="167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</row>
    <row r="108" spans="1:21" ht="15.75" customHeight="1" x14ac:dyDescent="0.35">
      <c r="A108" s="140"/>
      <c r="B108" s="140"/>
      <c r="C108" s="140"/>
      <c r="D108" s="167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</row>
    <row r="109" spans="1:21" ht="15.75" customHeight="1" x14ac:dyDescent="0.35">
      <c r="A109" s="140"/>
      <c r="B109" s="140"/>
      <c r="C109" s="140"/>
      <c r="D109" s="167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</row>
    <row r="110" spans="1:21" ht="15.75" customHeight="1" x14ac:dyDescent="0.35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</row>
    <row r="111" spans="1:21" ht="15.75" customHeight="1" x14ac:dyDescent="0.35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</row>
    <row r="112" spans="1:21" ht="15.75" customHeight="1" x14ac:dyDescent="0.35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</row>
    <row r="113" spans="1:21" ht="15.75" customHeight="1" x14ac:dyDescent="0.35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</row>
    <row r="114" spans="1:21" ht="15.75" customHeight="1" x14ac:dyDescent="0.35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</row>
    <row r="115" spans="1:21" ht="15.75" customHeight="1" x14ac:dyDescent="0.35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</row>
    <row r="116" spans="1:21" ht="15.75" customHeight="1" x14ac:dyDescent="0.35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</row>
    <row r="117" spans="1:21" ht="15.75" customHeight="1" x14ac:dyDescent="0.35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</row>
    <row r="118" spans="1:21" ht="15.75" customHeight="1" x14ac:dyDescent="0.35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</row>
    <row r="119" spans="1:21" ht="15.75" customHeight="1" x14ac:dyDescent="0.35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</row>
    <row r="120" spans="1:21" ht="15.75" customHeight="1" x14ac:dyDescent="0.35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</row>
    <row r="121" spans="1:21" ht="15.75" customHeight="1" x14ac:dyDescent="0.35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</row>
    <row r="122" spans="1:21" ht="15.75" customHeight="1" x14ac:dyDescent="0.35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</row>
    <row r="123" spans="1:21" ht="15.75" customHeight="1" x14ac:dyDescent="0.35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</row>
    <row r="124" spans="1:21" ht="15.75" customHeight="1" x14ac:dyDescent="0.35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</row>
    <row r="125" spans="1:21" ht="15.75" customHeight="1" x14ac:dyDescent="0.35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</row>
    <row r="126" spans="1:21" ht="15.75" customHeight="1" x14ac:dyDescent="0.35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</row>
    <row r="127" spans="1:21" ht="15.75" customHeight="1" x14ac:dyDescent="0.35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</row>
    <row r="128" spans="1:21" ht="15.75" customHeight="1" x14ac:dyDescent="0.35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</row>
    <row r="129" spans="1:21" ht="15.75" customHeight="1" x14ac:dyDescent="0.35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</row>
    <row r="130" spans="1:21" ht="15.75" customHeight="1" x14ac:dyDescent="0.35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</row>
    <row r="131" spans="1:21" ht="15.75" customHeight="1" x14ac:dyDescent="0.35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</row>
    <row r="132" spans="1:21" ht="15.75" customHeight="1" x14ac:dyDescent="0.35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</row>
    <row r="133" spans="1:21" ht="15.75" customHeight="1" x14ac:dyDescent="0.35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</row>
    <row r="134" spans="1:21" ht="15.75" customHeight="1" x14ac:dyDescent="0.35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</row>
    <row r="135" spans="1:21" ht="15.75" customHeight="1" x14ac:dyDescent="0.35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</row>
    <row r="136" spans="1:21" ht="15.75" customHeight="1" x14ac:dyDescent="0.35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</row>
    <row r="137" spans="1:21" ht="15.75" customHeight="1" x14ac:dyDescent="0.35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</row>
    <row r="138" spans="1:21" ht="15.75" customHeight="1" x14ac:dyDescent="0.35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</row>
    <row r="139" spans="1:21" ht="15.75" customHeight="1" x14ac:dyDescent="0.35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</row>
    <row r="140" spans="1:21" ht="15.75" customHeight="1" x14ac:dyDescent="0.35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</row>
    <row r="141" spans="1:21" ht="15.75" customHeight="1" x14ac:dyDescent="0.35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</row>
    <row r="142" spans="1:21" ht="15.75" customHeight="1" x14ac:dyDescent="0.35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</row>
    <row r="143" spans="1:21" ht="15.75" customHeight="1" x14ac:dyDescent="0.35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</row>
    <row r="144" spans="1:21" ht="15.75" customHeight="1" x14ac:dyDescent="0.35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</row>
    <row r="145" spans="1:21" ht="15.75" customHeight="1" x14ac:dyDescent="0.35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</row>
    <row r="146" spans="1:21" ht="15.75" customHeight="1" x14ac:dyDescent="0.35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</row>
    <row r="147" spans="1:21" ht="15.75" customHeight="1" x14ac:dyDescent="0.35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</row>
    <row r="148" spans="1:21" ht="15.75" customHeight="1" x14ac:dyDescent="0.35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</row>
    <row r="149" spans="1:21" ht="15.75" customHeight="1" x14ac:dyDescent="0.35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</row>
    <row r="150" spans="1:21" ht="15.75" customHeight="1" x14ac:dyDescent="0.35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</row>
    <row r="151" spans="1:21" ht="15.75" customHeight="1" x14ac:dyDescent="0.35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</row>
    <row r="152" spans="1:21" ht="15.75" customHeight="1" x14ac:dyDescent="0.35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</row>
    <row r="153" spans="1:21" ht="15.75" customHeight="1" x14ac:dyDescent="0.35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</row>
    <row r="154" spans="1:21" ht="15.75" customHeight="1" x14ac:dyDescent="0.35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</row>
    <row r="155" spans="1:21" ht="15.75" customHeight="1" x14ac:dyDescent="0.35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</row>
    <row r="156" spans="1:21" ht="15.75" customHeight="1" x14ac:dyDescent="0.35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</row>
    <row r="157" spans="1:21" ht="15.75" customHeight="1" x14ac:dyDescent="0.35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</row>
    <row r="158" spans="1:21" ht="15.75" customHeight="1" x14ac:dyDescent="0.35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</row>
    <row r="159" spans="1:21" ht="15.75" customHeight="1" x14ac:dyDescent="0.35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</row>
    <row r="160" spans="1:21" ht="15.75" customHeight="1" x14ac:dyDescent="0.35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</row>
    <row r="161" spans="1:21" ht="15.75" customHeight="1" x14ac:dyDescent="0.35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</row>
    <row r="162" spans="1:21" ht="15.75" customHeight="1" x14ac:dyDescent="0.35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</row>
    <row r="163" spans="1:21" ht="15.75" customHeight="1" x14ac:dyDescent="0.35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</row>
    <row r="164" spans="1:21" ht="15.75" customHeight="1" x14ac:dyDescent="0.35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</row>
    <row r="165" spans="1:21" ht="15.75" customHeight="1" x14ac:dyDescent="0.35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</row>
    <row r="166" spans="1:21" ht="15.75" customHeight="1" x14ac:dyDescent="0.35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</row>
    <row r="167" spans="1:21" ht="15.75" customHeight="1" x14ac:dyDescent="0.35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</row>
    <row r="168" spans="1:21" ht="15.75" customHeight="1" x14ac:dyDescent="0.35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</row>
    <row r="169" spans="1:21" ht="15.75" customHeight="1" x14ac:dyDescent="0.35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</row>
    <row r="170" spans="1:21" ht="15.75" customHeight="1" x14ac:dyDescent="0.35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</row>
    <row r="171" spans="1:21" ht="15.75" customHeight="1" x14ac:dyDescent="0.35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</row>
    <row r="172" spans="1:21" ht="15.75" customHeight="1" x14ac:dyDescent="0.35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</row>
    <row r="173" spans="1:21" ht="15.75" customHeight="1" x14ac:dyDescent="0.35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</row>
    <row r="174" spans="1:21" ht="15.75" customHeight="1" x14ac:dyDescent="0.35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</row>
    <row r="175" spans="1:21" ht="15.75" customHeight="1" x14ac:dyDescent="0.35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</row>
    <row r="176" spans="1:21" ht="15.75" customHeight="1" x14ac:dyDescent="0.35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</row>
    <row r="177" spans="1:21" ht="15.75" customHeight="1" x14ac:dyDescent="0.35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</row>
    <row r="178" spans="1:21" ht="15.75" customHeight="1" x14ac:dyDescent="0.35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</row>
    <row r="179" spans="1:21" ht="15.75" customHeight="1" x14ac:dyDescent="0.35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</row>
    <row r="180" spans="1:21" ht="15.75" customHeight="1" x14ac:dyDescent="0.35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</row>
    <row r="181" spans="1:21" ht="15.75" customHeight="1" x14ac:dyDescent="0.35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</row>
    <row r="182" spans="1:21" ht="15.75" customHeight="1" x14ac:dyDescent="0.35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</row>
    <row r="183" spans="1:21" ht="15.75" customHeight="1" x14ac:dyDescent="0.35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</row>
    <row r="184" spans="1:21" ht="15.75" customHeight="1" x14ac:dyDescent="0.35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</row>
    <row r="185" spans="1:21" ht="15.75" customHeight="1" x14ac:dyDescent="0.35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</row>
    <row r="186" spans="1:21" ht="15.75" customHeight="1" x14ac:dyDescent="0.35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</row>
    <row r="187" spans="1:21" ht="15.75" customHeight="1" x14ac:dyDescent="0.35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</row>
    <row r="188" spans="1:21" ht="15.75" customHeight="1" x14ac:dyDescent="0.35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</row>
    <row r="189" spans="1:21" ht="15.75" customHeight="1" x14ac:dyDescent="0.35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</row>
    <row r="190" spans="1:21" ht="15.75" customHeight="1" x14ac:dyDescent="0.35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</row>
    <row r="191" spans="1:21" ht="15.75" customHeight="1" x14ac:dyDescent="0.35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</row>
    <row r="192" spans="1:21" ht="15.75" customHeight="1" x14ac:dyDescent="0.35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</row>
    <row r="193" spans="1:21" ht="15.75" customHeight="1" x14ac:dyDescent="0.35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</row>
    <row r="194" spans="1:21" ht="15.75" customHeight="1" x14ac:dyDescent="0.35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</row>
    <row r="195" spans="1:21" ht="15.75" customHeight="1" x14ac:dyDescent="0.35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</row>
    <row r="196" spans="1:21" ht="15.75" customHeight="1" x14ac:dyDescent="0.35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</row>
    <row r="197" spans="1:21" ht="15.75" customHeight="1" x14ac:dyDescent="0.35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</row>
    <row r="198" spans="1:21" ht="15.75" customHeight="1" x14ac:dyDescent="0.35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</row>
    <row r="199" spans="1:21" ht="15.75" customHeight="1" x14ac:dyDescent="0.35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</row>
    <row r="200" spans="1:21" ht="15.75" customHeight="1" x14ac:dyDescent="0.35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</row>
    <row r="201" spans="1:21" ht="15.75" customHeight="1" x14ac:dyDescent="0.35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</row>
    <row r="202" spans="1:21" ht="15.75" customHeight="1" x14ac:dyDescent="0.35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</row>
    <row r="203" spans="1:21" ht="15.75" customHeight="1" x14ac:dyDescent="0.35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</row>
    <row r="204" spans="1:21" ht="15.75" customHeight="1" x14ac:dyDescent="0.35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</row>
    <row r="205" spans="1:21" ht="15.75" customHeight="1" x14ac:dyDescent="0.35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</row>
    <row r="206" spans="1:21" ht="15.75" customHeight="1" x14ac:dyDescent="0.35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</row>
    <row r="207" spans="1:21" ht="15.75" customHeight="1" x14ac:dyDescent="0.35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</row>
    <row r="208" spans="1:21" ht="15.75" customHeight="1" x14ac:dyDescent="0.35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</row>
    <row r="209" spans="1:21" ht="15.75" customHeight="1" x14ac:dyDescent="0.35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</row>
    <row r="210" spans="1:21" ht="15.75" customHeight="1" x14ac:dyDescent="0.35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</row>
    <row r="211" spans="1:21" ht="15.75" customHeight="1" x14ac:dyDescent="0.35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</row>
    <row r="212" spans="1:21" ht="15.75" customHeight="1" x14ac:dyDescent="0.35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</row>
    <row r="213" spans="1:21" ht="15.75" customHeight="1" x14ac:dyDescent="0.35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</row>
    <row r="214" spans="1:21" ht="15.75" customHeight="1" x14ac:dyDescent="0.35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</row>
    <row r="215" spans="1:21" ht="15.75" customHeight="1" x14ac:dyDescent="0.35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</row>
    <row r="216" spans="1:21" ht="15.75" customHeight="1" x14ac:dyDescent="0.35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</row>
    <row r="217" spans="1:21" ht="15.75" customHeight="1" x14ac:dyDescent="0.35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</row>
    <row r="218" spans="1:21" ht="15.75" customHeight="1" x14ac:dyDescent="0.35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</row>
    <row r="219" spans="1:21" ht="15.75" customHeight="1" x14ac:dyDescent="0.35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</row>
    <row r="220" spans="1:21" ht="15.75" customHeight="1" x14ac:dyDescent="0.35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</row>
    <row r="221" spans="1:21" ht="15.75" customHeight="1" x14ac:dyDescent="0.35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</row>
    <row r="222" spans="1:21" ht="15.75" customHeight="1" x14ac:dyDescent="0.35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</row>
    <row r="223" spans="1:21" ht="15.75" customHeight="1" x14ac:dyDescent="0.35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</row>
    <row r="224" spans="1:21" ht="15.75" customHeight="1" x14ac:dyDescent="0.35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</row>
    <row r="225" spans="1:21" ht="15.75" customHeight="1" x14ac:dyDescent="0.35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</row>
    <row r="226" spans="1:21" ht="15.75" customHeight="1" x14ac:dyDescent="0.35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</row>
    <row r="227" spans="1:21" ht="15.75" customHeight="1" x14ac:dyDescent="0.35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</row>
    <row r="228" spans="1:21" ht="15.75" customHeight="1" x14ac:dyDescent="0.35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</row>
    <row r="229" spans="1:21" ht="15.75" customHeight="1" x14ac:dyDescent="0.35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</row>
    <row r="230" spans="1:21" ht="15.75" customHeight="1" x14ac:dyDescent="0.35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</row>
    <row r="231" spans="1:21" ht="15.75" customHeight="1" x14ac:dyDescent="0.35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</row>
    <row r="232" spans="1:21" ht="15.75" customHeight="1" x14ac:dyDescent="0.35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</row>
    <row r="233" spans="1:21" ht="15.75" customHeight="1" x14ac:dyDescent="0.35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</row>
    <row r="234" spans="1:21" ht="15.75" customHeight="1" x14ac:dyDescent="0.35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</row>
    <row r="235" spans="1:21" ht="15.75" customHeight="1" x14ac:dyDescent="0.35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</row>
    <row r="236" spans="1:21" ht="15.75" customHeight="1" x14ac:dyDescent="0.35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</row>
    <row r="237" spans="1:21" ht="15.75" customHeight="1" x14ac:dyDescent="0.35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</row>
    <row r="238" spans="1:21" ht="15.75" customHeight="1" x14ac:dyDescent="0.35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</row>
    <row r="239" spans="1:21" ht="15.75" customHeight="1" x14ac:dyDescent="0.35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</row>
    <row r="240" spans="1:21" ht="15.75" customHeight="1" x14ac:dyDescent="0.35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</row>
    <row r="241" spans="1:21" ht="15.75" customHeight="1" x14ac:dyDescent="0.35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</row>
    <row r="242" spans="1:21" ht="15.75" customHeight="1" x14ac:dyDescent="0.35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</row>
    <row r="243" spans="1:21" ht="15.75" customHeight="1" x14ac:dyDescent="0.35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</row>
    <row r="244" spans="1:21" ht="15.75" customHeight="1" x14ac:dyDescent="0.35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</row>
    <row r="245" spans="1:21" ht="15.75" customHeight="1" x14ac:dyDescent="0.35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</row>
    <row r="246" spans="1:21" ht="15.75" customHeight="1" x14ac:dyDescent="0.35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</row>
    <row r="247" spans="1:21" ht="15.75" customHeight="1" x14ac:dyDescent="0.35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</row>
    <row r="248" spans="1:21" ht="15.75" customHeight="1" x14ac:dyDescent="0.35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</row>
    <row r="249" spans="1:21" ht="15.75" customHeight="1" x14ac:dyDescent="0.35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</row>
    <row r="250" spans="1:21" ht="15.75" customHeight="1" x14ac:dyDescent="0.35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</row>
    <row r="251" spans="1:21" ht="15.75" customHeight="1" x14ac:dyDescent="0.35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</row>
    <row r="252" spans="1:21" ht="15.75" customHeight="1" x14ac:dyDescent="0.35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</row>
    <row r="253" spans="1:21" ht="15.75" customHeight="1" x14ac:dyDescent="0.35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</row>
    <row r="254" spans="1:21" ht="15.75" customHeight="1" x14ac:dyDescent="0.35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</row>
    <row r="255" spans="1:21" ht="15.75" customHeight="1" x14ac:dyDescent="0.35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</row>
    <row r="256" spans="1:21" ht="15.75" customHeight="1" x14ac:dyDescent="0.35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</row>
    <row r="257" spans="1:21" ht="15.75" customHeight="1" x14ac:dyDescent="0.35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</row>
    <row r="258" spans="1:21" ht="15.75" customHeight="1" x14ac:dyDescent="0.35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</row>
    <row r="259" spans="1:21" ht="15.75" customHeight="1" x14ac:dyDescent="0.35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</row>
    <row r="260" spans="1:21" ht="15.75" customHeight="1" x14ac:dyDescent="0.35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</row>
    <row r="261" spans="1:21" ht="15.75" customHeight="1" x14ac:dyDescent="0.35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</row>
    <row r="262" spans="1:21" ht="15.75" customHeight="1" x14ac:dyDescent="0.35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</row>
    <row r="263" spans="1:21" ht="15.75" customHeight="1" x14ac:dyDescent="0.35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</row>
    <row r="264" spans="1:21" ht="15.75" customHeight="1" x14ac:dyDescent="0.35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</row>
    <row r="265" spans="1:21" ht="15.75" customHeight="1" x14ac:dyDescent="0.35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</row>
    <row r="266" spans="1:21" ht="15.75" customHeight="1" x14ac:dyDescent="0.35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</row>
    <row r="267" spans="1:21" ht="15.75" customHeight="1" x14ac:dyDescent="0.35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</row>
    <row r="268" spans="1:21" ht="15.75" customHeight="1" x14ac:dyDescent="0.35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</row>
    <row r="269" spans="1:21" ht="15.75" customHeight="1" x14ac:dyDescent="0.35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</row>
    <row r="270" spans="1:21" ht="15.75" customHeight="1" x14ac:dyDescent="0.35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</row>
    <row r="271" spans="1:21" ht="15.75" customHeight="1" x14ac:dyDescent="0.35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</row>
    <row r="272" spans="1:21" ht="15.75" customHeight="1" x14ac:dyDescent="0.35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</row>
    <row r="273" spans="1:21" ht="15.75" customHeight="1" x14ac:dyDescent="0.35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</row>
    <row r="274" spans="1:21" ht="15.75" customHeight="1" x14ac:dyDescent="0.35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</row>
    <row r="275" spans="1:21" ht="15.75" customHeight="1" x14ac:dyDescent="0.35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</row>
    <row r="276" spans="1:21" ht="15.75" customHeight="1" x14ac:dyDescent="0.35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</row>
    <row r="277" spans="1:21" ht="15.75" customHeight="1" x14ac:dyDescent="0.35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</row>
    <row r="278" spans="1:21" ht="15.75" customHeight="1" x14ac:dyDescent="0.35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</row>
    <row r="279" spans="1:21" ht="15.75" customHeight="1" x14ac:dyDescent="0.35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</row>
    <row r="280" spans="1:21" ht="15.75" customHeight="1" x14ac:dyDescent="0.35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</row>
    <row r="281" spans="1:21" ht="15.75" customHeight="1" x14ac:dyDescent="0.35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</row>
    <row r="282" spans="1:21" ht="15.75" customHeight="1" x14ac:dyDescent="0.35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</row>
    <row r="283" spans="1:21" ht="15.75" customHeight="1" x14ac:dyDescent="0.35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</row>
    <row r="284" spans="1:21" ht="15.75" customHeight="1" x14ac:dyDescent="0.35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</row>
    <row r="285" spans="1:21" ht="15.75" customHeight="1" x14ac:dyDescent="0.35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</row>
    <row r="286" spans="1:21" ht="15.75" customHeight="1" x14ac:dyDescent="0.35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</row>
    <row r="287" spans="1:21" ht="15.75" customHeight="1" x14ac:dyDescent="0.35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</row>
    <row r="288" spans="1:21" ht="15.75" customHeight="1" x14ac:dyDescent="0.35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</row>
    <row r="289" spans="1:21" ht="15.75" customHeight="1" x14ac:dyDescent="0.35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</row>
    <row r="290" spans="1:21" ht="15.75" customHeight="1" x14ac:dyDescent="0.35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</row>
    <row r="291" spans="1:21" ht="15.75" customHeight="1" x14ac:dyDescent="0.35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</row>
    <row r="292" spans="1:21" ht="15.75" customHeight="1" x14ac:dyDescent="0.35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</row>
    <row r="293" spans="1:21" ht="15.75" customHeight="1" x14ac:dyDescent="0.35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</row>
    <row r="294" spans="1:21" ht="15.75" customHeight="1" x14ac:dyDescent="0.35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</row>
    <row r="295" spans="1:21" ht="15.75" customHeight="1" x14ac:dyDescent="0.35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</row>
    <row r="296" spans="1:21" ht="15.75" customHeight="1" x14ac:dyDescent="0.35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</row>
    <row r="297" spans="1:21" ht="15.75" customHeight="1" x14ac:dyDescent="0.35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</row>
    <row r="298" spans="1:21" ht="15.75" customHeight="1" x14ac:dyDescent="0.35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</row>
    <row r="299" spans="1:21" ht="15.75" customHeight="1" x14ac:dyDescent="0.35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</row>
    <row r="300" spans="1:21" ht="15.75" customHeight="1" x14ac:dyDescent="0.35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</row>
    <row r="301" spans="1:21" ht="15.75" customHeight="1" x14ac:dyDescent="0.35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</row>
    <row r="302" spans="1:21" ht="15.75" customHeight="1" x14ac:dyDescent="0.35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</row>
    <row r="303" spans="1:21" ht="15.75" customHeight="1" x14ac:dyDescent="0.35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</row>
    <row r="304" spans="1:21" ht="15.75" customHeight="1" x14ac:dyDescent="0.35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</row>
    <row r="305" spans="1:21" ht="15.75" customHeight="1" x14ac:dyDescent="0.35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</row>
    <row r="306" spans="1:21" ht="15.75" customHeight="1" x14ac:dyDescent="0.35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</row>
    <row r="307" spans="1:21" ht="15.75" customHeight="1" x14ac:dyDescent="0.35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</row>
    <row r="308" spans="1:21" ht="15.75" customHeight="1" x14ac:dyDescent="0.35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</row>
    <row r="309" spans="1:21" ht="15.75" customHeight="1" x14ac:dyDescent="0.35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</row>
    <row r="310" spans="1:21" ht="15.75" customHeight="1" x14ac:dyDescent="0.35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</row>
    <row r="311" spans="1:21" ht="15.75" customHeight="1" x14ac:dyDescent="0.35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</row>
    <row r="312" spans="1:21" ht="15.75" customHeight="1" x14ac:dyDescent="0.35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</row>
    <row r="313" spans="1:21" ht="15.75" customHeight="1" x14ac:dyDescent="0.35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</row>
    <row r="314" spans="1:21" ht="15.75" customHeight="1" x14ac:dyDescent="0.35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</row>
    <row r="315" spans="1:21" ht="15.75" customHeight="1" x14ac:dyDescent="0.35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</row>
    <row r="316" spans="1:21" ht="15.75" customHeight="1" x14ac:dyDescent="0.35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</row>
    <row r="317" spans="1:21" ht="15.75" customHeight="1" x14ac:dyDescent="0.35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</row>
    <row r="318" spans="1:21" ht="15.75" customHeight="1" x14ac:dyDescent="0.35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</row>
    <row r="319" spans="1:21" ht="15.75" customHeight="1" x14ac:dyDescent="0.35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</row>
    <row r="320" spans="1:21" ht="15.75" customHeight="1" x14ac:dyDescent="0.35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</row>
    <row r="321" spans="1:21" ht="15.75" customHeight="1" x14ac:dyDescent="0.35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</row>
    <row r="322" spans="1:21" ht="15.75" customHeight="1" x14ac:dyDescent="0.35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</row>
    <row r="323" spans="1:21" ht="15.75" customHeight="1" x14ac:dyDescent="0.35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</row>
    <row r="324" spans="1:21" ht="15.75" customHeight="1" x14ac:dyDescent="0.35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</row>
    <row r="325" spans="1:21" ht="15.75" customHeight="1" x14ac:dyDescent="0.35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</row>
    <row r="326" spans="1:21" ht="15.75" customHeight="1" x14ac:dyDescent="0.35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</row>
    <row r="327" spans="1:21" ht="15.75" customHeight="1" x14ac:dyDescent="0.35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</row>
    <row r="328" spans="1:21" ht="15.75" customHeight="1" x14ac:dyDescent="0.35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</row>
    <row r="329" spans="1:21" ht="15.75" customHeight="1" x14ac:dyDescent="0.35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</row>
    <row r="330" spans="1:21" ht="15.75" customHeight="1" x14ac:dyDescent="0.35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</row>
    <row r="331" spans="1:21" ht="15.75" customHeight="1" x14ac:dyDescent="0.35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</row>
    <row r="332" spans="1:21" ht="15.75" customHeight="1" x14ac:dyDescent="0.35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</row>
    <row r="333" spans="1:21" ht="15.75" customHeight="1" x14ac:dyDescent="0.35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</row>
    <row r="334" spans="1:21" ht="15.75" customHeight="1" x14ac:dyDescent="0.35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</row>
    <row r="335" spans="1:21" ht="15.75" customHeight="1" x14ac:dyDescent="0.35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</row>
    <row r="336" spans="1:21" ht="15.75" customHeight="1" x14ac:dyDescent="0.35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</row>
    <row r="337" spans="1:21" ht="15.75" customHeight="1" x14ac:dyDescent="0.35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</row>
    <row r="338" spans="1:21" ht="15.75" customHeight="1" x14ac:dyDescent="0.35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</row>
    <row r="339" spans="1:21" ht="15.75" customHeight="1" x14ac:dyDescent="0.35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</row>
    <row r="340" spans="1:21" ht="15.75" customHeight="1" x14ac:dyDescent="0.35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</row>
    <row r="341" spans="1:21" ht="15.75" customHeight="1" x14ac:dyDescent="0.35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</row>
    <row r="342" spans="1:21" ht="15.75" customHeight="1" x14ac:dyDescent="0.35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</row>
    <row r="343" spans="1:21" ht="15.75" customHeight="1" x14ac:dyDescent="0.35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</row>
    <row r="344" spans="1:21" ht="15.75" customHeight="1" x14ac:dyDescent="0.35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</row>
    <row r="345" spans="1:21" ht="15.75" customHeight="1" x14ac:dyDescent="0.35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</row>
    <row r="346" spans="1:21" ht="15.75" customHeight="1" x14ac:dyDescent="0.35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</row>
    <row r="347" spans="1:21" ht="15.75" customHeight="1" x14ac:dyDescent="0.35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</row>
    <row r="348" spans="1:21" ht="15.75" customHeight="1" x14ac:dyDescent="0.35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</row>
    <row r="349" spans="1:21" ht="15.75" customHeight="1" x14ac:dyDescent="0.35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</row>
    <row r="350" spans="1:21" ht="15.75" customHeight="1" x14ac:dyDescent="0.35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</row>
    <row r="351" spans="1:21" ht="15.75" customHeight="1" x14ac:dyDescent="0.35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</row>
    <row r="352" spans="1:21" ht="15.75" customHeight="1" x14ac:dyDescent="0.35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</row>
    <row r="353" spans="1:21" ht="15.75" customHeight="1" x14ac:dyDescent="0.35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</row>
    <row r="354" spans="1:21" ht="15.75" customHeight="1" x14ac:dyDescent="0.35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</row>
    <row r="355" spans="1:21" ht="15.75" customHeight="1" x14ac:dyDescent="0.35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</row>
    <row r="356" spans="1:21" ht="15.75" customHeight="1" x14ac:dyDescent="0.35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</row>
    <row r="357" spans="1:21" ht="15.75" customHeight="1" x14ac:dyDescent="0.35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</row>
    <row r="358" spans="1:21" ht="15.75" customHeight="1" x14ac:dyDescent="0.35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</row>
    <row r="359" spans="1:21" ht="15.75" customHeight="1" x14ac:dyDescent="0.35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</row>
    <row r="360" spans="1:21" ht="15.75" customHeight="1" x14ac:dyDescent="0.35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</row>
    <row r="361" spans="1:21" ht="15.75" customHeight="1" x14ac:dyDescent="0.35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</row>
    <row r="362" spans="1:21" ht="15.75" customHeight="1" x14ac:dyDescent="0.35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</row>
    <row r="363" spans="1:21" ht="15.75" customHeight="1" x14ac:dyDescent="0.35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</row>
    <row r="364" spans="1:21" ht="15.75" customHeight="1" x14ac:dyDescent="0.35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</row>
    <row r="365" spans="1:21" ht="15.75" customHeight="1" x14ac:dyDescent="0.35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</row>
    <row r="366" spans="1:21" ht="15.75" customHeight="1" x14ac:dyDescent="0.35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</row>
    <row r="367" spans="1:21" ht="15.75" customHeight="1" x14ac:dyDescent="0.35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</row>
    <row r="368" spans="1:21" ht="15.75" customHeight="1" x14ac:dyDescent="0.35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</row>
    <row r="369" spans="1:21" ht="15.75" customHeight="1" x14ac:dyDescent="0.35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</row>
    <row r="370" spans="1:21" ht="15.75" customHeight="1" x14ac:dyDescent="0.35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</row>
    <row r="371" spans="1:21" ht="15.75" customHeight="1" x14ac:dyDescent="0.35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</row>
    <row r="372" spans="1:21" ht="15.75" customHeight="1" x14ac:dyDescent="0.35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</row>
    <row r="373" spans="1:21" ht="15.75" customHeight="1" x14ac:dyDescent="0.35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</row>
    <row r="374" spans="1:21" ht="15.75" customHeight="1" x14ac:dyDescent="0.35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</row>
    <row r="375" spans="1:21" ht="15.75" customHeight="1" x14ac:dyDescent="0.35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</row>
    <row r="376" spans="1:21" ht="15.75" customHeight="1" x14ac:dyDescent="0.35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</row>
    <row r="377" spans="1:21" ht="15.75" customHeight="1" x14ac:dyDescent="0.35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</row>
    <row r="378" spans="1:21" ht="15.75" customHeight="1" x14ac:dyDescent="0.35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</row>
    <row r="379" spans="1:21" ht="15.75" customHeight="1" x14ac:dyDescent="0.35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</row>
    <row r="380" spans="1:21" ht="15.75" customHeight="1" x14ac:dyDescent="0.35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</row>
    <row r="381" spans="1:21" ht="15.75" customHeight="1" x14ac:dyDescent="0.35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</row>
    <row r="382" spans="1:21" ht="15.75" customHeight="1" x14ac:dyDescent="0.35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</row>
    <row r="383" spans="1:21" ht="15.75" customHeight="1" x14ac:dyDescent="0.35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</row>
    <row r="384" spans="1:21" ht="15.75" customHeight="1" x14ac:dyDescent="0.35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</row>
    <row r="385" spans="1:21" ht="15.75" customHeight="1" x14ac:dyDescent="0.35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</row>
    <row r="386" spans="1:21" ht="15.75" customHeight="1" x14ac:dyDescent="0.35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</row>
    <row r="387" spans="1:21" ht="15.75" customHeight="1" x14ac:dyDescent="0.35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</row>
    <row r="388" spans="1:21" ht="15.75" customHeight="1" x14ac:dyDescent="0.35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</row>
    <row r="389" spans="1:21" ht="15.75" customHeight="1" x14ac:dyDescent="0.35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</row>
    <row r="390" spans="1:21" ht="15.75" customHeight="1" x14ac:dyDescent="0.35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</row>
    <row r="391" spans="1:21" ht="15.75" customHeight="1" x14ac:dyDescent="0.35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</row>
    <row r="392" spans="1:21" ht="15.75" customHeight="1" x14ac:dyDescent="0.35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</row>
    <row r="393" spans="1:21" ht="15.75" customHeight="1" x14ac:dyDescent="0.35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</row>
    <row r="394" spans="1:21" ht="15.75" customHeight="1" x14ac:dyDescent="0.35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</row>
    <row r="395" spans="1:21" ht="15.75" customHeight="1" x14ac:dyDescent="0.35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</row>
    <row r="396" spans="1:21" ht="15.75" customHeight="1" x14ac:dyDescent="0.35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</row>
    <row r="397" spans="1:21" ht="15.75" customHeight="1" x14ac:dyDescent="0.35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</row>
    <row r="398" spans="1:21" ht="15.75" customHeight="1" x14ac:dyDescent="0.35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</row>
    <row r="399" spans="1:21" ht="15.75" customHeight="1" x14ac:dyDescent="0.35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</row>
    <row r="400" spans="1:21" ht="15.75" customHeight="1" x14ac:dyDescent="0.35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</row>
    <row r="401" spans="1:21" ht="15.75" customHeight="1" x14ac:dyDescent="0.35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</row>
    <row r="402" spans="1:21" ht="15.75" customHeight="1" x14ac:dyDescent="0.35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</row>
    <row r="403" spans="1:21" ht="15.75" customHeight="1" x14ac:dyDescent="0.35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</row>
    <row r="404" spans="1:21" ht="15.75" customHeight="1" x14ac:dyDescent="0.35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</row>
    <row r="405" spans="1:21" ht="15.75" customHeight="1" x14ac:dyDescent="0.35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</row>
    <row r="406" spans="1:21" ht="15.75" customHeight="1" x14ac:dyDescent="0.35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</row>
    <row r="407" spans="1:21" ht="15.75" customHeight="1" x14ac:dyDescent="0.35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</row>
    <row r="408" spans="1:21" ht="15.75" customHeight="1" x14ac:dyDescent="0.35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</row>
    <row r="409" spans="1:21" ht="15.75" customHeight="1" x14ac:dyDescent="0.35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</row>
    <row r="410" spans="1:21" ht="15.75" customHeight="1" x14ac:dyDescent="0.35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</row>
    <row r="411" spans="1:21" ht="15.75" customHeight="1" x14ac:dyDescent="0.35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</row>
    <row r="412" spans="1:21" ht="15.75" customHeight="1" x14ac:dyDescent="0.35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</row>
    <row r="413" spans="1:21" ht="15.75" customHeight="1" x14ac:dyDescent="0.35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</row>
    <row r="414" spans="1:21" ht="15.75" customHeight="1" x14ac:dyDescent="0.35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</row>
    <row r="415" spans="1:21" ht="15.75" customHeight="1" x14ac:dyDescent="0.35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</row>
    <row r="416" spans="1:21" ht="15.75" customHeight="1" x14ac:dyDescent="0.35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</row>
    <row r="417" spans="1:21" ht="15.75" customHeight="1" x14ac:dyDescent="0.35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</row>
    <row r="418" spans="1:21" ht="15.75" customHeight="1" x14ac:dyDescent="0.35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</row>
    <row r="419" spans="1:21" ht="15.75" customHeight="1" x14ac:dyDescent="0.35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</row>
    <row r="420" spans="1:21" ht="15.75" customHeight="1" x14ac:dyDescent="0.35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</row>
    <row r="421" spans="1:21" ht="15.75" customHeight="1" x14ac:dyDescent="0.35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</row>
    <row r="422" spans="1:21" ht="15.75" customHeight="1" x14ac:dyDescent="0.35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</row>
    <row r="423" spans="1:21" ht="15.75" customHeight="1" x14ac:dyDescent="0.35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</row>
    <row r="424" spans="1:21" ht="15.75" customHeight="1" x14ac:dyDescent="0.35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</row>
    <row r="425" spans="1:21" ht="15.75" customHeight="1" x14ac:dyDescent="0.35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</row>
    <row r="426" spans="1:21" ht="15.75" customHeight="1" x14ac:dyDescent="0.35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</row>
    <row r="427" spans="1:21" ht="15.75" customHeight="1" x14ac:dyDescent="0.35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</row>
    <row r="428" spans="1:21" ht="15.75" customHeight="1" x14ac:dyDescent="0.35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</row>
    <row r="429" spans="1:21" ht="15.75" customHeight="1" x14ac:dyDescent="0.35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</row>
    <row r="430" spans="1:21" ht="15.75" customHeight="1" x14ac:dyDescent="0.35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</row>
    <row r="431" spans="1:21" ht="15.75" customHeight="1" x14ac:dyDescent="0.35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</row>
    <row r="432" spans="1:21" ht="15.75" customHeight="1" x14ac:dyDescent="0.35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</row>
    <row r="433" spans="1:21" ht="15.75" customHeight="1" x14ac:dyDescent="0.35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</row>
    <row r="434" spans="1:21" ht="15.75" customHeight="1" x14ac:dyDescent="0.35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</row>
    <row r="435" spans="1:21" ht="15.75" customHeight="1" x14ac:dyDescent="0.35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</row>
    <row r="436" spans="1:21" ht="15.75" customHeight="1" x14ac:dyDescent="0.35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</row>
    <row r="437" spans="1:21" ht="15.75" customHeight="1" x14ac:dyDescent="0.35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</row>
    <row r="438" spans="1:21" ht="15.75" customHeight="1" x14ac:dyDescent="0.35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</row>
    <row r="439" spans="1:21" ht="15.75" customHeight="1" x14ac:dyDescent="0.35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</row>
    <row r="440" spans="1:21" ht="15.75" customHeight="1" x14ac:dyDescent="0.35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</row>
    <row r="441" spans="1:21" ht="15.75" customHeight="1" x14ac:dyDescent="0.35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</row>
    <row r="442" spans="1:21" ht="15.75" customHeight="1" x14ac:dyDescent="0.35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</row>
    <row r="443" spans="1:21" ht="15.75" customHeight="1" x14ac:dyDescent="0.35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</row>
    <row r="444" spans="1:21" ht="15.75" customHeight="1" x14ac:dyDescent="0.35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</row>
    <row r="445" spans="1:21" ht="15.75" customHeight="1" x14ac:dyDescent="0.35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</row>
    <row r="446" spans="1:21" ht="15.75" customHeight="1" x14ac:dyDescent="0.35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</row>
    <row r="447" spans="1:21" ht="15.75" customHeight="1" x14ac:dyDescent="0.35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</row>
    <row r="448" spans="1:21" ht="15.75" customHeight="1" x14ac:dyDescent="0.35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</row>
    <row r="449" spans="1:21" ht="15.75" customHeight="1" x14ac:dyDescent="0.35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</row>
    <row r="450" spans="1:21" ht="15.75" customHeight="1" x14ac:dyDescent="0.35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</row>
    <row r="451" spans="1:21" ht="15.75" customHeight="1" x14ac:dyDescent="0.35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</row>
    <row r="452" spans="1:21" ht="15.75" customHeight="1" x14ac:dyDescent="0.35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</row>
    <row r="453" spans="1:21" ht="15.75" customHeight="1" x14ac:dyDescent="0.35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</row>
    <row r="454" spans="1:21" ht="15.75" customHeight="1" x14ac:dyDescent="0.35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</row>
    <row r="455" spans="1:21" ht="15.75" customHeight="1" x14ac:dyDescent="0.35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</row>
    <row r="456" spans="1:21" ht="15.75" customHeight="1" x14ac:dyDescent="0.35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</row>
    <row r="457" spans="1:21" ht="15.75" customHeight="1" x14ac:dyDescent="0.35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</row>
    <row r="458" spans="1:21" ht="15.75" customHeight="1" x14ac:dyDescent="0.35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</row>
    <row r="459" spans="1:21" ht="15.75" customHeight="1" x14ac:dyDescent="0.35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</row>
    <row r="460" spans="1:21" ht="15.75" customHeight="1" x14ac:dyDescent="0.35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</row>
    <row r="461" spans="1:21" ht="15.75" customHeight="1" x14ac:dyDescent="0.35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</row>
    <row r="462" spans="1:21" ht="15.75" customHeight="1" x14ac:dyDescent="0.35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</row>
    <row r="463" spans="1:21" ht="15.75" customHeight="1" x14ac:dyDescent="0.35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</row>
    <row r="464" spans="1:21" ht="15.75" customHeight="1" x14ac:dyDescent="0.35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</row>
    <row r="465" spans="1:21" ht="15.75" customHeight="1" x14ac:dyDescent="0.35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</row>
    <row r="466" spans="1:21" ht="15.75" customHeight="1" x14ac:dyDescent="0.35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</row>
    <row r="467" spans="1:21" ht="15.75" customHeight="1" x14ac:dyDescent="0.35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</row>
    <row r="468" spans="1:21" ht="15.75" customHeight="1" x14ac:dyDescent="0.35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</row>
    <row r="469" spans="1:21" ht="15.75" customHeight="1" x14ac:dyDescent="0.35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</row>
    <row r="470" spans="1:21" ht="15.75" customHeight="1" x14ac:dyDescent="0.35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</row>
    <row r="471" spans="1:21" ht="15.75" customHeight="1" x14ac:dyDescent="0.35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</row>
    <row r="472" spans="1:21" ht="15.75" customHeight="1" x14ac:dyDescent="0.35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</row>
    <row r="473" spans="1:21" ht="15.75" customHeight="1" x14ac:dyDescent="0.35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</row>
    <row r="474" spans="1:21" ht="15.75" customHeight="1" x14ac:dyDescent="0.35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</row>
    <row r="475" spans="1:21" ht="15.75" customHeight="1" x14ac:dyDescent="0.35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</row>
    <row r="476" spans="1:21" ht="15.75" customHeight="1" x14ac:dyDescent="0.35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</row>
    <row r="477" spans="1:21" ht="15.75" customHeight="1" x14ac:dyDescent="0.35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</row>
    <row r="478" spans="1:21" ht="15.75" customHeight="1" x14ac:dyDescent="0.35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</row>
    <row r="479" spans="1:21" ht="15.75" customHeight="1" x14ac:dyDescent="0.35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</row>
    <row r="480" spans="1:21" ht="15.75" customHeight="1" x14ac:dyDescent="0.35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</row>
    <row r="481" spans="1:21" ht="15.75" customHeight="1" x14ac:dyDescent="0.35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</row>
    <row r="482" spans="1:21" ht="15.75" customHeight="1" x14ac:dyDescent="0.35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</row>
    <row r="483" spans="1:21" ht="15.75" customHeight="1" x14ac:dyDescent="0.35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</row>
    <row r="484" spans="1:21" ht="15.75" customHeight="1" x14ac:dyDescent="0.35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</row>
    <row r="485" spans="1:21" ht="15.75" customHeight="1" x14ac:dyDescent="0.35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</row>
    <row r="486" spans="1:21" ht="15.75" customHeight="1" x14ac:dyDescent="0.35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</row>
    <row r="487" spans="1:21" ht="15.75" customHeight="1" x14ac:dyDescent="0.35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</row>
    <row r="488" spans="1:21" ht="15.75" customHeight="1" x14ac:dyDescent="0.35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</row>
    <row r="489" spans="1:21" ht="15.75" customHeight="1" x14ac:dyDescent="0.35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</row>
    <row r="490" spans="1:21" ht="15.75" customHeight="1" x14ac:dyDescent="0.35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</row>
    <row r="491" spans="1:21" ht="15.75" customHeight="1" x14ac:dyDescent="0.35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</row>
    <row r="492" spans="1:21" ht="15.75" customHeight="1" x14ac:dyDescent="0.35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</row>
    <row r="493" spans="1:21" ht="15.75" customHeight="1" x14ac:dyDescent="0.35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</row>
    <row r="494" spans="1:21" ht="15.75" customHeight="1" x14ac:dyDescent="0.35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</row>
    <row r="495" spans="1:21" ht="15.75" customHeight="1" x14ac:dyDescent="0.35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</row>
    <row r="496" spans="1:21" ht="15.75" customHeight="1" x14ac:dyDescent="0.35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</row>
    <row r="497" spans="1:21" ht="15.75" customHeight="1" x14ac:dyDescent="0.35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</row>
    <row r="498" spans="1:21" ht="15.75" customHeight="1" x14ac:dyDescent="0.35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</row>
    <row r="499" spans="1:21" ht="15.75" customHeight="1" x14ac:dyDescent="0.35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</row>
    <row r="500" spans="1:21" ht="15.75" customHeight="1" x14ac:dyDescent="0.35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</row>
    <row r="501" spans="1:21" ht="15.75" customHeight="1" x14ac:dyDescent="0.35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</row>
    <row r="502" spans="1:21" ht="15.75" customHeight="1" x14ac:dyDescent="0.35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</row>
    <row r="503" spans="1:21" ht="15.75" customHeight="1" x14ac:dyDescent="0.35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</row>
    <row r="504" spans="1:21" ht="15.75" customHeight="1" x14ac:dyDescent="0.35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</row>
    <row r="505" spans="1:21" ht="15.75" customHeight="1" x14ac:dyDescent="0.35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</row>
    <row r="506" spans="1:21" ht="15.75" customHeight="1" x14ac:dyDescent="0.35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</row>
    <row r="507" spans="1:21" ht="15.75" customHeight="1" x14ac:dyDescent="0.35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</row>
    <row r="508" spans="1:21" ht="15.75" customHeight="1" x14ac:dyDescent="0.35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</row>
    <row r="509" spans="1:21" ht="15.75" customHeight="1" x14ac:dyDescent="0.35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</row>
    <row r="510" spans="1:21" ht="15.75" customHeight="1" x14ac:dyDescent="0.35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</row>
    <row r="511" spans="1:21" ht="15.75" customHeight="1" x14ac:dyDescent="0.35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</row>
    <row r="512" spans="1:21" ht="15.75" customHeight="1" x14ac:dyDescent="0.35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</row>
    <row r="513" spans="1:21" ht="15.75" customHeight="1" x14ac:dyDescent="0.35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</row>
    <row r="514" spans="1:21" ht="15.75" customHeight="1" x14ac:dyDescent="0.35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</row>
    <row r="515" spans="1:21" ht="15.75" customHeight="1" x14ac:dyDescent="0.35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</row>
    <row r="516" spans="1:21" ht="15.75" customHeight="1" x14ac:dyDescent="0.35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</row>
    <row r="517" spans="1:21" ht="15.75" customHeight="1" x14ac:dyDescent="0.35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</row>
    <row r="518" spans="1:21" ht="15.75" customHeight="1" x14ac:dyDescent="0.35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</row>
    <row r="519" spans="1:21" ht="15.75" customHeight="1" x14ac:dyDescent="0.35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</row>
    <row r="520" spans="1:21" ht="15.75" customHeight="1" x14ac:dyDescent="0.35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</row>
    <row r="521" spans="1:21" ht="15.75" customHeight="1" x14ac:dyDescent="0.35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</row>
    <row r="522" spans="1:21" ht="15.75" customHeight="1" x14ac:dyDescent="0.35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</row>
    <row r="523" spans="1:21" ht="15.75" customHeight="1" x14ac:dyDescent="0.35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</row>
    <row r="524" spans="1:21" ht="15.75" customHeight="1" x14ac:dyDescent="0.35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</row>
    <row r="525" spans="1:21" ht="15.75" customHeight="1" x14ac:dyDescent="0.35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</row>
    <row r="526" spans="1:21" ht="15.75" customHeight="1" x14ac:dyDescent="0.35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</row>
    <row r="527" spans="1:21" ht="15.75" customHeight="1" x14ac:dyDescent="0.35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</row>
    <row r="528" spans="1:21" ht="15.75" customHeight="1" x14ac:dyDescent="0.35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</row>
    <row r="529" spans="1:21" ht="15.75" customHeight="1" x14ac:dyDescent="0.35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</row>
    <row r="530" spans="1:21" ht="15.75" customHeight="1" x14ac:dyDescent="0.35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</row>
    <row r="531" spans="1:21" ht="15.75" customHeight="1" x14ac:dyDescent="0.35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</row>
    <row r="532" spans="1:21" ht="15.75" customHeight="1" x14ac:dyDescent="0.35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</row>
    <row r="533" spans="1:21" ht="15.75" customHeight="1" x14ac:dyDescent="0.35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</row>
    <row r="534" spans="1:21" ht="15.75" customHeight="1" x14ac:dyDescent="0.35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</row>
    <row r="535" spans="1:21" ht="15.75" customHeight="1" x14ac:dyDescent="0.35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</row>
    <row r="536" spans="1:21" ht="15.75" customHeight="1" x14ac:dyDescent="0.35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</row>
    <row r="537" spans="1:21" ht="15.75" customHeight="1" x14ac:dyDescent="0.35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</row>
    <row r="538" spans="1:21" ht="15.75" customHeight="1" x14ac:dyDescent="0.35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</row>
    <row r="539" spans="1:21" ht="15.75" customHeight="1" x14ac:dyDescent="0.35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</row>
    <row r="540" spans="1:21" ht="15.75" customHeight="1" x14ac:dyDescent="0.35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</row>
    <row r="541" spans="1:21" ht="15.75" customHeight="1" x14ac:dyDescent="0.35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</row>
    <row r="542" spans="1:21" ht="15.75" customHeight="1" x14ac:dyDescent="0.35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</row>
    <row r="543" spans="1:21" ht="15.75" customHeight="1" x14ac:dyDescent="0.35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</row>
    <row r="544" spans="1:21" ht="15.75" customHeight="1" x14ac:dyDescent="0.35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</row>
    <row r="545" spans="1:21" ht="15.75" customHeight="1" x14ac:dyDescent="0.35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</row>
    <row r="546" spans="1:21" ht="15.75" customHeight="1" x14ac:dyDescent="0.35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</row>
    <row r="547" spans="1:21" ht="15.75" customHeight="1" x14ac:dyDescent="0.35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</row>
    <row r="548" spans="1:21" ht="15.75" customHeight="1" x14ac:dyDescent="0.35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</row>
    <row r="549" spans="1:21" ht="15.75" customHeight="1" x14ac:dyDescent="0.35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</row>
    <row r="550" spans="1:21" ht="15.75" customHeight="1" x14ac:dyDescent="0.35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</row>
    <row r="551" spans="1:21" ht="15.75" customHeight="1" x14ac:dyDescent="0.35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</row>
    <row r="552" spans="1:21" ht="15.75" customHeight="1" x14ac:dyDescent="0.35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</row>
    <row r="553" spans="1:21" ht="15.75" customHeight="1" x14ac:dyDescent="0.35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</row>
    <row r="554" spans="1:21" ht="15.75" customHeight="1" x14ac:dyDescent="0.35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</row>
    <row r="555" spans="1:21" ht="15.75" customHeight="1" x14ac:dyDescent="0.35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</row>
    <row r="556" spans="1:21" ht="15.75" customHeight="1" x14ac:dyDescent="0.35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</row>
    <row r="557" spans="1:21" ht="15.75" customHeight="1" x14ac:dyDescent="0.35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</row>
    <row r="558" spans="1:21" ht="15.75" customHeight="1" x14ac:dyDescent="0.35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</row>
    <row r="559" spans="1:21" ht="15.75" customHeight="1" x14ac:dyDescent="0.35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</row>
    <row r="560" spans="1:21" ht="15.75" customHeight="1" x14ac:dyDescent="0.35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</row>
    <row r="561" spans="1:21" ht="15.75" customHeight="1" x14ac:dyDescent="0.35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</row>
    <row r="562" spans="1:21" ht="15.75" customHeight="1" x14ac:dyDescent="0.35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</row>
    <row r="563" spans="1:21" ht="15.75" customHeight="1" x14ac:dyDescent="0.35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</row>
    <row r="564" spans="1:21" ht="15.75" customHeight="1" x14ac:dyDescent="0.35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</row>
    <row r="565" spans="1:21" ht="15.75" customHeight="1" x14ac:dyDescent="0.35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</row>
    <row r="566" spans="1:21" ht="15.75" customHeight="1" x14ac:dyDescent="0.35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</row>
    <row r="567" spans="1:21" ht="15.75" customHeight="1" x14ac:dyDescent="0.35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</row>
    <row r="568" spans="1:21" ht="15.75" customHeight="1" x14ac:dyDescent="0.35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</row>
    <row r="569" spans="1:21" ht="15.75" customHeight="1" x14ac:dyDescent="0.35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</row>
    <row r="570" spans="1:21" ht="15.75" customHeight="1" x14ac:dyDescent="0.35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</row>
    <row r="571" spans="1:21" ht="15.75" customHeight="1" x14ac:dyDescent="0.35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</row>
    <row r="572" spans="1:21" ht="15.75" customHeight="1" x14ac:dyDescent="0.35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</row>
    <row r="573" spans="1:21" ht="15.75" customHeight="1" x14ac:dyDescent="0.35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</row>
    <row r="574" spans="1:21" ht="15.75" customHeight="1" x14ac:dyDescent="0.35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</row>
    <row r="575" spans="1:21" ht="15.75" customHeight="1" x14ac:dyDescent="0.35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</row>
    <row r="576" spans="1:21" ht="15.75" customHeight="1" x14ac:dyDescent="0.35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</row>
    <row r="577" spans="1:21" ht="15.75" customHeight="1" x14ac:dyDescent="0.35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</row>
    <row r="578" spans="1:21" ht="15.75" customHeight="1" x14ac:dyDescent="0.35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</row>
    <row r="579" spans="1:21" ht="15.75" customHeight="1" x14ac:dyDescent="0.35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</row>
    <row r="580" spans="1:21" ht="15.75" customHeight="1" x14ac:dyDescent="0.35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</row>
    <row r="581" spans="1:21" ht="15.75" customHeight="1" x14ac:dyDescent="0.35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</row>
    <row r="582" spans="1:21" ht="15.75" customHeight="1" x14ac:dyDescent="0.35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</row>
    <row r="583" spans="1:21" ht="15.75" customHeight="1" x14ac:dyDescent="0.35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</row>
    <row r="584" spans="1:21" ht="15.75" customHeight="1" x14ac:dyDescent="0.35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</row>
    <row r="585" spans="1:21" ht="15.75" customHeight="1" x14ac:dyDescent="0.35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</row>
    <row r="586" spans="1:21" ht="15.75" customHeight="1" x14ac:dyDescent="0.35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</row>
    <row r="587" spans="1:21" ht="15.75" customHeight="1" x14ac:dyDescent="0.35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</row>
    <row r="588" spans="1:21" ht="15.75" customHeight="1" x14ac:dyDescent="0.35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</row>
    <row r="589" spans="1:21" ht="15.75" customHeight="1" x14ac:dyDescent="0.35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</row>
    <row r="590" spans="1:21" ht="15.75" customHeight="1" x14ac:dyDescent="0.35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</row>
    <row r="591" spans="1:21" ht="15.75" customHeight="1" x14ac:dyDescent="0.35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</row>
    <row r="592" spans="1:21" ht="15.75" customHeight="1" x14ac:dyDescent="0.35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</row>
    <row r="593" spans="1:21" ht="15.75" customHeight="1" x14ac:dyDescent="0.35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</row>
    <row r="594" spans="1:21" ht="15.75" customHeight="1" x14ac:dyDescent="0.35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</row>
    <row r="595" spans="1:21" ht="15.75" customHeight="1" x14ac:dyDescent="0.35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</row>
    <row r="596" spans="1:21" ht="15.75" customHeight="1" x14ac:dyDescent="0.35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</row>
    <row r="597" spans="1:21" ht="15.75" customHeight="1" x14ac:dyDescent="0.35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</row>
    <row r="598" spans="1:21" ht="15.75" customHeight="1" x14ac:dyDescent="0.35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</row>
    <row r="599" spans="1:21" ht="15.75" customHeight="1" x14ac:dyDescent="0.35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</row>
    <row r="600" spans="1:21" ht="15.75" customHeight="1" x14ac:dyDescent="0.35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</row>
    <row r="601" spans="1:21" ht="15.75" customHeight="1" x14ac:dyDescent="0.35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</row>
    <row r="602" spans="1:21" ht="15.75" customHeight="1" x14ac:dyDescent="0.35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</row>
    <row r="603" spans="1:21" ht="15.75" customHeight="1" x14ac:dyDescent="0.35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</row>
    <row r="604" spans="1:21" ht="15.75" customHeight="1" x14ac:dyDescent="0.35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</row>
    <row r="605" spans="1:21" ht="15.75" customHeight="1" x14ac:dyDescent="0.35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</row>
    <row r="606" spans="1:21" ht="15.75" customHeight="1" x14ac:dyDescent="0.35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</row>
    <row r="607" spans="1:21" ht="15.75" customHeight="1" x14ac:dyDescent="0.35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</row>
    <row r="608" spans="1:21" ht="15.75" customHeight="1" x14ac:dyDescent="0.35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</row>
    <row r="609" spans="1:21" ht="15.75" customHeight="1" x14ac:dyDescent="0.35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</row>
    <row r="610" spans="1:21" ht="15.75" customHeight="1" x14ac:dyDescent="0.35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</row>
    <row r="611" spans="1:21" ht="15.75" customHeight="1" x14ac:dyDescent="0.35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</row>
    <row r="612" spans="1:21" ht="15.75" customHeight="1" x14ac:dyDescent="0.35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</row>
    <row r="613" spans="1:21" ht="15.75" customHeight="1" x14ac:dyDescent="0.35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</row>
    <row r="614" spans="1:21" ht="15.75" customHeight="1" x14ac:dyDescent="0.35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</row>
    <row r="615" spans="1:21" ht="15.75" customHeight="1" x14ac:dyDescent="0.35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</row>
    <row r="616" spans="1:21" ht="15.75" customHeight="1" x14ac:dyDescent="0.35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</row>
    <row r="617" spans="1:21" ht="15.75" customHeight="1" x14ac:dyDescent="0.35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</row>
    <row r="618" spans="1:21" ht="15.75" customHeight="1" x14ac:dyDescent="0.35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</row>
    <row r="619" spans="1:21" ht="15.75" customHeight="1" x14ac:dyDescent="0.35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</row>
    <row r="620" spans="1:21" ht="15.75" customHeight="1" x14ac:dyDescent="0.35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</row>
    <row r="621" spans="1:21" ht="15.75" customHeight="1" x14ac:dyDescent="0.35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</row>
    <row r="622" spans="1:21" ht="15.75" customHeight="1" x14ac:dyDescent="0.35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</row>
    <row r="623" spans="1:21" ht="15.75" customHeight="1" x14ac:dyDescent="0.35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</row>
    <row r="624" spans="1:21" ht="15.75" customHeight="1" x14ac:dyDescent="0.35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</row>
    <row r="625" spans="1:21" ht="15.75" customHeight="1" x14ac:dyDescent="0.35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</row>
    <row r="626" spans="1:21" ht="15.75" customHeight="1" x14ac:dyDescent="0.35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</row>
    <row r="627" spans="1:21" ht="15.75" customHeight="1" x14ac:dyDescent="0.35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</row>
    <row r="628" spans="1:21" ht="15.75" customHeight="1" x14ac:dyDescent="0.35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</row>
    <row r="629" spans="1:21" ht="15.75" customHeight="1" x14ac:dyDescent="0.35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</row>
    <row r="630" spans="1:21" ht="15.75" customHeight="1" x14ac:dyDescent="0.35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</row>
    <row r="631" spans="1:21" ht="15.75" customHeight="1" x14ac:dyDescent="0.35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</row>
    <row r="632" spans="1:21" ht="15.75" customHeight="1" x14ac:dyDescent="0.35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</row>
    <row r="633" spans="1:21" ht="15.75" customHeight="1" x14ac:dyDescent="0.35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</row>
    <row r="634" spans="1:21" ht="15.75" customHeight="1" x14ac:dyDescent="0.35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</row>
    <row r="635" spans="1:21" ht="15.75" customHeight="1" x14ac:dyDescent="0.35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</row>
    <row r="636" spans="1:21" ht="15.75" customHeight="1" x14ac:dyDescent="0.35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</row>
    <row r="637" spans="1:21" ht="15.75" customHeight="1" x14ac:dyDescent="0.35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</row>
    <row r="638" spans="1:21" ht="15.75" customHeight="1" x14ac:dyDescent="0.35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</row>
    <row r="639" spans="1:21" ht="15.75" customHeight="1" x14ac:dyDescent="0.35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</row>
    <row r="640" spans="1:21" ht="15.75" customHeight="1" x14ac:dyDescent="0.35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</row>
    <row r="641" spans="1:21" ht="15.75" customHeight="1" x14ac:dyDescent="0.35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</row>
    <row r="642" spans="1:21" ht="15.75" customHeight="1" x14ac:dyDescent="0.35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</row>
    <row r="643" spans="1:21" ht="15.75" customHeight="1" x14ac:dyDescent="0.35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</row>
    <row r="644" spans="1:21" ht="15.75" customHeight="1" x14ac:dyDescent="0.35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</row>
    <row r="645" spans="1:21" ht="15.75" customHeight="1" x14ac:dyDescent="0.35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</row>
    <row r="646" spans="1:21" ht="15.75" customHeight="1" x14ac:dyDescent="0.35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</row>
    <row r="647" spans="1:21" ht="15.75" customHeight="1" x14ac:dyDescent="0.35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</row>
    <row r="648" spans="1:21" ht="15.75" customHeight="1" x14ac:dyDescent="0.35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</row>
    <row r="649" spans="1:21" ht="15.75" customHeight="1" x14ac:dyDescent="0.35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</row>
    <row r="650" spans="1:21" ht="15.75" customHeight="1" x14ac:dyDescent="0.35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</row>
    <row r="651" spans="1:21" ht="15.75" customHeight="1" x14ac:dyDescent="0.35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</row>
    <row r="652" spans="1:21" ht="15.75" customHeight="1" x14ac:dyDescent="0.35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</row>
    <row r="653" spans="1:21" ht="15.75" customHeight="1" x14ac:dyDescent="0.35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</row>
    <row r="654" spans="1:21" ht="15.75" customHeight="1" x14ac:dyDescent="0.35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</row>
    <row r="655" spans="1:21" ht="15.75" customHeight="1" x14ac:dyDescent="0.35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</row>
    <row r="656" spans="1:21" ht="15.75" customHeight="1" x14ac:dyDescent="0.35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</row>
    <row r="657" spans="1:21" ht="15.75" customHeight="1" x14ac:dyDescent="0.35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</row>
    <row r="658" spans="1:21" ht="15.75" customHeight="1" x14ac:dyDescent="0.35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</row>
    <row r="659" spans="1:21" ht="15.75" customHeight="1" x14ac:dyDescent="0.35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</row>
    <row r="660" spans="1:21" ht="15.75" customHeight="1" x14ac:dyDescent="0.35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</row>
    <row r="661" spans="1:21" ht="15.75" customHeight="1" x14ac:dyDescent="0.35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</row>
    <row r="662" spans="1:21" ht="15.75" customHeight="1" x14ac:dyDescent="0.35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</row>
    <row r="663" spans="1:21" ht="15.75" customHeight="1" x14ac:dyDescent="0.35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</row>
    <row r="664" spans="1:21" ht="15.75" customHeight="1" x14ac:dyDescent="0.35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</row>
    <row r="665" spans="1:21" ht="15.75" customHeight="1" x14ac:dyDescent="0.35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</row>
    <row r="666" spans="1:21" ht="15.75" customHeight="1" x14ac:dyDescent="0.35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</row>
    <row r="667" spans="1:21" ht="15.75" customHeight="1" x14ac:dyDescent="0.35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</row>
    <row r="668" spans="1:21" ht="15.75" customHeight="1" x14ac:dyDescent="0.35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</row>
    <row r="669" spans="1:21" ht="15.75" customHeight="1" x14ac:dyDescent="0.35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</row>
    <row r="670" spans="1:21" ht="15.75" customHeight="1" x14ac:dyDescent="0.35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</row>
    <row r="671" spans="1:21" ht="15.75" customHeight="1" x14ac:dyDescent="0.35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</row>
    <row r="672" spans="1:21" ht="15.75" customHeight="1" x14ac:dyDescent="0.35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</row>
    <row r="673" spans="1:21" ht="15.75" customHeight="1" x14ac:dyDescent="0.35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</row>
    <row r="674" spans="1:21" ht="15.75" customHeight="1" x14ac:dyDescent="0.35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</row>
    <row r="675" spans="1:21" ht="15.75" customHeight="1" x14ac:dyDescent="0.35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</row>
    <row r="676" spans="1:21" ht="15.75" customHeight="1" x14ac:dyDescent="0.35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</row>
    <row r="677" spans="1:21" ht="15.75" customHeight="1" x14ac:dyDescent="0.35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</row>
    <row r="678" spans="1:21" ht="15.75" customHeight="1" x14ac:dyDescent="0.35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</row>
    <row r="679" spans="1:21" ht="15.75" customHeight="1" x14ac:dyDescent="0.35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</row>
    <row r="680" spans="1:21" ht="15.75" customHeight="1" x14ac:dyDescent="0.35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</row>
    <row r="681" spans="1:21" ht="15.75" customHeight="1" x14ac:dyDescent="0.35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</row>
    <row r="682" spans="1:21" ht="15.75" customHeight="1" x14ac:dyDescent="0.35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</row>
    <row r="683" spans="1:21" ht="15.75" customHeight="1" x14ac:dyDescent="0.35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</row>
    <row r="684" spans="1:21" ht="15.75" customHeight="1" x14ac:dyDescent="0.35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</row>
    <row r="685" spans="1:21" ht="15.75" customHeight="1" x14ac:dyDescent="0.35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</row>
    <row r="686" spans="1:21" ht="15.75" customHeight="1" x14ac:dyDescent="0.35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</row>
    <row r="687" spans="1:21" ht="15.75" customHeight="1" x14ac:dyDescent="0.35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</row>
    <row r="688" spans="1:21" ht="15.75" customHeight="1" x14ac:dyDescent="0.35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</row>
    <row r="689" spans="1:21" ht="15.75" customHeight="1" x14ac:dyDescent="0.35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</row>
    <row r="690" spans="1:21" ht="15.75" customHeight="1" x14ac:dyDescent="0.35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</row>
    <row r="691" spans="1:21" ht="15.75" customHeight="1" x14ac:dyDescent="0.35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</row>
    <row r="692" spans="1:21" ht="15.75" customHeight="1" x14ac:dyDescent="0.35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</row>
    <row r="693" spans="1:21" ht="15.75" customHeight="1" x14ac:dyDescent="0.35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</row>
    <row r="694" spans="1:21" ht="15.75" customHeight="1" x14ac:dyDescent="0.35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</row>
    <row r="695" spans="1:21" ht="15.75" customHeight="1" x14ac:dyDescent="0.35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</row>
    <row r="696" spans="1:21" ht="15.75" customHeight="1" x14ac:dyDescent="0.35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</row>
    <row r="697" spans="1:21" ht="15.75" customHeight="1" x14ac:dyDescent="0.35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</row>
    <row r="698" spans="1:21" ht="15.75" customHeight="1" x14ac:dyDescent="0.35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</row>
    <row r="699" spans="1:21" ht="15.75" customHeight="1" x14ac:dyDescent="0.35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</row>
    <row r="700" spans="1:21" ht="15.75" customHeight="1" x14ac:dyDescent="0.35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</row>
    <row r="701" spans="1:21" ht="15.75" customHeight="1" x14ac:dyDescent="0.35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</row>
    <row r="702" spans="1:21" ht="15.75" customHeight="1" x14ac:dyDescent="0.35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</row>
    <row r="703" spans="1:21" ht="15.75" customHeight="1" x14ac:dyDescent="0.35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</row>
    <row r="704" spans="1:21" ht="15.75" customHeight="1" x14ac:dyDescent="0.35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</row>
    <row r="705" spans="1:21" ht="15.75" customHeight="1" x14ac:dyDescent="0.35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</row>
    <row r="706" spans="1:21" ht="15.75" customHeight="1" x14ac:dyDescent="0.35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</row>
    <row r="707" spans="1:21" ht="15.75" customHeight="1" x14ac:dyDescent="0.35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</row>
    <row r="708" spans="1:21" ht="15.75" customHeight="1" x14ac:dyDescent="0.35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</row>
    <row r="709" spans="1:21" ht="15.75" customHeight="1" x14ac:dyDescent="0.35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</row>
    <row r="710" spans="1:21" ht="15.75" customHeight="1" x14ac:dyDescent="0.35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</row>
    <row r="711" spans="1:21" ht="15.75" customHeight="1" x14ac:dyDescent="0.35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</row>
    <row r="712" spans="1:21" ht="15.75" customHeight="1" x14ac:dyDescent="0.35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</row>
    <row r="713" spans="1:21" ht="15.75" customHeight="1" x14ac:dyDescent="0.35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</row>
    <row r="714" spans="1:21" ht="15.75" customHeight="1" x14ac:dyDescent="0.35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</row>
    <row r="715" spans="1:21" ht="15.75" customHeight="1" x14ac:dyDescent="0.35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</row>
    <row r="716" spans="1:21" ht="15.75" customHeight="1" x14ac:dyDescent="0.35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</row>
    <row r="717" spans="1:21" ht="15.75" customHeight="1" x14ac:dyDescent="0.35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</row>
    <row r="718" spans="1:21" ht="15.75" customHeight="1" x14ac:dyDescent="0.35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</row>
    <row r="719" spans="1:21" ht="15.75" customHeight="1" x14ac:dyDescent="0.35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</row>
    <row r="720" spans="1:21" ht="15.75" customHeight="1" x14ac:dyDescent="0.35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</row>
    <row r="721" spans="1:21" ht="15.75" customHeight="1" x14ac:dyDescent="0.35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</row>
    <row r="722" spans="1:21" ht="15.75" customHeight="1" x14ac:dyDescent="0.35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</row>
    <row r="723" spans="1:21" ht="15.75" customHeight="1" x14ac:dyDescent="0.35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</row>
    <row r="724" spans="1:21" ht="15.75" customHeight="1" x14ac:dyDescent="0.35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</row>
    <row r="725" spans="1:21" ht="15.75" customHeight="1" x14ac:dyDescent="0.35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</row>
    <row r="726" spans="1:21" ht="15.75" customHeight="1" x14ac:dyDescent="0.35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</row>
    <row r="727" spans="1:21" ht="15.75" customHeight="1" x14ac:dyDescent="0.35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</row>
    <row r="728" spans="1:21" ht="15.75" customHeight="1" x14ac:dyDescent="0.35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</row>
    <row r="729" spans="1:21" ht="15.75" customHeight="1" x14ac:dyDescent="0.35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</row>
    <row r="730" spans="1:21" ht="15.75" customHeight="1" x14ac:dyDescent="0.35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</row>
    <row r="731" spans="1:21" ht="15.75" customHeight="1" x14ac:dyDescent="0.35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</row>
    <row r="732" spans="1:21" ht="15.75" customHeight="1" x14ac:dyDescent="0.35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</row>
    <row r="733" spans="1:21" ht="15.75" customHeight="1" x14ac:dyDescent="0.35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</row>
    <row r="734" spans="1:21" ht="15.75" customHeight="1" x14ac:dyDescent="0.35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</row>
    <row r="735" spans="1:21" ht="15.75" customHeight="1" x14ac:dyDescent="0.35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</row>
    <row r="736" spans="1:21" ht="15.75" customHeight="1" x14ac:dyDescent="0.35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</row>
    <row r="737" spans="1:21" ht="15.75" customHeight="1" x14ac:dyDescent="0.35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</row>
    <row r="738" spans="1:21" ht="15.75" customHeight="1" x14ac:dyDescent="0.35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</row>
    <row r="739" spans="1:21" ht="15.75" customHeight="1" x14ac:dyDescent="0.35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</row>
    <row r="740" spans="1:21" ht="15.75" customHeight="1" x14ac:dyDescent="0.35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</row>
    <row r="741" spans="1:21" ht="15.75" customHeight="1" x14ac:dyDescent="0.35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</row>
    <row r="742" spans="1:21" ht="15.75" customHeight="1" x14ac:dyDescent="0.35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</row>
    <row r="743" spans="1:21" ht="15.75" customHeight="1" x14ac:dyDescent="0.35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</row>
    <row r="744" spans="1:21" ht="15.75" customHeight="1" x14ac:dyDescent="0.35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</row>
    <row r="745" spans="1:21" ht="15.75" customHeight="1" x14ac:dyDescent="0.35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</row>
    <row r="746" spans="1:21" ht="15.75" customHeight="1" x14ac:dyDescent="0.35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</row>
    <row r="747" spans="1:21" ht="15.75" customHeight="1" x14ac:dyDescent="0.35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</row>
    <row r="748" spans="1:21" ht="15.75" customHeight="1" x14ac:dyDescent="0.35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</row>
    <row r="749" spans="1:21" ht="15.75" customHeight="1" x14ac:dyDescent="0.35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</row>
    <row r="750" spans="1:21" ht="15.75" customHeight="1" x14ac:dyDescent="0.35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</row>
    <row r="751" spans="1:21" ht="15.75" customHeight="1" x14ac:dyDescent="0.35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</row>
    <row r="752" spans="1:21" ht="15.75" customHeight="1" x14ac:dyDescent="0.35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</row>
    <row r="753" spans="1:21" ht="15.75" customHeight="1" x14ac:dyDescent="0.35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</row>
    <row r="754" spans="1:21" ht="15.75" customHeight="1" x14ac:dyDescent="0.35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</row>
    <row r="755" spans="1:21" ht="15.75" customHeight="1" x14ac:dyDescent="0.35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</row>
    <row r="756" spans="1:21" ht="15.75" customHeight="1" x14ac:dyDescent="0.35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</row>
    <row r="757" spans="1:21" ht="15.75" customHeight="1" x14ac:dyDescent="0.35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</row>
    <row r="758" spans="1:21" ht="15.75" customHeight="1" x14ac:dyDescent="0.35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</row>
    <row r="759" spans="1:21" ht="15.75" customHeight="1" x14ac:dyDescent="0.35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</row>
    <row r="760" spans="1:21" ht="15.75" customHeight="1" x14ac:dyDescent="0.35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</row>
    <row r="761" spans="1:21" ht="15.75" customHeight="1" x14ac:dyDescent="0.35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</row>
    <row r="762" spans="1:21" ht="15.75" customHeight="1" x14ac:dyDescent="0.35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</row>
    <row r="763" spans="1:21" ht="15.75" customHeight="1" x14ac:dyDescent="0.35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</row>
    <row r="764" spans="1:21" ht="15.75" customHeight="1" x14ac:dyDescent="0.35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</row>
    <row r="765" spans="1:21" ht="15.75" customHeight="1" x14ac:dyDescent="0.35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</row>
    <row r="766" spans="1:21" ht="15.75" customHeight="1" x14ac:dyDescent="0.35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</row>
    <row r="767" spans="1:21" ht="15.75" customHeight="1" x14ac:dyDescent="0.35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</row>
    <row r="768" spans="1:21" ht="15.75" customHeight="1" x14ac:dyDescent="0.35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</row>
    <row r="769" spans="1:21" ht="15.75" customHeight="1" x14ac:dyDescent="0.35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</row>
    <row r="770" spans="1:21" ht="15.75" customHeight="1" x14ac:dyDescent="0.35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</row>
    <row r="771" spans="1:21" ht="15.75" customHeight="1" x14ac:dyDescent="0.35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</row>
    <row r="772" spans="1:21" ht="15.75" customHeight="1" x14ac:dyDescent="0.35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</row>
    <row r="773" spans="1:21" ht="15.75" customHeight="1" x14ac:dyDescent="0.35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</row>
    <row r="774" spans="1:21" ht="15.75" customHeight="1" x14ac:dyDescent="0.35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</row>
    <row r="775" spans="1:21" ht="15.75" customHeight="1" x14ac:dyDescent="0.35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</row>
    <row r="776" spans="1:21" ht="15.75" customHeight="1" x14ac:dyDescent="0.35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</row>
    <row r="777" spans="1:21" ht="15.75" customHeight="1" x14ac:dyDescent="0.35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</row>
    <row r="778" spans="1:21" ht="15.75" customHeight="1" x14ac:dyDescent="0.35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</row>
    <row r="779" spans="1:21" ht="15.75" customHeight="1" x14ac:dyDescent="0.35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</row>
    <row r="780" spans="1:21" ht="15.75" customHeight="1" x14ac:dyDescent="0.35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</row>
    <row r="781" spans="1:21" ht="15.75" customHeight="1" x14ac:dyDescent="0.35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</row>
    <row r="782" spans="1:21" ht="15.75" customHeight="1" x14ac:dyDescent="0.35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</row>
    <row r="783" spans="1:21" ht="15.75" customHeight="1" x14ac:dyDescent="0.35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</row>
    <row r="784" spans="1:21" ht="15.75" customHeight="1" x14ac:dyDescent="0.35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</row>
    <row r="785" spans="1:21" ht="15.75" customHeight="1" x14ac:dyDescent="0.35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</row>
    <row r="786" spans="1:21" ht="15.75" customHeight="1" x14ac:dyDescent="0.35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</row>
    <row r="787" spans="1:21" ht="15.75" customHeight="1" x14ac:dyDescent="0.35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</row>
    <row r="788" spans="1:21" ht="15.75" customHeight="1" x14ac:dyDescent="0.35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</row>
    <row r="789" spans="1:21" ht="15.75" customHeight="1" x14ac:dyDescent="0.35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</row>
    <row r="790" spans="1:21" ht="15.75" customHeight="1" x14ac:dyDescent="0.35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</row>
    <row r="791" spans="1:21" ht="15.75" customHeight="1" x14ac:dyDescent="0.35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</row>
    <row r="792" spans="1:21" ht="15.75" customHeight="1" x14ac:dyDescent="0.35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</row>
    <row r="793" spans="1:21" ht="15.75" customHeight="1" x14ac:dyDescent="0.35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</row>
    <row r="794" spans="1:21" ht="15.75" customHeight="1" x14ac:dyDescent="0.35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</row>
    <row r="795" spans="1:21" ht="15.75" customHeight="1" x14ac:dyDescent="0.35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</row>
    <row r="796" spans="1:21" ht="15.75" customHeight="1" x14ac:dyDescent="0.35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</row>
    <row r="797" spans="1:21" ht="15.75" customHeight="1" x14ac:dyDescent="0.35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</row>
    <row r="798" spans="1:21" ht="15.75" customHeight="1" x14ac:dyDescent="0.35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</row>
    <row r="799" spans="1:21" ht="15.75" customHeight="1" x14ac:dyDescent="0.35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</row>
    <row r="800" spans="1:21" ht="15.75" customHeight="1" x14ac:dyDescent="0.35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</row>
    <row r="801" spans="1:21" ht="15.75" customHeight="1" x14ac:dyDescent="0.35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</row>
    <row r="802" spans="1:21" ht="15.75" customHeight="1" x14ac:dyDescent="0.35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</row>
    <row r="803" spans="1:21" ht="15.75" customHeight="1" x14ac:dyDescent="0.35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</row>
    <row r="804" spans="1:21" ht="15.75" customHeight="1" x14ac:dyDescent="0.35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</row>
    <row r="805" spans="1:21" ht="15.75" customHeight="1" x14ac:dyDescent="0.35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</row>
    <row r="806" spans="1:21" ht="15.75" customHeight="1" x14ac:dyDescent="0.35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</row>
    <row r="807" spans="1:21" ht="15.75" customHeight="1" x14ac:dyDescent="0.35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</row>
    <row r="808" spans="1:21" ht="15.75" customHeight="1" x14ac:dyDescent="0.35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</row>
    <row r="809" spans="1:21" ht="15.75" customHeight="1" x14ac:dyDescent="0.35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</row>
    <row r="810" spans="1:21" ht="15.75" customHeight="1" x14ac:dyDescent="0.35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</row>
    <row r="811" spans="1:21" ht="15.75" customHeight="1" x14ac:dyDescent="0.35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</row>
    <row r="812" spans="1:21" ht="15.75" customHeight="1" x14ac:dyDescent="0.35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</row>
    <row r="813" spans="1:21" ht="15.75" customHeight="1" x14ac:dyDescent="0.35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</row>
    <row r="814" spans="1:21" ht="15.75" customHeight="1" x14ac:dyDescent="0.35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</row>
    <row r="815" spans="1:21" ht="15.75" customHeight="1" x14ac:dyDescent="0.35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</row>
    <row r="816" spans="1:21" ht="15.75" customHeight="1" x14ac:dyDescent="0.35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</row>
    <row r="817" spans="1:21" ht="15.75" customHeight="1" x14ac:dyDescent="0.35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</row>
    <row r="818" spans="1:21" ht="15.75" customHeight="1" x14ac:dyDescent="0.35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</row>
    <row r="819" spans="1:21" ht="15.75" customHeight="1" x14ac:dyDescent="0.35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</row>
    <row r="820" spans="1:21" ht="15.75" customHeight="1" x14ac:dyDescent="0.35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</row>
    <row r="821" spans="1:21" ht="15.75" customHeight="1" x14ac:dyDescent="0.35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</row>
    <row r="822" spans="1:21" ht="15.75" customHeight="1" x14ac:dyDescent="0.35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</row>
    <row r="823" spans="1:21" ht="15.75" customHeight="1" x14ac:dyDescent="0.35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</row>
    <row r="824" spans="1:21" ht="15.75" customHeight="1" x14ac:dyDescent="0.35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</row>
    <row r="825" spans="1:21" ht="15.75" customHeight="1" x14ac:dyDescent="0.35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</row>
    <row r="826" spans="1:21" ht="15.75" customHeight="1" x14ac:dyDescent="0.35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</row>
    <row r="827" spans="1:21" ht="15.75" customHeight="1" x14ac:dyDescent="0.35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</row>
    <row r="828" spans="1:21" ht="15.75" customHeight="1" x14ac:dyDescent="0.35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</row>
    <row r="829" spans="1:21" ht="15.75" customHeight="1" x14ac:dyDescent="0.35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</row>
    <row r="830" spans="1:21" ht="15.75" customHeight="1" x14ac:dyDescent="0.35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</row>
    <row r="831" spans="1:21" ht="15.75" customHeight="1" x14ac:dyDescent="0.35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</row>
    <row r="832" spans="1:21" ht="15.75" customHeight="1" x14ac:dyDescent="0.35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</row>
    <row r="833" spans="1:21" ht="15.75" customHeight="1" x14ac:dyDescent="0.35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</row>
    <row r="834" spans="1:21" ht="15.75" customHeight="1" x14ac:dyDescent="0.35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</row>
    <row r="835" spans="1:21" ht="15.75" customHeight="1" x14ac:dyDescent="0.35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</row>
    <row r="836" spans="1:21" ht="15.75" customHeight="1" x14ac:dyDescent="0.35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</row>
    <row r="837" spans="1:21" ht="15.75" customHeight="1" x14ac:dyDescent="0.35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</row>
    <row r="838" spans="1:21" ht="15.75" customHeight="1" x14ac:dyDescent="0.35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</row>
    <row r="839" spans="1:21" ht="15.75" customHeight="1" x14ac:dyDescent="0.35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</row>
    <row r="840" spans="1:21" ht="15.75" customHeight="1" x14ac:dyDescent="0.35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</row>
    <row r="841" spans="1:21" ht="15.75" customHeight="1" x14ac:dyDescent="0.35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</row>
    <row r="842" spans="1:21" ht="15.75" customHeight="1" x14ac:dyDescent="0.35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</row>
    <row r="843" spans="1:21" ht="15.75" customHeight="1" x14ac:dyDescent="0.35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</row>
    <row r="844" spans="1:21" ht="15.75" customHeight="1" x14ac:dyDescent="0.35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</row>
    <row r="845" spans="1:21" ht="15.75" customHeight="1" x14ac:dyDescent="0.35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</row>
    <row r="846" spans="1:21" ht="15.75" customHeight="1" x14ac:dyDescent="0.35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</row>
    <row r="847" spans="1:21" ht="15.75" customHeight="1" x14ac:dyDescent="0.35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</row>
    <row r="848" spans="1:21" ht="15.75" customHeight="1" x14ac:dyDescent="0.35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</row>
    <row r="849" spans="1:21" ht="15.75" customHeight="1" x14ac:dyDescent="0.35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</row>
    <row r="850" spans="1:21" ht="15.75" customHeight="1" x14ac:dyDescent="0.35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</row>
    <row r="851" spans="1:21" ht="15.75" customHeight="1" x14ac:dyDescent="0.35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</row>
    <row r="852" spans="1:21" ht="15.75" customHeight="1" x14ac:dyDescent="0.35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</row>
    <row r="853" spans="1:21" ht="15.75" customHeight="1" x14ac:dyDescent="0.35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</row>
    <row r="854" spans="1:21" ht="15.75" customHeight="1" x14ac:dyDescent="0.35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</row>
    <row r="855" spans="1:21" ht="15.75" customHeight="1" x14ac:dyDescent="0.35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</row>
    <row r="856" spans="1:21" ht="15.75" customHeight="1" x14ac:dyDescent="0.35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</row>
    <row r="857" spans="1:21" ht="15.75" customHeight="1" x14ac:dyDescent="0.35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</row>
    <row r="858" spans="1:21" ht="15.75" customHeight="1" x14ac:dyDescent="0.35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</row>
    <row r="859" spans="1:21" ht="15.75" customHeight="1" x14ac:dyDescent="0.35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</row>
    <row r="860" spans="1:21" ht="15.75" customHeight="1" x14ac:dyDescent="0.35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</row>
    <row r="861" spans="1:21" ht="15.75" customHeight="1" x14ac:dyDescent="0.35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</row>
    <row r="862" spans="1:21" ht="15.75" customHeight="1" x14ac:dyDescent="0.35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</row>
    <row r="863" spans="1:21" ht="15.75" customHeight="1" x14ac:dyDescent="0.35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</row>
    <row r="864" spans="1:21" ht="15.75" customHeight="1" x14ac:dyDescent="0.35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</row>
    <row r="865" spans="1:21" ht="15.75" customHeight="1" x14ac:dyDescent="0.35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</row>
    <row r="866" spans="1:21" ht="15.75" customHeight="1" x14ac:dyDescent="0.35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</row>
    <row r="867" spans="1:21" ht="15.75" customHeight="1" x14ac:dyDescent="0.35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</row>
    <row r="868" spans="1:21" ht="15.75" customHeight="1" x14ac:dyDescent="0.35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</row>
    <row r="869" spans="1:21" ht="15.75" customHeight="1" x14ac:dyDescent="0.35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</row>
    <row r="870" spans="1:21" ht="15.75" customHeight="1" x14ac:dyDescent="0.35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</row>
    <row r="871" spans="1:21" ht="15.75" customHeight="1" x14ac:dyDescent="0.35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</row>
    <row r="872" spans="1:21" ht="15.75" customHeight="1" x14ac:dyDescent="0.35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</row>
    <row r="873" spans="1:21" ht="15.75" customHeight="1" x14ac:dyDescent="0.35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</row>
    <row r="874" spans="1:21" ht="15.75" customHeight="1" x14ac:dyDescent="0.35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</row>
    <row r="875" spans="1:21" ht="15.75" customHeight="1" x14ac:dyDescent="0.35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</row>
    <row r="876" spans="1:21" ht="15.75" customHeight="1" x14ac:dyDescent="0.35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</row>
    <row r="877" spans="1:21" ht="15.75" customHeight="1" x14ac:dyDescent="0.35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</row>
    <row r="878" spans="1:21" ht="15.75" customHeight="1" x14ac:dyDescent="0.35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</row>
    <row r="879" spans="1:21" ht="15.75" customHeight="1" x14ac:dyDescent="0.35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</row>
    <row r="880" spans="1:21" ht="15.75" customHeight="1" x14ac:dyDescent="0.35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</row>
    <row r="881" spans="1:21" ht="15.75" customHeight="1" x14ac:dyDescent="0.35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</row>
    <row r="882" spans="1:21" ht="15.75" customHeight="1" x14ac:dyDescent="0.35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</row>
    <row r="883" spans="1:21" ht="15.75" customHeight="1" x14ac:dyDescent="0.35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</row>
    <row r="884" spans="1:21" ht="15.75" customHeight="1" x14ac:dyDescent="0.35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</row>
    <row r="885" spans="1:21" ht="15.75" customHeight="1" x14ac:dyDescent="0.35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</row>
    <row r="886" spans="1:21" ht="15.75" customHeight="1" x14ac:dyDescent="0.35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</row>
    <row r="887" spans="1:21" ht="15.75" customHeight="1" x14ac:dyDescent="0.35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</row>
    <row r="888" spans="1:21" ht="15.75" customHeight="1" x14ac:dyDescent="0.35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</row>
    <row r="889" spans="1:21" ht="15.75" customHeight="1" x14ac:dyDescent="0.35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</row>
    <row r="890" spans="1:21" ht="15.75" customHeight="1" x14ac:dyDescent="0.35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</row>
    <row r="891" spans="1:21" ht="15.75" customHeight="1" x14ac:dyDescent="0.35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</row>
    <row r="892" spans="1:21" ht="15.75" customHeight="1" x14ac:dyDescent="0.35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</row>
    <row r="893" spans="1:21" ht="15.75" customHeight="1" x14ac:dyDescent="0.35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</row>
    <row r="894" spans="1:21" ht="15.75" customHeight="1" x14ac:dyDescent="0.35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</row>
    <row r="895" spans="1:21" ht="15.75" customHeight="1" x14ac:dyDescent="0.35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</row>
    <row r="896" spans="1:21" ht="15.75" customHeight="1" x14ac:dyDescent="0.35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</row>
    <row r="897" spans="1:21" ht="15.75" customHeight="1" x14ac:dyDescent="0.35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</row>
    <row r="898" spans="1:21" ht="15.75" customHeight="1" x14ac:dyDescent="0.35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</row>
    <row r="899" spans="1:21" ht="15.75" customHeight="1" x14ac:dyDescent="0.35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</row>
    <row r="900" spans="1:21" ht="15.75" customHeight="1" x14ac:dyDescent="0.35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</row>
    <row r="901" spans="1:21" ht="15.75" customHeight="1" x14ac:dyDescent="0.35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</row>
    <row r="902" spans="1:21" ht="15.75" customHeight="1" x14ac:dyDescent="0.35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</row>
    <row r="903" spans="1:21" ht="15.75" customHeight="1" x14ac:dyDescent="0.35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</row>
    <row r="904" spans="1:21" ht="15.75" customHeight="1" x14ac:dyDescent="0.35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</row>
    <row r="905" spans="1:21" ht="15.75" customHeight="1" x14ac:dyDescent="0.35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</row>
    <row r="906" spans="1:21" ht="15.75" customHeight="1" x14ac:dyDescent="0.35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</row>
    <row r="907" spans="1:21" ht="15.75" customHeight="1" x14ac:dyDescent="0.35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</row>
    <row r="908" spans="1:21" ht="15.75" customHeight="1" x14ac:dyDescent="0.35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</row>
    <row r="909" spans="1:21" ht="15.75" customHeight="1" x14ac:dyDescent="0.35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</row>
    <row r="910" spans="1:21" ht="15.75" customHeight="1" x14ac:dyDescent="0.35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</row>
    <row r="911" spans="1:21" ht="15.75" customHeight="1" x14ac:dyDescent="0.35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</row>
    <row r="912" spans="1:21" ht="15.75" customHeight="1" x14ac:dyDescent="0.35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</row>
    <row r="913" spans="1:21" ht="15.75" customHeight="1" x14ac:dyDescent="0.35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</row>
    <row r="914" spans="1:21" ht="15.75" customHeight="1" x14ac:dyDescent="0.35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</row>
    <row r="915" spans="1:21" ht="15.75" customHeight="1" x14ac:dyDescent="0.35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</row>
    <row r="916" spans="1:21" ht="15.75" customHeight="1" x14ac:dyDescent="0.35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</row>
    <row r="917" spans="1:21" ht="15.75" customHeight="1" x14ac:dyDescent="0.35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</row>
    <row r="918" spans="1:21" ht="15.75" customHeight="1" x14ac:dyDescent="0.35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</row>
    <row r="919" spans="1:21" ht="15.75" customHeight="1" x14ac:dyDescent="0.35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</row>
    <row r="920" spans="1:21" ht="15.75" customHeight="1" x14ac:dyDescent="0.35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</row>
    <row r="921" spans="1:21" ht="15.75" customHeight="1" x14ac:dyDescent="0.35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</row>
    <row r="922" spans="1:21" ht="15.75" customHeight="1" x14ac:dyDescent="0.35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</row>
    <row r="923" spans="1:21" ht="15.75" customHeight="1" x14ac:dyDescent="0.35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</row>
    <row r="924" spans="1:21" ht="15.75" customHeight="1" x14ac:dyDescent="0.35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</row>
    <row r="925" spans="1:21" ht="15.75" customHeight="1" x14ac:dyDescent="0.35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</row>
    <row r="926" spans="1:21" ht="15.75" customHeight="1" x14ac:dyDescent="0.35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</row>
    <row r="927" spans="1:21" ht="15.75" customHeight="1" x14ac:dyDescent="0.35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</row>
    <row r="928" spans="1:21" ht="15.75" customHeight="1" x14ac:dyDescent="0.35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</row>
    <row r="929" spans="1:21" ht="15.75" customHeight="1" x14ac:dyDescent="0.35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</row>
    <row r="930" spans="1:21" ht="15.75" customHeight="1" x14ac:dyDescent="0.35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</row>
    <row r="931" spans="1:21" ht="15.75" customHeight="1" x14ac:dyDescent="0.35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</row>
    <row r="932" spans="1:21" ht="15.75" customHeight="1" x14ac:dyDescent="0.35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</row>
    <row r="933" spans="1:21" ht="15.75" customHeight="1" x14ac:dyDescent="0.35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</row>
    <row r="934" spans="1:21" ht="15.75" customHeight="1" x14ac:dyDescent="0.35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</row>
    <row r="935" spans="1:21" ht="15.75" customHeight="1" x14ac:dyDescent="0.35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</row>
    <row r="936" spans="1:21" ht="15.75" customHeight="1" x14ac:dyDescent="0.35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</row>
    <row r="937" spans="1:21" ht="15.75" customHeight="1" x14ac:dyDescent="0.35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</row>
    <row r="938" spans="1:21" ht="15.75" customHeight="1" x14ac:dyDescent="0.35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</row>
    <row r="939" spans="1:21" ht="15.75" customHeight="1" x14ac:dyDescent="0.35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</row>
    <row r="940" spans="1:21" ht="15.75" customHeight="1" x14ac:dyDescent="0.35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</row>
    <row r="941" spans="1:21" ht="15.75" customHeight="1" x14ac:dyDescent="0.35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</row>
    <row r="942" spans="1:21" ht="15.75" customHeight="1" x14ac:dyDescent="0.35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</row>
    <row r="943" spans="1:21" ht="15.75" customHeight="1" x14ac:dyDescent="0.35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</row>
    <row r="944" spans="1:21" ht="15.75" customHeight="1" x14ac:dyDescent="0.35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</row>
    <row r="945" spans="1:21" ht="15.75" customHeight="1" x14ac:dyDescent="0.35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</row>
    <row r="946" spans="1:21" ht="15.75" customHeight="1" x14ac:dyDescent="0.35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</row>
    <row r="947" spans="1:21" ht="15.75" customHeight="1" x14ac:dyDescent="0.35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</row>
    <row r="948" spans="1:21" ht="15.75" customHeight="1" x14ac:dyDescent="0.35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</row>
    <row r="949" spans="1:21" ht="15.75" customHeight="1" x14ac:dyDescent="0.35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</row>
    <row r="950" spans="1:21" ht="15.75" customHeight="1" x14ac:dyDescent="0.35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</row>
    <row r="951" spans="1:21" ht="15.75" customHeight="1" x14ac:dyDescent="0.35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</row>
    <row r="952" spans="1:21" ht="15.75" customHeight="1" x14ac:dyDescent="0.35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</row>
    <row r="953" spans="1:21" ht="15.75" customHeight="1" x14ac:dyDescent="0.35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</row>
    <row r="954" spans="1:21" ht="15.75" customHeight="1" x14ac:dyDescent="0.35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</row>
    <row r="955" spans="1:21" ht="15.75" customHeight="1" x14ac:dyDescent="0.35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</row>
    <row r="956" spans="1:21" ht="15.75" customHeight="1" x14ac:dyDescent="0.35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</row>
    <row r="957" spans="1:21" ht="15.75" customHeight="1" x14ac:dyDescent="0.35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</row>
    <row r="958" spans="1:21" ht="15.75" customHeight="1" x14ac:dyDescent="0.35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</row>
    <row r="959" spans="1:21" ht="15.75" customHeight="1" x14ac:dyDescent="0.35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</row>
    <row r="960" spans="1:21" ht="15.75" customHeight="1" x14ac:dyDescent="0.35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</row>
    <row r="961" spans="1:21" ht="15.75" customHeight="1" x14ac:dyDescent="0.35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</row>
    <row r="962" spans="1:21" ht="15.75" customHeight="1" x14ac:dyDescent="0.35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</row>
    <row r="963" spans="1:21" ht="15.75" customHeight="1" x14ac:dyDescent="0.35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</row>
    <row r="964" spans="1:21" ht="15.75" customHeight="1" x14ac:dyDescent="0.35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</row>
    <row r="965" spans="1:21" ht="15.75" customHeight="1" x14ac:dyDescent="0.35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</row>
    <row r="966" spans="1:21" ht="15.75" customHeight="1" x14ac:dyDescent="0.35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</row>
    <row r="967" spans="1:21" ht="15.75" customHeight="1" x14ac:dyDescent="0.35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</row>
    <row r="968" spans="1:21" ht="15.75" customHeight="1" x14ac:dyDescent="0.35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</row>
    <row r="969" spans="1:21" ht="15.75" customHeight="1" x14ac:dyDescent="0.35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</row>
    <row r="970" spans="1:21" ht="15.75" customHeight="1" x14ac:dyDescent="0.35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</row>
    <row r="971" spans="1:21" ht="15.75" customHeight="1" x14ac:dyDescent="0.35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</row>
    <row r="972" spans="1:21" ht="15.75" customHeight="1" x14ac:dyDescent="0.35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</row>
    <row r="973" spans="1:21" ht="15.75" customHeight="1" x14ac:dyDescent="0.35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</row>
    <row r="974" spans="1:21" ht="15.75" customHeight="1" x14ac:dyDescent="0.35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</row>
    <row r="975" spans="1:21" ht="15.75" customHeight="1" x14ac:dyDescent="0.35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</row>
    <row r="976" spans="1:21" ht="15.75" customHeight="1" x14ac:dyDescent="0.35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</row>
    <row r="977" spans="1:21" ht="15.75" customHeight="1" x14ac:dyDescent="0.35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</row>
    <row r="978" spans="1:21" ht="15.75" customHeight="1" x14ac:dyDescent="0.35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</row>
    <row r="979" spans="1:21" ht="15.75" customHeight="1" x14ac:dyDescent="0.35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</row>
    <row r="980" spans="1:21" ht="15.75" customHeight="1" x14ac:dyDescent="0.35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</row>
    <row r="981" spans="1:21" ht="15.75" customHeight="1" x14ac:dyDescent="0.35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</row>
    <row r="982" spans="1:21" ht="15.75" customHeight="1" x14ac:dyDescent="0.35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</row>
    <row r="983" spans="1:21" ht="15.75" customHeight="1" x14ac:dyDescent="0.35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</row>
    <row r="984" spans="1:21" ht="15.75" customHeight="1" x14ac:dyDescent="0.35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</row>
    <row r="985" spans="1:21" ht="15.75" customHeight="1" x14ac:dyDescent="0.35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</row>
    <row r="986" spans="1:21" ht="15.75" customHeight="1" x14ac:dyDescent="0.35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</row>
    <row r="987" spans="1:21" ht="15.75" customHeight="1" x14ac:dyDescent="0.35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</row>
    <row r="988" spans="1:21" ht="15.75" customHeight="1" x14ac:dyDescent="0.35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</row>
    <row r="989" spans="1:21" ht="15.75" customHeight="1" x14ac:dyDescent="0.35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</row>
    <row r="990" spans="1:21" ht="15.75" customHeight="1" x14ac:dyDescent="0.35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</row>
    <row r="991" spans="1:21" ht="15.75" customHeight="1" x14ac:dyDescent="0.35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</row>
    <row r="992" spans="1:21" ht="15.75" customHeight="1" x14ac:dyDescent="0.35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</row>
    <row r="993" spans="1:21" ht="15.75" customHeight="1" x14ac:dyDescent="0.35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</row>
    <row r="994" spans="1:21" ht="15.75" customHeight="1" x14ac:dyDescent="0.35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</row>
    <row r="995" spans="1:21" ht="15.75" customHeight="1" x14ac:dyDescent="0.35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</row>
    <row r="996" spans="1:21" ht="15.75" customHeight="1" x14ac:dyDescent="0.35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</row>
    <row r="997" spans="1:21" ht="15.75" customHeight="1" x14ac:dyDescent="0.35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</row>
    <row r="998" spans="1:21" ht="15.75" customHeight="1" x14ac:dyDescent="0.35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</row>
    <row r="999" spans="1:21" ht="15.75" customHeight="1" x14ac:dyDescent="0.35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</row>
    <row r="1000" spans="1:21" ht="15.75" customHeight="1" x14ac:dyDescent="0.35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</row>
    <row r="1001" spans="1:21" ht="15.75" customHeight="1" x14ac:dyDescent="0.35">
      <c r="A1001" s="140"/>
      <c r="B1001" s="140"/>
      <c r="C1001" s="140"/>
      <c r="D1001" s="140"/>
      <c r="E1001" s="140"/>
      <c r="F1001" s="140"/>
      <c r="G1001" s="140"/>
      <c r="H1001" s="140"/>
      <c r="I1001" s="140"/>
      <c r="J1001" s="140"/>
      <c r="K1001" s="140"/>
      <c r="L1001" s="140"/>
      <c r="M1001" s="140"/>
      <c r="N1001" s="140"/>
      <c r="O1001" s="140"/>
      <c r="P1001" s="140"/>
      <c r="Q1001" s="140"/>
      <c r="R1001" s="140"/>
      <c r="S1001" s="140"/>
      <c r="T1001" s="140"/>
      <c r="U1001" s="140"/>
    </row>
  </sheetData>
  <mergeCells count="106">
    <mergeCell ref="D103:G103"/>
    <mergeCell ref="D104:G104"/>
    <mergeCell ref="D105:G105"/>
    <mergeCell ref="D78:P78"/>
    <mergeCell ref="D98:G98"/>
    <mergeCell ref="D99:G99"/>
    <mergeCell ref="D100:G100"/>
    <mergeCell ref="D101:G101"/>
    <mergeCell ref="D102:G10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1:G81"/>
    <mergeCell ref="D82:G82"/>
    <mergeCell ref="D83:G83"/>
    <mergeCell ref="A37:B40"/>
    <mergeCell ref="D19:E19"/>
    <mergeCell ref="D70:G70"/>
    <mergeCell ref="D71:G71"/>
    <mergeCell ref="D62:G62"/>
    <mergeCell ref="D63:G63"/>
    <mergeCell ref="D84:G84"/>
    <mergeCell ref="D85:G85"/>
    <mergeCell ref="D52:G52"/>
    <mergeCell ref="D53:G53"/>
    <mergeCell ref="D59:P59"/>
    <mergeCell ref="D61:P61"/>
    <mergeCell ref="D65:G65"/>
    <mergeCell ref="D66:G66"/>
    <mergeCell ref="D73:G73"/>
    <mergeCell ref="D74:G74"/>
    <mergeCell ref="D75:G75"/>
    <mergeCell ref="D51:G51"/>
    <mergeCell ref="D67:G67"/>
    <mergeCell ref="D68:G68"/>
    <mergeCell ref="D69:G69"/>
    <mergeCell ref="D43:G43"/>
    <mergeCell ref="D44:G44"/>
    <mergeCell ref="D92:G92"/>
    <mergeCell ref="A1:T1"/>
    <mergeCell ref="A2:B2"/>
    <mergeCell ref="G15:N15"/>
    <mergeCell ref="N4:T4"/>
    <mergeCell ref="A4:G4"/>
    <mergeCell ref="H4:M4"/>
    <mergeCell ref="D2:T2"/>
    <mergeCell ref="Q7:R7"/>
    <mergeCell ref="A3:B3"/>
    <mergeCell ref="D3:T3"/>
    <mergeCell ref="S7:T7"/>
    <mergeCell ref="A6:T6"/>
    <mergeCell ref="L33:N33"/>
    <mergeCell ref="L34:N34"/>
    <mergeCell ref="L35:N35"/>
    <mergeCell ref="D38:G38"/>
    <mergeCell ref="D39:G39"/>
    <mergeCell ref="A31:B31"/>
    <mergeCell ref="G34:J34"/>
    <mergeCell ref="G14:J14"/>
    <mergeCell ref="D40:G40"/>
    <mergeCell ref="D47:G47"/>
    <mergeCell ref="A46:B49"/>
    <mergeCell ref="D48:G48"/>
    <mergeCell ref="A22:T22"/>
    <mergeCell ref="S23:T23"/>
    <mergeCell ref="Q19:T19"/>
    <mergeCell ref="Q23:R23"/>
    <mergeCell ref="D37:G37"/>
    <mergeCell ref="D35:E35"/>
    <mergeCell ref="D49:G49"/>
    <mergeCell ref="D46:G46"/>
    <mergeCell ref="G35:J35"/>
    <mergeCell ref="R42:T42"/>
    <mergeCell ref="R45:T45"/>
    <mergeCell ref="R46:T46"/>
    <mergeCell ref="R47:T47"/>
    <mergeCell ref="R37:T37"/>
    <mergeCell ref="R38:T38"/>
    <mergeCell ref="R39:T39"/>
    <mergeCell ref="R40:T40"/>
    <mergeCell ref="R41:T41"/>
    <mergeCell ref="R55:T55"/>
    <mergeCell ref="R56:T56"/>
    <mergeCell ref="R48:T48"/>
    <mergeCell ref="R49:T49"/>
    <mergeCell ref="R50:T50"/>
    <mergeCell ref="R51:T51"/>
    <mergeCell ref="R54:T54"/>
    <mergeCell ref="D72:G72"/>
    <mergeCell ref="D76:G76"/>
    <mergeCell ref="D55:P55"/>
    <mergeCell ref="D56:P56"/>
    <mergeCell ref="D58:P58"/>
    <mergeCell ref="D57:P57"/>
    <mergeCell ref="D64:G64"/>
    <mergeCell ref="D41:G41"/>
    <mergeCell ref="D42:G42"/>
    <mergeCell ref="D50:G50"/>
  </mergeCells>
  <conditionalFormatting sqref="S27">
    <cfRule type="expression" dxfId="33" priority="43">
      <formula>#REF!="KO"</formula>
    </cfRule>
  </conditionalFormatting>
  <conditionalFormatting sqref="S28">
    <cfRule type="expression" dxfId="32" priority="44">
      <formula>#REF!="QF"</formula>
    </cfRule>
  </conditionalFormatting>
  <conditionalFormatting sqref="S29">
    <cfRule type="expression" dxfId="31" priority="45">
      <formula>#REF!="SF"</formula>
    </cfRule>
  </conditionalFormatting>
  <conditionalFormatting sqref="S30">
    <cfRule type="expression" dxfId="30" priority="46">
      <formula>#REF!="3rd"</formula>
    </cfRule>
  </conditionalFormatting>
  <conditionalFormatting sqref="S31">
    <cfRule type="expression" dxfId="29" priority="47">
      <formula>#REF!="2nd"</formula>
    </cfRule>
  </conditionalFormatting>
  <conditionalFormatting sqref="S32">
    <cfRule type="expression" dxfId="28" priority="48">
      <formula>#REF!="1st"</formula>
    </cfRule>
  </conditionalFormatting>
  <hyperlinks>
    <hyperlink ref="H81" r:id="rId1" xr:uid="{2A8AA130-576D-4909-938C-FBBDD2A9FFF2}"/>
    <hyperlink ref="H82" r:id="rId2" xr:uid="{33EFD53B-9831-4F2C-BE0F-3C022657017D}"/>
    <hyperlink ref="H84" r:id="rId3" xr:uid="{0DD8A70B-B3C2-4E83-9602-685C1D0D72F7}"/>
  </hyperlinks>
  <pageMargins left="0.7" right="0.7" top="0.75" bottom="0.75" header="0" footer="0"/>
  <pageSetup orientation="landscape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454-B301-45B4-A87F-BF3EE5A03BD5}">
  <dimension ref="A1:N148"/>
  <sheetViews>
    <sheetView topLeftCell="A29" workbookViewId="0">
      <selection activeCell="L38" sqref="L38"/>
    </sheetView>
  </sheetViews>
  <sheetFormatPr defaultRowHeight="12.75" x14ac:dyDescent="0.35"/>
  <cols>
    <col min="1" max="1" width="31.19921875" customWidth="1"/>
    <col min="2" max="3" width="11.19921875" style="472" customWidth="1"/>
    <col min="4" max="4" width="11.796875" style="472" customWidth="1"/>
    <col min="5" max="5" width="11.19921875" customWidth="1"/>
    <col min="6" max="6" width="11.6640625" customWidth="1"/>
    <col min="7" max="7" width="12.1328125" customWidth="1"/>
    <col min="8" max="8" width="12.19921875" customWidth="1"/>
    <col min="9" max="9" width="12.1328125" customWidth="1"/>
    <col min="10" max="10" width="11.19921875" customWidth="1"/>
    <col min="11" max="11" width="12.33203125" customWidth="1"/>
    <col min="12" max="12" width="13.46484375" customWidth="1"/>
    <col min="13" max="13" width="17.796875" style="471" customWidth="1"/>
  </cols>
  <sheetData>
    <row r="1" spans="1:13" s="472" customFormat="1" ht="17.649999999999999" x14ac:dyDescent="0.35">
      <c r="A1" s="678" t="s">
        <v>678</v>
      </c>
      <c r="B1" s="678"/>
      <c r="C1" s="678"/>
      <c r="D1" s="678"/>
      <c r="E1" s="679"/>
      <c r="F1" s="679"/>
      <c r="G1" s="679"/>
      <c r="H1" s="679"/>
      <c r="I1" s="679"/>
      <c r="J1" s="679"/>
      <c r="K1" s="679"/>
      <c r="M1" s="471"/>
    </row>
    <row r="2" spans="1:13" s="472" customFormat="1" x14ac:dyDescent="0.35">
      <c r="A2" s="680" t="s">
        <v>508</v>
      </c>
      <c r="B2" s="680"/>
      <c r="C2" s="680"/>
      <c r="D2" s="680"/>
      <c r="E2" s="680"/>
      <c r="F2" s="680"/>
      <c r="G2" s="680"/>
      <c r="H2" s="680"/>
      <c r="I2" s="680"/>
      <c r="J2" s="680"/>
      <c r="K2" s="680"/>
      <c r="M2" s="471"/>
    </row>
    <row r="3" spans="1:13" s="472" customFormat="1" x14ac:dyDescent="0.35">
      <c r="A3" s="680" t="s">
        <v>493</v>
      </c>
      <c r="B3" s="680"/>
      <c r="C3" s="680"/>
      <c r="D3" s="680"/>
      <c r="E3" s="680"/>
      <c r="F3" s="680"/>
      <c r="G3" s="680"/>
      <c r="H3" s="680"/>
      <c r="I3" s="680"/>
      <c r="J3" s="680"/>
      <c r="K3" s="680"/>
      <c r="M3" s="471"/>
    </row>
    <row r="4" spans="1:13" s="472" customFormat="1" x14ac:dyDescent="0.35">
      <c r="A4" s="490"/>
      <c r="B4" s="490"/>
      <c r="C4" s="490"/>
      <c r="D4" s="490"/>
      <c r="E4" s="490"/>
      <c r="F4" s="490"/>
      <c r="G4" s="490"/>
      <c r="H4" s="490"/>
      <c r="I4" s="490"/>
      <c r="J4" s="490"/>
      <c r="K4" s="490"/>
      <c r="M4" s="471"/>
    </row>
    <row r="5" spans="1:13" s="472" customFormat="1" ht="14.65" customHeight="1" x14ac:dyDescent="0.4">
      <c r="A5" s="682" t="s">
        <v>747</v>
      </c>
      <c r="B5" s="682"/>
      <c r="C5" s="682"/>
      <c r="D5" s="682"/>
      <c r="E5" s="682"/>
      <c r="F5" s="682"/>
      <c r="G5" s="682"/>
      <c r="H5" s="682"/>
      <c r="I5" s="682"/>
      <c r="J5" s="682"/>
      <c r="K5" s="682"/>
    </row>
    <row r="6" spans="1:13" s="472" customFormat="1" ht="13.05" customHeight="1" x14ac:dyDescent="0.35">
      <c r="A6" s="684" t="s">
        <v>671</v>
      </c>
      <c r="B6" s="684"/>
      <c r="C6" s="684"/>
      <c r="D6" s="684"/>
      <c r="E6" s="684"/>
      <c r="F6" s="684"/>
      <c r="G6" s="684"/>
      <c r="H6" s="684"/>
      <c r="I6" s="684"/>
      <c r="J6" s="684"/>
      <c r="K6" s="684"/>
    </row>
    <row r="7" spans="1:13" s="503" customFormat="1" ht="13.05" customHeight="1" x14ac:dyDescent="0.35">
      <c r="A7" s="676" t="s">
        <v>640</v>
      </c>
      <c r="B7" s="676"/>
      <c r="C7" s="676"/>
      <c r="D7" s="676"/>
      <c r="E7" s="676"/>
      <c r="F7" s="676"/>
      <c r="G7" s="676"/>
      <c r="H7" s="676"/>
      <c r="I7" s="676"/>
      <c r="J7" s="676"/>
      <c r="K7" s="676"/>
      <c r="L7" s="569" t="s">
        <v>529</v>
      </c>
      <c r="M7" s="523">
        <v>37134</v>
      </c>
    </row>
    <row r="8" spans="1:13" s="472" customFormat="1" ht="13.05" customHeight="1" x14ac:dyDescent="0.35">
      <c r="A8" s="538" t="s">
        <v>492</v>
      </c>
      <c r="B8" s="539">
        <v>40633</v>
      </c>
      <c r="C8" s="540">
        <v>40999</v>
      </c>
      <c r="D8" s="539">
        <v>41364</v>
      </c>
      <c r="E8" s="525">
        <v>41729</v>
      </c>
      <c r="F8" s="525">
        <v>42094</v>
      </c>
      <c r="G8" s="525">
        <v>42460</v>
      </c>
      <c r="H8" s="525">
        <v>42825</v>
      </c>
      <c r="I8" s="525">
        <v>43190</v>
      </c>
      <c r="J8" s="525">
        <v>43555</v>
      </c>
      <c r="K8" s="526" t="s">
        <v>142</v>
      </c>
      <c r="L8" s="567" t="s">
        <v>530</v>
      </c>
      <c r="M8" s="496">
        <v>10266960</v>
      </c>
    </row>
    <row r="9" spans="1:13" s="472" customFormat="1" ht="13.05" customHeight="1" x14ac:dyDescent="0.35">
      <c r="A9" s="544" t="s">
        <v>628</v>
      </c>
      <c r="B9" s="545"/>
      <c r="C9" s="545">
        <v>22559940</v>
      </c>
      <c r="D9" s="604">
        <v>23484920</v>
      </c>
      <c r="E9" s="604">
        <v>28696884</v>
      </c>
      <c r="F9" s="604">
        <v>37558657</v>
      </c>
      <c r="G9" s="604">
        <v>49911967</v>
      </c>
      <c r="H9" s="590">
        <v>48887978</v>
      </c>
      <c r="I9" s="590">
        <v>51985903</v>
      </c>
      <c r="J9" s="559"/>
      <c r="K9" s="545"/>
      <c r="L9" s="567" t="s">
        <v>530</v>
      </c>
      <c r="M9" s="496">
        <v>7097195</v>
      </c>
    </row>
    <row r="10" spans="1:13" s="472" customFormat="1" ht="13.05" customHeight="1" x14ac:dyDescent="0.35">
      <c r="A10" s="585" t="s">
        <v>638</v>
      </c>
      <c r="B10" s="586"/>
      <c r="C10" s="586"/>
      <c r="D10" s="586">
        <v>11110170</v>
      </c>
      <c r="E10" s="586">
        <v>15433754</v>
      </c>
      <c r="F10" s="586">
        <v>18305000</v>
      </c>
      <c r="G10" s="586">
        <v>25250000</v>
      </c>
      <c r="H10" s="586">
        <v>26250000</v>
      </c>
      <c r="I10" s="586">
        <v>27250000</v>
      </c>
      <c r="J10" s="594"/>
      <c r="K10" s="586"/>
      <c r="L10" s="567" t="s">
        <v>641</v>
      </c>
      <c r="M10" s="496"/>
    </row>
    <row r="11" spans="1:13" s="472" customFormat="1" ht="13.05" customHeight="1" x14ac:dyDescent="0.35">
      <c r="A11" s="585" t="s">
        <v>639</v>
      </c>
      <c r="B11" s="586"/>
      <c r="C11" s="586"/>
      <c r="D11" s="586">
        <v>13606812</v>
      </c>
      <c r="E11" s="586">
        <v>15056470</v>
      </c>
      <c r="F11" s="586">
        <v>20356000</v>
      </c>
      <c r="G11" s="586">
        <v>24196000</v>
      </c>
      <c r="H11" s="586">
        <v>22177000</v>
      </c>
      <c r="I11" s="586">
        <v>24624000</v>
      </c>
      <c r="J11" s="594"/>
      <c r="K11" s="586"/>
      <c r="L11" s="567" t="s">
        <v>641</v>
      </c>
      <c r="M11" s="496"/>
    </row>
    <row r="12" spans="1:13" s="472" customFormat="1" ht="13.05" customHeight="1" x14ac:dyDescent="0.35">
      <c r="A12" s="544" t="s">
        <v>533</v>
      </c>
      <c r="B12" s="545"/>
      <c r="C12" s="545">
        <v>21422359</v>
      </c>
      <c r="D12" s="545">
        <v>27850210</v>
      </c>
      <c r="E12" s="561">
        <v>31111533</v>
      </c>
      <c r="F12" s="561">
        <v>43113566</v>
      </c>
      <c r="G12" s="561">
        <v>61133320</v>
      </c>
      <c r="H12" s="561">
        <v>33122460</v>
      </c>
      <c r="I12" s="561">
        <v>31483992</v>
      </c>
      <c r="J12" s="562"/>
      <c r="K12" s="561"/>
      <c r="L12" s="567" t="s">
        <v>643</v>
      </c>
      <c r="M12" s="496">
        <v>6109212</v>
      </c>
    </row>
    <row r="13" spans="1:13" s="472" customFormat="1" ht="13.05" customHeight="1" x14ac:dyDescent="0.35">
      <c r="A13" s="585" t="s">
        <v>629</v>
      </c>
      <c r="B13" s="586"/>
      <c r="C13" s="586"/>
      <c r="D13" s="586">
        <v>22285102</v>
      </c>
      <c r="E13" s="510">
        <v>24692600</v>
      </c>
      <c r="F13" s="510">
        <v>34009091</v>
      </c>
      <c r="G13" s="510">
        <v>55532014</v>
      </c>
      <c r="H13" s="603">
        <v>29593775</v>
      </c>
      <c r="I13" s="510">
        <v>25313047</v>
      </c>
      <c r="J13" s="587"/>
      <c r="K13" s="497"/>
      <c r="L13" s="567" t="s">
        <v>643</v>
      </c>
      <c r="M13" s="496"/>
    </row>
    <row r="14" spans="1:13" s="583" customFormat="1" ht="13.05" customHeight="1" x14ac:dyDescent="0.35">
      <c r="A14" s="549" t="s">
        <v>748</v>
      </c>
      <c r="B14" s="586"/>
      <c r="C14" s="586"/>
      <c r="D14" s="586"/>
      <c r="E14" s="784">
        <v>2500000</v>
      </c>
      <c r="F14" s="497">
        <v>9000000</v>
      </c>
      <c r="G14" s="497">
        <v>4150000</v>
      </c>
      <c r="H14" s="550">
        <v>2500000</v>
      </c>
      <c r="I14" s="497">
        <v>1000000</v>
      </c>
      <c r="J14" s="587"/>
      <c r="K14" s="497"/>
      <c r="L14" s="567"/>
      <c r="M14" s="496"/>
    </row>
    <row r="15" spans="1:13" ht="15" customHeight="1" x14ac:dyDescent="0.35">
      <c r="A15" s="616" t="s">
        <v>677</v>
      </c>
      <c r="B15" s="617"/>
      <c r="C15" s="617"/>
      <c r="D15" s="618">
        <f>(D10+(D11*0.75)+D13)-D14</f>
        <v>43600381</v>
      </c>
      <c r="E15" s="618">
        <f>(E10+(E11*0.75)+E13)-E14</f>
        <v>48918706.5</v>
      </c>
      <c r="F15" s="618">
        <f>(F10+(F11*0.75)+F13)-F14</f>
        <v>58581091</v>
      </c>
      <c r="G15" s="618">
        <f>(G10+(G11*0.75)+G13)-G14</f>
        <v>94779014</v>
      </c>
      <c r="H15" s="618">
        <f>(H10+(H11*0.75)+H13)-H14</f>
        <v>69976525</v>
      </c>
      <c r="I15" s="618">
        <f>(I10+(I11*0.75)+I13)-I14</f>
        <v>70031047</v>
      </c>
      <c r="J15" s="617"/>
      <c r="K15" s="618">
        <f>SUM(D15:I15)</f>
        <v>385886764.5</v>
      </c>
    </row>
    <row r="16" spans="1:13" s="503" customFormat="1" ht="13.05" customHeight="1" x14ac:dyDescent="0.35">
      <c r="A16" s="677" t="s">
        <v>749</v>
      </c>
      <c r="B16" s="677"/>
      <c r="C16" s="677"/>
      <c r="D16" s="677"/>
      <c r="E16" s="677"/>
      <c r="F16" s="677"/>
      <c r="G16" s="677"/>
      <c r="H16" s="677"/>
      <c r="I16" s="677"/>
      <c r="J16" s="677"/>
      <c r="K16" s="677"/>
      <c r="L16" s="567"/>
      <c r="M16" s="496"/>
    </row>
    <row r="17" spans="1:14" s="472" customFormat="1" ht="13.05" customHeight="1" x14ac:dyDescent="0.35">
      <c r="L17" s="495"/>
      <c r="M17" s="496"/>
      <c r="N17" s="501" t="s">
        <v>631</v>
      </c>
    </row>
    <row r="18" spans="1:14" s="472" customFormat="1" ht="13.9" x14ac:dyDescent="0.35">
      <c r="A18" s="681" t="s">
        <v>669</v>
      </c>
      <c r="B18" s="681"/>
      <c r="C18" s="681"/>
      <c r="D18" s="681"/>
      <c r="E18" s="681"/>
      <c r="F18" s="681"/>
      <c r="G18" s="681"/>
      <c r="H18" s="681"/>
      <c r="I18" s="681"/>
      <c r="J18" s="681"/>
      <c r="K18" s="681"/>
      <c r="M18" s="471"/>
    </row>
    <row r="19" spans="1:14" s="472" customFormat="1" ht="15.75" customHeight="1" x14ac:dyDescent="0.35">
      <c r="A19" s="684" t="s">
        <v>670</v>
      </c>
      <c r="B19" s="684"/>
      <c r="C19" s="684"/>
      <c r="D19" s="684"/>
      <c r="E19" s="684"/>
      <c r="F19" s="684"/>
      <c r="G19" s="684"/>
      <c r="H19" s="684"/>
      <c r="I19" s="684"/>
      <c r="J19" s="684"/>
      <c r="K19" s="684"/>
      <c r="M19" s="471"/>
    </row>
    <row r="20" spans="1:14" s="472" customFormat="1" ht="13.05" customHeight="1" x14ac:dyDescent="0.35">
      <c r="A20" s="538" t="s">
        <v>492</v>
      </c>
      <c r="B20" s="539">
        <v>40633</v>
      </c>
      <c r="C20" s="540">
        <v>40999</v>
      </c>
      <c r="D20" s="539">
        <v>41364</v>
      </c>
      <c r="E20" s="525">
        <v>41729</v>
      </c>
      <c r="F20" s="525">
        <v>42094</v>
      </c>
      <c r="G20" s="525">
        <v>42460</v>
      </c>
      <c r="H20" s="525">
        <v>42825</v>
      </c>
      <c r="I20" s="525">
        <v>43190</v>
      </c>
      <c r="J20" s="525">
        <v>43555</v>
      </c>
      <c r="K20" s="526" t="s">
        <v>448</v>
      </c>
      <c r="L20" s="501" t="s">
        <v>142</v>
      </c>
    </row>
    <row r="21" spans="1:14" s="472" customFormat="1" ht="13.05" customHeight="1" x14ac:dyDescent="0.35">
      <c r="A21" s="541" t="s">
        <v>494</v>
      </c>
      <c r="B21" s="542">
        <v>31720210</v>
      </c>
      <c r="C21" s="542">
        <v>10492239</v>
      </c>
      <c r="D21" s="542">
        <v>11476938</v>
      </c>
      <c r="E21" s="597">
        <v>17388489</v>
      </c>
      <c r="F21" s="597">
        <v>27760395</v>
      </c>
      <c r="G21" s="597">
        <v>22244353</v>
      </c>
      <c r="H21" s="597">
        <v>14612618</v>
      </c>
      <c r="I21" s="597">
        <v>12998795</v>
      </c>
      <c r="J21" s="576"/>
      <c r="K21" s="597">
        <v>148694037</v>
      </c>
      <c r="L21" s="619">
        <f>SUM(D21:I21)</f>
        <v>106481588</v>
      </c>
      <c r="M21" s="547"/>
    </row>
    <row r="22" spans="1:14" s="472" customFormat="1" ht="13.05" customHeight="1" x14ac:dyDescent="0.35">
      <c r="A22" s="541" t="s">
        <v>495</v>
      </c>
      <c r="B22" s="542">
        <v>23279648</v>
      </c>
      <c r="C22" s="542">
        <v>11999518</v>
      </c>
      <c r="D22" s="542">
        <v>12680034</v>
      </c>
      <c r="E22" s="597">
        <v>16114041</v>
      </c>
      <c r="F22" s="597">
        <v>14515877</v>
      </c>
      <c r="G22" s="597">
        <v>19574315</v>
      </c>
      <c r="H22" s="597">
        <v>15995008</v>
      </c>
      <c r="I22" s="597">
        <v>14108323</v>
      </c>
      <c r="J22" s="576"/>
      <c r="K22" s="597">
        <v>128266764</v>
      </c>
      <c r="L22" s="619">
        <f t="shared" ref="L22:L27" si="0">SUM(D22:I22)</f>
        <v>92987598</v>
      </c>
      <c r="M22" s="547"/>
    </row>
    <row r="23" spans="1:14" s="472" customFormat="1" ht="13.05" customHeight="1" x14ac:dyDescent="0.35">
      <c r="A23" s="544" t="s">
        <v>496</v>
      </c>
      <c r="B23" s="545">
        <v>8440562</v>
      </c>
      <c r="C23" s="545">
        <v>-1507279</v>
      </c>
      <c r="D23" s="545">
        <v>-1203096</v>
      </c>
      <c r="E23" s="561">
        <v>1274448</v>
      </c>
      <c r="F23" s="561">
        <v>13244518</v>
      </c>
      <c r="G23" s="561">
        <v>2670038</v>
      </c>
      <c r="H23" s="561">
        <v>-1382390</v>
      </c>
      <c r="I23" s="561">
        <v>-1109528</v>
      </c>
      <c r="J23" s="562"/>
      <c r="K23" s="561">
        <v>20427273</v>
      </c>
      <c r="L23" s="619">
        <f t="shared" si="0"/>
        <v>13493990</v>
      </c>
      <c r="M23" s="547"/>
    </row>
    <row r="24" spans="1:14" s="472" customFormat="1" ht="13.05" customHeight="1" x14ac:dyDescent="0.35">
      <c r="A24" s="541" t="s">
        <v>497</v>
      </c>
      <c r="B24" s="542">
        <v>1056575</v>
      </c>
      <c r="C24" s="542">
        <v>4633984</v>
      </c>
      <c r="D24" s="542">
        <v>9982955</v>
      </c>
      <c r="E24" s="597">
        <v>6937008</v>
      </c>
      <c r="F24" s="597">
        <v>5409093</v>
      </c>
      <c r="G24" s="597">
        <v>29867338</v>
      </c>
      <c r="H24" s="597">
        <v>14612481</v>
      </c>
      <c r="I24" s="597">
        <v>12032466</v>
      </c>
      <c r="J24" s="576"/>
      <c r="K24" s="597">
        <v>84531900</v>
      </c>
      <c r="L24" s="619">
        <f t="shared" si="0"/>
        <v>78841341</v>
      </c>
      <c r="M24" s="547"/>
    </row>
    <row r="25" spans="1:14" s="472" customFormat="1" ht="13.05" customHeight="1" x14ac:dyDescent="0.35">
      <c r="A25" s="541" t="s">
        <v>498</v>
      </c>
      <c r="B25" s="542">
        <v>4565926</v>
      </c>
      <c r="C25" s="542">
        <v>9096368</v>
      </c>
      <c r="D25" s="542">
        <v>11333050</v>
      </c>
      <c r="E25" s="597">
        <v>8158506</v>
      </c>
      <c r="F25" s="597">
        <v>8569556</v>
      </c>
      <c r="G25" s="597">
        <v>17373720</v>
      </c>
      <c r="H25" s="597">
        <v>13549986</v>
      </c>
      <c r="I25" s="597">
        <v>16608131</v>
      </c>
      <c r="J25" s="576"/>
      <c r="K25" s="597">
        <v>89255243</v>
      </c>
      <c r="L25" s="619">
        <f t="shared" si="0"/>
        <v>75592949</v>
      </c>
      <c r="M25" s="547"/>
    </row>
    <row r="26" spans="1:14" s="472" customFormat="1" ht="13.05" customHeight="1" x14ac:dyDescent="0.35">
      <c r="A26" s="544" t="s">
        <v>499</v>
      </c>
      <c r="B26" s="545">
        <v>-3509351</v>
      </c>
      <c r="C26" s="545">
        <v>-4462384</v>
      </c>
      <c r="D26" s="545">
        <v>-1350095</v>
      </c>
      <c r="E26" s="561">
        <v>-1221498</v>
      </c>
      <c r="F26" s="561">
        <v>-3160463</v>
      </c>
      <c r="G26" s="561">
        <v>12493618</v>
      </c>
      <c r="H26" s="561">
        <v>1062495</v>
      </c>
      <c r="I26" s="561">
        <v>-4575665</v>
      </c>
      <c r="J26" s="562"/>
      <c r="K26" s="561">
        <v>-4723343</v>
      </c>
      <c r="L26" s="619">
        <f t="shared" si="0"/>
        <v>3248392</v>
      </c>
      <c r="M26" s="547"/>
    </row>
    <row r="27" spans="1:14" s="472" customFormat="1" ht="13.05" customHeight="1" x14ac:dyDescent="0.35">
      <c r="A27" s="573" t="s">
        <v>665</v>
      </c>
      <c r="B27" s="574">
        <f>B21+B24</f>
        <v>32776785</v>
      </c>
      <c r="C27" s="574">
        <f t="shared" ref="C27:K27" si="1">C21+C24</f>
        <v>15126223</v>
      </c>
      <c r="D27" s="574">
        <f t="shared" si="1"/>
        <v>21459893</v>
      </c>
      <c r="E27" s="574">
        <f t="shared" si="1"/>
        <v>24325497</v>
      </c>
      <c r="F27" s="574">
        <f t="shared" si="1"/>
        <v>33169488</v>
      </c>
      <c r="G27" s="574">
        <f t="shared" si="1"/>
        <v>52111691</v>
      </c>
      <c r="H27" s="574">
        <f t="shared" si="1"/>
        <v>29225099</v>
      </c>
      <c r="I27" s="574">
        <f t="shared" si="1"/>
        <v>25031261</v>
      </c>
      <c r="J27" s="574">
        <f t="shared" si="1"/>
        <v>0</v>
      </c>
      <c r="K27" s="574">
        <f t="shared" si="1"/>
        <v>233225937</v>
      </c>
      <c r="L27" s="619">
        <f t="shared" si="0"/>
        <v>185322929</v>
      </c>
      <c r="M27" s="547"/>
    </row>
    <row r="28" spans="1:14" s="503" customFormat="1" ht="13.05" customHeight="1" x14ac:dyDescent="0.35">
      <c r="A28" s="573" t="s">
        <v>666</v>
      </c>
      <c r="B28" s="574"/>
      <c r="C28" s="574"/>
      <c r="D28" s="574">
        <v>22285102</v>
      </c>
      <c r="E28" s="574">
        <v>24692600</v>
      </c>
      <c r="F28" s="574">
        <v>34009091</v>
      </c>
      <c r="G28" s="574">
        <v>55532014</v>
      </c>
      <c r="H28" s="574">
        <v>29593775</v>
      </c>
      <c r="I28" s="574">
        <v>25313047</v>
      </c>
      <c r="J28" s="574"/>
      <c r="K28" s="574"/>
      <c r="L28" s="501"/>
      <c r="M28" s="547"/>
    </row>
    <row r="29" spans="1:14" s="472" customFormat="1" ht="13.05" customHeight="1" x14ac:dyDescent="0.35">
      <c r="A29" s="541"/>
      <c r="B29" s="541"/>
      <c r="C29" s="541"/>
      <c r="D29" s="541"/>
      <c r="E29" s="547"/>
      <c r="F29" s="541"/>
      <c r="G29" s="541"/>
      <c r="H29" s="541"/>
      <c r="I29" s="541"/>
      <c r="J29" s="541"/>
      <c r="K29" s="541"/>
      <c r="M29" s="547"/>
    </row>
    <row r="30" spans="1:14" s="472" customFormat="1" ht="13.9" x14ac:dyDescent="0.35">
      <c r="A30" s="681" t="s">
        <v>646</v>
      </c>
      <c r="B30" s="681"/>
      <c r="C30" s="681"/>
      <c r="D30" s="681"/>
      <c r="E30" s="681"/>
      <c r="F30" s="681"/>
      <c r="G30" s="681"/>
      <c r="H30" s="681"/>
      <c r="I30" s="681"/>
      <c r="J30" s="681"/>
      <c r="K30" s="681"/>
      <c r="M30" s="547"/>
    </row>
    <row r="31" spans="1:14" s="527" customFormat="1" ht="11.65" x14ac:dyDescent="0.35">
      <c r="A31" s="683" t="s">
        <v>672</v>
      </c>
      <c r="B31" s="683"/>
      <c r="C31" s="683"/>
      <c r="D31" s="683"/>
      <c r="E31" s="683"/>
      <c r="F31" s="683"/>
      <c r="G31" s="683"/>
      <c r="H31" s="683"/>
      <c r="I31" s="683"/>
      <c r="J31" s="683"/>
      <c r="K31" s="683"/>
    </row>
    <row r="32" spans="1:14" s="472" customFormat="1" ht="13.05" customHeight="1" x14ac:dyDescent="0.35">
      <c r="A32" s="538" t="s">
        <v>492</v>
      </c>
      <c r="B32" s="539">
        <v>40633</v>
      </c>
      <c r="C32" s="540">
        <v>40999</v>
      </c>
      <c r="D32" s="539">
        <v>41364</v>
      </c>
      <c r="E32" s="525">
        <v>41729</v>
      </c>
      <c r="F32" s="525">
        <v>42094</v>
      </c>
      <c r="G32" s="525">
        <v>42460</v>
      </c>
      <c r="H32" s="525">
        <v>42825</v>
      </c>
      <c r="I32" s="525">
        <v>43190</v>
      </c>
      <c r="J32" s="525">
        <v>43555</v>
      </c>
      <c r="K32" s="526" t="s">
        <v>448</v>
      </c>
    </row>
    <row r="33" spans="1:13" ht="13.05" customHeight="1" x14ac:dyDescent="0.35">
      <c r="A33" s="549" t="s">
        <v>648</v>
      </c>
      <c r="B33" s="606"/>
      <c r="C33" s="606"/>
      <c r="D33" s="606">
        <v>-11859798</v>
      </c>
      <c r="E33" s="606">
        <v>-12518368</v>
      </c>
      <c r="F33" s="606">
        <v>-14394385</v>
      </c>
      <c r="G33" s="606">
        <v>-21574242</v>
      </c>
      <c r="H33" s="606">
        <v>-23185639</v>
      </c>
      <c r="I33" s="606">
        <v>-27352300</v>
      </c>
      <c r="J33" s="572"/>
      <c r="K33" s="572"/>
    </row>
    <row r="34" spans="1:13" s="503" customFormat="1" ht="13.05" customHeight="1" x14ac:dyDescent="0.35">
      <c r="A34" s="544" t="s">
        <v>649</v>
      </c>
      <c r="B34" s="605"/>
      <c r="C34" s="605"/>
      <c r="D34" s="605">
        <v>-12836045</v>
      </c>
      <c r="E34" s="605">
        <v>-18725425</v>
      </c>
      <c r="F34" s="605">
        <v>-31116527</v>
      </c>
      <c r="G34" s="605">
        <v>-19927614</v>
      </c>
      <c r="H34" s="605">
        <v>-22431110</v>
      </c>
      <c r="I34" s="605">
        <v>-14629768</v>
      </c>
      <c r="J34" s="598"/>
      <c r="K34" s="558"/>
    </row>
    <row r="35" spans="1:13" s="503" customFormat="1" ht="13.05" customHeight="1" x14ac:dyDescent="0.35">
      <c r="A35" s="544" t="s">
        <v>650</v>
      </c>
      <c r="B35" s="605"/>
      <c r="C35" s="605"/>
      <c r="D35" s="605">
        <v>-9478322</v>
      </c>
      <c r="E35" s="605">
        <v>-8267453</v>
      </c>
      <c r="F35" s="605">
        <v>-10307142</v>
      </c>
      <c r="G35" s="605">
        <v>-23145171</v>
      </c>
      <c r="H35" s="605">
        <v>-13711236</v>
      </c>
      <c r="I35" s="605">
        <v>-17132303</v>
      </c>
      <c r="J35" s="598"/>
      <c r="K35" s="558"/>
      <c r="M35" s="501"/>
    </row>
    <row r="36" spans="1:13" s="503" customFormat="1" ht="13.05" customHeight="1" x14ac:dyDescent="0.35">
      <c r="A36" s="549" t="s">
        <v>651</v>
      </c>
      <c r="B36" s="606"/>
      <c r="C36" s="606"/>
      <c r="D36" s="606">
        <v>-4956006</v>
      </c>
      <c r="E36" s="606">
        <v>-5413708</v>
      </c>
      <c r="F36" s="606">
        <v>-6422583</v>
      </c>
      <c r="G36" s="608">
        <v>-7235536</v>
      </c>
      <c r="H36" s="606">
        <v>-7878540</v>
      </c>
      <c r="I36" s="606">
        <v>-5048815</v>
      </c>
      <c r="J36" s="572"/>
      <c r="K36" s="556"/>
      <c r="M36" s="501"/>
    </row>
    <row r="37" spans="1:13" s="503" customFormat="1" ht="13.05" customHeight="1" x14ac:dyDescent="0.35">
      <c r="A37" s="549" t="s">
        <v>652</v>
      </c>
      <c r="B37" s="606"/>
      <c r="C37" s="606"/>
      <c r="D37" s="606">
        <v>-2450000</v>
      </c>
      <c r="E37" s="606">
        <v>-3467657</v>
      </c>
      <c r="F37" s="606">
        <v>-3862043</v>
      </c>
      <c r="G37" s="608">
        <v>-4946600</v>
      </c>
      <c r="H37" s="606">
        <v>-3177732</v>
      </c>
      <c r="I37" s="606">
        <v>-3412546</v>
      </c>
      <c r="J37" s="572"/>
      <c r="K37" s="556"/>
      <c r="M37" s="501"/>
    </row>
    <row r="38" spans="1:13" s="503" customFormat="1" ht="13.05" customHeight="1" x14ac:dyDescent="0.35">
      <c r="A38" s="549" t="s">
        <v>653</v>
      </c>
      <c r="B38" s="606"/>
      <c r="C38" s="606"/>
      <c r="D38" s="606">
        <v>-609195</v>
      </c>
      <c r="E38" s="606">
        <v>-706408</v>
      </c>
      <c r="F38" s="606">
        <v>-740631</v>
      </c>
      <c r="G38" s="606">
        <v>-614727</v>
      </c>
      <c r="H38" s="606">
        <v>-580771</v>
      </c>
      <c r="I38" s="606">
        <v>-810339</v>
      </c>
      <c r="J38" s="572"/>
      <c r="K38" s="556"/>
      <c r="M38" s="501"/>
    </row>
    <row r="39" spans="1:13" s="472" customFormat="1" ht="13.05" customHeight="1" x14ac:dyDescent="0.35">
      <c r="A39" s="549" t="s">
        <v>658</v>
      </c>
      <c r="B39" s="606"/>
      <c r="C39" s="606"/>
      <c r="D39" s="606">
        <v>-371251</v>
      </c>
      <c r="E39" s="606">
        <v>-388913</v>
      </c>
      <c r="F39" s="606">
        <v>-487214</v>
      </c>
      <c r="G39" s="606">
        <v>-490400</v>
      </c>
      <c r="H39" s="606">
        <v>-634883</v>
      </c>
      <c r="I39" s="606">
        <v>-526403</v>
      </c>
      <c r="J39" s="572"/>
      <c r="K39" s="556"/>
    </row>
    <row r="40" spans="1:13" ht="13.05" customHeight="1" x14ac:dyDescent="0.35">
      <c r="A40" s="544" t="s">
        <v>654</v>
      </c>
      <c r="B40" s="605"/>
      <c r="C40" s="605"/>
      <c r="D40" s="605">
        <v>-282396</v>
      </c>
      <c r="E40" s="605">
        <v>-380335</v>
      </c>
      <c r="F40" s="605">
        <v>-507643</v>
      </c>
      <c r="G40" s="605">
        <v>-559425</v>
      </c>
      <c r="H40" s="605">
        <v>-858399</v>
      </c>
      <c r="I40" s="605">
        <v>-1183212</v>
      </c>
      <c r="J40" s="598"/>
      <c r="K40" s="558"/>
    </row>
    <row r="41" spans="1:13" ht="13.05" customHeight="1" x14ac:dyDescent="0.35">
      <c r="A41" s="549" t="s">
        <v>655</v>
      </c>
      <c r="B41" s="606"/>
      <c r="C41" s="606"/>
      <c r="D41" s="606">
        <v>-247830</v>
      </c>
      <c r="E41" s="606">
        <v>-670678</v>
      </c>
      <c r="F41" s="606">
        <v>-1431892</v>
      </c>
      <c r="G41" s="606">
        <v>-2030565</v>
      </c>
      <c r="H41" s="606">
        <v>-2390703</v>
      </c>
      <c r="I41" s="606">
        <v>-1663430</v>
      </c>
      <c r="J41" s="572"/>
      <c r="K41" s="556"/>
    </row>
    <row r="42" spans="1:13" ht="13.05" customHeight="1" x14ac:dyDescent="0.35">
      <c r="A42" s="544" t="s">
        <v>656</v>
      </c>
      <c r="B42" s="605"/>
      <c r="C42" s="605"/>
      <c r="D42" s="605">
        <v>-187146</v>
      </c>
      <c r="E42" s="605">
        <v>-70595</v>
      </c>
      <c r="F42" s="605">
        <v>-195795</v>
      </c>
      <c r="G42" s="605">
        <v>-225278</v>
      </c>
      <c r="H42" s="605">
        <v>-127690</v>
      </c>
      <c r="I42" s="605">
        <v>0</v>
      </c>
      <c r="J42" s="598"/>
      <c r="K42" s="558"/>
    </row>
    <row r="43" spans="1:13" ht="13.05" customHeight="1" x14ac:dyDescent="0.35">
      <c r="A43" s="544" t="s">
        <v>657</v>
      </c>
      <c r="B43" s="605"/>
      <c r="C43" s="605"/>
      <c r="D43" s="605">
        <v>-101857</v>
      </c>
      <c r="E43" s="605">
        <v>-214380</v>
      </c>
      <c r="F43" s="605">
        <v>-253031</v>
      </c>
      <c r="G43" s="605">
        <v>-99660</v>
      </c>
      <c r="H43" s="605">
        <v>-651483</v>
      </c>
      <c r="I43" s="605">
        <v>-134622</v>
      </c>
      <c r="J43" s="598"/>
      <c r="K43" s="558"/>
    </row>
    <row r="44" spans="1:13" s="503" customFormat="1" ht="13.05" customHeight="1" x14ac:dyDescent="0.35">
      <c r="A44" s="596" t="s">
        <v>659</v>
      </c>
      <c r="B44" s="610"/>
      <c r="C44" s="610"/>
      <c r="D44" s="610">
        <v>-45372048</v>
      </c>
      <c r="E44" s="609">
        <v>-50823920</v>
      </c>
      <c r="F44" s="609">
        <v>-69718886</v>
      </c>
      <c r="G44" s="609">
        <v>-80849218</v>
      </c>
      <c r="H44" s="610">
        <f>(SUM(H33:H43))</f>
        <v>-75628186</v>
      </c>
      <c r="I44" s="610">
        <f>(SUM(I33:I43))</f>
        <v>-71893738</v>
      </c>
      <c r="J44" s="600"/>
      <c r="K44" s="599"/>
      <c r="M44" s="501"/>
    </row>
    <row r="45" spans="1:13" ht="13.05" customHeight="1" x14ac:dyDescent="0.35">
      <c r="A45" s="541"/>
      <c r="B45" s="541"/>
      <c r="C45" s="541"/>
      <c r="D45" s="541"/>
      <c r="E45" s="547"/>
      <c r="F45" s="541"/>
      <c r="G45" s="541"/>
      <c r="H45" s="541"/>
      <c r="I45" s="541"/>
      <c r="J45" s="541"/>
      <c r="K45" s="541"/>
    </row>
    <row r="46" spans="1:13" s="535" customFormat="1" ht="13.05" customHeight="1" x14ac:dyDescent="0.4">
      <c r="A46" s="682" t="s">
        <v>634</v>
      </c>
      <c r="B46" s="682"/>
      <c r="C46" s="682"/>
      <c r="D46" s="682"/>
      <c r="E46" s="682"/>
      <c r="F46" s="682"/>
      <c r="G46" s="682"/>
      <c r="H46" s="682"/>
      <c r="I46" s="682"/>
      <c r="J46" s="682"/>
      <c r="K46" s="682"/>
    </row>
    <row r="47" spans="1:13" s="535" customFormat="1" ht="13.05" customHeight="1" x14ac:dyDescent="0.35">
      <c r="A47" s="684" t="s">
        <v>509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</row>
    <row r="48" spans="1:13" s="593" customFormat="1" ht="13.05" customHeight="1" x14ac:dyDescent="0.35">
      <c r="A48" s="538" t="s">
        <v>492</v>
      </c>
      <c r="B48" s="539">
        <v>40633</v>
      </c>
      <c r="C48" s="540">
        <v>40999</v>
      </c>
      <c r="D48" s="539">
        <v>41364</v>
      </c>
      <c r="E48" s="525">
        <v>41729</v>
      </c>
      <c r="F48" s="525">
        <v>42094</v>
      </c>
      <c r="G48" s="525">
        <v>42460</v>
      </c>
      <c r="H48" s="525">
        <v>42825</v>
      </c>
      <c r="I48" s="525">
        <v>43190</v>
      </c>
      <c r="J48" s="525">
        <v>43555</v>
      </c>
      <c r="K48" s="526"/>
      <c r="L48" s="557" t="s">
        <v>529</v>
      </c>
      <c r="M48" s="523">
        <v>37134</v>
      </c>
    </row>
    <row r="49" spans="1:14" s="535" customFormat="1" ht="13.05" customHeight="1" x14ac:dyDescent="0.35">
      <c r="A49" s="544" t="s">
        <v>500</v>
      </c>
      <c r="B49" s="545">
        <v>67313612</v>
      </c>
      <c r="C49" s="546">
        <v>56597261</v>
      </c>
      <c r="D49" s="545">
        <v>65138738</v>
      </c>
      <c r="E49" s="532">
        <v>77304477</v>
      </c>
      <c r="F49" s="532">
        <v>102127196</v>
      </c>
      <c r="G49" s="532">
        <v>126685090</v>
      </c>
      <c r="H49" s="532">
        <v>152393266</v>
      </c>
      <c r="I49" s="532">
        <v>123592803</v>
      </c>
      <c r="J49" s="533"/>
      <c r="K49" s="532"/>
      <c r="L49" s="567" t="s">
        <v>534</v>
      </c>
      <c r="M49" s="496">
        <v>31050569</v>
      </c>
    </row>
    <row r="50" spans="1:14" s="535" customFormat="1" ht="13.05" customHeight="1" x14ac:dyDescent="0.35">
      <c r="A50" s="548" t="s">
        <v>504</v>
      </c>
      <c r="B50" s="542">
        <v>1263191</v>
      </c>
      <c r="C50" s="542">
        <v>1424760</v>
      </c>
      <c r="D50" s="542">
        <v>1275703</v>
      </c>
      <c r="E50" s="542">
        <v>2079698</v>
      </c>
      <c r="F50" s="542">
        <v>5698426</v>
      </c>
      <c r="G50" s="542">
        <v>2694279</v>
      </c>
      <c r="H50" s="542">
        <v>53034469</v>
      </c>
      <c r="I50" s="542">
        <v>21841996</v>
      </c>
      <c r="J50" s="542"/>
      <c r="K50" s="542"/>
      <c r="L50" s="568" t="s">
        <v>535</v>
      </c>
      <c r="M50" s="496">
        <v>6950981</v>
      </c>
    </row>
    <row r="51" spans="1:14" s="535" customFormat="1" ht="13.05" customHeight="1" x14ac:dyDescent="0.35">
      <c r="A51" s="541" t="s">
        <v>501</v>
      </c>
      <c r="B51" s="542">
        <v>65442176</v>
      </c>
      <c r="C51" s="543">
        <v>54722112</v>
      </c>
      <c r="D51" s="542">
        <v>63876013</v>
      </c>
      <c r="E51" s="524">
        <v>74514430</v>
      </c>
      <c r="F51" s="524">
        <v>94870799</v>
      </c>
      <c r="G51" s="524">
        <v>122655465</v>
      </c>
      <c r="H51" s="524">
        <v>96970689</v>
      </c>
      <c r="I51" s="524">
        <v>99123823</v>
      </c>
      <c r="J51" s="472"/>
      <c r="K51" s="524"/>
      <c r="L51" s="567" t="s">
        <v>536</v>
      </c>
      <c r="M51" s="496">
        <v>18393924</v>
      </c>
    </row>
    <row r="52" spans="1:14" s="503" customFormat="1" ht="13.05" customHeight="1" x14ac:dyDescent="0.35">
      <c r="A52" s="544" t="s">
        <v>507</v>
      </c>
      <c r="B52" s="605">
        <v>-64981068</v>
      </c>
      <c r="C52" s="605">
        <v>-59681470</v>
      </c>
      <c r="D52" s="605">
        <v>-60858907</v>
      </c>
      <c r="E52" s="605">
        <v>-70312831</v>
      </c>
      <c r="F52" s="605">
        <v>-93531264</v>
      </c>
      <c r="G52" s="605">
        <v>-110011376</v>
      </c>
      <c r="H52" s="605">
        <v>-106085153</v>
      </c>
      <c r="I52" s="605">
        <v>-112678501</v>
      </c>
      <c r="J52" s="533"/>
      <c r="K52" s="532"/>
      <c r="L52" s="567" t="s">
        <v>553</v>
      </c>
      <c r="M52" s="496">
        <v>23335527</v>
      </c>
    </row>
    <row r="53" spans="1:14" s="503" customFormat="1" ht="13.05" customHeight="1" x14ac:dyDescent="0.35">
      <c r="A53" s="549" t="s">
        <v>502</v>
      </c>
      <c r="B53" s="606">
        <v>-1330983</v>
      </c>
      <c r="C53" s="606">
        <v>-1389714</v>
      </c>
      <c r="D53" s="606">
        <v>-1434143</v>
      </c>
      <c r="E53" s="606">
        <v>-1680720</v>
      </c>
      <c r="F53" s="606">
        <v>-5339675</v>
      </c>
      <c r="G53" s="606">
        <v>-6179927</v>
      </c>
      <c r="H53" s="606">
        <v>-12476338</v>
      </c>
      <c r="I53" s="606">
        <v>-8690301</v>
      </c>
      <c r="J53" s="535"/>
      <c r="K53" s="534"/>
      <c r="L53" s="571" t="s">
        <v>531</v>
      </c>
      <c r="M53" s="547">
        <v>1015555</v>
      </c>
    </row>
    <row r="54" spans="1:14" x14ac:dyDescent="0.35">
      <c r="A54" s="549" t="s">
        <v>503</v>
      </c>
      <c r="B54" s="606">
        <v>-15196801</v>
      </c>
      <c r="C54" s="606">
        <v>-14038933</v>
      </c>
      <c r="D54" s="606">
        <v>-18471029</v>
      </c>
      <c r="E54" s="606">
        <v>-20704835</v>
      </c>
      <c r="F54" s="606">
        <v>-22885302</v>
      </c>
      <c r="G54" s="606">
        <v>-23297912</v>
      </c>
      <c r="H54" s="606">
        <v>-21656502</v>
      </c>
      <c r="I54" s="606">
        <v>-4447424</v>
      </c>
      <c r="J54" s="535"/>
      <c r="K54" s="534"/>
      <c r="L54" s="571" t="s">
        <v>532</v>
      </c>
      <c r="M54" s="547">
        <v>6364576</v>
      </c>
    </row>
    <row r="55" spans="1:14" s="472" customFormat="1" x14ac:dyDescent="0.35">
      <c r="A55" s="551" t="s">
        <v>505</v>
      </c>
      <c r="B55" s="552">
        <v>2332544</v>
      </c>
      <c r="C55" s="607">
        <v>-3084209</v>
      </c>
      <c r="D55" s="552">
        <v>4279831</v>
      </c>
      <c r="E55" s="536">
        <v>6991646</v>
      </c>
      <c r="F55" s="536">
        <v>8595932</v>
      </c>
      <c r="G55" s="536">
        <v>16673714</v>
      </c>
      <c r="H55" s="536">
        <v>46037506</v>
      </c>
      <c r="I55" s="536">
        <v>10914302</v>
      </c>
      <c r="J55" s="537"/>
      <c r="K55" s="536"/>
      <c r="L55" s="567" t="s">
        <v>537</v>
      </c>
      <c r="M55" s="496">
        <v>14054712</v>
      </c>
    </row>
    <row r="56" spans="1:14" s="472" customFormat="1" ht="14.65" customHeight="1" x14ac:dyDescent="0.35">
      <c r="A56" s="553" t="s">
        <v>506</v>
      </c>
      <c r="B56" s="553">
        <v>59384346</v>
      </c>
      <c r="C56" s="553">
        <v>57169891</v>
      </c>
      <c r="D56" s="553">
        <v>64094906</v>
      </c>
      <c r="E56" s="554">
        <v>73619126</v>
      </c>
      <c r="F56" s="553">
        <v>83082674</v>
      </c>
      <c r="G56" s="553">
        <v>98004402</v>
      </c>
      <c r="H56" s="553">
        <v>148996396</v>
      </c>
      <c r="I56" s="553">
        <v>162738719</v>
      </c>
      <c r="J56" s="553"/>
      <c r="K56" s="553"/>
      <c r="L56" s="567"/>
      <c r="M56" s="496"/>
    </row>
    <row r="57" spans="1:14" s="472" customFormat="1" ht="13.05" customHeight="1" x14ac:dyDescent="0.35">
      <c r="A57" s="549"/>
      <c r="B57" s="549"/>
      <c r="C57" s="549"/>
      <c r="D57" s="549"/>
      <c r="E57" s="496"/>
      <c r="F57" s="549"/>
      <c r="G57" s="549"/>
      <c r="H57" s="549"/>
      <c r="I57" s="549"/>
      <c r="J57" s="549"/>
      <c r="K57" s="549"/>
      <c r="L57" s="567"/>
      <c r="M57" s="496"/>
    </row>
    <row r="58" spans="1:14" s="472" customFormat="1" ht="13.05" customHeight="1" x14ac:dyDescent="0.4">
      <c r="A58" s="682" t="s">
        <v>637</v>
      </c>
      <c r="B58" s="682"/>
      <c r="C58" s="682"/>
      <c r="D58" s="682"/>
      <c r="E58" s="682"/>
      <c r="F58" s="682"/>
      <c r="G58" s="682"/>
      <c r="H58" s="682"/>
      <c r="I58" s="682"/>
      <c r="J58" s="682"/>
      <c r="K58" s="682"/>
      <c r="L58" s="591"/>
      <c r="M58" s="592"/>
    </row>
    <row r="59" spans="1:14" s="472" customFormat="1" ht="13.05" customHeight="1" x14ac:dyDescent="0.35">
      <c r="A59" s="687" t="s">
        <v>645</v>
      </c>
      <c r="B59" s="687"/>
      <c r="C59" s="687"/>
      <c r="D59" s="687"/>
      <c r="E59" s="687"/>
      <c r="F59" s="687"/>
      <c r="G59" s="687"/>
      <c r="H59" s="687"/>
      <c r="I59" s="687"/>
      <c r="J59" s="687"/>
      <c r="K59" s="687"/>
      <c r="L59" s="567"/>
      <c r="M59" s="496"/>
    </row>
    <row r="60" spans="1:14" s="503" customFormat="1" ht="13.05" customHeight="1" x14ac:dyDescent="0.35">
      <c r="A60" s="685" t="s">
        <v>644</v>
      </c>
      <c r="B60" s="685"/>
      <c r="C60" s="685"/>
      <c r="D60" s="685"/>
      <c r="E60" s="685"/>
      <c r="F60" s="685"/>
      <c r="G60" s="685"/>
      <c r="H60" s="685"/>
      <c r="I60" s="685"/>
      <c r="J60" s="685"/>
      <c r="K60" s="685"/>
      <c r="M60" s="496"/>
    </row>
    <row r="61" spans="1:14" s="503" customFormat="1" ht="13.05" customHeight="1" x14ac:dyDescent="0.35">
      <c r="A61" s="538" t="s">
        <v>492</v>
      </c>
      <c r="B61" s="539">
        <v>40633</v>
      </c>
      <c r="C61" s="540">
        <v>40999</v>
      </c>
      <c r="D61" s="539">
        <v>41364</v>
      </c>
      <c r="E61" s="525">
        <v>41729</v>
      </c>
      <c r="F61" s="525">
        <v>42094</v>
      </c>
      <c r="G61" s="525">
        <v>42460</v>
      </c>
      <c r="H61" s="525">
        <v>42825</v>
      </c>
      <c r="I61" s="525">
        <v>43190</v>
      </c>
      <c r="J61" s="525">
        <v>43555</v>
      </c>
      <c r="K61" s="526"/>
      <c r="L61" s="567"/>
      <c r="M61" s="496"/>
    </row>
    <row r="62" spans="1:14" s="472" customFormat="1" ht="13.05" customHeight="1" x14ac:dyDescent="0.35">
      <c r="A62" s="549" t="s">
        <v>500</v>
      </c>
      <c r="B62" s="549"/>
      <c r="C62" s="549"/>
      <c r="D62" s="549">
        <v>64923037</v>
      </c>
      <c r="E62" s="496">
        <v>76565492</v>
      </c>
      <c r="F62" s="549">
        <v>100543862</v>
      </c>
      <c r="G62" s="549">
        <v>125301588</v>
      </c>
      <c r="H62" s="595">
        <v>290738512</v>
      </c>
      <c r="I62" s="549">
        <v>102664601</v>
      </c>
      <c r="J62" s="549"/>
      <c r="K62" s="549"/>
      <c r="L62" s="567"/>
      <c r="M62" s="496"/>
      <c r="N62" s="501" t="s">
        <v>631</v>
      </c>
    </row>
    <row r="63" spans="1:14" s="472" customFormat="1" ht="13.05" customHeight="1" x14ac:dyDescent="0.35">
      <c r="A63" s="549" t="s">
        <v>635</v>
      </c>
      <c r="B63" s="611"/>
      <c r="C63" s="611"/>
      <c r="D63" s="611">
        <v>-60399248</v>
      </c>
      <c r="E63" s="611">
        <v>-70030472</v>
      </c>
      <c r="F63" s="611">
        <v>-93256159</v>
      </c>
      <c r="G63" s="611">
        <v>-109809361</v>
      </c>
      <c r="H63" s="611">
        <v>-221826583</v>
      </c>
      <c r="I63" s="611">
        <v>-109192197</v>
      </c>
      <c r="J63" s="549"/>
      <c r="K63" s="549"/>
      <c r="L63" s="567"/>
      <c r="M63" s="496"/>
    </row>
    <row r="64" spans="1:14" s="472" customFormat="1" ht="13.05" customHeight="1" x14ac:dyDescent="0.35">
      <c r="A64" s="549" t="s">
        <v>636</v>
      </c>
      <c r="B64" s="549"/>
      <c r="C64" s="549"/>
      <c r="D64" s="549">
        <v>4523789</v>
      </c>
      <c r="E64" s="496">
        <v>6535020</v>
      </c>
      <c r="F64" s="549">
        <v>7307703</v>
      </c>
      <c r="G64" s="549">
        <v>15492227</v>
      </c>
      <c r="H64" s="549">
        <v>68911929</v>
      </c>
      <c r="I64" s="549">
        <v>-6527598</v>
      </c>
      <c r="J64" s="549"/>
      <c r="K64" s="549"/>
      <c r="L64" s="495"/>
      <c r="M64" s="496"/>
    </row>
    <row r="65" spans="1:13" s="503" customFormat="1" ht="13.05" customHeight="1" x14ac:dyDescent="0.35">
      <c r="A65" s="676" t="s">
        <v>664</v>
      </c>
      <c r="B65" s="676"/>
      <c r="C65" s="676"/>
      <c r="D65" s="676"/>
      <c r="E65" s="676"/>
      <c r="F65" s="676"/>
      <c r="G65" s="676"/>
      <c r="H65" s="676"/>
      <c r="I65" s="676"/>
      <c r="J65" s="676"/>
      <c r="K65" s="676"/>
      <c r="L65" s="502"/>
      <c r="M65" s="496"/>
    </row>
    <row r="66" spans="1:13" s="472" customFormat="1" x14ac:dyDescent="0.35">
      <c r="A66" s="467"/>
      <c r="B66" s="467"/>
      <c r="C66" s="467"/>
      <c r="D66" s="467"/>
      <c r="E66" s="468"/>
      <c r="F66" s="469"/>
      <c r="G66" s="469"/>
      <c r="H66" s="469"/>
      <c r="I66" s="469"/>
      <c r="J66" s="469"/>
      <c r="K66" s="469"/>
    </row>
    <row r="67" spans="1:13" s="472" customFormat="1" ht="13.05" customHeight="1" x14ac:dyDescent="0.4">
      <c r="A67" s="682" t="s">
        <v>510</v>
      </c>
      <c r="B67" s="682"/>
      <c r="C67" s="682"/>
      <c r="D67" s="682"/>
      <c r="E67" s="682"/>
      <c r="F67" s="682"/>
      <c r="G67" s="682"/>
      <c r="H67" s="682"/>
      <c r="I67" s="682"/>
      <c r="J67" s="682"/>
      <c r="K67" s="682"/>
    </row>
    <row r="68" spans="1:13" s="503" customFormat="1" ht="13.05" customHeight="1" x14ac:dyDescent="0.35">
      <c r="A68" s="684" t="s">
        <v>642</v>
      </c>
      <c r="B68" s="684"/>
      <c r="C68" s="684"/>
      <c r="D68" s="684"/>
      <c r="E68" s="684"/>
      <c r="F68" s="684"/>
      <c r="G68" s="684"/>
      <c r="H68" s="684"/>
      <c r="I68" s="684"/>
      <c r="J68" s="684"/>
      <c r="K68" s="684"/>
    </row>
    <row r="69" spans="1:13" s="472" customFormat="1" ht="13.05" customHeight="1" x14ac:dyDescent="0.35">
      <c r="A69" s="538" t="s">
        <v>492</v>
      </c>
      <c r="B69" s="539">
        <v>40633</v>
      </c>
      <c r="C69" s="540">
        <v>40999</v>
      </c>
      <c r="D69" s="539">
        <v>41364</v>
      </c>
      <c r="E69" s="525">
        <v>41729</v>
      </c>
      <c r="F69" s="525">
        <v>42094</v>
      </c>
      <c r="G69" s="525">
        <v>42460</v>
      </c>
      <c r="H69" s="525">
        <v>42825</v>
      </c>
      <c r="I69" s="525">
        <v>43190</v>
      </c>
      <c r="J69" s="525">
        <v>43555</v>
      </c>
      <c r="K69" s="526"/>
      <c r="L69" s="557" t="s">
        <v>529</v>
      </c>
      <c r="M69" s="523">
        <v>37134</v>
      </c>
    </row>
    <row r="70" spans="1:13" s="503" customFormat="1" ht="13.05" customHeight="1" x14ac:dyDescent="0.35">
      <c r="A70" s="544" t="s">
        <v>511</v>
      </c>
      <c r="B70" s="545">
        <v>3144478</v>
      </c>
      <c r="C70" s="545">
        <v>3081193</v>
      </c>
      <c r="D70" s="545">
        <v>3088609</v>
      </c>
      <c r="E70" s="561">
        <v>2902803</v>
      </c>
      <c r="F70" s="561">
        <v>2933217</v>
      </c>
      <c r="G70" s="561">
        <v>3082803</v>
      </c>
      <c r="H70" s="561">
        <v>3154018</v>
      </c>
      <c r="I70" s="561">
        <v>2880194</v>
      </c>
      <c r="J70" s="562"/>
      <c r="K70" s="561"/>
      <c r="L70" s="567" t="s">
        <v>538</v>
      </c>
      <c r="M70" s="496"/>
    </row>
    <row r="71" spans="1:13" s="503" customFormat="1" ht="13.05" customHeight="1" x14ac:dyDescent="0.35">
      <c r="A71" s="611" t="s">
        <v>512</v>
      </c>
      <c r="B71" s="606">
        <v>-2217492</v>
      </c>
      <c r="C71" s="606">
        <v>-2493479</v>
      </c>
      <c r="D71" s="606">
        <v>-2486198</v>
      </c>
      <c r="E71" s="606">
        <v>-2788204</v>
      </c>
      <c r="F71" s="606">
        <v>-3536783</v>
      </c>
      <c r="G71" s="606">
        <v>-2736266</v>
      </c>
      <c r="H71" s="606">
        <v>-3637419</v>
      </c>
      <c r="I71" s="606">
        <v>-4458679</v>
      </c>
      <c r="J71" s="572"/>
      <c r="K71" s="556"/>
      <c r="L71" s="567" t="s">
        <v>538</v>
      </c>
      <c r="M71" s="611">
        <v>-1356761</v>
      </c>
    </row>
    <row r="72" spans="1:13" s="472" customFormat="1" x14ac:dyDescent="0.35">
      <c r="A72" s="544" t="s">
        <v>513</v>
      </c>
      <c r="B72" s="545">
        <v>1186568</v>
      </c>
      <c r="C72" s="545">
        <v>1610317</v>
      </c>
      <c r="D72" s="545">
        <v>1932479</v>
      </c>
      <c r="E72" s="561">
        <v>1990579</v>
      </c>
      <c r="F72" s="561">
        <v>2177934</v>
      </c>
      <c r="G72" s="561">
        <v>2261196</v>
      </c>
      <c r="H72" s="561">
        <v>2857245</v>
      </c>
      <c r="I72" s="561">
        <v>3293404</v>
      </c>
      <c r="J72" s="562"/>
      <c r="K72" s="561"/>
      <c r="L72" s="567" t="s">
        <v>538</v>
      </c>
      <c r="M72" s="549">
        <v>957309</v>
      </c>
    </row>
    <row r="73" spans="1:13" s="472" customFormat="1" ht="13.05" customHeight="1" x14ac:dyDescent="0.35">
      <c r="A73" s="611" t="s">
        <v>514</v>
      </c>
      <c r="B73" s="606">
        <v>-1901632</v>
      </c>
      <c r="C73" s="606">
        <v>-2418491</v>
      </c>
      <c r="D73" s="606">
        <v>-1886364</v>
      </c>
      <c r="E73" s="606">
        <v>-2437392</v>
      </c>
      <c r="F73" s="606">
        <v>-2761294</v>
      </c>
      <c r="G73" s="606">
        <v>-3489835</v>
      </c>
      <c r="H73" s="606">
        <v>-4662249</v>
      </c>
      <c r="I73" s="606">
        <v>-6491586</v>
      </c>
      <c r="J73" s="572"/>
      <c r="K73" s="556"/>
      <c r="L73" s="567" t="s">
        <v>538</v>
      </c>
      <c r="M73" s="611">
        <v>-1329606</v>
      </c>
    </row>
    <row r="74" spans="1:13" s="472" customFormat="1" ht="14.65" customHeight="1" x14ac:dyDescent="0.35">
      <c r="A74" s="588" t="s">
        <v>632</v>
      </c>
      <c r="B74" s="545">
        <v>28064048</v>
      </c>
      <c r="C74" s="545">
        <v>31599813</v>
      </c>
      <c r="D74" s="545">
        <v>36341139</v>
      </c>
      <c r="E74" s="561">
        <v>44928448</v>
      </c>
      <c r="F74" s="561">
        <v>52200991</v>
      </c>
      <c r="G74" s="561">
        <v>67367470</v>
      </c>
      <c r="H74" s="561">
        <v>59458746</v>
      </c>
      <c r="I74" s="561">
        <v>65064678</v>
      </c>
      <c r="J74" s="562"/>
      <c r="K74" s="561"/>
      <c r="L74" s="567" t="s">
        <v>538</v>
      </c>
      <c r="M74" s="496"/>
    </row>
    <row r="75" spans="1:13" s="472" customFormat="1" ht="13.05" customHeight="1" x14ac:dyDescent="0.35">
      <c r="A75" s="578" t="s">
        <v>563</v>
      </c>
      <c r="B75" s="584"/>
      <c r="C75" s="584"/>
      <c r="D75" s="584">
        <v>4444512</v>
      </c>
      <c r="E75" s="570">
        <v>5225021</v>
      </c>
      <c r="F75" s="570">
        <v>8024177</v>
      </c>
      <c r="G75" s="570">
        <v>4241754</v>
      </c>
      <c r="H75" s="570">
        <v>2528723</v>
      </c>
      <c r="I75" s="570">
        <v>4669534</v>
      </c>
      <c r="J75" s="601"/>
      <c r="K75" s="570"/>
      <c r="L75" s="567" t="s">
        <v>643</v>
      </c>
      <c r="M75" s="496">
        <v>647818</v>
      </c>
    </row>
    <row r="76" spans="1:13" s="472" customFormat="1" ht="13.05" customHeight="1" x14ac:dyDescent="0.35">
      <c r="A76" s="578" t="s">
        <v>564</v>
      </c>
      <c r="B76" s="584"/>
      <c r="C76" s="602"/>
      <c r="D76" s="584">
        <v>1120596</v>
      </c>
      <c r="E76" s="570">
        <v>1193912</v>
      </c>
      <c r="F76" s="570">
        <v>1080298</v>
      </c>
      <c r="G76" s="570">
        <v>1327523</v>
      </c>
      <c r="H76" s="570">
        <v>999519</v>
      </c>
      <c r="I76" s="570">
        <v>1501411</v>
      </c>
      <c r="J76" s="601"/>
      <c r="K76" s="570"/>
      <c r="L76" s="567" t="s">
        <v>643</v>
      </c>
      <c r="M76" s="496">
        <v>340165</v>
      </c>
    </row>
    <row r="77" spans="1:13" s="472" customFormat="1" ht="13.05" customHeight="1" x14ac:dyDescent="0.35">
      <c r="A77" s="612" t="s">
        <v>633</v>
      </c>
      <c r="B77" s="606">
        <v>-8482439</v>
      </c>
      <c r="C77" s="606">
        <v>-4392386</v>
      </c>
      <c r="D77" s="606">
        <v>-2455192</v>
      </c>
      <c r="E77" s="606">
        <v>-2297144</v>
      </c>
      <c r="F77" s="606">
        <v>-2716299</v>
      </c>
      <c r="G77" s="606">
        <v>-4514702</v>
      </c>
      <c r="H77" s="606">
        <v>-2881173</v>
      </c>
      <c r="I77" s="606">
        <v>-3900142</v>
      </c>
      <c r="J77" s="572"/>
      <c r="K77" s="556"/>
      <c r="L77" s="567" t="s">
        <v>538</v>
      </c>
      <c r="M77" s="496"/>
    </row>
    <row r="78" spans="1:13" s="472" customFormat="1" ht="13.05" customHeight="1" x14ac:dyDescent="0.35">
      <c r="A78" s="613" t="s">
        <v>668</v>
      </c>
      <c r="B78" s="614"/>
      <c r="C78" s="614"/>
      <c r="D78" s="614"/>
      <c r="E78" s="614"/>
      <c r="F78" s="614"/>
      <c r="G78" s="614"/>
      <c r="H78" s="614"/>
      <c r="I78" s="614"/>
      <c r="J78" s="589"/>
      <c r="K78" s="556"/>
      <c r="L78" s="567" t="s">
        <v>643</v>
      </c>
      <c r="M78" s="496"/>
    </row>
    <row r="79" spans="1:13" s="472" customFormat="1" ht="13.05" customHeight="1" x14ac:dyDescent="0.35">
      <c r="A79" s="613" t="s">
        <v>564</v>
      </c>
      <c r="B79" s="614"/>
      <c r="C79" s="614"/>
      <c r="D79" s="614">
        <v>-593886</v>
      </c>
      <c r="E79" s="614">
        <v>-959038</v>
      </c>
      <c r="F79" s="614">
        <v>-1002711</v>
      </c>
      <c r="G79" s="614">
        <v>-1072601</v>
      </c>
      <c r="H79" s="614">
        <v>-922519</v>
      </c>
      <c r="I79" s="614">
        <v>-1138863</v>
      </c>
      <c r="J79" s="589"/>
      <c r="K79" s="556"/>
      <c r="L79" s="567" t="s">
        <v>643</v>
      </c>
      <c r="M79" s="496"/>
    </row>
    <row r="80" spans="1:13" s="472" customFormat="1" ht="13.05" customHeight="1" x14ac:dyDescent="0.35">
      <c r="A80" s="544" t="s">
        <v>545</v>
      </c>
      <c r="B80" s="545"/>
      <c r="C80" s="545">
        <v>9208106</v>
      </c>
      <c r="D80" s="545">
        <v>8719702</v>
      </c>
      <c r="E80" s="545">
        <v>8939119</v>
      </c>
      <c r="F80" s="545">
        <v>9121818</v>
      </c>
      <c r="G80" s="545">
        <v>10193538</v>
      </c>
      <c r="H80" s="545">
        <v>10158292</v>
      </c>
      <c r="I80" s="545">
        <v>10014479</v>
      </c>
      <c r="J80" s="559"/>
      <c r="K80" s="545"/>
      <c r="L80" s="567" t="s">
        <v>547</v>
      </c>
      <c r="M80" s="496">
        <v>4652186</v>
      </c>
    </row>
    <row r="81" spans="1:13" s="472" customFormat="1" ht="13.05" customHeight="1" x14ac:dyDescent="0.35">
      <c r="A81" s="544" t="s">
        <v>630</v>
      </c>
      <c r="B81" s="545"/>
      <c r="C81" s="558"/>
      <c r="D81" s="545">
        <v>745886</v>
      </c>
      <c r="E81" s="561">
        <v>885452</v>
      </c>
      <c r="F81" s="561">
        <v>761617</v>
      </c>
      <c r="G81" s="561">
        <v>737029</v>
      </c>
      <c r="H81" s="561">
        <v>749471</v>
      </c>
      <c r="I81" s="561">
        <v>749636</v>
      </c>
      <c r="J81" s="562"/>
      <c r="K81" s="561"/>
      <c r="L81" s="567" t="s">
        <v>643</v>
      </c>
      <c r="M81" s="496"/>
    </row>
    <row r="82" spans="1:13" s="503" customFormat="1" ht="13.05" customHeight="1" x14ac:dyDescent="0.35">
      <c r="A82" s="544" t="s">
        <v>660</v>
      </c>
      <c r="B82" s="545"/>
      <c r="C82" s="545"/>
      <c r="D82" s="545"/>
      <c r="E82" s="545"/>
      <c r="F82" s="545"/>
      <c r="G82" s="545"/>
      <c r="H82" s="545">
        <v>50000000</v>
      </c>
      <c r="I82" s="545"/>
      <c r="J82" s="559"/>
      <c r="K82" s="545"/>
      <c r="L82" s="567" t="s">
        <v>643</v>
      </c>
      <c r="M82" s="496"/>
    </row>
    <row r="83" spans="1:13" s="472" customFormat="1" ht="13.05" customHeight="1" x14ac:dyDescent="0.35">
      <c r="A83" s="686" t="s">
        <v>667</v>
      </c>
      <c r="B83" s="686"/>
      <c r="C83" s="686"/>
      <c r="D83" s="686"/>
      <c r="E83" s="686"/>
      <c r="F83" s="686"/>
      <c r="G83" s="686"/>
      <c r="H83" s="686"/>
      <c r="I83" s="686"/>
      <c r="J83" s="686"/>
      <c r="K83" s="686"/>
      <c r="L83" s="503"/>
      <c r="M83" s="496"/>
    </row>
    <row r="84" spans="1:13" s="503" customFormat="1" ht="13.05" customHeight="1" x14ac:dyDescent="0.35">
      <c r="A84" s="676" t="s">
        <v>673</v>
      </c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567"/>
      <c r="M84" s="496"/>
    </row>
    <row r="85" spans="1:13" s="472" customFormat="1" ht="13.05" customHeight="1" x14ac:dyDescent="0.35"/>
    <row r="86" spans="1:13" s="472" customFormat="1" ht="13.05" customHeight="1" x14ac:dyDescent="0.4">
      <c r="A86" s="682" t="s">
        <v>521</v>
      </c>
      <c r="B86" s="682"/>
      <c r="C86" s="682"/>
      <c r="D86" s="682"/>
      <c r="E86" s="682"/>
      <c r="F86" s="682"/>
      <c r="G86" s="682"/>
      <c r="H86" s="682"/>
      <c r="I86" s="682"/>
      <c r="J86" s="682"/>
      <c r="K86" s="682"/>
    </row>
    <row r="87" spans="1:13" s="472" customFormat="1" ht="13.05" customHeight="1" x14ac:dyDescent="0.35">
      <c r="A87" s="538" t="s">
        <v>492</v>
      </c>
      <c r="B87" s="539">
        <v>40633</v>
      </c>
      <c r="C87" s="540">
        <v>40999</v>
      </c>
      <c r="D87" s="539">
        <v>41364</v>
      </c>
      <c r="E87" s="525">
        <v>41729</v>
      </c>
      <c r="F87" s="525">
        <v>42094</v>
      </c>
      <c r="G87" s="525">
        <v>42460</v>
      </c>
      <c r="H87" s="525">
        <v>42825</v>
      </c>
      <c r="I87" s="525">
        <v>43190</v>
      </c>
      <c r="J87" s="525">
        <v>43555</v>
      </c>
      <c r="K87" s="526"/>
      <c r="L87" s="557" t="s">
        <v>529</v>
      </c>
      <c r="M87" s="523">
        <v>37134</v>
      </c>
    </row>
    <row r="88" spans="1:13" s="472" customFormat="1" ht="13.05" customHeight="1" x14ac:dyDescent="0.35">
      <c r="A88" s="684" t="s">
        <v>552</v>
      </c>
      <c r="B88" s="684"/>
      <c r="C88" s="684"/>
      <c r="D88" s="684"/>
      <c r="E88" s="684"/>
      <c r="F88" s="684"/>
      <c r="G88" s="684"/>
      <c r="H88" s="684"/>
      <c r="I88" s="684"/>
      <c r="J88" s="684"/>
      <c r="K88" s="684"/>
      <c r="L88" s="567" t="s">
        <v>546</v>
      </c>
      <c r="M88" s="496"/>
    </row>
    <row r="89" spans="1:13" s="472" customFormat="1" ht="13.05" customHeight="1" x14ac:dyDescent="0.35">
      <c r="A89" s="544" t="s">
        <v>515</v>
      </c>
      <c r="B89" s="545">
        <v>582683</v>
      </c>
      <c r="C89" s="545">
        <v>591651</v>
      </c>
      <c r="D89" s="545">
        <v>604056</v>
      </c>
      <c r="E89" s="545">
        <v>630459</v>
      </c>
      <c r="F89" s="545">
        <v>654907</v>
      </c>
      <c r="G89" s="545">
        <v>694745</v>
      </c>
      <c r="H89" s="545">
        <v>807640</v>
      </c>
      <c r="I89" s="545">
        <v>814617</v>
      </c>
      <c r="J89" s="559"/>
      <c r="K89" s="545"/>
      <c r="L89" s="494" t="s">
        <v>557</v>
      </c>
      <c r="M89" s="496">
        <v>322224</v>
      </c>
    </row>
    <row r="90" spans="1:13" s="472" customFormat="1" ht="13.05" customHeight="1" x14ac:dyDescent="0.35">
      <c r="A90" s="544" t="s">
        <v>522</v>
      </c>
      <c r="B90" s="545"/>
      <c r="C90" s="545"/>
      <c r="D90" s="545"/>
      <c r="E90" s="545">
        <v>68666</v>
      </c>
      <c r="F90" s="545">
        <v>373838</v>
      </c>
      <c r="G90" s="545">
        <v>531601</v>
      </c>
      <c r="H90" s="545">
        <v>749790</v>
      </c>
      <c r="I90" s="545">
        <v>581758</v>
      </c>
      <c r="J90" s="559"/>
      <c r="K90" s="545"/>
      <c r="L90" s="494" t="s">
        <v>558</v>
      </c>
      <c r="M90" s="496">
        <v>177333</v>
      </c>
    </row>
    <row r="91" spans="1:13" s="472" customFormat="1" ht="13.05" customHeight="1" x14ac:dyDescent="0.35">
      <c r="A91" s="555" t="s">
        <v>516</v>
      </c>
      <c r="B91" s="550">
        <v>168039</v>
      </c>
      <c r="C91" s="550">
        <v>205489</v>
      </c>
      <c r="D91" s="550">
        <v>227994</v>
      </c>
      <c r="E91" s="550">
        <v>228815</v>
      </c>
      <c r="F91" s="550">
        <v>274610</v>
      </c>
      <c r="G91" s="550">
        <v>287329</v>
      </c>
      <c r="H91" s="550">
        <v>309644</v>
      </c>
      <c r="I91" s="550">
        <v>304642</v>
      </c>
      <c r="J91" s="550"/>
      <c r="K91" s="550"/>
      <c r="L91" s="568"/>
      <c r="M91" s="496"/>
    </row>
    <row r="92" spans="1:13" s="472" customFormat="1" ht="13.05" customHeight="1" x14ac:dyDescent="0.35">
      <c r="A92" s="549" t="s">
        <v>517</v>
      </c>
      <c r="B92" s="550">
        <v>166767</v>
      </c>
      <c r="C92" s="550">
        <v>174449</v>
      </c>
      <c r="D92" s="550">
        <v>181511</v>
      </c>
      <c r="E92" s="497">
        <v>181715</v>
      </c>
      <c r="F92" s="497">
        <v>181658</v>
      </c>
      <c r="G92" s="497">
        <v>188086</v>
      </c>
      <c r="H92" s="497">
        <v>236991</v>
      </c>
      <c r="I92" s="497">
        <v>198776</v>
      </c>
      <c r="J92" s="560"/>
      <c r="K92" s="497"/>
      <c r="L92" s="567" t="s">
        <v>561</v>
      </c>
      <c r="M92" s="496">
        <v>140998</v>
      </c>
    </row>
    <row r="93" spans="1:13" s="472" customFormat="1" ht="13.05" customHeight="1" x14ac:dyDescent="0.35">
      <c r="A93" s="549" t="s">
        <v>518</v>
      </c>
      <c r="B93" s="550">
        <v>192800</v>
      </c>
      <c r="C93" s="550">
        <v>195460</v>
      </c>
      <c r="D93" s="550">
        <v>197385</v>
      </c>
      <c r="E93" s="497">
        <v>203659</v>
      </c>
      <c r="F93" s="497">
        <v>201198</v>
      </c>
      <c r="G93" s="497">
        <v>208095</v>
      </c>
      <c r="H93" s="497">
        <v>238821</v>
      </c>
      <c r="I93" s="497">
        <v>220193</v>
      </c>
      <c r="J93" s="560"/>
      <c r="K93" s="497"/>
      <c r="L93" s="567" t="s">
        <v>559</v>
      </c>
      <c r="M93" s="496">
        <v>74999</v>
      </c>
    </row>
    <row r="94" spans="1:13" s="472" customFormat="1" ht="13.05" customHeight="1" x14ac:dyDescent="0.35">
      <c r="A94" s="549" t="s">
        <v>519</v>
      </c>
      <c r="B94" s="550"/>
      <c r="C94" s="550"/>
      <c r="D94" s="550"/>
      <c r="E94" s="497"/>
      <c r="F94" s="497"/>
      <c r="G94" s="497"/>
      <c r="H94" s="497"/>
      <c r="I94" s="497">
        <v>200712</v>
      </c>
      <c r="J94" s="560"/>
      <c r="K94" s="497"/>
      <c r="L94" s="567" t="s">
        <v>562</v>
      </c>
      <c r="M94" s="496">
        <v>98720</v>
      </c>
    </row>
    <row r="95" spans="1:13" s="472" customFormat="1" ht="13.05" customHeight="1" x14ac:dyDescent="0.35">
      <c r="A95" s="549" t="s">
        <v>544</v>
      </c>
      <c r="B95" s="550"/>
      <c r="C95" s="550">
        <v>163948</v>
      </c>
      <c r="D95" s="550"/>
      <c r="E95" s="497"/>
      <c r="F95" s="497"/>
      <c r="G95" s="497"/>
      <c r="H95" s="497">
        <v>293967</v>
      </c>
      <c r="I95" s="497"/>
      <c r="J95" s="560"/>
      <c r="K95" s="497"/>
      <c r="L95" s="567"/>
      <c r="M95" s="496"/>
    </row>
    <row r="96" spans="1:13" s="472" customFormat="1" ht="13.05" customHeight="1" x14ac:dyDescent="0.35">
      <c r="A96" s="549" t="s">
        <v>520</v>
      </c>
      <c r="B96" s="550">
        <v>220694</v>
      </c>
      <c r="C96" s="550">
        <v>222665</v>
      </c>
      <c r="D96" s="550">
        <v>223197</v>
      </c>
      <c r="E96" s="497">
        <v>251298</v>
      </c>
      <c r="F96" s="497">
        <v>297299</v>
      </c>
      <c r="G96" s="497">
        <v>300101</v>
      </c>
      <c r="H96" s="497">
        <v>310215</v>
      </c>
      <c r="I96" s="497">
        <v>318550</v>
      </c>
      <c r="J96" s="560"/>
      <c r="K96" s="497"/>
      <c r="L96" s="577" t="s">
        <v>560</v>
      </c>
      <c r="M96" s="547">
        <v>201281</v>
      </c>
    </row>
    <row r="97" spans="1:13" s="472" customFormat="1" ht="13.05" customHeight="1" x14ac:dyDescent="0.35">
      <c r="A97" s="544" t="s">
        <v>539</v>
      </c>
      <c r="B97" s="545"/>
      <c r="C97" s="558"/>
      <c r="D97" s="545"/>
      <c r="E97" s="561"/>
      <c r="F97" s="561"/>
      <c r="G97" s="561"/>
      <c r="H97" s="561">
        <v>400000</v>
      </c>
      <c r="I97" s="561">
        <v>1249348</v>
      </c>
      <c r="J97" s="562"/>
      <c r="K97" s="561"/>
      <c r="L97" s="567" t="s">
        <v>554</v>
      </c>
      <c r="M97" s="496">
        <v>605630</v>
      </c>
    </row>
    <row r="98" spans="1:13" s="472" customFormat="1" ht="13.05" customHeight="1" x14ac:dyDescent="0.35">
      <c r="A98" s="549" t="s">
        <v>540</v>
      </c>
      <c r="B98" s="550"/>
      <c r="C98" s="556"/>
      <c r="D98" s="550"/>
      <c r="E98" s="497"/>
      <c r="F98" s="497"/>
      <c r="G98" s="497"/>
      <c r="H98" s="497"/>
      <c r="I98" s="497">
        <v>223656</v>
      </c>
      <c r="J98" s="560"/>
      <c r="K98" s="497"/>
      <c r="L98" s="567"/>
      <c r="M98" s="496"/>
    </row>
    <row r="99" spans="1:13" s="472" customFormat="1" ht="13.05" customHeight="1" x14ac:dyDescent="0.35">
      <c r="A99" s="544" t="s">
        <v>541</v>
      </c>
      <c r="B99" s="545"/>
      <c r="C99" s="545">
        <v>1041667</v>
      </c>
      <c r="D99" s="545">
        <v>2498876</v>
      </c>
      <c r="E99" s="561">
        <v>2498815</v>
      </c>
      <c r="F99" s="561">
        <v>3207110</v>
      </c>
      <c r="G99" s="561">
        <v>3050813</v>
      </c>
      <c r="H99" s="561">
        <v>3275885</v>
      </c>
      <c r="I99" s="561">
        <v>3354167</v>
      </c>
      <c r="J99" s="562"/>
      <c r="K99" s="561"/>
      <c r="L99" s="567"/>
      <c r="M99" s="496"/>
    </row>
    <row r="100" spans="1:13" s="472" customFormat="1" x14ac:dyDescent="0.35">
      <c r="A100" s="549" t="s">
        <v>542</v>
      </c>
      <c r="B100" s="550"/>
      <c r="C100" s="556"/>
      <c r="D100" s="550"/>
      <c r="E100" s="497">
        <v>302500</v>
      </c>
      <c r="F100" s="497"/>
      <c r="G100" s="497">
        <v>398993</v>
      </c>
      <c r="H100" s="497">
        <v>418690</v>
      </c>
      <c r="I100" s="497">
        <v>355537</v>
      </c>
      <c r="J100" s="560"/>
      <c r="K100" s="497"/>
      <c r="L100" s="567"/>
      <c r="M100" s="496"/>
    </row>
    <row r="101" spans="1:13" x14ac:dyDescent="0.35">
      <c r="A101" s="544" t="s">
        <v>550</v>
      </c>
      <c r="B101" s="545">
        <v>915647</v>
      </c>
      <c r="C101" s="545">
        <v>852254</v>
      </c>
      <c r="D101" s="545">
        <v>508333</v>
      </c>
      <c r="E101" s="561"/>
      <c r="F101" s="561"/>
      <c r="G101" s="561"/>
      <c r="H101" s="561"/>
      <c r="I101" s="561"/>
      <c r="J101" s="562"/>
      <c r="K101" s="561"/>
      <c r="L101" s="567"/>
      <c r="M101" s="496"/>
    </row>
    <row r="102" spans="1:13" x14ac:dyDescent="0.35">
      <c r="A102" s="500" t="s">
        <v>523</v>
      </c>
      <c r="B102" s="500"/>
      <c r="C102" s="500"/>
      <c r="D102" s="500"/>
      <c r="E102" s="500"/>
      <c r="F102" s="500"/>
      <c r="G102" s="500">
        <v>306407</v>
      </c>
      <c r="H102" s="500">
        <v>271060</v>
      </c>
      <c r="I102" s="500">
        <v>291029</v>
      </c>
      <c r="J102" s="500"/>
      <c r="K102" s="500"/>
      <c r="L102" s="494"/>
      <c r="M102" s="496"/>
    </row>
    <row r="103" spans="1:13" x14ac:dyDescent="0.35">
      <c r="A103" s="500" t="s">
        <v>548</v>
      </c>
      <c r="B103" s="500"/>
      <c r="C103" s="500"/>
      <c r="D103" s="500"/>
      <c r="E103" s="500">
        <v>204035</v>
      </c>
      <c r="F103" s="500"/>
      <c r="G103" s="500"/>
      <c r="H103" s="500"/>
      <c r="I103" s="500"/>
      <c r="J103" s="500"/>
      <c r="K103" s="500"/>
      <c r="L103" s="494"/>
      <c r="M103" s="496"/>
    </row>
    <row r="104" spans="1:13" x14ac:dyDescent="0.35">
      <c r="A104" s="500" t="s">
        <v>549</v>
      </c>
      <c r="B104" s="500"/>
      <c r="C104" s="500">
        <v>286808</v>
      </c>
      <c r="D104" s="500">
        <v>309526</v>
      </c>
      <c r="E104" s="500"/>
      <c r="F104" s="500"/>
      <c r="G104" s="500"/>
      <c r="H104" s="500"/>
      <c r="I104" s="500"/>
      <c r="J104" s="500"/>
      <c r="K104" s="500"/>
      <c r="L104" s="494" t="s">
        <v>555</v>
      </c>
      <c r="M104" s="496">
        <v>159206</v>
      </c>
    </row>
    <row r="105" spans="1:13" x14ac:dyDescent="0.35">
      <c r="A105" s="549" t="s">
        <v>524</v>
      </c>
      <c r="B105" s="550"/>
      <c r="C105" s="556"/>
      <c r="D105" s="550"/>
      <c r="E105" s="497"/>
      <c r="F105" s="497"/>
      <c r="G105" s="497"/>
      <c r="H105" s="497">
        <v>315000</v>
      </c>
      <c r="I105" s="497">
        <v>334500</v>
      </c>
      <c r="J105" s="560"/>
      <c r="K105" s="497"/>
      <c r="L105" s="567"/>
      <c r="M105" s="496"/>
    </row>
    <row r="106" spans="1:13" x14ac:dyDescent="0.35">
      <c r="A106" s="549" t="s">
        <v>543</v>
      </c>
      <c r="B106" s="550"/>
      <c r="C106" s="556"/>
      <c r="D106" s="550"/>
      <c r="E106" s="497"/>
      <c r="F106" s="497"/>
      <c r="G106" s="497"/>
      <c r="H106" s="497">
        <v>326025</v>
      </c>
      <c r="I106" s="497"/>
      <c r="J106" s="560"/>
      <c r="K106" s="497"/>
      <c r="L106" s="567" t="s">
        <v>556</v>
      </c>
      <c r="M106" s="496">
        <v>141000</v>
      </c>
    </row>
    <row r="107" spans="1:13" x14ac:dyDescent="0.35">
      <c r="A107" s="549" t="s">
        <v>525</v>
      </c>
      <c r="B107" s="550"/>
      <c r="C107" s="556"/>
      <c r="D107" s="550"/>
      <c r="E107" s="497"/>
      <c r="F107" s="497"/>
      <c r="G107" s="497"/>
      <c r="H107" s="497">
        <v>228067</v>
      </c>
      <c r="I107" s="497">
        <v>325558</v>
      </c>
      <c r="J107" s="560"/>
      <c r="K107" s="497"/>
      <c r="L107" s="567"/>
      <c r="M107" s="496"/>
    </row>
    <row r="108" spans="1:13" s="472" customFormat="1" x14ac:dyDescent="0.35">
      <c r="A108" s="549" t="s">
        <v>551</v>
      </c>
      <c r="B108" s="550"/>
      <c r="C108" s="550">
        <v>144395</v>
      </c>
      <c r="D108" s="550"/>
      <c r="E108" s="497"/>
      <c r="F108" s="497"/>
      <c r="G108" s="497"/>
      <c r="H108" s="497"/>
      <c r="I108" s="497"/>
      <c r="J108" s="560"/>
      <c r="K108" s="497"/>
      <c r="L108" s="567"/>
      <c r="M108" s="496"/>
    </row>
    <row r="109" spans="1:13" s="472" customFormat="1" x14ac:dyDescent="0.35">
      <c r="A109" s="549" t="s">
        <v>526</v>
      </c>
      <c r="B109" s="575">
        <v>347583</v>
      </c>
      <c r="C109" s="556"/>
      <c r="D109" s="563">
        <v>282564</v>
      </c>
      <c r="E109" s="575">
        <v>187600</v>
      </c>
      <c r="F109" s="575">
        <v>428002</v>
      </c>
      <c r="G109" s="563">
        <v>225450</v>
      </c>
      <c r="H109" s="497"/>
      <c r="I109" s="563">
        <v>257920</v>
      </c>
      <c r="J109" s="560"/>
      <c r="K109" s="497"/>
      <c r="L109" s="567"/>
      <c r="M109" s="496"/>
    </row>
    <row r="110" spans="1:13" s="472" customFormat="1" x14ac:dyDescent="0.35">
      <c r="A110" s="549" t="s">
        <v>527</v>
      </c>
      <c r="B110" s="564">
        <v>35</v>
      </c>
      <c r="C110" s="564">
        <v>36</v>
      </c>
      <c r="D110" s="564">
        <v>43</v>
      </c>
      <c r="E110" s="565">
        <v>67</v>
      </c>
      <c r="F110" s="565">
        <v>66</v>
      </c>
      <c r="G110" s="565">
        <v>65</v>
      </c>
      <c r="H110" s="565">
        <v>86</v>
      </c>
      <c r="I110" s="565">
        <v>88</v>
      </c>
      <c r="J110" s="566"/>
      <c r="K110" s="565"/>
      <c r="L110" s="567" t="s">
        <v>528</v>
      </c>
      <c r="M110" s="495"/>
    </row>
    <row r="111" spans="1:13" s="472" customFormat="1" x14ac:dyDescent="0.35">
      <c r="A111" s="471"/>
      <c r="B111" s="471"/>
      <c r="C111" s="471"/>
      <c r="D111" s="471"/>
      <c r="E111" s="471"/>
      <c r="F111" s="471"/>
      <c r="G111" s="471"/>
      <c r="H111" s="471"/>
      <c r="I111" s="471"/>
      <c r="J111" s="471"/>
      <c r="K111" s="471"/>
      <c r="M111" s="471"/>
    </row>
    <row r="112" spans="1:13" s="472" customFormat="1" x14ac:dyDescent="0.35">
      <c r="A112" s="467"/>
      <c r="B112" s="467"/>
      <c r="C112" s="467"/>
      <c r="D112" s="467"/>
      <c r="E112" s="468"/>
      <c r="F112" s="469"/>
      <c r="G112" s="469"/>
      <c r="H112" s="469"/>
      <c r="I112" s="469"/>
      <c r="J112" s="469"/>
      <c r="K112" s="469"/>
      <c r="M112" s="471"/>
    </row>
    <row r="113" spans="1:13" s="472" customFormat="1" ht="17.649999999999999" x14ac:dyDescent="0.35">
      <c r="A113" s="678" t="s">
        <v>485</v>
      </c>
      <c r="B113" s="678"/>
      <c r="C113" s="678"/>
      <c r="D113" s="678"/>
      <c r="E113" s="679"/>
      <c r="F113" s="679"/>
      <c r="G113" s="679"/>
      <c r="H113" s="679"/>
      <c r="I113" s="679"/>
      <c r="J113" s="679"/>
      <c r="K113" s="679"/>
      <c r="M113" s="471"/>
    </row>
    <row r="114" spans="1:13" x14ac:dyDescent="0.35">
      <c r="A114" s="684" t="s">
        <v>486</v>
      </c>
      <c r="B114" s="684"/>
      <c r="C114" s="684"/>
      <c r="D114" s="684"/>
      <c r="E114" s="684"/>
      <c r="F114" s="684"/>
      <c r="G114" s="684"/>
      <c r="H114" s="684"/>
      <c r="I114" s="684"/>
      <c r="J114" s="684"/>
      <c r="K114" s="684"/>
    </row>
    <row r="115" spans="1:13" x14ac:dyDescent="0.35">
      <c r="A115" s="511" t="s">
        <v>176</v>
      </c>
      <c r="B115" s="511">
        <v>2010</v>
      </c>
      <c r="C115" s="511">
        <v>2011</v>
      </c>
      <c r="D115" s="511">
        <v>2012</v>
      </c>
      <c r="E115" s="512">
        <v>2013</v>
      </c>
      <c r="F115" s="512">
        <v>2014</v>
      </c>
      <c r="G115" s="512" t="s">
        <v>442</v>
      </c>
      <c r="H115" s="512" t="s">
        <v>443</v>
      </c>
      <c r="I115" s="512">
        <v>2017</v>
      </c>
      <c r="J115" s="512">
        <v>2018</v>
      </c>
      <c r="K115" s="528" t="s">
        <v>647</v>
      </c>
    </row>
    <row r="116" spans="1:13" x14ac:dyDescent="0.35">
      <c r="A116" s="460" t="s">
        <v>177</v>
      </c>
      <c r="B116" s="470"/>
      <c r="C116" s="470"/>
      <c r="D116" s="470"/>
      <c r="E116" s="460">
        <v>9</v>
      </c>
      <c r="F116" s="460">
        <v>15</v>
      </c>
      <c r="G116" s="460">
        <v>13</v>
      </c>
      <c r="H116" s="460">
        <v>21</v>
      </c>
      <c r="I116" s="460">
        <v>13</v>
      </c>
      <c r="J116" s="460">
        <v>18</v>
      </c>
      <c r="K116" s="529">
        <f>SUM(E116:J116)</f>
        <v>89</v>
      </c>
    </row>
    <row r="117" spans="1:13" x14ac:dyDescent="0.35">
      <c r="A117" s="460" t="s">
        <v>180</v>
      </c>
      <c r="B117" s="470"/>
      <c r="C117" s="470"/>
      <c r="D117" s="470"/>
      <c r="E117" s="462">
        <v>16479</v>
      </c>
      <c r="F117" s="463">
        <v>12262.7</v>
      </c>
      <c r="G117" s="463">
        <v>27793.538461538461</v>
      </c>
      <c r="H117" s="463">
        <v>18057.5</v>
      </c>
      <c r="I117" s="463">
        <v>18150.307692307691</v>
      </c>
      <c r="J117" s="462">
        <v>17052</v>
      </c>
      <c r="K117" s="529"/>
    </row>
    <row r="118" spans="1:13" x14ac:dyDescent="0.35">
      <c r="A118" s="460" t="s">
        <v>449</v>
      </c>
      <c r="B118" s="470"/>
      <c r="C118" s="470"/>
      <c r="D118" s="470"/>
      <c r="E118" s="463"/>
      <c r="F118" s="463">
        <v>7447.2</v>
      </c>
      <c r="G118" s="460"/>
      <c r="H118" s="463">
        <v>9302.6</v>
      </c>
      <c r="I118" s="461"/>
      <c r="J118" s="462">
        <v>6295</v>
      </c>
      <c r="K118" s="529"/>
    </row>
    <row r="119" spans="1:13" x14ac:dyDescent="0.35">
      <c r="A119" s="511" t="s">
        <v>181</v>
      </c>
      <c r="B119" s="511"/>
      <c r="C119" s="511"/>
      <c r="D119" s="511"/>
      <c r="E119" s="513">
        <v>148307</v>
      </c>
      <c r="F119" s="514">
        <v>159863</v>
      </c>
      <c r="G119" s="514">
        <v>361316</v>
      </c>
      <c r="H119" s="514">
        <v>335433</v>
      </c>
      <c r="I119" s="514">
        <v>235954</v>
      </c>
      <c r="J119" s="513">
        <v>253151</v>
      </c>
      <c r="K119" s="530">
        <f>SUM(E119:J119)</f>
        <v>1494024</v>
      </c>
    </row>
    <row r="120" spans="1:13" x14ac:dyDescent="0.35">
      <c r="A120" s="511" t="s">
        <v>183</v>
      </c>
      <c r="B120" s="515">
        <v>5784</v>
      </c>
      <c r="C120" s="515">
        <v>11609</v>
      </c>
      <c r="D120" s="515">
        <v>16251</v>
      </c>
      <c r="E120" s="513">
        <v>16479</v>
      </c>
      <c r="F120" s="514">
        <v>9757.5333333333001</v>
      </c>
      <c r="G120" s="514">
        <v>27793.538461538461</v>
      </c>
      <c r="H120" s="514">
        <v>15973</v>
      </c>
      <c r="I120" s="514">
        <v>18150.307692307691</v>
      </c>
      <c r="J120" s="513">
        <v>14064</v>
      </c>
      <c r="K120" s="530">
        <f>K119/K116</f>
        <v>16786.786516853932</v>
      </c>
    </row>
    <row r="121" spans="1:13" x14ac:dyDescent="0.35">
      <c r="A121" s="461"/>
      <c r="B121" s="461"/>
      <c r="C121" s="461"/>
      <c r="D121" s="461"/>
      <c r="E121" s="458"/>
      <c r="F121" s="458"/>
      <c r="G121" s="458"/>
      <c r="H121" s="461"/>
      <c r="I121" s="461"/>
      <c r="J121" s="461"/>
      <c r="K121" s="531"/>
    </row>
    <row r="122" spans="1:13" x14ac:dyDescent="0.35">
      <c r="A122" s="511" t="s">
        <v>185</v>
      </c>
      <c r="B122" s="511">
        <v>2010</v>
      </c>
      <c r="C122" s="511">
        <v>2011</v>
      </c>
      <c r="D122" s="511">
        <v>2012</v>
      </c>
      <c r="E122" s="512" t="s">
        <v>444</v>
      </c>
      <c r="F122" s="512" t="s">
        <v>445</v>
      </c>
      <c r="G122" s="512">
        <v>2015</v>
      </c>
      <c r="H122" s="512" t="s">
        <v>446</v>
      </c>
      <c r="I122" s="512" t="s">
        <v>447</v>
      </c>
      <c r="J122" s="512">
        <v>2018</v>
      </c>
      <c r="K122" s="531" t="s">
        <v>647</v>
      </c>
    </row>
    <row r="123" spans="1:13" x14ac:dyDescent="0.35">
      <c r="A123" s="460" t="s">
        <v>177</v>
      </c>
      <c r="B123" s="470"/>
      <c r="C123" s="470"/>
      <c r="D123" s="470"/>
      <c r="E123" s="460">
        <v>15</v>
      </c>
      <c r="F123" s="460">
        <v>7</v>
      </c>
      <c r="G123" s="460">
        <v>14</v>
      </c>
      <c r="H123" s="460">
        <v>14</v>
      </c>
      <c r="I123" s="460">
        <v>13</v>
      </c>
      <c r="J123" s="460">
        <v>7</v>
      </c>
      <c r="K123" s="529">
        <f>SUM(E123:J123)</f>
        <v>70</v>
      </c>
    </row>
    <row r="124" spans="1:13" x14ac:dyDescent="0.35">
      <c r="A124" s="460" t="s">
        <v>180</v>
      </c>
      <c r="B124" s="470"/>
      <c r="C124" s="470"/>
      <c r="D124" s="470"/>
      <c r="E124" s="462">
        <v>28939</v>
      </c>
      <c r="F124" s="462">
        <v>34374</v>
      </c>
      <c r="G124" s="462">
        <v>32816</v>
      </c>
      <c r="H124" s="462">
        <v>9175</v>
      </c>
      <c r="I124" s="462">
        <v>21013</v>
      </c>
      <c r="J124" s="462">
        <v>26342</v>
      </c>
      <c r="K124" s="529"/>
    </row>
    <row r="125" spans="1:13" x14ac:dyDescent="0.35">
      <c r="A125" s="460" t="s">
        <v>186</v>
      </c>
      <c r="B125" s="470"/>
      <c r="C125" s="470"/>
      <c r="D125" s="470"/>
      <c r="E125" s="462">
        <v>24704</v>
      </c>
      <c r="F125" s="463"/>
      <c r="G125" s="462">
        <v>43433</v>
      </c>
      <c r="H125" s="462">
        <v>21561</v>
      </c>
      <c r="I125" s="462">
        <v>22180</v>
      </c>
      <c r="J125" s="461"/>
      <c r="K125" s="529"/>
    </row>
    <row r="126" spans="1:13" x14ac:dyDescent="0.35">
      <c r="A126" s="466" t="s">
        <v>189</v>
      </c>
      <c r="B126" s="466"/>
      <c r="C126" s="466"/>
      <c r="D126" s="466"/>
      <c r="E126" s="462">
        <v>42386</v>
      </c>
      <c r="F126" s="463"/>
      <c r="G126" s="462">
        <v>43196</v>
      </c>
      <c r="H126" s="462">
        <v>50891</v>
      </c>
      <c r="I126" s="462">
        <v>39848</v>
      </c>
      <c r="J126" s="463"/>
      <c r="K126" s="529"/>
    </row>
    <row r="127" spans="1:13" x14ac:dyDescent="0.35">
      <c r="A127" s="511" t="s">
        <v>181</v>
      </c>
      <c r="B127" s="516"/>
      <c r="C127" s="516"/>
      <c r="D127" s="511"/>
      <c r="E127" s="513">
        <v>507041</v>
      </c>
      <c r="F127" s="513">
        <v>240619</v>
      </c>
      <c r="G127" s="513">
        <v>542696</v>
      </c>
      <c r="H127" s="513">
        <v>415903</v>
      </c>
      <c r="I127" s="513">
        <v>411858</v>
      </c>
      <c r="J127" s="513">
        <v>169211</v>
      </c>
      <c r="K127" s="530">
        <f>SUM(E127:J127)</f>
        <v>2287328</v>
      </c>
    </row>
    <row r="128" spans="1:13" x14ac:dyDescent="0.35">
      <c r="A128" s="511" t="s">
        <v>183</v>
      </c>
      <c r="B128" s="515">
        <v>35676</v>
      </c>
      <c r="C128" s="515">
        <v>40333</v>
      </c>
      <c r="D128" s="515">
        <v>33210</v>
      </c>
      <c r="E128" s="513">
        <v>33803</v>
      </c>
      <c r="F128" s="513">
        <v>34374</v>
      </c>
      <c r="G128" s="513">
        <v>38764</v>
      </c>
      <c r="H128" s="513">
        <v>29707</v>
      </c>
      <c r="I128" s="513">
        <v>29418</v>
      </c>
      <c r="J128" s="513">
        <v>26342</v>
      </c>
      <c r="K128" s="530">
        <f>K127/K123</f>
        <v>32676.114285714284</v>
      </c>
    </row>
    <row r="129" spans="1:11" x14ac:dyDescent="0.35">
      <c r="A129" s="460"/>
      <c r="B129" s="470"/>
      <c r="C129" s="470"/>
      <c r="D129" s="470"/>
      <c r="E129" s="465"/>
      <c r="F129" s="465"/>
      <c r="G129" s="465"/>
      <c r="H129" s="465"/>
      <c r="I129" s="465"/>
      <c r="J129" s="465"/>
      <c r="K129" s="465"/>
    </row>
    <row r="130" spans="1:11" x14ac:dyDescent="0.35">
      <c r="A130" s="511" t="s">
        <v>487</v>
      </c>
      <c r="B130" s="511">
        <v>2010</v>
      </c>
      <c r="C130" s="511" t="s">
        <v>490</v>
      </c>
      <c r="D130" s="511">
        <v>2012</v>
      </c>
      <c r="E130" s="512">
        <v>2013</v>
      </c>
      <c r="F130" s="512">
        <v>2014</v>
      </c>
      <c r="G130" s="512" t="s">
        <v>442</v>
      </c>
      <c r="H130" s="512" t="s">
        <v>443</v>
      </c>
      <c r="I130" s="512">
        <v>2017</v>
      </c>
      <c r="J130" s="512">
        <v>2018</v>
      </c>
      <c r="K130" s="471" t="s">
        <v>679</v>
      </c>
    </row>
    <row r="131" spans="1:11" x14ac:dyDescent="0.35">
      <c r="A131" s="470" t="s">
        <v>177</v>
      </c>
      <c r="B131" s="518">
        <v>0.25</v>
      </c>
      <c r="C131" s="518">
        <v>2.1800000000000002</v>
      </c>
      <c r="D131" s="518">
        <v>0.82</v>
      </c>
      <c r="E131" s="518">
        <v>0.32</v>
      </c>
      <c r="F131" s="518">
        <v>0.2</v>
      </c>
      <c r="G131" s="518">
        <v>2.5</v>
      </c>
      <c r="H131" s="518">
        <v>0.7</v>
      </c>
      <c r="I131" s="518">
        <v>0.39</v>
      </c>
      <c r="J131" s="518">
        <v>0.35</v>
      </c>
      <c r="K131" s="620">
        <f>AVERAGE(E131:J131)</f>
        <v>0.74333333333333318</v>
      </c>
    </row>
    <row r="132" spans="1:11" x14ac:dyDescent="0.35">
      <c r="A132" s="470" t="s">
        <v>180</v>
      </c>
      <c r="B132" s="518"/>
      <c r="C132" s="518">
        <v>0.21</v>
      </c>
      <c r="D132" s="518"/>
      <c r="E132" s="517"/>
      <c r="F132" s="519"/>
      <c r="G132" s="519">
        <v>0.34</v>
      </c>
      <c r="H132" s="519"/>
      <c r="I132" s="519"/>
      <c r="J132" s="517"/>
      <c r="K132" s="471"/>
    </row>
    <row r="133" spans="1:11" x14ac:dyDescent="0.35">
      <c r="A133" s="470"/>
      <c r="B133" s="470"/>
      <c r="C133" s="470"/>
      <c r="D133" s="470"/>
      <c r="E133" s="471"/>
      <c r="F133" s="471"/>
      <c r="G133" s="471"/>
      <c r="H133" s="471"/>
      <c r="I133" s="471"/>
      <c r="J133" s="471"/>
      <c r="K133" s="471"/>
    </row>
    <row r="134" spans="1:11" x14ac:dyDescent="0.35">
      <c r="A134" s="511" t="s">
        <v>488</v>
      </c>
      <c r="B134" s="512" t="s">
        <v>491</v>
      </c>
      <c r="C134" s="511">
        <v>2011</v>
      </c>
      <c r="D134" s="511">
        <v>2012</v>
      </c>
      <c r="E134" s="512" t="s">
        <v>444</v>
      </c>
      <c r="F134" s="512" t="s">
        <v>445</v>
      </c>
      <c r="G134" s="512">
        <v>2015</v>
      </c>
      <c r="H134" s="512" t="s">
        <v>446</v>
      </c>
      <c r="I134" s="512" t="s">
        <v>447</v>
      </c>
      <c r="J134" s="512">
        <v>2018</v>
      </c>
      <c r="K134" s="471"/>
    </row>
    <row r="135" spans="1:11" x14ac:dyDescent="0.35">
      <c r="A135" s="470" t="s">
        <v>177</v>
      </c>
      <c r="B135" s="470">
        <v>4.47</v>
      </c>
      <c r="C135" s="470">
        <v>2.0699999999999998</v>
      </c>
      <c r="D135" s="470">
        <v>1.1599999999999999</v>
      </c>
      <c r="E135" s="470">
        <v>2.14</v>
      </c>
      <c r="F135" s="470">
        <v>5.49</v>
      </c>
      <c r="G135" s="470">
        <v>1.93</v>
      </c>
      <c r="H135" s="470">
        <v>2.31</v>
      </c>
      <c r="I135" s="470">
        <v>1.99</v>
      </c>
      <c r="J135" s="470">
        <v>1.21</v>
      </c>
      <c r="K135" s="620">
        <f>AVERAGE(E135:J135)</f>
        <v>2.5116666666666667</v>
      </c>
    </row>
    <row r="136" spans="1:11" x14ac:dyDescent="0.35">
      <c r="A136" s="470" t="s">
        <v>489</v>
      </c>
      <c r="B136" s="520" t="s">
        <v>481</v>
      </c>
      <c r="C136" s="470"/>
      <c r="D136" s="470"/>
      <c r="E136" s="462"/>
      <c r="F136" s="517">
        <v>1.39</v>
      </c>
      <c r="G136" s="462"/>
      <c r="H136" s="462"/>
      <c r="I136" s="462"/>
      <c r="J136" s="462"/>
      <c r="K136" s="464"/>
    </row>
    <row r="137" spans="1:11" x14ac:dyDescent="0.35">
      <c r="A137" s="467"/>
      <c r="B137" s="467"/>
      <c r="C137" s="467"/>
      <c r="D137" s="467"/>
      <c r="E137" s="468"/>
      <c r="F137" s="469"/>
      <c r="G137" s="469"/>
      <c r="H137" s="469"/>
      <c r="I137" s="469"/>
      <c r="J137" s="469"/>
      <c r="K137" s="469"/>
    </row>
    <row r="138" spans="1:11" x14ac:dyDescent="0.35">
      <c r="A138" s="467"/>
      <c r="B138" s="467"/>
      <c r="C138" s="467"/>
      <c r="D138" s="467"/>
      <c r="E138" s="468"/>
      <c r="F138" s="469"/>
      <c r="G138" s="469"/>
      <c r="H138" s="469"/>
      <c r="I138" s="469"/>
      <c r="J138" s="469"/>
      <c r="K138" s="469"/>
    </row>
    <row r="139" spans="1:11" x14ac:dyDescent="0.35">
      <c r="A139" s="615" t="s">
        <v>674</v>
      </c>
    </row>
    <row r="140" spans="1:11" x14ac:dyDescent="0.35">
      <c r="A140" s="501" t="s">
        <v>675</v>
      </c>
    </row>
    <row r="141" spans="1:11" x14ac:dyDescent="0.35">
      <c r="A141" s="501" t="s">
        <v>676</v>
      </c>
    </row>
    <row r="142" spans="1:11" x14ac:dyDescent="0.35">
      <c r="A142" s="501"/>
    </row>
    <row r="143" spans="1:11" x14ac:dyDescent="0.35">
      <c r="A143" s="501"/>
    </row>
    <row r="144" spans="1:11" x14ac:dyDescent="0.35">
      <c r="A144" s="501"/>
    </row>
    <row r="145" spans="1:7" x14ac:dyDescent="0.35">
      <c r="A145" s="501"/>
    </row>
    <row r="146" spans="1:7" x14ac:dyDescent="0.35">
      <c r="A146" s="523"/>
      <c r="B146" s="522"/>
      <c r="C146" s="522"/>
      <c r="D146" s="522"/>
      <c r="E146" s="522"/>
      <c r="F146" s="522"/>
      <c r="G146" s="522"/>
    </row>
    <row r="147" spans="1:7" x14ac:dyDescent="0.35">
      <c r="A147" s="521"/>
      <c r="B147" s="522"/>
      <c r="C147" s="522"/>
      <c r="D147" s="522"/>
      <c r="E147" s="522"/>
      <c r="F147" s="522"/>
      <c r="G147" s="522"/>
    </row>
    <row r="148" spans="1:7" x14ac:dyDescent="0.35">
      <c r="A148" s="507"/>
      <c r="B148" s="522"/>
      <c r="C148" s="522"/>
      <c r="D148" s="522"/>
      <c r="E148" s="522"/>
      <c r="F148" s="522"/>
      <c r="G148" s="522"/>
    </row>
  </sheetData>
  <mergeCells count="25">
    <mergeCell ref="A114:K114"/>
    <mergeCell ref="A19:K19"/>
    <mergeCell ref="A46:K46"/>
    <mergeCell ref="A47:K47"/>
    <mergeCell ref="A67:K67"/>
    <mergeCell ref="A68:K68"/>
    <mergeCell ref="A86:K86"/>
    <mergeCell ref="A88:K88"/>
    <mergeCell ref="A113:K113"/>
    <mergeCell ref="A60:K60"/>
    <mergeCell ref="A83:K83"/>
    <mergeCell ref="A59:K59"/>
    <mergeCell ref="A65:K65"/>
    <mergeCell ref="A84:K84"/>
    <mergeCell ref="A16:K16"/>
    <mergeCell ref="A1:K1"/>
    <mergeCell ref="A2:K2"/>
    <mergeCell ref="A3:K3"/>
    <mergeCell ref="A18:K18"/>
    <mergeCell ref="A58:K58"/>
    <mergeCell ref="A30:K30"/>
    <mergeCell ref="A31:K31"/>
    <mergeCell ref="A5:K5"/>
    <mergeCell ref="A6:K6"/>
    <mergeCell ref="A7:K7"/>
  </mergeCells>
  <conditionalFormatting sqref="B62:J65">
    <cfRule type="cellIs" dxfId="27" priority="2" operator="lessThan">
      <formula>0</formula>
    </cfRule>
  </conditionalFormatting>
  <conditionalFormatting sqref="B21:K26">
    <cfRule type="cellIs" dxfId="26" priority="1" operator="lessThan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0B25-6295-4041-AE09-6201507FC5BC}">
  <dimension ref="A1:K50"/>
  <sheetViews>
    <sheetView workbookViewId="0">
      <selection activeCell="D7" sqref="D7"/>
    </sheetView>
  </sheetViews>
  <sheetFormatPr defaultRowHeight="12.75" x14ac:dyDescent="0.35"/>
  <cols>
    <col min="1" max="1" width="33.53125" customWidth="1"/>
    <col min="2" max="9" width="13.6640625" customWidth="1"/>
  </cols>
  <sheetData>
    <row r="1" spans="1:7" ht="13.15" x14ac:dyDescent="0.4">
      <c r="A1" s="688" t="s">
        <v>579</v>
      </c>
      <c r="B1" s="688"/>
      <c r="C1" s="688"/>
      <c r="D1" s="688"/>
      <c r="E1" s="688"/>
      <c r="F1" s="688"/>
      <c r="G1" s="688"/>
    </row>
    <row r="2" spans="1:7" x14ac:dyDescent="0.35">
      <c r="A2" s="677" t="s">
        <v>580</v>
      </c>
      <c r="B2" s="677"/>
      <c r="C2" s="677"/>
      <c r="D2" s="677"/>
      <c r="E2" s="677"/>
      <c r="F2" s="677"/>
      <c r="G2" s="677"/>
    </row>
    <row r="3" spans="1:7" s="503" customFormat="1" x14ac:dyDescent="0.35">
      <c r="A3" s="677" t="s">
        <v>587</v>
      </c>
      <c r="B3" s="677"/>
      <c r="C3" s="677"/>
      <c r="D3" s="677"/>
      <c r="E3" s="677"/>
      <c r="F3" s="677"/>
      <c r="G3" s="677"/>
    </row>
    <row r="4" spans="1:7" s="583" customFormat="1" x14ac:dyDescent="0.35">
      <c r="A4" s="582"/>
      <c r="B4" s="582"/>
      <c r="C4" s="582"/>
      <c r="D4" s="582"/>
      <c r="E4" s="582"/>
      <c r="F4" s="582"/>
      <c r="G4" s="582"/>
    </row>
    <row r="5" spans="1:7" s="583" customFormat="1" x14ac:dyDescent="0.35">
      <c r="A5" s="582"/>
      <c r="B5" s="615" t="s">
        <v>583</v>
      </c>
      <c r="C5" s="615" t="s">
        <v>584</v>
      </c>
      <c r="D5" s="615" t="s">
        <v>784</v>
      </c>
      <c r="E5" s="582"/>
      <c r="F5" s="582"/>
      <c r="G5" s="582"/>
    </row>
    <row r="6" spans="1:7" s="583" customFormat="1" x14ac:dyDescent="0.35">
      <c r="A6" s="582" t="s">
        <v>689</v>
      </c>
      <c r="B6" s="547">
        <v>1100000</v>
      </c>
      <c r="C6" s="547">
        <f>B6*0.69</f>
        <v>758999.99999999988</v>
      </c>
      <c r="D6" s="619">
        <f>C6*6</f>
        <v>4553999.9999999991</v>
      </c>
      <c r="E6" s="582"/>
      <c r="F6" s="582"/>
      <c r="G6" s="582"/>
    </row>
    <row r="7" spans="1:7" s="583" customFormat="1" x14ac:dyDescent="0.35">
      <c r="A7" s="582" t="s">
        <v>690</v>
      </c>
      <c r="B7" s="547">
        <f>B6*20</f>
        <v>22000000</v>
      </c>
      <c r="C7" s="547">
        <f>B7*0.69</f>
        <v>15179999.999999998</v>
      </c>
      <c r="D7" s="619">
        <f>C7*6</f>
        <v>91079999.999999985</v>
      </c>
      <c r="E7" s="582"/>
      <c r="F7" s="582"/>
      <c r="G7" s="582"/>
    </row>
    <row r="8" spans="1:7" s="583" customFormat="1" x14ac:dyDescent="0.35">
      <c r="A8" s="582" t="s">
        <v>691</v>
      </c>
      <c r="B8" s="547">
        <f>B7*9.5%</f>
        <v>2090000</v>
      </c>
      <c r="C8" s="547">
        <f t="shared" ref="C8:C9" si="0">B8*0.69</f>
        <v>1442100</v>
      </c>
      <c r="D8" s="582"/>
      <c r="E8" s="582"/>
      <c r="F8" s="582"/>
      <c r="G8" s="582"/>
    </row>
    <row r="9" spans="1:7" s="503" customFormat="1" x14ac:dyDescent="0.35">
      <c r="A9" s="582" t="s">
        <v>692</v>
      </c>
      <c r="B9" s="547">
        <f>B7*11%</f>
        <v>2420000</v>
      </c>
      <c r="C9" s="547">
        <f t="shared" si="0"/>
        <v>1669799.9999999998</v>
      </c>
      <c r="D9" s="582"/>
      <c r="E9" s="582"/>
      <c r="F9" s="582"/>
      <c r="G9" s="582"/>
    </row>
    <row r="10" spans="1:7" x14ac:dyDescent="0.35">
      <c r="A10" s="582"/>
      <c r="B10" s="582"/>
      <c r="C10" s="582"/>
      <c r="D10" s="582"/>
      <c r="E10" s="582"/>
      <c r="F10" s="582"/>
      <c r="G10" s="582"/>
    </row>
    <row r="11" spans="1:7" x14ac:dyDescent="0.35">
      <c r="A11" s="615" t="s">
        <v>688</v>
      </c>
      <c r="B11" s="615" t="s">
        <v>583</v>
      </c>
      <c r="C11" s="615" t="s">
        <v>584</v>
      </c>
      <c r="D11" s="615"/>
      <c r="E11" s="615"/>
      <c r="F11" s="582"/>
      <c r="G11" s="582"/>
    </row>
    <row r="12" spans="1:7" x14ac:dyDescent="0.35">
      <c r="A12" s="582" t="s">
        <v>102</v>
      </c>
      <c r="B12" s="547">
        <v>83000</v>
      </c>
      <c r="C12" s="547">
        <f>B12*0.69</f>
        <v>57269.999999999993</v>
      </c>
      <c r="D12" s="582"/>
      <c r="E12" s="619"/>
      <c r="F12" s="582"/>
      <c r="G12" s="582"/>
    </row>
    <row r="13" spans="1:7" x14ac:dyDescent="0.35">
      <c r="A13" s="582" t="s">
        <v>105</v>
      </c>
      <c r="B13" s="547">
        <v>56000</v>
      </c>
      <c r="C13" s="547">
        <f t="shared" ref="C13:C14" si="1">B13*0.69</f>
        <v>38640</v>
      </c>
      <c r="D13" s="582"/>
      <c r="E13" s="619"/>
      <c r="F13" s="582"/>
      <c r="G13" s="582"/>
    </row>
    <row r="14" spans="1:7" x14ac:dyDescent="0.35">
      <c r="A14" s="582" t="s">
        <v>585</v>
      </c>
      <c r="B14" s="547">
        <v>40000</v>
      </c>
      <c r="C14" s="547">
        <f t="shared" si="1"/>
        <v>27599.999999999996</v>
      </c>
      <c r="D14" s="582"/>
      <c r="E14" s="619"/>
      <c r="F14" s="582"/>
      <c r="G14" s="582"/>
    </row>
    <row r="15" spans="1:7" s="503" customFormat="1" x14ac:dyDescent="0.35">
      <c r="A15" s="582"/>
      <c r="B15" s="547"/>
      <c r="C15" s="547"/>
      <c r="D15" s="615"/>
      <c r="E15" s="619"/>
      <c r="F15" s="582"/>
      <c r="G15" s="582"/>
    </row>
    <row r="16" spans="1:7" s="503" customFormat="1" x14ac:dyDescent="0.35">
      <c r="A16" s="615" t="s">
        <v>572</v>
      </c>
      <c r="B16" s="770" t="s">
        <v>589</v>
      </c>
      <c r="C16" s="770" t="s">
        <v>590</v>
      </c>
      <c r="D16" s="615" t="s">
        <v>591</v>
      </c>
      <c r="E16" s="615" t="s">
        <v>592</v>
      </c>
      <c r="F16" s="582"/>
      <c r="G16" s="582"/>
    </row>
    <row r="17" spans="1:7" s="503" customFormat="1" x14ac:dyDescent="0.35">
      <c r="A17" s="582" t="s">
        <v>588</v>
      </c>
      <c r="B17" s="771">
        <v>0.4</v>
      </c>
      <c r="C17" s="771">
        <v>0.5</v>
      </c>
      <c r="D17" s="771">
        <v>0.36</v>
      </c>
      <c r="E17" s="771">
        <v>0.4</v>
      </c>
      <c r="F17" s="582"/>
      <c r="G17" s="582"/>
    </row>
    <row r="18" spans="1:7" s="503" customFormat="1" x14ac:dyDescent="0.35">
      <c r="A18" s="507"/>
      <c r="B18" s="576"/>
      <c r="C18" s="576"/>
    </row>
    <row r="19" spans="1:7" x14ac:dyDescent="0.35">
      <c r="A19" s="499" t="s">
        <v>586</v>
      </c>
    </row>
    <row r="20" spans="1:7" ht="13.8" customHeight="1" x14ac:dyDescent="0.35"/>
    <row r="21" spans="1:7" ht="13.8" customHeight="1" x14ac:dyDescent="0.4">
      <c r="A21" s="688" t="s">
        <v>581</v>
      </c>
      <c r="B21" s="688"/>
      <c r="C21" s="688"/>
      <c r="D21" s="688"/>
      <c r="E21" s="688"/>
      <c r="F21" s="688"/>
      <c r="G21" s="688"/>
    </row>
    <row r="22" spans="1:7" ht="13.8" customHeight="1" x14ac:dyDescent="0.35"/>
    <row r="23" spans="1:7" ht="13.8" customHeight="1" x14ac:dyDescent="0.35">
      <c r="A23" s="582" t="s">
        <v>577</v>
      </c>
      <c r="B23" s="582"/>
      <c r="C23" s="582"/>
      <c r="D23" s="582"/>
      <c r="E23" s="582"/>
      <c r="F23" s="582"/>
      <c r="G23" s="582"/>
    </row>
    <row r="24" spans="1:7" ht="13.8" customHeight="1" x14ac:dyDescent="0.35">
      <c r="A24" s="615" t="s">
        <v>576</v>
      </c>
      <c r="B24" s="615">
        <v>2018</v>
      </c>
      <c r="C24" s="615">
        <v>2017</v>
      </c>
      <c r="D24" s="582"/>
      <c r="E24" s="582"/>
      <c r="F24" s="582"/>
      <c r="G24" s="582"/>
    </row>
    <row r="25" spans="1:7" ht="13.8" customHeight="1" x14ac:dyDescent="0.35">
      <c r="A25" s="582" t="s">
        <v>565</v>
      </c>
      <c r="B25" s="619">
        <f t="shared" ref="B25:C27" si="2">B37*0.68</f>
        <v>90042880</v>
      </c>
      <c r="C25" s="619">
        <f t="shared" si="2"/>
        <v>70405160</v>
      </c>
      <c r="D25" s="582"/>
      <c r="E25" s="582"/>
      <c r="F25" s="582"/>
      <c r="G25" s="582"/>
    </row>
    <row r="26" spans="1:7" ht="13.8" customHeight="1" x14ac:dyDescent="0.35">
      <c r="A26" s="582" t="s">
        <v>567</v>
      </c>
      <c r="B26" s="619">
        <f t="shared" si="2"/>
        <v>16749760.000000002</v>
      </c>
      <c r="C26" s="619">
        <f t="shared" si="2"/>
        <v>13228720.000000002</v>
      </c>
      <c r="D26" s="582"/>
      <c r="E26" s="582"/>
      <c r="F26" s="582"/>
      <c r="G26" s="582"/>
    </row>
    <row r="27" spans="1:7" ht="13.8" customHeight="1" x14ac:dyDescent="0.35">
      <c r="A27" s="582" t="s">
        <v>566</v>
      </c>
      <c r="B27" s="772">
        <f t="shared" si="2"/>
        <v>-85680</v>
      </c>
      <c r="C27" s="772">
        <f t="shared" si="2"/>
        <v>-227800.00000000003</v>
      </c>
      <c r="D27" s="582"/>
      <c r="E27" s="582"/>
      <c r="F27" s="582"/>
      <c r="G27" s="582"/>
    </row>
    <row r="28" spans="1:7" ht="13.8" customHeight="1" x14ac:dyDescent="0.35">
      <c r="A28" s="582"/>
      <c r="B28" s="619"/>
      <c r="C28" s="619"/>
      <c r="D28" s="582"/>
      <c r="E28" s="582"/>
      <c r="F28" s="582"/>
      <c r="G28" s="582"/>
    </row>
    <row r="29" spans="1:7" ht="13.8" customHeight="1" x14ac:dyDescent="0.35">
      <c r="A29" s="582" t="s">
        <v>568</v>
      </c>
      <c r="B29" s="619">
        <f t="shared" ref="B29:C33" si="3">B41*0.68</f>
        <v>38299640</v>
      </c>
      <c r="C29" s="619">
        <f t="shared" si="3"/>
        <v>26823280.000000004</v>
      </c>
      <c r="D29" s="773"/>
      <c r="E29" s="582"/>
      <c r="F29" s="582"/>
      <c r="G29" s="582"/>
    </row>
    <row r="30" spans="1:7" ht="13.8" customHeight="1" x14ac:dyDescent="0.35">
      <c r="A30" s="582" t="s">
        <v>570</v>
      </c>
      <c r="B30" s="619">
        <f t="shared" si="3"/>
        <v>19254200</v>
      </c>
      <c r="C30" s="619">
        <f t="shared" si="3"/>
        <v>17804440</v>
      </c>
      <c r="D30" s="774" t="s">
        <v>574</v>
      </c>
      <c r="E30" s="582"/>
      <c r="F30" s="582"/>
      <c r="G30" s="582"/>
    </row>
    <row r="31" spans="1:7" ht="13.8" customHeight="1" x14ac:dyDescent="0.35">
      <c r="A31" s="582" t="s">
        <v>571</v>
      </c>
      <c r="B31" s="619">
        <f t="shared" si="3"/>
        <v>5161200</v>
      </c>
      <c r="C31" s="619">
        <f t="shared" si="3"/>
        <v>5610000</v>
      </c>
      <c r="D31" s="773"/>
      <c r="E31" s="582"/>
      <c r="F31" s="582"/>
      <c r="G31" s="582"/>
    </row>
    <row r="32" spans="1:7" ht="13.8" customHeight="1" x14ac:dyDescent="0.35">
      <c r="A32" s="582" t="s">
        <v>572</v>
      </c>
      <c r="B32" s="619">
        <f t="shared" si="3"/>
        <v>7080840.0000000009</v>
      </c>
      <c r="C32" s="619">
        <f t="shared" si="3"/>
        <v>1503480</v>
      </c>
      <c r="D32" s="774" t="s">
        <v>573</v>
      </c>
      <c r="E32" s="582"/>
      <c r="F32" s="582"/>
      <c r="G32" s="582"/>
    </row>
    <row r="33" spans="1:11" ht="13.8" customHeight="1" x14ac:dyDescent="0.35">
      <c r="A33" s="615" t="s">
        <v>685</v>
      </c>
      <c r="B33" s="619">
        <f t="shared" si="3"/>
        <v>69795880</v>
      </c>
      <c r="C33" s="619">
        <f t="shared" si="3"/>
        <v>51741200</v>
      </c>
      <c r="D33" s="773" t="s">
        <v>684</v>
      </c>
      <c r="E33" s="582"/>
      <c r="F33" s="582"/>
      <c r="G33" s="582"/>
    </row>
    <row r="34" spans="1:11" ht="13.8" customHeight="1" x14ac:dyDescent="0.35">
      <c r="A34" s="774" t="s">
        <v>686</v>
      </c>
      <c r="B34" s="619">
        <v>15180000</v>
      </c>
      <c r="C34" s="619"/>
      <c r="F34" s="582"/>
      <c r="G34" s="582"/>
    </row>
    <row r="35" spans="1:11" ht="13.8" customHeight="1" x14ac:dyDescent="0.35">
      <c r="A35" s="582"/>
      <c r="B35" s="582"/>
      <c r="C35" s="582"/>
      <c r="D35" s="582"/>
      <c r="E35" s="582"/>
      <c r="F35" s="582"/>
      <c r="G35" s="582"/>
    </row>
    <row r="36" spans="1:11" s="579" customFormat="1" ht="13.8" customHeight="1" x14ac:dyDescent="0.4">
      <c r="A36" s="615" t="s">
        <v>578</v>
      </c>
      <c r="B36" s="615">
        <v>2018</v>
      </c>
      <c r="C36" s="615">
        <v>2017</v>
      </c>
      <c r="D36" s="615"/>
      <c r="E36" s="615"/>
      <c r="F36" s="615"/>
      <c r="G36" s="615"/>
    </row>
    <row r="37" spans="1:11" ht="13.8" customHeight="1" x14ac:dyDescent="0.35">
      <c r="A37" s="582" t="s">
        <v>565</v>
      </c>
      <c r="B37" s="547">
        <v>132416000</v>
      </c>
      <c r="C37" s="547">
        <v>103537000</v>
      </c>
      <c r="D37" s="547"/>
      <c r="E37" s="547"/>
      <c r="F37" s="547"/>
      <c r="G37" s="547"/>
      <c r="H37" s="576"/>
      <c r="I37" s="576"/>
      <c r="J37" s="576"/>
      <c r="K37" s="576"/>
    </row>
    <row r="38" spans="1:11" ht="13.8" customHeight="1" x14ac:dyDescent="0.35">
      <c r="A38" s="582" t="s">
        <v>567</v>
      </c>
      <c r="B38" s="547">
        <v>24632000</v>
      </c>
      <c r="C38" s="547">
        <v>19454000</v>
      </c>
      <c r="D38" s="547"/>
      <c r="E38" s="547"/>
      <c r="F38" s="547"/>
      <c r="G38" s="547"/>
      <c r="H38" s="576"/>
      <c r="I38" s="576"/>
      <c r="J38" s="576"/>
      <c r="K38" s="576"/>
    </row>
    <row r="39" spans="1:11" ht="13.8" customHeight="1" x14ac:dyDescent="0.35">
      <c r="A39" s="582" t="s">
        <v>566</v>
      </c>
      <c r="B39" s="547">
        <v>-126000</v>
      </c>
      <c r="C39" s="547">
        <v>-335000</v>
      </c>
      <c r="D39" s="547"/>
      <c r="E39" s="547"/>
      <c r="F39" s="547"/>
      <c r="G39" s="547"/>
      <c r="H39" s="576"/>
      <c r="I39" s="576"/>
      <c r="J39" s="576"/>
      <c r="K39" s="576"/>
    </row>
    <row r="40" spans="1:11" ht="13.8" customHeight="1" x14ac:dyDescent="0.35">
      <c r="A40" s="582"/>
      <c r="B40" s="582"/>
      <c r="C40" s="582"/>
      <c r="D40" s="582"/>
      <c r="E40" s="582"/>
      <c r="F40" s="582"/>
      <c r="G40" s="582"/>
    </row>
    <row r="41" spans="1:11" ht="13.8" customHeight="1" x14ac:dyDescent="0.35">
      <c r="A41" s="582" t="s">
        <v>568</v>
      </c>
      <c r="B41" s="547">
        <v>56323000</v>
      </c>
      <c r="C41" s="547">
        <v>39446000</v>
      </c>
      <c r="D41" s="582"/>
      <c r="E41" s="582"/>
      <c r="F41" s="582"/>
      <c r="G41" s="582"/>
    </row>
    <row r="42" spans="1:11" ht="13.8" customHeight="1" x14ac:dyDescent="0.35">
      <c r="A42" s="582" t="s">
        <v>570</v>
      </c>
      <c r="B42" s="547">
        <v>28315000</v>
      </c>
      <c r="C42" s="547">
        <v>26183000</v>
      </c>
      <c r="D42" s="582"/>
      <c r="E42" s="582"/>
      <c r="F42" s="582"/>
      <c r="G42" s="582"/>
    </row>
    <row r="43" spans="1:11" ht="13.8" customHeight="1" x14ac:dyDescent="0.35">
      <c r="A43" s="582" t="s">
        <v>571</v>
      </c>
      <c r="B43" s="547">
        <v>7590000</v>
      </c>
      <c r="C43" s="547">
        <v>8250000</v>
      </c>
      <c r="D43" s="582"/>
      <c r="E43" s="582"/>
      <c r="F43" s="582"/>
      <c r="G43" s="582"/>
    </row>
    <row r="44" spans="1:11" ht="13.8" customHeight="1" x14ac:dyDescent="0.35">
      <c r="A44" s="582" t="s">
        <v>572</v>
      </c>
      <c r="B44" s="619">
        <v>10413000</v>
      </c>
      <c r="C44" s="619">
        <v>2211000</v>
      </c>
      <c r="D44" s="582"/>
      <c r="E44" s="582"/>
      <c r="F44" s="582"/>
      <c r="G44" s="582"/>
    </row>
    <row r="45" spans="1:11" ht="13.8" customHeight="1" x14ac:dyDescent="0.35">
      <c r="A45" s="615" t="s">
        <v>685</v>
      </c>
      <c r="B45" s="775">
        <f>SUM(B41:B44)</f>
        <v>102641000</v>
      </c>
      <c r="C45" s="775">
        <f>SUM(C41:C44)</f>
        <v>76090000</v>
      </c>
      <c r="D45" s="582"/>
      <c r="E45" s="582"/>
      <c r="F45" s="582"/>
      <c r="G45" s="582"/>
    </row>
    <row r="46" spans="1:11" ht="13.8" customHeight="1" x14ac:dyDescent="0.35">
      <c r="A46" s="774" t="s">
        <v>686</v>
      </c>
      <c r="B46" s="547">
        <v>22000000</v>
      </c>
      <c r="C46" s="582"/>
      <c r="D46" s="774" t="s">
        <v>687</v>
      </c>
      <c r="E46" s="582"/>
      <c r="F46" s="582"/>
      <c r="G46" s="582"/>
    </row>
    <row r="47" spans="1:11" s="581" customFormat="1" ht="13.8" customHeight="1" x14ac:dyDescent="0.35">
      <c r="A47" s="774"/>
      <c r="B47" s="776"/>
      <c r="C47" s="774"/>
      <c r="D47" s="774"/>
      <c r="E47" s="774"/>
      <c r="F47" s="774"/>
      <c r="G47" s="774"/>
    </row>
    <row r="48" spans="1:11" x14ac:dyDescent="0.35">
      <c r="A48" s="582"/>
      <c r="B48" s="582"/>
      <c r="C48" s="582"/>
      <c r="D48" s="582"/>
      <c r="E48" s="582"/>
      <c r="F48" s="582"/>
      <c r="G48" s="582"/>
    </row>
    <row r="49" spans="1:7" x14ac:dyDescent="0.35">
      <c r="A49" s="499" t="s">
        <v>569</v>
      </c>
      <c r="B49" s="582"/>
      <c r="C49" s="582"/>
      <c r="D49" s="582"/>
      <c r="E49" s="582"/>
      <c r="F49" s="582"/>
      <c r="G49" s="582"/>
    </row>
    <row r="50" spans="1:7" x14ac:dyDescent="0.35">
      <c r="A50" s="499" t="s">
        <v>575</v>
      </c>
      <c r="B50" s="582"/>
      <c r="C50" s="582"/>
      <c r="D50" s="582"/>
      <c r="E50" s="582"/>
      <c r="F50" s="582"/>
      <c r="G50" s="582"/>
    </row>
  </sheetData>
  <mergeCells count="4">
    <mergeCell ref="A21:G21"/>
    <mergeCell ref="A1:G1"/>
    <mergeCell ref="A2:G2"/>
    <mergeCell ref="A3:G3"/>
  </mergeCells>
  <conditionalFormatting sqref="B37:I39 B41:C43">
    <cfRule type="cellIs" dxfId="25" priority="1" operator="lessThan">
      <formula>0</formula>
    </cfRule>
  </conditionalFormatting>
  <hyperlinks>
    <hyperlink ref="A49" r:id="rId1" display="https://www.ffa.com.au/sites/ffa/files/2018-12/FFA FY2018 Statutory Accounts FINAL.pdf" xr:uid="{D0C86ECE-F397-4923-9211-04C5D0CBEE5A}"/>
    <hyperlink ref="A50" r:id="rId2" display="https://www.ffa.com.au/sites/ffa/files/2019-01/FFA_2018_Annual Review.pdf" xr:uid="{B616D542-A42D-4CA5-9720-33841445662F}"/>
    <hyperlink ref="A19" r:id="rId3" display="https://www.ffa.com.au/sites/ffa/files/2019-11/PFA CBA Facts Sheet_v3.pdf?_ga=2.57913258.1201089789.1572996097-2105797974.1572996097" xr:uid="{6BF8846B-96EB-46AE-8AAB-7B740A2A7B89}"/>
  </hyperlinks>
  <pageMargins left="0.7" right="0.7" top="0.75" bottom="0.75" header="0.3" footer="0.3"/>
  <pageSetup orientation="portrait" horizontalDpi="4294967293" verticalDpi="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294F-2016-4355-9583-1262044194BA}">
  <dimension ref="A1:K75"/>
  <sheetViews>
    <sheetView topLeftCell="A7" zoomScaleNormal="100" workbookViewId="0">
      <selection activeCell="B29" sqref="B29"/>
    </sheetView>
  </sheetViews>
  <sheetFormatPr defaultRowHeight="12.75" x14ac:dyDescent="0.35"/>
  <cols>
    <col min="1" max="1" width="32.59765625" style="582" customWidth="1"/>
    <col min="2" max="3" width="15.1328125" style="582" customWidth="1"/>
    <col min="4" max="7" width="13.6640625" style="582" customWidth="1"/>
    <col min="8" max="9" width="13.6640625" style="503" customWidth="1"/>
    <col min="10" max="16384" width="9.06640625" style="503"/>
  </cols>
  <sheetData>
    <row r="1" spans="1:7" s="583" customFormat="1" ht="13.9" x14ac:dyDescent="0.4">
      <c r="A1" s="781" t="s">
        <v>706</v>
      </c>
      <c r="B1" s="781"/>
      <c r="C1" s="781"/>
      <c r="D1" s="781"/>
      <c r="E1" s="781"/>
      <c r="F1" s="781"/>
      <c r="G1" s="781"/>
    </row>
    <row r="2" spans="1:7" s="583" customFormat="1" x14ac:dyDescent="0.35">
      <c r="A2" s="677" t="s">
        <v>707</v>
      </c>
      <c r="B2" s="677"/>
      <c r="C2" s="677"/>
      <c r="D2" s="677"/>
      <c r="E2" s="677"/>
      <c r="F2" s="677"/>
      <c r="G2" s="677"/>
    </row>
    <row r="3" spans="1:7" s="583" customFormat="1" x14ac:dyDescent="0.35">
      <c r="A3" s="582"/>
      <c r="B3" s="582"/>
      <c r="C3" s="582"/>
      <c r="D3" s="582"/>
      <c r="E3" s="582"/>
      <c r="F3" s="582"/>
      <c r="G3" s="582"/>
    </row>
    <row r="4" spans="1:7" s="583" customFormat="1" x14ac:dyDescent="0.35">
      <c r="A4" s="789" t="s">
        <v>698</v>
      </c>
      <c r="B4" s="789"/>
      <c r="C4" s="790" t="s">
        <v>704</v>
      </c>
      <c r="D4" s="790" t="s">
        <v>705</v>
      </c>
      <c r="E4" s="582"/>
      <c r="F4" s="582"/>
      <c r="G4" s="582"/>
    </row>
    <row r="5" spans="1:7" s="583" customFormat="1" x14ac:dyDescent="0.35">
      <c r="A5" s="797" t="s">
        <v>701</v>
      </c>
      <c r="B5" s="797"/>
      <c r="C5" s="784">
        <v>651000</v>
      </c>
      <c r="D5" s="784">
        <v>651000</v>
      </c>
      <c r="E5" s="582"/>
      <c r="F5" s="582"/>
      <c r="G5" s="582"/>
    </row>
    <row r="6" spans="1:7" s="583" customFormat="1" x14ac:dyDescent="0.35">
      <c r="A6" s="798" t="s">
        <v>702</v>
      </c>
      <c r="B6" s="798"/>
      <c r="C6" s="792">
        <f>C5*6</f>
        <v>3906000</v>
      </c>
      <c r="D6" s="792">
        <f>D5*6</f>
        <v>3906000</v>
      </c>
      <c r="E6" s="582"/>
      <c r="F6" s="582"/>
      <c r="G6" s="582"/>
    </row>
    <row r="7" spans="1:7" s="583" customFormat="1" x14ac:dyDescent="0.35">
      <c r="A7" s="800" t="s">
        <v>700</v>
      </c>
      <c r="B7" s="800"/>
      <c r="C7" s="794">
        <v>15179999.999999998</v>
      </c>
      <c r="D7" s="794">
        <v>15179999.999999998</v>
      </c>
      <c r="E7" s="582"/>
      <c r="F7" s="582"/>
      <c r="G7" s="582"/>
    </row>
    <row r="8" spans="1:7" s="583" customFormat="1" x14ac:dyDescent="0.35">
      <c r="A8" s="799" t="s">
        <v>703</v>
      </c>
      <c r="B8" s="799"/>
      <c r="C8" s="801">
        <f>C7*6</f>
        <v>91079999.999999985</v>
      </c>
      <c r="D8" s="801">
        <f>D7*6</f>
        <v>91079999.999999985</v>
      </c>
      <c r="E8" s="582"/>
      <c r="F8" s="582"/>
      <c r="G8" s="582"/>
    </row>
    <row r="9" spans="1:7" s="583" customFormat="1" x14ac:dyDescent="0.35">
      <c r="A9" s="799" t="s">
        <v>682</v>
      </c>
      <c r="B9" s="799"/>
      <c r="C9" s="795">
        <f>C6/C8</f>
        <v>4.2885375494071155E-2</v>
      </c>
      <c r="D9" s="795">
        <f>D6/D8</f>
        <v>4.2885375494071155E-2</v>
      </c>
      <c r="E9" s="582"/>
      <c r="F9" s="582"/>
      <c r="G9" s="582"/>
    </row>
    <row r="10" spans="1:7" s="583" customFormat="1" x14ac:dyDescent="0.35">
      <c r="A10" s="582"/>
      <c r="B10" s="582"/>
      <c r="C10" s="582"/>
      <c r="D10" s="582"/>
      <c r="E10" s="582"/>
      <c r="F10" s="582"/>
      <c r="G10" s="582"/>
    </row>
    <row r="11" spans="1:7" ht="14.75" customHeight="1" x14ac:dyDescent="0.4">
      <c r="A11" s="781" t="s">
        <v>579</v>
      </c>
      <c r="B11" s="781"/>
      <c r="C11" s="781"/>
      <c r="D11" s="781"/>
      <c r="E11" s="781"/>
      <c r="F11" s="781"/>
      <c r="G11" s="781"/>
    </row>
    <row r="12" spans="1:7" x14ac:dyDescent="0.35">
      <c r="A12" s="582" t="s">
        <v>594</v>
      </c>
    </row>
    <row r="13" spans="1:7" x14ac:dyDescent="0.35">
      <c r="A13" s="499" t="s">
        <v>593</v>
      </c>
    </row>
    <row r="14" spans="1:7" x14ac:dyDescent="0.35">
      <c r="A14" s="499" t="s">
        <v>625</v>
      </c>
    </row>
    <row r="15" spans="1:7" x14ac:dyDescent="0.35">
      <c r="A15" s="499"/>
    </row>
    <row r="16" spans="1:7" x14ac:dyDescent="0.35">
      <c r="A16" s="582" t="s">
        <v>596</v>
      </c>
    </row>
    <row r="17" spans="1:8" x14ac:dyDescent="0.35">
      <c r="A17" s="499" t="s">
        <v>597</v>
      </c>
    </row>
    <row r="19" spans="1:8" x14ac:dyDescent="0.35">
      <c r="A19" s="582" t="s">
        <v>623</v>
      </c>
      <c r="B19" s="615"/>
      <c r="C19" s="615"/>
      <c r="D19" s="615"/>
      <c r="E19" s="615"/>
    </row>
    <row r="20" spans="1:8" x14ac:dyDescent="0.35">
      <c r="A20" s="499" t="s">
        <v>624</v>
      </c>
      <c r="B20" s="547"/>
      <c r="C20" s="547"/>
      <c r="E20" s="619"/>
    </row>
    <row r="21" spans="1:8" x14ac:dyDescent="0.35">
      <c r="A21" s="499"/>
      <c r="B21" s="547"/>
      <c r="C21" s="547"/>
      <c r="E21" s="619"/>
    </row>
    <row r="22" spans="1:8" x14ac:dyDescent="0.35">
      <c r="A22" s="777" t="s">
        <v>626</v>
      </c>
      <c r="B22" s="547"/>
      <c r="C22" s="547"/>
      <c r="E22" s="619"/>
    </row>
    <row r="23" spans="1:8" x14ac:dyDescent="0.35">
      <c r="A23" s="499" t="s">
        <v>627</v>
      </c>
      <c r="B23" s="547"/>
      <c r="C23" s="547"/>
      <c r="E23" s="619"/>
    </row>
    <row r="24" spans="1:8" x14ac:dyDescent="0.35">
      <c r="B24" s="547"/>
      <c r="C24" s="547"/>
      <c r="E24" s="619"/>
    </row>
    <row r="25" spans="1:8" ht="14.75" customHeight="1" x14ac:dyDescent="0.4">
      <c r="A25" s="781" t="s">
        <v>581</v>
      </c>
      <c r="B25" s="781"/>
      <c r="C25" s="781"/>
      <c r="D25" s="781"/>
      <c r="E25" s="781"/>
      <c r="F25" s="781"/>
      <c r="G25" s="781"/>
    </row>
    <row r="26" spans="1:8" ht="13.8" customHeight="1" x14ac:dyDescent="0.35"/>
    <row r="27" spans="1:8" ht="13.8" customHeight="1" x14ac:dyDescent="0.35">
      <c r="A27" s="582" t="s">
        <v>595</v>
      </c>
    </row>
    <row r="28" spans="1:8" ht="13.8" customHeight="1" x14ac:dyDescent="0.35">
      <c r="A28" s="615" t="s">
        <v>661</v>
      </c>
      <c r="B28" s="615">
        <v>2018</v>
      </c>
      <c r="C28" s="615">
        <v>2017</v>
      </c>
    </row>
    <row r="29" spans="1:8" ht="13.8" customHeight="1" x14ac:dyDescent="0.35">
      <c r="A29" s="582" t="s">
        <v>602</v>
      </c>
      <c r="B29" s="547">
        <v>98462650</v>
      </c>
      <c r="C29" s="547">
        <v>93465680</v>
      </c>
      <c r="G29" s="619"/>
      <c r="H29" s="580"/>
    </row>
    <row r="30" spans="1:8" ht="13.8" customHeight="1" x14ac:dyDescent="0.35">
      <c r="A30" s="582" t="s">
        <v>599</v>
      </c>
      <c r="B30" s="547">
        <v>97511260</v>
      </c>
      <c r="C30" s="547">
        <v>93012370</v>
      </c>
      <c r="G30" s="619"/>
      <c r="H30" s="580"/>
    </row>
    <row r="31" spans="1:8" ht="13.8" customHeight="1" x14ac:dyDescent="0.35">
      <c r="A31" s="582" t="s">
        <v>600</v>
      </c>
      <c r="B31" s="547">
        <v>576400</v>
      </c>
      <c r="C31" s="547">
        <v>601260</v>
      </c>
      <c r="G31" s="619"/>
      <c r="H31" s="580"/>
    </row>
    <row r="32" spans="1:8" ht="13.8" customHeight="1" x14ac:dyDescent="0.35">
      <c r="A32" s="582" t="s">
        <v>601</v>
      </c>
      <c r="B32" s="547">
        <v>32988890</v>
      </c>
      <c r="C32" s="547">
        <v>33887920</v>
      </c>
      <c r="G32" s="619"/>
      <c r="H32" s="580"/>
    </row>
    <row r="33" spans="1:8" ht="13.8" customHeight="1" x14ac:dyDescent="0.35">
      <c r="B33" s="547">
        <v>0</v>
      </c>
      <c r="C33" s="547">
        <v>0</v>
      </c>
      <c r="D33" s="773"/>
      <c r="G33" s="619"/>
      <c r="H33" s="580"/>
    </row>
    <row r="34" spans="1:8" ht="13.8" customHeight="1" x14ac:dyDescent="0.35">
      <c r="A34" s="582" t="s">
        <v>603</v>
      </c>
      <c r="B34" s="547">
        <v>65969975.5</v>
      </c>
      <c r="C34" s="547">
        <v>0</v>
      </c>
      <c r="D34" s="774" t="s">
        <v>605</v>
      </c>
      <c r="G34" s="619"/>
      <c r="H34" s="580"/>
    </row>
    <row r="35" spans="1:8" ht="13.8" customHeight="1" x14ac:dyDescent="0.35">
      <c r="B35" s="547">
        <v>0</v>
      </c>
      <c r="C35" s="547">
        <v>0</v>
      </c>
      <c r="D35" s="774"/>
      <c r="G35" s="619"/>
      <c r="H35" s="580"/>
    </row>
    <row r="36" spans="1:8" ht="13.8" customHeight="1" x14ac:dyDescent="0.35">
      <c r="A36" s="615" t="s">
        <v>606</v>
      </c>
      <c r="B36" s="547">
        <v>0</v>
      </c>
      <c r="C36" s="547">
        <v>0</v>
      </c>
      <c r="D36" s="774"/>
      <c r="G36" s="619"/>
      <c r="H36" s="580"/>
    </row>
    <row r="37" spans="1:8" ht="13.8" customHeight="1" x14ac:dyDescent="0.35">
      <c r="A37" s="582" t="s">
        <v>604</v>
      </c>
      <c r="B37" s="547">
        <v>5908100</v>
      </c>
      <c r="C37" s="547">
        <v>5574754.1299999999</v>
      </c>
      <c r="D37" s="774"/>
      <c r="G37" s="619"/>
      <c r="H37" s="580"/>
    </row>
    <row r="38" spans="1:8" ht="13.8" customHeight="1" x14ac:dyDescent="0.35">
      <c r="A38" s="582" t="s">
        <v>607</v>
      </c>
      <c r="B38" s="547">
        <v>1452220</v>
      </c>
      <c r="C38" s="547">
        <v>934270.04</v>
      </c>
      <c r="D38" s="774"/>
      <c r="G38" s="619"/>
      <c r="H38" s="580"/>
    </row>
    <row r="39" spans="1:8" ht="13.8" customHeight="1" x14ac:dyDescent="0.35">
      <c r="A39" s="582" t="s">
        <v>608</v>
      </c>
      <c r="B39" s="547">
        <v>49842100</v>
      </c>
      <c r="C39" s="547">
        <v>49012192.350000001</v>
      </c>
      <c r="D39" s="774"/>
      <c r="G39" s="619"/>
      <c r="H39" s="580"/>
    </row>
    <row r="40" spans="1:8" ht="13.8" customHeight="1" x14ac:dyDescent="0.35">
      <c r="B40" s="547">
        <v>0</v>
      </c>
      <c r="C40" s="547">
        <v>0</v>
      </c>
      <c r="D40" s="774"/>
      <c r="F40" s="771"/>
      <c r="G40" s="619"/>
      <c r="H40" s="580"/>
    </row>
    <row r="41" spans="1:8" ht="13.8" customHeight="1" x14ac:dyDescent="0.35">
      <c r="A41" s="615" t="s">
        <v>609</v>
      </c>
      <c r="B41" s="547">
        <v>0</v>
      </c>
      <c r="C41" s="547">
        <v>0</v>
      </c>
      <c r="D41" s="774" t="s">
        <v>663</v>
      </c>
      <c r="G41" s="619"/>
      <c r="H41" s="580"/>
    </row>
    <row r="42" spans="1:8" ht="13.8" customHeight="1" x14ac:dyDescent="0.35">
      <c r="A42" s="582" t="s">
        <v>610</v>
      </c>
      <c r="B42" s="547">
        <v>2846775.36</v>
      </c>
      <c r="C42" s="547">
        <v>2560424.6800000002</v>
      </c>
      <c r="D42" s="778">
        <f>B42/$B$29</f>
        <v>2.8912235857962383E-2</v>
      </c>
      <c r="G42" s="619"/>
      <c r="H42" s="580"/>
    </row>
    <row r="43" spans="1:8" ht="13.8" customHeight="1" x14ac:dyDescent="0.35">
      <c r="A43" s="582" t="s">
        <v>611</v>
      </c>
      <c r="B43" s="547">
        <v>2558620.6800000002</v>
      </c>
      <c r="C43" s="547">
        <v>2179616.4500000002</v>
      </c>
      <c r="D43" s="778">
        <f t="shared" ref="D43:D44" si="0">B43/$B$29</f>
        <v>2.5985697927081997E-2</v>
      </c>
      <c r="G43" s="619"/>
      <c r="H43" s="580"/>
    </row>
    <row r="44" spans="1:8" ht="13.8" customHeight="1" x14ac:dyDescent="0.35">
      <c r="A44" s="582" t="s">
        <v>612</v>
      </c>
      <c r="B44" s="547">
        <v>748000</v>
      </c>
      <c r="C44" s="547">
        <v>782338.81</v>
      </c>
      <c r="D44" s="778">
        <f t="shared" si="0"/>
        <v>7.5967892393714771E-3</v>
      </c>
      <c r="E44" s="582" t="s">
        <v>662</v>
      </c>
      <c r="G44" s="619"/>
      <c r="H44" s="580"/>
    </row>
    <row r="45" spans="1:8" ht="13.8" customHeight="1" x14ac:dyDescent="0.35">
      <c r="A45" s="582" t="s">
        <v>613</v>
      </c>
      <c r="B45" s="547">
        <v>130433.27</v>
      </c>
      <c r="C45" s="547">
        <v>0</v>
      </c>
      <c r="D45" s="773"/>
      <c r="G45" s="619"/>
      <c r="H45" s="580"/>
    </row>
    <row r="46" spans="1:8" ht="13.8" customHeight="1" x14ac:dyDescent="0.35">
      <c r="A46" s="582" t="s">
        <v>614</v>
      </c>
      <c r="B46" s="547">
        <v>229316.67</v>
      </c>
      <c r="C46" s="547">
        <v>0</v>
      </c>
      <c r="G46" s="619"/>
      <c r="H46" s="580"/>
    </row>
    <row r="47" spans="1:8" ht="13.8" customHeight="1" x14ac:dyDescent="0.35">
      <c r="B47" s="779"/>
      <c r="C47" s="779"/>
      <c r="D47" s="774"/>
    </row>
    <row r="48" spans="1:8" ht="13.8" customHeight="1" x14ac:dyDescent="0.35">
      <c r="A48" s="615" t="s">
        <v>615</v>
      </c>
      <c r="B48" s="779"/>
      <c r="C48" s="779"/>
    </row>
    <row r="49" spans="1:11" s="579" customFormat="1" ht="13.8" customHeight="1" x14ac:dyDescent="0.4">
      <c r="A49" s="582" t="s">
        <v>616</v>
      </c>
      <c r="B49" s="780">
        <v>5323933</v>
      </c>
      <c r="C49" s="780">
        <v>5258317</v>
      </c>
      <c r="D49" s="615"/>
      <c r="E49" s="615"/>
      <c r="F49" s="615"/>
      <c r="G49" s="615"/>
    </row>
    <row r="50" spans="1:11" ht="13.8" customHeight="1" x14ac:dyDescent="0.35">
      <c r="A50" s="582" t="s">
        <v>617</v>
      </c>
      <c r="B50" s="780">
        <v>1787</v>
      </c>
      <c r="C50" s="780">
        <v>1818</v>
      </c>
      <c r="D50" s="547"/>
      <c r="E50" s="547"/>
      <c r="F50" s="547"/>
      <c r="G50" s="547"/>
      <c r="H50" s="576"/>
      <c r="I50" s="576"/>
      <c r="J50" s="576"/>
      <c r="K50" s="576"/>
    </row>
    <row r="51" spans="1:11" ht="13.8" customHeight="1" x14ac:dyDescent="0.35">
      <c r="A51" s="582" t="s">
        <v>620</v>
      </c>
      <c r="B51" s="780">
        <v>28213</v>
      </c>
      <c r="C51" s="780">
        <v>29188</v>
      </c>
      <c r="D51" s="547"/>
      <c r="E51" s="547"/>
      <c r="F51" s="547"/>
      <c r="G51" s="547"/>
      <c r="H51" s="576"/>
      <c r="I51" s="576"/>
      <c r="J51" s="576"/>
      <c r="K51" s="576"/>
    </row>
    <row r="52" spans="1:11" ht="13.8" customHeight="1" x14ac:dyDescent="0.35">
      <c r="A52" s="582" t="s">
        <v>621</v>
      </c>
      <c r="B52" s="780">
        <v>1117</v>
      </c>
      <c r="C52" s="780">
        <v>1110</v>
      </c>
      <c r="D52" s="547"/>
      <c r="E52" s="778"/>
      <c r="F52" s="547"/>
      <c r="G52" s="547"/>
      <c r="H52" s="576"/>
      <c r="I52" s="576"/>
      <c r="J52" s="576"/>
      <c r="K52" s="576"/>
    </row>
    <row r="53" spans="1:11" ht="13.8" customHeight="1" x14ac:dyDescent="0.35">
      <c r="A53" s="582" t="s">
        <v>618</v>
      </c>
      <c r="B53" s="780"/>
      <c r="C53" s="780">
        <v>377841</v>
      </c>
      <c r="D53" s="776" t="s">
        <v>622</v>
      </c>
      <c r="E53" s="547"/>
      <c r="F53" s="547"/>
      <c r="G53" s="547"/>
      <c r="H53" s="576"/>
      <c r="I53" s="576"/>
      <c r="J53" s="576"/>
      <c r="K53" s="576"/>
    </row>
    <row r="54" spans="1:11" ht="13.8" customHeight="1" x14ac:dyDescent="0.35">
      <c r="A54" s="582" t="s">
        <v>619</v>
      </c>
      <c r="B54" s="780"/>
      <c r="C54" s="780">
        <v>111059</v>
      </c>
    </row>
    <row r="55" spans="1:11" ht="13.8" customHeight="1" x14ac:dyDescent="0.35">
      <c r="B55" s="779"/>
      <c r="C55" s="779"/>
    </row>
    <row r="56" spans="1:11" ht="13.8" customHeight="1" x14ac:dyDescent="0.35">
      <c r="B56" s="779"/>
      <c r="C56" s="779"/>
    </row>
    <row r="57" spans="1:11" ht="13.8" customHeight="1" x14ac:dyDescent="0.35">
      <c r="A57" s="615" t="s">
        <v>598</v>
      </c>
      <c r="B57" s="615">
        <v>2018</v>
      </c>
      <c r="C57" s="615">
        <v>2017</v>
      </c>
    </row>
    <row r="58" spans="1:11" ht="13.8" customHeight="1" x14ac:dyDescent="0.35">
      <c r="A58" s="582" t="s">
        <v>602</v>
      </c>
      <c r="B58" s="779">
        <v>895115000</v>
      </c>
      <c r="C58" s="779">
        <v>849688000</v>
      </c>
    </row>
    <row r="59" spans="1:11" ht="13.8" customHeight="1" x14ac:dyDescent="0.35">
      <c r="A59" s="582" t="s">
        <v>599</v>
      </c>
      <c r="B59" s="779">
        <v>886466000</v>
      </c>
      <c r="C59" s="779">
        <v>845567000</v>
      </c>
    </row>
    <row r="60" spans="1:11" ht="13.8" customHeight="1" x14ac:dyDescent="0.35">
      <c r="A60" s="582" t="s">
        <v>600</v>
      </c>
      <c r="B60" s="779">
        <v>5240000</v>
      </c>
      <c r="C60" s="779">
        <v>5466000</v>
      </c>
    </row>
    <row r="61" spans="1:11" s="581" customFormat="1" ht="13.8" customHeight="1" x14ac:dyDescent="0.35">
      <c r="A61" s="582" t="s">
        <v>601</v>
      </c>
      <c r="B61" s="779">
        <v>299899000</v>
      </c>
      <c r="C61" s="779">
        <v>308072000</v>
      </c>
      <c r="D61" s="774"/>
      <c r="E61" s="774"/>
      <c r="F61" s="774"/>
      <c r="G61" s="774"/>
    </row>
    <row r="62" spans="1:11" x14ac:dyDescent="0.35">
      <c r="B62" s="779"/>
      <c r="C62" s="779"/>
    </row>
    <row r="63" spans="1:11" x14ac:dyDescent="0.35">
      <c r="A63" s="582" t="s">
        <v>603</v>
      </c>
      <c r="B63" s="779">
        <f>B58*0.67</f>
        <v>599727050</v>
      </c>
      <c r="C63" s="779"/>
    </row>
    <row r="64" spans="1:11" x14ac:dyDescent="0.35">
      <c r="B64" s="779"/>
      <c r="C64" s="779"/>
    </row>
    <row r="65" spans="1:3" x14ac:dyDescent="0.35">
      <c r="A65" s="615" t="s">
        <v>606</v>
      </c>
      <c r="B65" s="779"/>
      <c r="C65" s="779"/>
    </row>
    <row r="66" spans="1:3" x14ac:dyDescent="0.35">
      <c r="A66" s="582" t="s">
        <v>604</v>
      </c>
      <c r="B66" s="779">
        <v>53710000</v>
      </c>
      <c r="C66" s="779">
        <v>50679583</v>
      </c>
    </row>
    <row r="67" spans="1:3" x14ac:dyDescent="0.35">
      <c r="A67" s="582" t="s">
        <v>607</v>
      </c>
      <c r="B67" s="779">
        <v>13202000</v>
      </c>
      <c r="C67" s="779">
        <v>8493364</v>
      </c>
    </row>
    <row r="68" spans="1:3" x14ac:dyDescent="0.35">
      <c r="A68" s="582" t="s">
        <v>608</v>
      </c>
      <c r="B68" s="779">
        <v>453110000</v>
      </c>
      <c r="C68" s="779">
        <v>445565385</v>
      </c>
    </row>
    <row r="69" spans="1:3" x14ac:dyDescent="0.35">
      <c r="B69" s="779"/>
      <c r="C69" s="779"/>
    </row>
    <row r="70" spans="1:3" x14ac:dyDescent="0.35">
      <c r="A70" s="615" t="s">
        <v>609</v>
      </c>
      <c r="B70" s="779"/>
      <c r="C70" s="779"/>
    </row>
    <row r="71" spans="1:3" x14ac:dyDescent="0.35">
      <c r="A71" s="582" t="s">
        <v>610</v>
      </c>
      <c r="B71" s="779">
        <v>25879776</v>
      </c>
      <c r="C71" s="779">
        <v>23276588</v>
      </c>
    </row>
    <row r="72" spans="1:3" x14ac:dyDescent="0.35">
      <c r="A72" s="582" t="s">
        <v>611</v>
      </c>
      <c r="B72" s="779">
        <v>23260188</v>
      </c>
      <c r="C72" s="779">
        <v>19814695</v>
      </c>
    </row>
    <row r="73" spans="1:3" x14ac:dyDescent="0.35">
      <c r="A73" s="582" t="s">
        <v>612</v>
      </c>
      <c r="B73" s="779">
        <v>6800000</v>
      </c>
      <c r="C73" s="779">
        <v>7112171</v>
      </c>
    </row>
    <row r="74" spans="1:3" x14ac:dyDescent="0.35">
      <c r="A74" s="582" t="s">
        <v>613</v>
      </c>
      <c r="B74" s="779">
        <v>1185757</v>
      </c>
      <c r="C74" s="779"/>
    </row>
    <row r="75" spans="1:3" x14ac:dyDescent="0.35">
      <c r="A75" s="582" t="s">
        <v>614</v>
      </c>
      <c r="B75" s="779">
        <v>2084697</v>
      </c>
      <c r="C75" s="779"/>
    </row>
  </sheetData>
  <mergeCells count="9">
    <mergeCell ref="A11:G11"/>
    <mergeCell ref="A25:G25"/>
    <mergeCell ref="A1:G1"/>
    <mergeCell ref="A2:G2"/>
    <mergeCell ref="A5:B5"/>
    <mergeCell ref="A6:B6"/>
    <mergeCell ref="A7:B7"/>
    <mergeCell ref="A8:B8"/>
    <mergeCell ref="A9:B9"/>
  </mergeCells>
  <conditionalFormatting sqref="D50:I53">
    <cfRule type="cellIs" dxfId="24" priority="1" operator="lessThan">
      <formula>0</formula>
    </cfRule>
  </conditionalFormatting>
  <hyperlinks>
    <hyperlink ref="A13" r:id="rId1" xr:uid="{AA294898-A8BD-4E95-9514-ED19DF9FBD60}"/>
    <hyperlink ref="A17" r:id="rId2" xr:uid="{30EB88FD-B13B-4AB0-BD97-A3BD13C379A9}"/>
    <hyperlink ref="A20" r:id="rId3" xr:uid="{E0C4DA37-231F-4C85-8FE3-98F9BB11262A}"/>
    <hyperlink ref="A14" r:id="rId4" xr:uid="{A085153F-A4AC-490A-8ED8-133C5168E1C4}"/>
    <hyperlink ref="A23" r:id="rId5" xr:uid="{6B438E91-79FF-4A99-8030-A8959D3FD9CD}"/>
  </hyperlinks>
  <pageMargins left="0.7" right="0.7" top="0.75" bottom="0.75" header="0.3" footer="0.3"/>
  <pageSetup orientation="portrait" horizontalDpi="4294967293" verticalDpi="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11"/>
  <sheetViews>
    <sheetView topLeftCell="A147" workbookViewId="0">
      <selection activeCell="R51" sqref="R51"/>
    </sheetView>
  </sheetViews>
  <sheetFormatPr defaultColWidth="14.3984375" defaultRowHeight="15" customHeight="1" x14ac:dyDescent="0.35"/>
  <cols>
    <col min="1" max="1" width="13.73046875" customWidth="1"/>
    <col min="2" max="2" width="11.86328125" customWidth="1"/>
    <col min="3" max="3" width="4.73046875" customWidth="1"/>
    <col min="4" max="4" width="12.3984375" customWidth="1"/>
    <col min="5" max="5" width="9.1328125" customWidth="1"/>
    <col min="6" max="6" width="5.265625" customWidth="1"/>
    <col min="7" max="7" width="12" hidden="1" customWidth="1"/>
    <col min="8" max="8" width="10.3984375" hidden="1" customWidth="1"/>
    <col min="9" max="9" width="11.3984375" hidden="1" customWidth="1"/>
    <col min="10" max="10" width="11.53125" hidden="1" customWidth="1"/>
    <col min="11" max="11" width="9.86328125" hidden="1" customWidth="1"/>
    <col min="12" max="12" width="11.53125" hidden="1" customWidth="1"/>
    <col min="13" max="13" width="12" hidden="1" customWidth="1"/>
    <col min="14" max="14" width="10.3984375" hidden="1" customWidth="1"/>
    <col min="15" max="15" width="9" hidden="1" customWidth="1"/>
    <col min="16" max="16" width="10.73046875" hidden="1" customWidth="1"/>
    <col min="17" max="17" width="12.1328125" hidden="1" customWidth="1"/>
    <col min="18" max="18" width="11.73046875" customWidth="1"/>
    <col min="19" max="19" width="13.86328125" customWidth="1"/>
    <col min="20" max="20" width="10.1328125" customWidth="1"/>
    <col min="21" max="21" width="9.3984375" customWidth="1"/>
    <col min="22" max="22" width="9.53125" customWidth="1"/>
    <col min="23" max="23" width="12" customWidth="1"/>
  </cols>
  <sheetData>
    <row r="1" spans="1:28" ht="17.25" customHeight="1" x14ac:dyDescent="0.4">
      <c r="A1" s="716" t="s">
        <v>453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5"/>
      <c r="P1" s="22"/>
      <c r="Q1" s="479" t="s">
        <v>86</v>
      </c>
      <c r="R1" s="25">
        <v>4</v>
      </c>
      <c r="S1" s="479" t="s">
        <v>88</v>
      </c>
      <c r="T1" s="25">
        <v>0</v>
      </c>
      <c r="U1" s="27"/>
      <c r="V1" s="27"/>
      <c r="W1" s="27"/>
      <c r="X1" s="28"/>
      <c r="Y1" s="28"/>
      <c r="Z1" s="28"/>
      <c r="AA1" s="28"/>
      <c r="AB1" s="28"/>
    </row>
    <row r="2" spans="1:28" ht="13.5" customHeight="1" x14ac:dyDescent="0.4">
      <c r="A2" s="35" t="str">
        <f>'US CBA'!A23</f>
        <v>Salaries</v>
      </c>
      <c r="B2" s="39"/>
      <c r="C2" s="40"/>
      <c r="D2" s="35" t="str">
        <f>'US CBA'!D23</f>
        <v>Friendlies</v>
      </c>
      <c r="E2" s="39"/>
      <c r="F2" s="46"/>
      <c r="G2" s="35" t="str">
        <f>'US CBA'!G23</f>
        <v>Tourneys</v>
      </c>
      <c r="H2" s="39" t="str">
        <f>'US CBA'!H23</f>
        <v>Gold C</v>
      </c>
      <c r="I2" s="39">
        <f>'US CBA'!I23</f>
        <v>0</v>
      </c>
      <c r="J2" s="39" t="str">
        <f>'US CBA'!J23</f>
        <v>Copa Am</v>
      </c>
      <c r="K2" s="49"/>
      <c r="L2" s="35" t="str">
        <f>'US CBA'!L23</f>
        <v>WCQ/OlyQ</v>
      </c>
      <c r="M2" s="39" t="str">
        <f>'US CBA'!M23</f>
        <v>1st rd</v>
      </c>
      <c r="N2" s="39" t="str">
        <f>'US CBA'!N23</f>
        <v>2nd rd</v>
      </c>
      <c r="O2" s="51"/>
      <c r="P2" s="35" t="str">
        <f>'US CBA'!P23</f>
        <v>Majors</v>
      </c>
      <c r="Q2" s="717" t="s">
        <v>12</v>
      </c>
      <c r="R2" s="635"/>
      <c r="S2" s="717" t="s">
        <v>23</v>
      </c>
      <c r="T2" s="635"/>
      <c r="U2" s="15"/>
      <c r="V2" s="15"/>
      <c r="W2" s="15"/>
      <c r="X2" s="60"/>
      <c r="Y2" s="60"/>
      <c r="Z2" s="60"/>
      <c r="AA2" s="60"/>
      <c r="AB2" s="60"/>
    </row>
    <row r="3" spans="1:28" ht="13.5" customHeight="1" x14ac:dyDescent="0.4">
      <c r="A3" s="63" t="str">
        <f>'US CBA'!A24</f>
        <v>Tier 1</v>
      </c>
      <c r="B3" s="63">
        <f>'US CBA'!B24</f>
        <v>0</v>
      </c>
      <c r="C3" s="65"/>
      <c r="D3" s="63" t="str">
        <f>'US CBA'!D24</f>
        <v>W (T10/Mex)</v>
      </c>
      <c r="E3" s="63">
        <f>'US CBA'!E24</f>
        <v>17625</v>
      </c>
      <c r="F3" s="46"/>
      <c r="G3" s="63" t="str">
        <f>'US CBA'!G24</f>
        <v>W (T25/Mex)</v>
      </c>
      <c r="H3" s="63">
        <f>'US CBA'!H24</f>
        <v>14125</v>
      </c>
      <c r="I3" s="63">
        <f>'US CBA'!I24</f>
        <v>0</v>
      </c>
      <c r="J3" s="63">
        <f>'US CBA'!J24</f>
        <v>14125</v>
      </c>
      <c r="K3" s="65"/>
      <c r="L3" s="63" t="str">
        <f>'US CBA'!L24</f>
        <v>Win</v>
      </c>
      <c r="M3" s="63">
        <f>'US CBA'!M24</f>
        <v>15625</v>
      </c>
      <c r="N3" s="63">
        <f>'US CBA'!N24</f>
        <v>18125</v>
      </c>
      <c r="O3" s="51"/>
      <c r="P3" s="63" t="str">
        <f>'US CBA'!P24</f>
        <v>Roster</v>
      </c>
      <c r="Q3" s="63">
        <f>'US CBA'!Q24</f>
        <v>68750</v>
      </c>
      <c r="R3" s="39"/>
      <c r="S3" s="63">
        <f>'US CBA'!S24</f>
        <v>68750</v>
      </c>
      <c r="T3" s="69"/>
      <c r="U3" s="15"/>
      <c r="V3" s="15"/>
      <c r="W3" s="15"/>
      <c r="X3" s="60"/>
      <c r="Y3" s="60"/>
      <c r="Z3" s="60"/>
      <c r="AA3" s="60"/>
      <c r="AB3" s="60"/>
    </row>
    <row r="4" spans="1:28" ht="13.5" customHeight="1" x14ac:dyDescent="0.4">
      <c r="A4" s="63" t="str">
        <f>'US CBA'!A25</f>
        <v>Tier 2</v>
      </c>
      <c r="B4" s="63">
        <f>'US CBA'!B25</f>
        <v>0</v>
      </c>
      <c r="C4" s="65"/>
      <c r="D4" s="63" t="str">
        <f>'US CBA'!D25</f>
        <v>W (11th-25th)</v>
      </c>
      <c r="E4" s="63">
        <f>'US CBA'!E25</f>
        <v>12500</v>
      </c>
      <c r="F4" s="46"/>
      <c r="G4" s="63" t="str">
        <f>'US CBA'!G25</f>
        <v>W (26+)</v>
      </c>
      <c r="H4" s="63">
        <f>'US CBA'!H25</f>
        <v>9375</v>
      </c>
      <c r="I4" s="63">
        <f>'US CBA'!I25</f>
        <v>0</v>
      </c>
      <c r="J4" s="63">
        <f>'US CBA'!J25</f>
        <v>14125</v>
      </c>
      <c r="K4" s="65"/>
      <c r="L4" s="63" t="str">
        <f>'US CBA'!L25</f>
        <v>Draw</v>
      </c>
      <c r="M4" s="63">
        <f>'US CBA'!M25</f>
        <v>7500</v>
      </c>
      <c r="N4" s="63">
        <f>'US CBA'!N25</f>
        <v>10000</v>
      </c>
      <c r="O4" s="51"/>
      <c r="P4" s="39"/>
      <c r="Q4" s="39" t="str">
        <f>'US CBA'!Q25</f>
        <v>Individual</v>
      </c>
      <c r="R4" s="39" t="str">
        <f>'US CBA'!R25</f>
        <v>Team x1m</v>
      </c>
      <c r="S4" s="39" t="str">
        <f>'US CBA'!S25</f>
        <v>Individual</v>
      </c>
      <c r="T4" s="39" t="str">
        <f>'US CBA'!T25</f>
        <v>Team x1m</v>
      </c>
      <c r="U4" s="15"/>
      <c r="V4" s="15"/>
      <c r="W4" s="15"/>
      <c r="X4" s="60"/>
      <c r="Y4" s="60"/>
      <c r="Z4" s="60"/>
      <c r="AA4" s="60"/>
      <c r="AB4" s="60"/>
    </row>
    <row r="5" spans="1:28" ht="13.5" customHeight="1" x14ac:dyDescent="0.4">
      <c r="A5" s="63"/>
      <c r="B5" s="63"/>
      <c r="C5" s="65"/>
      <c r="D5" s="63" t="str">
        <f>'US CBA'!D26</f>
        <v>W (26+)</v>
      </c>
      <c r="E5" s="63">
        <f>'US CBA'!E26</f>
        <v>9375</v>
      </c>
      <c r="F5" s="46"/>
      <c r="G5" s="63" t="str">
        <f>'US CBA'!G26</f>
        <v>Draw</v>
      </c>
      <c r="H5" s="63">
        <f>'US CBA'!H26</f>
        <v>6563</v>
      </c>
      <c r="I5" s="63">
        <f>'US CBA'!I26</f>
        <v>0</v>
      </c>
      <c r="J5" s="63">
        <f>'US CBA'!J26</f>
        <v>6563</v>
      </c>
      <c r="K5" s="65"/>
      <c r="L5" s="63" t="str">
        <f>'US CBA'!L26</f>
        <v>Loss</v>
      </c>
      <c r="M5" s="63">
        <f>'US CBA'!M26</f>
        <v>5000</v>
      </c>
      <c r="N5" s="74">
        <f>'US CBA'!N26</f>
        <v>5000</v>
      </c>
      <c r="O5" s="51"/>
      <c r="P5" s="63" t="str">
        <f>'US CBA'!P26</f>
        <v>Point/grp (4)</v>
      </c>
      <c r="Q5" s="63">
        <f>'US CBA'!Q26</f>
        <v>9521.7391304347821</v>
      </c>
      <c r="R5" s="76">
        <f>'US CBA'!R26</f>
        <v>0.219</v>
      </c>
      <c r="S5" s="63">
        <f>'US CBA'!S26</f>
        <v>9521.7391304347821</v>
      </c>
      <c r="T5" s="78">
        <f>'US CBA'!T26</f>
        <v>0.219</v>
      </c>
      <c r="U5" s="15"/>
      <c r="V5" s="15"/>
      <c r="W5" s="15"/>
      <c r="X5" s="60"/>
      <c r="Y5" s="60"/>
      <c r="Z5" s="60"/>
      <c r="AA5" s="60"/>
      <c r="AB5" s="60"/>
    </row>
    <row r="6" spans="1:28" ht="13.5" customHeight="1" x14ac:dyDescent="0.4">
      <c r="A6" s="63"/>
      <c r="B6" s="63"/>
      <c r="C6" s="65"/>
      <c r="D6" s="63" t="str">
        <f>'US CBA'!D27</f>
        <v>D (T10/Mex)</v>
      </c>
      <c r="E6" s="63">
        <f>'US CBA'!E27</f>
        <v>8125</v>
      </c>
      <c r="F6" s="46"/>
      <c r="G6" s="63" t="str">
        <f>'US CBA'!G27</f>
        <v>Loss</v>
      </c>
      <c r="H6" s="63">
        <f>'US CBA'!H27</f>
        <v>5000</v>
      </c>
      <c r="I6" s="63">
        <f>'US CBA'!I27</f>
        <v>0</v>
      </c>
      <c r="J6" s="85">
        <v>5000</v>
      </c>
      <c r="K6" s="65"/>
      <c r="L6" s="63"/>
      <c r="M6" s="63"/>
      <c r="N6" s="63"/>
      <c r="O6" s="51"/>
      <c r="P6" s="63" t="str">
        <f>'US CBA'!P27</f>
        <v>Knockout rd</v>
      </c>
      <c r="Q6" s="63">
        <f>'US CBA'!Q27</f>
        <v>195652.17391304349</v>
      </c>
      <c r="R6" s="76">
        <f>'US CBA'!R27</f>
        <v>4.5</v>
      </c>
      <c r="S6" s="63">
        <f>'US CBA'!S27</f>
        <v>195652.17391304349</v>
      </c>
      <c r="T6" s="78">
        <f>'US CBA'!T27</f>
        <v>4.5</v>
      </c>
      <c r="U6" s="15"/>
      <c r="V6" s="15"/>
      <c r="W6" s="15"/>
      <c r="X6" s="60"/>
      <c r="Y6" s="60"/>
      <c r="Z6" s="60"/>
      <c r="AA6" s="60"/>
      <c r="AB6" s="60"/>
    </row>
    <row r="7" spans="1:28" ht="13.5" customHeight="1" x14ac:dyDescent="0.4">
      <c r="A7" s="35" t="str">
        <f>'US CBA'!A28</f>
        <v>Non-salaried</v>
      </c>
      <c r="B7" s="39"/>
      <c r="C7" s="65"/>
      <c r="D7" s="63" t="str">
        <f>'US CBA'!D28</f>
        <v>D (11th-25th)</v>
      </c>
      <c r="E7" s="63">
        <f>'US CBA'!E28</f>
        <v>6250</v>
      </c>
      <c r="F7" s="46"/>
      <c r="G7" s="63" t="str">
        <f>'US CBA'!G28</f>
        <v>2nd round</v>
      </c>
      <c r="H7" s="63">
        <f>'US CBA'!H28</f>
        <v>0</v>
      </c>
      <c r="I7" s="63">
        <f>'US CBA'!I28</f>
        <v>0</v>
      </c>
      <c r="J7" s="63">
        <f>'US CBA'!J28</f>
        <v>12500</v>
      </c>
      <c r="K7" s="65"/>
      <c r="L7" s="35" t="str">
        <f>'US CBA'!L28</f>
        <v>Qual bonus</v>
      </c>
      <c r="M7" s="39" t="str">
        <f>'US CBA'!M28</f>
        <v>per player</v>
      </c>
      <c r="N7" s="39" t="str">
        <f>'US CBA'!N28</f>
        <v># players</v>
      </c>
      <c r="O7" s="51"/>
      <c r="P7" s="63" t="str">
        <f>'US CBA'!P28</f>
        <v>Quarters</v>
      </c>
      <c r="Q7" s="63">
        <f>'US CBA'!Q28</f>
        <v>217391.30434782608</v>
      </c>
      <c r="R7" s="76">
        <f>'US CBA'!R28</f>
        <v>5</v>
      </c>
      <c r="S7" s="63">
        <f>'US CBA'!S28</f>
        <v>217391.30434782608</v>
      </c>
      <c r="T7" s="78">
        <f>'US CBA'!T28</f>
        <v>5</v>
      </c>
      <c r="U7" s="15"/>
      <c r="V7" s="15"/>
      <c r="W7" s="15"/>
      <c r="X7" s="60"/>
      <c r="Y7" s="60"/>
      <c r="Z7" s="60"/>
      <c r="AA7" s="60"/>
      <c r="AB7" s="60"/>
    </row>
    <row r="8" spans="1:28" ht="13.5" customHeight="1" x14ac:dyDescent="0.4">
      <c r="A8" s="63" t="str">
        <f>'US CBA'!A29</f>
        <v>Friendly camp</v>
      </c>
      <c r="B8" s="63">
        <f>'US CBA'!B29</f>
        <v>1875</v>
      </c>
      <c r="C8" s="65"/>
      <c r="D8" s="63" t="str">
        <f>'US CBA'!D29</f>
        <v>D (26+)</v>
      </c>
      <c r="E8" s="63">
        <f>'US CBA'!E29</f>
        <v>6250</v>
      </c>
      <c r="F8" s="46"/>
      <c r="G8" s="63" t="str">
        <f>'US CBA'!G29</f>
        <v>Champion</v>
      </c>
      <c r="H8" s="63">
        <f>'US CBA'!H29</f>
        <v>11250</v>
      </c>
      <c r="I8" s="63">
        <f>'US CBA'!I29</f>
        <v>0</v>
      </c>
      <c r="J8" s="85">
        <v>25000</v>
      </c>
      <c r="K8" s="65"/>
      <c r="L8" s="63" t="str">
        <f>'US CBA'!L29</f>
        <v>Groups 1-2</v>
      </c>
      <c r="M8" s="63">
        <f>'US CBA'!M29</f>
        <v>78000</v>
      </c>
      <c r="N8" s="99">
        <f>'US CBA'!N29</f>
        <v>18</v>
      </c>
      <c r="O8" s="51"/>
      <c r="P8" s="63" t="str">
        <f>'US CBA'!P29</f>
        <v>Semifinals</v>
      </c>
      <c r="Q8" s="63">
        <f>'US CBA'!Q29</f>
        <v>244565.21739130435</v>
      </c>
      <c r="R8" s="76">
        <f>'US CBA'!R29</f>
        <v>5.625</v>
      </c>
      <c r="S8" s="63">
        <f>'US CBA'!S29</f>
        <v>244565.21739130435</v>
      </c>
      <c r="T8" s="78">
        <f>'US CBA'!T29</f>
        <v>5.625</v>
      </c>
      <c r="U8" s="15"/>
      <c r="V8" s="15"/>
      <c r="W8" s="15"/>
      <c r="X8" s="60"/>
      <c r="Y8" s="60"/>
      <c r="Z8" s="60"/>
      <c r="AA8" s="60"/>
      <c r="AB8" s="60"/>
    </row>
    <row r="9" spans="1:28" ht="13.5" customHeight="1" x14ac:dyDescent="0.4">
      <c r="A9" s="63" t="str">
        <f>'US CBA'!A30</f>
        <v>WCQ camp</v>
      </c>
      <c r="B9" s="63">
        <f>'US CBA'!B30</f>
        <v>2500</v>
      </c>
      <c r="C9" s="65"/>
      <c r="D9" s="63" t="str">
        <f>'US CBA'!D30</f>
        <v>Loss</v>
      </c>
      <c r="E9" s="63">
        <f>'US CBA'!E30</f>
        <v>5000</v>
      </c>
      <c r="F9" s="46"/>
      <c r="G9" s="63" t="str">
        <f>'US CBA'!G30</f>
        <v>Runner-up</v>
      </c>
      <c r="H9" s="63">
        <f>'US CBA'!H30</f>
        <v>5000</v>
      </c>
      <c r="I9" s="63">
        <f>'US CBA'!I30</f>
        <v>0</v>
      </c>
      <c r="J9" s="63">
        <f>'US CBA'!J30</f>
        <v>15000</v>
      </c>
      <c r="K9" s="65"/>
      <c r="L9" s="63" t="str">
        <f>'US CBA'!L30</f>
        <v>Group 3</v>
      </c>
      <c r="M9" s="63">
        <f>'US CBA'!M30</f>
        <v>46000</v>
      </c>
      <c r="N9" s="99">
        <f>'US CBA'!N30</f>
        <v>15</v>
      </c>
      <c r="O9" s="51"/>
      <c r="P9" s="63" t="str">
        <f>'US CBA'!P30</f>
        <v>Third place</v>
      </c>
      <c r="Q9" s="63">
        <f>'US CBA'!Q30</f>
        <v>54347.82608695652</v>
      </c>
      <c r="R9" s="76">
        <f>'US CBA'!R30</f>
        <v>1.25</v>
      </c>
      <c r="S9" s="63">
        <f>'US CBA'!S30</f>
        <v>54347.82608695652</v>
      </c>
      <c r="T9" s="78">
        <f>'US CBA'!T30</f>
        <v>1.25</v>
      </c>
      <c r="U9" s="15"/>
      <c r="V9" s="15"/>
      <c r="W9" s="15"/>
      <c r="X9" s="60"/>
      <c r="Y9" s="60"/>
      <c r="Z9" s="60"/>
      <c r="AA9" s="60"/>
      <c r="AB9" s="60"/>
    </row>
    <row r="10" spans="1:28" ht="13.5" customHeight="1" x14ac:dyDescent="0.4">
      <c r="A10" s="713" t="s">
        <v>119</v>
      </c>
      <c r="B10" s="635"/>
      <c r="C10" s="65"/>
      <c r="D10" s="39"/>
      <c r="E10" s="39"/>
      <c r="F10" s="46"/>
      <c r="G10" s="63" t="str">
        <f>'US CBA'!G31</f>
        <v>Third place</v>
      </c>
      <c r="H10" s="63">
        <f>'US CBA'!H31</f>
        <v>0</v>
      </c>
      <c r="I10" s="63">
        <f>'US CBA'!I31</f>
        <v>0</v>
      </c>
      <c r="J10" s="63">
        <f>'US CBA'!J31</f>
        <v>11250</v>
      </c>
      <c r="K10" s="65"/>
      <c r="L10" s="63" t="str">
        <f>'US CBA'!L31</f>
        <v>Group 4</v>
      </c>
      <c r="M10" s="63">
        <f>'US CBA'!M31</f>
        <v>18454</v>
      </c>
      <c r="N10" s="99">
        <f>'US CBA'!N31</f>
        <v>22</v>
      </c>
      <c r="O10" s="51"/>
      <c r="P10" s="63" t="str">
        <f>'US CBA'!P31</f>
        <v>Runner-up</v>
      </c>
      <c r="Q10" s="63">
        <f>'US CBA'!Q31</f>
        <v>271739.13043478259</v>
      </c>
      <c r="R10" s="76">
        <f>'US CBA'!R31</f>
        <v>6.25</v>
      </c>
      <c r="S10" s="63">
        <f>'US CBA'!S31</f>
        <v>271739.13043478259</v>
      </c>
      <c r="T10" s="78">
        <f>'US CBA'!T31</f>
        <v>6.25</v>
      </c>
      <c r="U10" s="15"/>
      <c r="V10" s="15"/>
      <c r="W10" s="15"/>
      <c r="X10" s="60"/>
      <c r="Y10" s="60"/>
      <c r="Z10" s="60"/>
      <c r="AA10" s="60"/>
      <c r="AB10" s="60"/>
    </row>
    <row r="11" spans="1:28" ht="13.5" customHeight="1" x14ac:dyDescent="0.4">
      <c r="A11" s="63" t="str">
        <f>'US CBA'!A32</f>
        <v>Game bonus</v>
      </c>
      <c r="B11" s="63">
        <f>'US CBA'!B32</f>
        <v>0</v>
      </c>
      <c r="C11" s="65"/>
      <c r="D11" s="35" t="str">
        <f>'US CBA'!D32</f>
        <v>Pool pay</v>
      </c>
      <c r="E11" s="39"/>
      <c r="F11" s="46"/>
      <c r="G11" s="63" t="str">
        <f>'US CBA'!G32</f>
        <v>Fourth place</v>
      </c>
      <c r="H11" s="63">
        <f>'US CBA'!H32</f>
        <v>0</v>
      </c>
      <c r="I11" s="63">
        <f>'US CBA'!I32</f>
        <v>0</v>
      </c>
      <c r="J11" s="63">
        <f>'US CBA'!J32</f>
        <v>6875</v>
      </c>
      <c r="K11" s="65"/>
      <c r="L11" s="63" t="str">
        <f>'US CBA'!L32</f>
        <v>Pool total</v>
      </c>
      <c r="M11" s="63">
        <f>'US CBA'!M32</f>
        <v>2499988</v>
      </c>
      <c r="N11" s="63"/>
      <c r="O11" s="51"/>
      <c r="P11" s="63" t="str">
        <f>'US CBA'!P32</f>
        <v>Champion</v>
      </c>
      <c r="Q11" s="63">
        <f>'US CBA'!Q32</f>
        <v>407608.69565217389</v>
      </c>
      <c r="R11" s="76">
        <f>'US CBA'!R32</f>
        <v>9.375</v>
      </c>
      <c r="S11" s="63">
        <f>'US CBA'!S32</f>
        <v>407608.69565217389</v>
      </c>
      <c r="T11" s="78">
        <f>'US CBA'!T32</f>
        <v>9.375</v>
      </c>
      <c r="U11" s="15"/>
      <c r="V11" s="15"/>
      <c r="W11" s="15"/>
      <c r="X11" s="60"/>
      <c r="Y11" s="60"/>
      <c r="Z11" s="60"/>
      <c r="AA11" s="60"/>
      <c r="AB11" s="60"/>
    </row>
    <row r="12" spans="1:28" ht="13.5" customHeight="1" x14ac:dyDescent="0.4">
      <c r="A12" s="39"/>
      <c r="B12" s="39"/>
      <c r="C12" s="65"/>
      <c r="D12" s="63" t="str">
        <f>'US CBA'!D33</f>
        <v>Likenesses</v>
      </c>
      <c r="E12" s="63">
        <f>'US CBA'!E33</f>
        <v>0</v>
      </c>
      <c r="F12" s="46"/>
      <c r="G12" s="39"/>
      <c r="H12" s="39"/>
      <c r="I12" s="39"/>
      <c r="J12" s="39"/>
      <c r="K12" s="65"/>
      <c r="L12" s="63" t="str">
        <f>'US CBA'!L33</f>
        <v>CBA calls for $2.5m bonus for pool</v>
      </c>
      <c r="M12" s="63">
        <f>'US CBA'!M33</f>
        <v>0</v>
      </c>
      <c r="N12" s="63"/>
      <c r="O12" s="51"/>
      <c r="P12" s="63" t="str">
        <f>'US CBA'!P33</f>
        <v>Per game</v>
      </c>
      <c r="Q12" s="63">
        <f>'US CBA'!Q33</f>
        <v>6875</v>
      </c>
      <c r="R12" s="76">
        <f>'US CBA'!R33</f>
        <v>0</v>
      </c>
      <c r="S12" s="63">
        <f>'US CBA'!S33</f>
        <v>6875</v>
      </c>
      <c r="T12" s="63">
        <f>'US CBA'!T33</f>
        <v>0</v>
      </c>
      <c r="U12" s="15"/>
      <c r="V12" s="15"/>
      <c r="W12" s="15"/>
      <c r="X12" s="60"/>
      <c r="Y12" s="60"/>
      <c r="Z12" s="60"/>
      <c r="AA12" s="60"/>
      <c r="AB12" s="60"/>
    </row>
    <row r="13" spans="1:28" ht="13.5" customHeight="1" x14ac:dyDescent="0.4">
      <c r="A13" s="39"/>
      <c r="B13" s="39"/>
      <c r="C13" s="65"/>
      <c r="D13" s="63" t="str">
        <f>'US CBA'!D34</f>
        <v>Attendance</v>
      </c>
      <c r="E13" s="122">
        <f>'US CBA'!E34</f>
        <v>1.5</v>
      </c>
      <c r="F13" s="46"/>
      <c r="G13" s="39"/>
      <c r="H13" s="39"/>
      <c r="I13" s="39"/>
      <c r="J13" s="39"/>
      <c r="K13" s="126"/>
      <c r="L13" s="712"/>
      <c r="M13" s="637"/>
      <c r="N13" s="635"/>
      <c r="O13" s="51"/>
      <c r="P13" s="39" t="str">
        <f>'US CBA'!P34</f>
        <v>Max</v>
      </c>
      <c r="Q13" s="39">
        <f>'US CBA'!Q34</f>
        <v>1199038.0434782607</v>
      </c>
      <c r="R13" s="141">
        <f>'US CBA'!R34</f>
        <v>26.471</v>
      </c>
      <c r="S13" s="39">
        <f>'US CBA'!S34</f>
        <v>1199038.0434782607</v>
      </c>
      <c r="T13" s="141">
        <f>'US CBA'!T34</f>
        <v>26.471</v>
      </c>
      <c r="U13" s="15"/>
      <c r="V13" s="15"/>
      <c r="W13" s="15"/>
      <c r="X13" s="60"/>
      <c r="Y13" s="60"/>
      <c r="Z13" s="60"/>
      <c r="AA13" s="60"/>
      <c r="AB13" s="60"/>
    </row>
    <row r="14" spans="1:28" ht="13.5" customHeight="1" x14ac:dyDescent="0.4">
      <c r="A14" s="39"/>
      <c r="B14" s="39"/>
      <c r="C14" s="65"/>
      <c r="D14" s="717" t="s">
        <v>137</v>
      </c>
      <c r="E14" s="635"/>
      <c r="F14" s="46"/>
      <c r="G14" s="39"/>
      <c r="H14" s="39"/>
      <c r="I14" s="39"/>
      <c r="J14" s="39"/>
      <c r="K14" s="126"/>
      <c r="L14" s="39"/>
      <c r="M14" s="39"/>
      <c r="N14" s="39"/>
      <c r="O14" s="51"/>
      <c r="P14" s="39" t="str">
        <f>'US CBA'!P35</f>
        <v>Actual</v>
      </c>
      <c r="Q14" s="63"/>
      <c r="R14" s="63"/>
      <c r="S14" s="134"/>
      <c r="T14" s="69"/>
      <c r="U14" s="15"/>
      <c r="V14" s="15"/>
      <c r="W14" s="15"/>
      <c r="X14" s="60"/>
      <c r="Y14" s="60"/>
      <c r="Z14" s="60"/>
      <c r="AA14" s="60"/>
      <c r="AB14" s="60"/>
    </row>
    <row r="15" spans="1:28" ht="13.5" customHeight="1" x14ac:dyDescent="0.35">
      <c r="A15" s="720" t="s">
        <v>55</v>
      </c>
      <c r="B15" s="639"/>
      <c r="C15" s="639"/>
      <c r="D15" s="639"/>
      <c r="E15" s="639"/>
      <c r="F15" s="639"/>
      <c r="G15" s="639"/>
      <c r="H15" s="639"/>
      <c r="I15" s="639"/>
      <c r="J15" s="639"/>
      <c r="K15" s="639"/>
      <c r="L15" s="639"/>
      <c r="M15" s="639"/>
      <c r="N15" s="639"/>
      <c r="O15" s="639"/>
      <c r="P15" s="639"/>
      <c r="Q15" s="639"/>
      <c r="R15" s="639"/>
      <c r="S15" s="639"/>
      <c r="T15" s="639"/>
      <c r="U15" s="60"/>
      <c r="V15" s="60"/>
      <c r="W15" s="60"/>
      <c r="X15" s="60"/>
      <c r="Y15" s="60"/>
      <c r="Z15" s="60"/>
      <c r="AA15" s="60"/>
      <c r="AB15" s="60"/>
    </row>
    <row r="16" spans="1:28" ht="13.5" customHeight="1" x14ac:dyDescent="0.4">
      <c r="A16" s="720" t="s">
        <v>141</v>
      </c>
      <c r="B16" s="639"/>
      <c r="C16" s="639"/>
      <c r="D16" s="639"/>
      <c r="E16" s="639"/>
      <c r="F16" s="639"/>
      <c r="G16" s="639"/>
      <c r="H16" s="639"/>
      <c r="I16" s="639"/>
      <c r="J16" s="639"/>
      <c r="K16" s="639"/>
      <c r="L16" s="639"/>
      <c r="M16" s="639"/>
      <c r="N16" s="639"/>
      <c r="O16" s="639"/>
      <c r="P16" s="639"/>
      <c r="Q16" s="639"/>
      <c r="R16" s="639"/>
      <c r="S16" s="639"/>
      <c r="T16" s="639"/>
      <c r="U16" s="15"/>
      <c r="V16" s="15"/>
      <c r="W16" s="15"/>
      <c r="X16" s="60"/>
      <c r="Y16" s="60"/>
      <c r="Z16" s="60"/>
      <c r="AA16" s="60"/>
      <c r="AB16" s="60"/>
    </row>
    <row r="17" spans="1:28" ht="13.5" customHeight="1" x14ac:dyDescent="0.4">
      <c r="A17" s="79"/>
      <c r="B17" s="80"/>
      <c r="C17" s="80"/>
      <c r="D17" s="79"/>
      <c r="E17" s="80"/>
      <c r="F17" s="80"/>
      <c r="G17" s="81"/>
      <c r="H17" s="80"/>
      <c r="I17" s="80"/>
      <c r="J17" s="80"/>
      <c r="K17" s="80"/>
      <c r="L17" s="80"/>
      <c r="M17" s="8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60"/>
      <c r="Y17" s="60"/>
      <c r="Z17" s="60"/>
      <c r="AA17" s="60"/>
      <c r="AB17" s="60"/>
    </row>
    <row r="18" spans="1:28" ht="13.5" customHeight="1" x14ac:dyDescent="0.4">
      <c r="A18" s="79"/>
      <c r="B18" s="79"/>
      <c r="C18" s="60"/>
      <c r="D18" s="83"/>
      <c r="E18" s="60"/>
      <c r="F18" s="80"/>
      <c r="G18" s="719" t="s">
        <v>62</v>
      </c>
      <c r="H18" s="639"/>
      <c r="I18" s="718" t="s">
        <v>63</v>
      </c>
      <c r="J18" s="639"/>
      <c r="K18" s="718" t="s">
        <v>65</v>
      </c>
      <c r="L18" s="639"/>
      <c r="M18" s="718" t="s">
        <v>66</v>
      </c>
      <c r="N18" s="639"/>
      <c r="O18" s="86" t="s">
        <v>143</v>
      </c>
      <c r="P18" s="725" t="s">
        <v>67</v>
      </c>
      <c r="Q18" s="639"/>
      <c r="R18" s="80"/>
      <c r="S18" s="80"/>
      <c r="T18" s="80"/>
      <c r="U18" s="60"/>
      <c r="V18" s="15"/>
      <c r="W18" s="88" t="s">
        <v>70</v>
      </c>
      <c r="X18" s="60"/>
      <c r="Y18" s="60"/>
      <c r="Z18" s="60"/>
      <c r="AA18" s="60"/>
      <c r="AB18" s="60"/>
    </row>
    <row r="19" spans="1:28" ht="13.5" customHeight="1" x14ac:dyDescent="0.4">
      <c r="A19" s="79"/>
      <c r="B19" s="79"/>
      <c r="C19" s="60"/>
      <c r="D19" s="83"/>
      <c r="E19" s="60"/>
      <c r="F19" s="80"/>
      <c r="G19" s="695" t="s">
        <v>144</v>
      </c>
      <c r="H19" s="639"/>
      <c r="I19" s="691" t="s">
        <v>73</v>
      </c>
      <c r="J19" s="639"/>
      <c r="K19" s="691" t="s">
        <v>34</v>
      </c>
      <c r="L19" s="639"/>
      <c r="M19" s="691" t="s">
        <v>34</v>
      </c>
      <c r="N19" s="639"/>
      <c r="O19" s="90" t="s">
        <v>145</v>
      </c>
      <c r="P19" s="693" t="s">
        <v>75</v>
      </c>
      <c r="Q19" s="639"/>
      <c r="R19" s="80"/>
      <c r="S19" s="80"/>
      <c r="T19" s="80"/>
      <c r="U19" s="60"/>
      <c r="V19" s="15"/>
      <c r="W19" s="93" t="s">
        <v>76</v>
      </c>
      <c r="X19" s="60"/>
      <c r="Y19" s="60"/>
      <c r="Z19" s="60"/>
      <c r="AA19" s="60"/>
      <c r="AB19" s="60"/>
    </row>
    <row r="20" spans="1:28" ht="13.5" customHeight="1" x14ac:dyDescent="0.4">
      <c r="A20" s="696" t="s">
        <v>77</v>
      </c>
      <c r="B20" s="639"/>
      <c r="C20" s="639"/>
      <c r="D20" s="639"/>
      <c r="E20" s="639"/>
      <c r="F20" s="639"/>
      <c r="G20" s="695" t="s">
        <v>146</v>
      </c>
      <c r="H20" s="639"/>
      <c r="I20" s="691" t="s">
        <v>147</v>
      </c>
      <c r="J20" s="639"/>
      <c r="K20" s="694" t="s">
        <v>148</v>
      </c>
      <c r="L20" s="639"/>
      <c r="M20" s="691" t="s">
        <v>81</v>
      </c>
      <c r="N20" s="639"/>
      <c r="O20" s="90" t="s">
        <v>152</v>
      </c>
      <c r="P20" s="693" t="s">
        <v>82</v>
      </c>
      <c r="Q20" s="639"/>
      <c r="R20" s="80"/>
      <c r="S20" s="80"/>
      <c r="T20" s="80"/>
      <c r="U20" s="60"/>
      <c r="V20" s="15"/>
      <c r="W20" s="60"/>
      <c r="X20" s="60"/>
      <c r="Y20" s="60"/>
      <c r="Z20" s="60"/>
      <c r="AA20" s="60"/>
      <c r="AB20" s="60"/>
    </row>
    <row r="21" spans="1:28" ht="13.5" customHeight="1" x14ac:dyDescent="0.4">
      <c r="A21" s="696" t="s">
        <v>84</v>
      </c>
      <c r="B21" s="639"/>
      <c r="C21" s="639"/>
      <c r="D21" s="639"/>
      <c r="E21" s="639"/>
      <c r="F21" s="639"/>
      <c r="G21" s="695"/>
      <c r="H21" s="639"/>
      <c r="I21" s="691" t="s">
        <v>153</v>
      </c>
      <c r="J21" s="639"/>
      <c r="K21" s="691" t="s">
        <v>154</v>
      </c>
      <c r="L21" s="639"/>
      <c r="M21" s="691"/>
      <c r="N21" s="639"/>
      <c r="O21" s="90"/>
      <c r="P21" s="693" t="s">
        <v>92</v>
      </c>
      <c r="Q21" s="639"/>
      <c r="R21" s="692" t="s">
        <v>93</v>
      </c>
      <c r="S21" s="639"/>
      <c r="T21" s="639"/>
      <c r="U21" s="639"/>
      <c r="V21" s="639"/>
      <c r="W21" s="60"/>
      <c r="X21" s="60"/>
      <c r="Y21" s="60"/>
      <c r="Z21" s="60"/>
      <c r="AA21" s="60"/>
      <c r="AB21" s="60"/>
    </row>
    <row r="22" spans="1:28" ht="13.5" customHeight="1" x14ac:dyDescent="0.4">
      <c r="A22" s="96" t="s">
        <v>94</v>
      </c>
      <c r="B22" s="98" t="s">
        <v>96</v>
      </c>
      <c r="C22" s="98" t="s">
        <v>99</v>
      </c>
      <c r="D22" s="96" t="s">
        <v>100</v>
      </c>
      <c r="E22" s="100" t="s">
        <v>101</v>
      </c>
      <c r="F22" s="98" t="s">
        <v>108</v>
      </c>
      <c r="G22" s="81" t="s">
        <v>109</v>
      </c>
      <c r="H22" s="103" t="s">
        <v>110</v>
      </c>
      <c r="I22" s="80" t="s">
        <v>109</v>
      </c>
      <c r="J22" s="103" t="s">
        <v>110</v>
      </c>
      <c r="K22" s="80" t="s">
        <v>109</v>
      </c>
      <c r="L22" s="103" t="s">
        <v>110</v>
      </c>
      <c r="M22" s="80" t="s">
        <v>109</v>
      </c>
      <c r="N22" s="103" t="s">
        <v>110</v>
      </c>
      <c r="O22" s="15" t="s">
        <v>109</v>
      </c>
      <c r="P22" s="103" t="s">
        <v>111</v>
      </c>
      <c r="Q22" s="103" t="s">
        <v>112</v>
      </c>
      <c r="R22" s="150" t="s">
        <v>113</v>
      </c>
      <c r="S22" s="150" t="s">
        <v>114</v>
      </c>
      <c r="T22" s="150" t="s">
        <v>115</v>
      </c>
      <c r="U22" s="151" t="s">
        <v>116</v>
      </c>
      <c r="V22" s="150" t="s">
        <v>117</v>
      </c>
      <c r="W22" s="60"/>
      <c r="X22" s="60"/>
      <c r="Y22" s="60"/>
      <c r="Z22" s="60"/>
      <c r="AA22" s="60"/>
      <c r="AB22" s="60"/>
    </row>
    <row r="23" spans="1:28" ht="13.5" customHeight="1" x14ac:dyDescent="0.35">
      <c r="A23" s="152">
        <v>41303</v>
      </c>
      <c r="B23" s="156" t="s">
        <v>158</v>
      </c>
      <c r="C23" s="156" t="s">
        <v>155</v>
      </c>
      <c r="D23" s="156" t="s">
        <v>122</v>
      </c>
      <c r="E23" s="157">
        <v>11737</v>
      </c>
      <c r="F23" s="156"/>
      <c r="G23" s="118">
        <f t="shared" ref="G23:G47" si="0">R23+V23</f>
        <v>7130.2749999999996</v>
      </c>
      <c r="H23" s="116">
        <v>5</v>
      </c>
      <c r="I23" s="118">
        <f t="shared" ref="I23:I47" si="1">S23+V23</f>
        <v>7130.2749999999996</v>
      </c>
      <c r="J23" s="116">
        <v>4</v>
      </c>
      <c r="K23" s="118">
        <f t="shared" ref="K23:K47" si="2">T23+V23</f>
        <v>7130.2749999999996</v>
      </c>
      <c r="L23" s="60">
        <v>2</v>
      </c>
      <c r="M23" s="118">
        <f t="shared" ref="M23:M47" si="3">U23+V23</f>
        <v>7130.2749999999996</v>
      </c>
      <c r="N23" s="60">
        <v>9</v>
      </c>
      <c r="O23" s="60"/>
      <c r="P23" s="159">
        <f t="shared" ref="P23:P47" si="4">H23+J23+L23+N23</f>
        <v>20</v>
      </c>
      <c r="Q23" s="60">
        <v>20</v>
      </c>
      <c r="R23" s="160">
        <f>$E$8</f>
        <v>6250</v>
      </c>
      <c r="S23" s="160">
        <f>$E$7</f>
        <v>6250</v>
      </c>
      <c r="T23" s="160">
        <f t="shared" ref="T23:U23" si="5">$B$11+$E$7</f>
        <v>6250</v>
      </c>
      <c r="U23" s="160">
        <f t="shared" si="5"/>
        <v>6250</v>
      </c>
      <c r="V23" s="161">
        <f t="shared" ref="V23:V47" si="6">($E23*($E$13/$Q23))</f>
        <v>880.27499999999998</v>
      </c>
      <c r="W23" s="115">
        <f t="shared" ref="W23:W47" si="7">(G23*H23)+(I23*J23)+(K23*L23)+(M23*N23)</f>
        <v>142605.5</v>
      </c>
      <c r="X23" s="60"/>
      <c r="Y23" s="60"/>
      <c r="Z23" s="60"/>
      <c r="AA23" s="60"/>
      <c r="AB23" s="60"/>
    </row>
    <row r="24" spans="1:28" ht="13.5" customHeight="1" x14ac:dyDescent="0.35">
      <c r="A24" s="162">
        <v>41311</v>
      </c>
      <c r="B24" s="164" t="s">
        <v>165</v>
      </c>
      <c r="C24" s="164" t="s">
        <v>166</v>
      </c>
      <c r="D24" s="164" t="s">
        <v>167</v>
      </c>
      <c r="E24" s="165"/>
      <c r="F24" s="164"/>
      <c r="G24" s="168">
        <f t="shared" si="0"/>
        <v>5000</v>
      </c>
      <c r="H24" s="170">
        <v>5</v>
      </c>
      <c r="I24" s="168">
        <f t="shared" si="1"/>
        <v>5000</v>
      </c>
      <c r="J24" s="170">
        <v>9</v>
      </c>
      <c r="K24" s="168">
        <f t="shared" si="2"/>
        <v>5000</v>
      </c>
      <c r="L24" s="171">
        <v>6</v>
      </c>
      <c r="M24" s="168">
        <f t="shared" si="3"/>
        <v>5000</v>
      </c>
      <c r="N24" s="171">
        <v>3</v>
      </c>
      <c r="O24" s="171"/>
      <c r="P24" s="172">
        <f t="shared" si="4"/>
        <v>23</v>
      </c>
      <c r="Q24" s="171">
        <v>23</v>
      </c>
      <c r="R24" s="173">
        <f t="shared" ref="R24:S24" si="8">$N$5</f>
        <v>5000</v>
      </c>
      <c r="S24" s="173">
        <f t="shared" si="8"/>
        <v>5000</v>
      </c>
      <c r="T24" s="173">
        <f t="shared" ref="T24:U24" si="9">$B$11+$N$5</f>
        <v>5000</v>
      </c>
      <c r="U24" s="173">
        <f t="shared" si="9"/>
        <v>5000</v>
      </c>
      <c r="V24" s="161">
        <f t="shared" si="6"/>
        <v>0</v>
      </c>
      <c r="W24" s="115">
        <f t="shared" si="7"/>
        <v>115000</v>
      </c>
      <c r="X24" s="171"/>
      <c r="Y24" s="171"/>
      <c r="Z24" s="171"/>
      <c r="AA24" s="171"/>
      <c r="AB24" s="171"/>
    </row>
    <row r="25" spans="1:28" ht="13.5" customHeight="1" x14ac:dyDescent="0.35">
      <c r="A25" s="162">
        <v>41355</v>
      </c>
      <c r="B25" s="164" t="s">
        <v>171</v>
      </c>
      <c r="C25" s="164" t="s">
        <v>120</v>
      </c>
      <c r="D25" s="164" t="s">
        <v>172</v>
      </c>
      <c r="E25" s="165">
        <v>19374</v>
      </c>
      <c r="F25" s="174"/>
      <c r="G25" s="168">
        <f t="shared" si="0"/>
        <v>19388.521739130436</v>
      </c>
      <c r="H25" s="170">
        <v>5</v>
      </c>
      <c r="I25" s="168">
        <f t="shared" si="1"/>
        <v>19388.521739130436</v>
      </c>
      <c r="J25" s="170">
        <v>9</v>
      </c>
      <c r="K25" s="168">
        <f t="shared" si="2"/>
        <v>19388.521739130436</v>
      </c>
      <c r="L25" s="171">
        <v>6</v>
      </c>
      <c r="M25" s="168">
        <f t="shared" si="3"/>
        <v>19388.521739130436</v>
      </c>
      <c r="N25" s="171">
        <v>3</v>
      </c>
      <c r="O25" s="171"/>
      <c r="P25" s="172">
        <f t="shared" si="4"/>
        <v>23</v>
      </c>
      <c r="Q25" s="171">
        <v>23</v>
      </c>
      <c r="R25" s="173">
        <f t="shared" ref="R25:S25" si="10">$N$3</f>
        <v>18125</v>
      </c>
      <c r="S25" s="173">
        <f t="shared" si="10"/>
        <v>18125</v>
      </c>
      <c r="T25" s="173">
        <f t="shared" ref="T25:U25" si="11">$B$11+$N$3</f>
        <v>18125</v>
      </c>
      <c r="U25" s="173">
        <f t="shared" si="11"/>
        <v>18125</v>
      </c>
      <c r="V25" s="161">
        <f t="shared" si="6"/>
        <v>1263.5217391304348</v>
      </c>
      <c r="W25" s="115">
        <f t="shared" si="7"/>
        <v>445936.00000000006</v>
      </c>
      <c r="X25" s="171"/>
      <c r="Y25" s="171"/>
      <c r="Z25" s="171"/>
      <c r="AA25" s="171"/>
      <c r="AB25" s="171"/>
    </row>
    <row r="26" spans="1:28" ht="13.5" customHeight="1" x14ac:dyDescent="0.35">
      <c r="A26" s="162">
        <v>41359</v>
      </c>
      <c r="B26" s="164" t="s">
        <v>170</v>
      </c>
      <c r="C26" s="164" t="s">
        <v>155</v>
      </c>
      <c r="D26" s="164" t="s">
        <v>167</v>
      </c>
      <c r="E26" s="164"/>
      <c r="F26" s="164" t="s">
        <v>157</v>
      </c>
      <c r="G26" s="168">
        <f t="shared" si="0"/>
        <v>10000</v>
      </c>
      <c r="H26" s="171">
        <v>5</v>
      </c>
      <c r="I26" s="168">
        <f t="shared" si="1"/>
        <v>10000</v>
      </c>
      <c r="J26" s="170">
        <v>9</v>
      </c>
      <c r="K26" s="168">
        <f t="shared" si="2"/>
        <v>10000</v>
      </c>
      <c r="L26" s="171">
        <v>6</v>
      </c>
      <c r="M26" s="168">
        <f t="shared" si="3"/>
        <v>10000</v>
      </c>
      <c r="N26" s="171">
        <v>3</v>
      </c>
      <c r="O26" s="171"/>
      <c r="P26" s="172">
        <f t="shared" si="4"/>
        <v>23</v>
      </c>
      <c r="Q26" s="171">
        <v>23</v>
      </c>
      <c r="R26" s="173">
        <f t="shared" ref="R26:S26" si="12">$N$4</f>
        <v>10000</v>
      </c>
      <c r="S26" s="173">
        <f t="shared" si="12"/>
        <v>10000</v>
      </c>
      <c r="T26" s="173">
        <f t="shared" ref="T26:U26" si="13">$B$11+$N$4</f>
        <v>10000</v>
      </c>
      <c r="U26" s="173">
        <f t="shared" si="13"/>
        <v>10000</v>
      </c>
      <c r="V26" s="161">
        <f t="shared" si="6"/>
        <v>0</v>
      </c>
      <c r="W26" s="115">
        <f t="shared" si="7"/>
        <v>230000</v>
      </c>
      <c r="X26" s="171"/>
      <c r="Y26" s="171"/>
      <c r="Z26" s="171"/>
      <c r="AA26" s="171"/>
      <c r="AB26" s="171"/>
    </row>
    <row r="27" spans="1:28" ht="13.5" customHeight="1" x14ac:dyDescent="0.35">
      <c r="A27" s="152">
        <v>41423</v>
      </c>
      <c r="B27" s="156" t="s">
        <v>175</v>
      </c>
      <c r="C27" s="156" t="s">
        <v>166</v>
      </c>
      <c r="D27" s="156" t="s">
        <v>122</v>
      </c>
      <c r="E27" s="157">
        <v>27720</v>
      </c>
      <c r="F27" s="156" t="s">
        <v>157</v>
      </c>
      <c r="G27" s="118">
        <f t="shared" si="0"/>
        <v>7310</v>
      </c>
      <c r="H27" s="60">
        <v>5</v>
      </c>
      <c r="I27" s="118">
        <f t="shared" si="1"/>
        <v>7310</v>
      </c>
      <c r="J27" s="116">
        <v>4</v>
      </c>
      <c r="K27" s="118">
        <f t="shared" si="2"/>
        <v>7310</v>
      </c>
      <c r="L27" s="60">
        <v>2</v>
      </c>
      <c r="M27" s="118">
        <f t="shared" si="3"/>
        <v>7310</v>
      </c>
      <c r="N27" s="60">
        <v>7</v>
      </c>
      <c r="O27" s="60"/>
      <c r="P27" s="159">
        <f t="shared" si="4"/>
        <v>18</v>
      </c>
      <c r="Q27" s="60">
        <v>18</v>
      </c>
      <c r="R27" s="160">
        <f t="shared" ref="R27:S27" si="14">$E$9</f>
        <v>5000</v>
      </c>
      <c r="S27" s="160">
        <f t="shared" si="14"/>
        <v>5000</v>
      </c>
      <c r="T27" s="160">
        <f t="shared" ref="T27:U27" si="15">$B$11+$E$9</f>
        <v>5000</v>
      </c>
      <c r="U27" s="160">
        <f t="shared" si="15"/>
        <v>5000</v>
      </c>
      <c r="V27" s="161">
        <f t="shared" si="6"/>
        <v>2310</v>
      </c>
      <c r="W27" s="115">
        <f t="shared" si="7"/>
        <v>131580</v>
      </c>
      <c r="X27" s="60"/>
      <c r="Y27" s="60"/>
      <c r="Z27" s="60"/>
      <c r="AA27" s="60"/>
      <c r="AB27" s="60"/>
    </row>
    <row r="28" spans="1:28" ht="13.5" customHeight="1" x14ac:dyDescent="0.35">
      <c r="A28" s="152">
        <v>41427</v>
      </c>
      <c r="B28" s="156" t="s">
        <v>156</v>
      </c>
      <c r="C28" s="156" t="s">
        <v>120</v>
      </c>
      <c r="D28" s="156" t="s">
        <v>122</v>
      </c>
      <c r="E28" s="157">
        <v>47359</v>
      </c>
      <c r="F28" s="156" t="s">
        <v>164</v>
      </c>
      <c r="G28" s="118">
        <f t="shared" si="0"/>
        <v>16446.583333333332</v>
      </c>
      <c r="H28" s="60">
        <v>5</v>
      </c>
      <c r="I28" s="118">
        <f t="shared" si="1"/>
        <v>16446.583333333332</v>
      </c>
      <c r="J28" s="116">
        <v>4</v>
      </c>
      <c r="K28" s="118">
        <f t="shared" si="2"/>
        <v>16446.583333333332</v>
      </c>
      <c r="L28" s="60">
        <v>2</v>
      </c>
      <c r="M28" s="118">
        <f t="shared" si="3"/>
        <v>16446.583333333332</v>
      </c>
      <c r="N28" s="60">
        <v>7</v>
      </c>
      <c r="O28" s="60"/>
      <c r="P28" s="159">
        <f t="shared" si="4"/>
        <v>18</v>
      </c>
      <c r="Q28" s="60">
        <v>18</v>
      </c>
      <c r="R28" s="160">
        <f t="shared" ref="R28:S28" si="16">$E$4</f>
        <v>12500</v>
      </c>
      <c r="S28" s="160">
        <f t="shared" si="16"/>
        <v>12500</v>
      </c>
      <c r="T28" s="160">
        <f t="shared" ref="T28:U28" si="17">$B$11+$E$4</f>
        <v>12500</v>
      </c>
      <c r="U28" s="160">
        <f t="shared" si="17"/>
        <v>12500</v>
      </c>
      <c r="V28" s="161">
        <f t="shared" si="6"/>
        <v>3946.583333333333</v>
      </c>
      <c r="W28" s="115">
        <f t="shared" si="7"/>
        <v>296038.5</v>
      </c>
      <c r="X28" s="60"/>
      <c r="Y28" s="60"/>
      <c r="Z28" s="60"/>
      <c r="AA28" s="60"/>
      <c r="AB28" s="60"/>
    </row>
    <row r="29" spans="1:28" ht="13.5" customHeight="1" x14ac:dyDescent="0.35">
      <c r="A29" s="162">
        <v>41432</v>
      </c>
      <c r="B29" s="164" t="s">
        <v>178</v>
      </c>
      <c r="C29" s="164" t="s">
        <v>120</v>
      </c>
      <c r="D29" s="164" t="s">
        <v>167</v>
      </c>
      <c r="E29" s="177"/>
      <c r="F29" s="164"/>
      <c r="G29" s="168">
        <f t="shared" si="0"/>
        <v>18125</v>
      </c>
      <c r="H29" s="171">
        <v>5</v>
      </c>
      <c r="I29" s="168">
        <f t="shared" si="1"/>
        <v>18125</v>
      </c>
      <c r="J29" s="170">
        <v>9</v>
      </c>
      <c r="K29" s="168">
        <f t="shared" si="2"/>
        <v>18125</v>
      </c>
      <c r="L29" s="171">
        <v>7</v>
      </c>
      <c r="M29" s="168">
        <f t="shared" si="3"/>
        <v>18125</v>
      </c>
      <c r="N29" s="171">
        <v>2</v>
      </c>
      <c r="O29" s="171"/>
      <c r="P29" s="172">
        <f t="shared" si="4"/>
        <v>23</v>
      </c>
      <c r="Q29" s="171">
        <v>23</v>
      </c>
      <c r="R29" s="173">
        <f t="shared" ref="R29:S29" si="18">$N$3</f>
        <v>18125</v>
      </c>
      <c r="S29" s="173">
        <f t="shared" si="18"/>
        <v>18125</v>
      </c>
      <c r="T29" s="173">
        <f t="shared" ref="T29:U29" si="19">$B$11+$N$3</f>
        <v>18125</v>
      </c>
      <c r="U29" s="173">
        <f t="shared" si="19"/>
        <v>18125</v>
      </c>
      <c r="V29" s="161">
        <f t="shared" si="6"/>
        <v>0</v>
      </c>
      <c r="W29" s="115">
        <f t="shared" si="7"/>
        <v>416875</v>
      </c>
      <c r="X29" s="171"/>
      <c r="Y29" s="171"/>
      <c r="Z29" s="171"/>
      <c r="AA29" s="171"/>
      <c r="AB29" s="171"/>
    </row>
    <row r="30" spans="1:28" ht="13.5" customHeight="1" x14ac:dyDescent="0.35">
      <c r="A30" s="162">
        <v>41436</v>
      </c>
      <c r="B30" s="164" t="s">
        <v>182</v>
      </c>
      <c r="C30" s="164" t="s">
        <v>120</v>
      </c>
      <c r="D30" s="164" t="s">
        <v>172</v>
      </c>
      <c r="E30" s="165">
        <v>40847</v>
      </c>
      <c r="F30" s="164"/>
      <c r="G30" s="168">
        <f t="shared" si="0"/>
        <v>20788.934782608696</v>
      </c>
      <c r="H30" s="171">
        <v>5</v>
      </c>
      <c r="I30" s="168">
        <f t="shared" si="1"/>
        <v>20788.934782608696</v>
      </c>
      <c r="J30" s="170">
        <v>9</v>
      </c>
      <c r="K30" s="168">
        <f t="shared" si="2"/>
        <v>20788.934782608696</v>
      </c>
      <c r="L30" s="171">
        <v>7</v>
      </c>
      <c r="M30" s="168">
        <f t="shared" si="3"/>
        <v>20788.934782608696</v>
      </c>
      <c r="N30" s="171">
        <v>2</v>
      </c>
      <c r="O30" s="171"/>
      <c r="P30" s="172">
        <f t="shared" si="4"/>
        <v>23</v>
      </c>
      <c r="Q30" s="171">
        <v>23</v>
      </c>
      <c r="R30" s="173">
        <f t="shared" ref="R30:S30" si="20">$N$3</f>
        <v>18125</v>
      </c>
      <c r="S30" s="173">
        <f t="shared" si="20"/>
        <v>18125</v>
      </c>
      <c r="T30" s="173">
        <f t="shared" ref="T30:U30" si="21">$B$11+$N$3</f>
        <v>18125</v>
      </c>
      <c r="U30" s="173">
        <f t="shared" si="21"/>
        <v>18125</v>
      </c>
      <c r="V30" s="161">
        <f t="shared" si="6"/>
        <v>2663.9347826086955</v>
      </c>
      <c r="W30" s="115">
        <f t="shared" si="7"/>
        <v>478145.5</v>
      </c>
      <c r="X30" s="171"/>
      <c r="Y30" s="171"/>
      <c r="Z30" s="171"/>
      <c r="AA30" s="171"/>
      <c r="AB30" s="171"/>
    </row>
    <row r="31" spans="1:28" ht="13.5" customHeight="1" x14ac:dyDescent="0.35">
      <c r="A31" s="162">
        <v>41443</v>
      </c>
      <c r="B31" s="164" t="s">
        <v>165</v>
      </c>
      <c r="C31" s="164" t="s">
        <v>120</v>
      </c>
      <c r="D31" s="164" t="s">
        <v>172</v>
      </c>
      <c r="E31" s="165">
        <v>20250</v>
      </c>
      <c r="F31" s="164"/>
      <c r="G31" s="168">
        <f t="shared" si="0"/>
        <v>19445.652173913044</v>
      </c>
      <c r="H31" s="171">
        <v>5</v>
      </c>
      <c r="I31" s="168">
        <f t="shared" si="1"/>
        <v>19445.652173913044</v>
      </c>
      <c r="J31" s="170">
        <v>9</v>
      </c>
      <c r="K31" s="168">
        <f t="shared" si="2"/>
        <v>19445.652173913044</v>
      </c>
      <c r="L31" s="171">
        <v>7</v>
      </c>
      <c r="M31" s="168">
        <f t="shared" si="3"/>
        <v>19445.652173913044</v>
      </c>
      <c r="N31" s="171">
        <v>2</v>
      </c>
      <c r="O31" s="171"/>
      <c r="P31" s="172">
        <f t="shared" si="4"/>
        <v>23</v>
      </c>
      <c r="Q31" s="171">
        <v>23</v>
      </c>
      <c r="R31" s="173">
        <f t="shared" ref="R31:S31" si="22">$N$3</f>
        <v>18125</v>
      </c>
      <c r="S31" s="173">
        <f t="shared" si="22"/>
        <v>18125</v>
      </c>
      <c r="T31" s="173">
        <f t="shared" ref="T31:U31" si="23">$B$11+$N$3</f>
        <v>18125</v>
      </c>
      <c r="U31" s="173">
        <f t="shared" si="23"/>
        <v>18125</v>
      </c>
      <c r="V31" s="161">
        <f t="shared" si="6"/>
        <v>1320.6521739130435</v>
      </c>
      <c r="W31" s="115">
        <f t="shared" si="7"/>
        <v>447250</v>
      </c>
      <c r="X31" s="171"/>
      <c r="Y31" s="171"/>
      <c r="Z31" s="171"/>
      <c r="AA31" s="171"/>
      <c r="AB31" s="171"/>
    </row>
    <row r="32" spans="1:28" ht="13.5" customHeight="1" x14ac:dyDescent="0.35">
      <c r="A32" s="127">
        <v>41460</v>
      </c>
      <c r="B32" s="129" t="s">
        <v>187</v>
      </c>
      <c r="C32" s="129" t="s">
        <v>120</v>
      </c>
      <c r="D32" s="129" t="s">
        <v>188</v>
      </c>
      <c r="E32" s="185"/>
      <c r="F32" s="129"/>
      <c r="G32" s="143">
        <f t="shared" si="0"/>
        <v>9375</v>
      </c>
      <c r="H32" s="144">
        <v>5</v>
      </c>
      <c r="I32" s="143">
        <f t="shared" si="1"/>
        <v>9375</v>
      </c>
      <c r="J32" s="139">
        <v>10</v>
      </c>
      <c r="K32" s="143">
        <f t="shared" si="2"/>
        <v>9375</v>
      </c>
      <c r="L32" s="144">
        <v>7</v>
      </c>
      <c r="M32" s="143">
        <f t="shared" si="3"/>
        <v>9375</v>
      </c>
      <c r="N32" s="144">
        <v>1</v>
      </c>
      <c r="O32" s="144"/>
      <c r="P32" s="146">
        <f t="shared" si="4"/>
        <v>23</v>
      </c>
      <c r="Q32" s="144">
        <v>23</v>
      </c>
      <c r="R32" s="186">
        <f t="shared" ref="R32:S32" si="24">$H$4</f>
        <v>9375</v>
      </c>
      <c r="S32" s="186">
        <f t="shared" si="24"/>
        <v>9375</v>
      </c>
      <c r="T32" s="186">
        <f t="shared" ref="T32:U32" si="25">$B$11+$H$4</f>
        <v>9375</v>
      </c>
      <c r="U32" s="186">
        <f t="shared" si="25"/>
        <v>9375</v>
      </c>
      <c r="V32" s="161">
        <f t="shared" si="6"/>
        <v>0</v>
      </c>
      <c r="W32" s="115">
        <f t="shared" si="7"/>
        <v>215625</v>
      </c>
      <c r="X32" s="144"/>
      <c r="Y32" s="144"/>
      <c r="Z32" s="144"/>
      <c r="AA32" s="144"/>
      <c r="AB32" s="144"/>
    </row>
    <row r="33" spans="1:28" ht="13.5" customHeight="1" x14ac:dyDescent="0.35">
      <c r="A33" s="127">
        <v>41464</v>
      </c>
      <c r="B33" s="129" t="s">
        <v>190</v>
      </c>
      <c r="C33" s="129" t="s">
        <v>120</v>
      </c>
      <c r="D33" s="129" t="s">
        <v>188</v>
      </c>
      <c r="E33" s="185"/>
      <c r="F33" s="129"/>
      <c r="G33" s="143">
        <f t="shared" si="0"/>
        <v>9375</v>
      </c>
      <c r="H33" s="144">
        <v>5</v>
      </c>
      <c r="I33" s="143">
        <f t="shared" si="1"/>
        <v>9375</v>
      </c>
      <c r="J33" s="139">
        <v>10</v>
      </c>
      <c r="K33" s="143">
        <f t="shared" si="2"/>
        <v>9375</v>
      </c>
      <c r="L33" s="144">
        <v>7</v>
      </c>
      <c r="M33" s="143">
        <f t="shared" si="3"/>
        <v>9375</v>
      </c>
      <c r="N33" s="144">
        <v>1</v>
      </c>
      <c r="O33" s="144"/>
      <c r="P33" s="146">
        <f t="shared" si="4"/>
        <v>23</v>
      </c>
      <c r="Q33" s="144">
        <v>23</v>
      </c>
      <c r="R33" s="186">
        <f t="shared" ref="R33:S33" si="26">$H$4</f>
        <v>9375</v>
      </c>
      <c r="S33" s="186">
        <f t="shared" si="26"/>
        <v>9375</v>
      </c>
      <c r="T33" s="186">
        <f t="shared" ref="T33:U33" si="27">$B$11+$H$4</f>
        <v>9375</v>
      </c>
      <c r="U33" s="186">
        <f t="shared" si="27"/>
        <v>9375</v>
      </c>
      <c r="V33" s="161">
        <f t="shared" si="6"/>
        <v>0</v>
      </c>
      <c r="W33" s="115">
        <f t="shared" si="7"/>
        <v>215625</v>
      </c>
      <c r="X33" s="144"/>
      <c r="Y33" s="144"/>
      <c r="Z33" s="144"/>
      <c r="AA33" s="144"/>
      <c r="AB33" s="144"/>
    </row>
    <row r="34" spans="1:28" ht="13.5" customHeight="1" x14ac:dyDescent="0.35">
      <c r="A34" s="127">
        <v>41468</v>
      </c>
      <c r="B34" s="129" t="s">
        <v>191</v>
      </c>
      <c r="C34" s="129" t="s">
        <v>120</v>
      </c>
      <c r="D34" s="129" t="s">
        <v>188</v>
      </c>
      <c r="E34" s="185"/>
      <c r="F34" s="129"/>
      <c r="G34" s="143">
        <f t="shared" si="0"/>
        <v>9375</v>
      </c>
      <c r="H34" s="144">
        <v>5</v>
      </c>
      <c r="I34" s="143">
        <f t="shared" si="1"/>
        <v>9375</v>
      </c>
      <c r="J34" s="139">
        <v>10</v>
      </c>
      <c r="K34" s="143">
        <f t="shared" si="2"/>
        <v>9375</v>
      </c>
      <c r="L34" s="144">
        <v>7</v>
      </c>
      <c r="M34" s="143">
        <f t="shared" si="3"/>
        <v>9375</v>
      </c>
      <c r="N34" s="144">
        <v>1</v>
      </c>
      <c r="O34" s="144"/>
      <c r="P34" s="146">
        <f t="shared" si="4"/>
        <v>23</v>
      </c>
      <c r="Q34" s="144">
        <v>23</v>
      </c>
      <c r="R34" s="186">
        <f t="shared" ref="R34:S34" si="28">$H$4</f>
        <v>9375</v>
      </c>
      <c r="S34" s="186">
        <f t="shared" si="28"/>
        <v>9375</v>
      </c>
      <c r="T34" s="186">
        <f t="shared" ref="T34:U34" si="29">$B$11+$H$4</f>
        <v>9375</v>
      </c>
      <c r="U34" s="186">
        <f t="shared" si="29"/>
        <v>9375</v>
      </c>
      <c r="V34" s="161">
        <f t="shared" si="6"/>
        <v>0</v>
      </c>
      <c r="W34" s="115">
        <f t="shared" si="7"/>
        <v>215625</v>
      </c>
      <c r="X34" s="144"/>
      <c r="Y34" s="144"/>
      <c r="Z34" s="144"/>
      <c r="AA34" s="144"/>
      <c r="AB34" s="144"/>
    </row>
    <row r="35" spans="1:28" ht="13.5" customHeight="1" x14ac:dyDescent="0.35">
      <c r="A35" s="127">
        <v>41471</v>
      </c>
      <c r="B35" s="129" t="s">
        <v>171</v>
      </c>
      <c r="C35" s="129" t="s">
        <v>120</v>
      </c>
      <c r="D35" s="129" t="s">
        <v>193</v>
      </c>
      <c r="E35" s="185"/>
      <c r="F35" s="190"/>
      <c r="G35" s="143">
        <f t="shared" si="0"/>
        <v>9375</v>
      </c>
      <c r="H35" s="144">
        <v>5</v>
      </c>
      <c r="I35" s="143">
        <f t="shared" si="1"/>
        <v>9375</v>
      </c>
      <c r="J35" s="139">
        <v>10</v>
      </c>
      <c r="K35" s="143">
        <f t="shared" si="2"/>
        <v>9375</v>
      </c>
      <c r="L35" s="144">
        <v>7</v>
      </c>
      <c r="M35" s="143">
        <f t="shared" si="3"/>
        <v>9375</v>
      </c>
      <c r="N35" s="144">
        <v>1</v>
      </c>
      <c r="O35" s="144"/>
      <c r="P35" s="146">
        <f t="shared" si="4"/>
        <v>23</v>
      </c>
      <c r="Q35" s="144">
        <v>23</v>
      </c>
      <c r="R35" s="186">
        <f t="shared" ref="R35:S35" si="30">$H$4</f>
        <v>9375</v>
      </c>
      <c r="S35" s="186">
        <f t="shared" si="30"/>
        <v>9375</v>
      </c>
      <c r="T35" s="186">
        <f t="shared" ref="T35:U35" si="31">$B$11+$H$4</f>
        <v>9375</v>
      </c>
      <c r="U35" s="186">
        <f t="shared" si="31"/>
        <v>9375</v>
      </c>
      <c r="V35" s="161">
        <f t="shared" si="6"/>
        <v>0</v>
      </c>
      <c r="W35" s="115">
        <f t="shared" si="7"/>
        <v>215625</v>
      </c>
      <c r="X35" s="144"/>
      <c r="Y35" s="144"/>
      <c r="Z35" s="144"/>
      <c r="AA35" s="144"/>
      <c r="AB35" s="144"/>
    </row>
    <row r="36" spans="1:28" ht="13.5" customHeight="1" x14ac:dyDescent="0.35">
      <c r="A36" s="127">
        <v>41476</v>
      </c>
      <c r="B36" s="129" t="s">
        <v>195</v>
      </c>
      <c r="C36" s="129" t="s">
        <v>120</v>
      </c>
      <c r="D36" s="129" t="s">
        <v>196</v>
      </c>
      <c r="E36" s="185"/>
      <c r="F36" s="191"/>
      <c r="G36" s="143">
        <f t="shared" si="0"/>
        <v>9375</v>
      </c>
      <c r="H36" s="144">
        <v>5</v>
      </c>
      <c r="I36" s="143">
        <f t="shared" si="1"/>
        <v>9375</v>
      </c>
      <c r="J36" s="139">
        <v>10</v>
      </c>
      <c r="K36" s="143">
        <f t="shared" si="2"/>
        <v>9375</v>
      </c>
      <c r="L36" s="144">
        <v>7</v>
      </c>
      <c r="M36" s="143">
        <f t="shared" si="3"/>
        <v>9375</v>
      </c>
      <c r="N36" s="144">
        <v>1</v>
      </c>
      <c r="O36" s="144"/>
      <c r="P36" s="146">
        <f t="shared" si="4"/>
        <v>23</v>
      </c>
      <c r="Q36" s="144">
        <v>23</v>
      </c>
      <c r="R36" s="186">
        <f t="shared" ref="R36:S36" si="32">$H$4</f>
        <v>9375</v>
      </c>
      <c r="S36" s="186">
        <f t="shared" si="32"/>
        <v>9375</v>
      </c>
      <c r="T36" s="186">
        <f t="shared" ref="T36:U36" si="33">$B$11+$H$4</f>
        <v>9375</v>
      </c>
      <c r="U36" s="186">
        <f t="shared" si="33"/>
        <v>9375</v>
      </c>
      <c r="V36" s="161">
        <f t="shared" si="6"/>
        <v>0</v>
      </c>
      <c r="W36" s="115">
        <f t="shared" si="7"/>
        <v>215625</v>
      </c>
      <c r="X36" s="144"/>
      <c r="Y36" s="144"/>
      <c r="Z36" s="144"/>
      <c r="AA36" s="144"/>
      <c r="AB36" s="144"/>
    </row>
    <row r="37" spans="1:28" ht="13.5" customHeight="1" x14ac:dyDescent="0.35">
      <c r="A37" s="127">
        <v>41479</v>
      </c>
      <c r="B37" s="129" t="s">
        <v>165</v>
      </c>
      <c r="C37" s="129" t="s">
        <v>120</v>
      </c>
      <c r="D37" s="129" t="s">
        <v>198</v>
      </c>
      <c r="E37" s="185"/>
      <c r="F37" s="129"/>
      <c r="G37" s="143">
        <f t="shared" si="0"/>
        <v>9375</v>
      </c>
      <c r="H37" s="144">
        <v>5</v>
      </c>
      <c r="I37" s="143">
        <f t="shared" si="1"/>
        <v>9375</v>
      </c>
      <c r="J37" s="139">
        <v>10</v>
      </c>
      <c r="K37" s="143">
        <f t="shared" si="2"/>
        <v>9375</v>
      </c>
      <c r="L37" s="144">
        <v>7</v>
      </c>
      <c r="M37" s="143">
        <f t="shared" si="3"/>
        <v>9375</v>
      </c>
      <c r="N37" s="144">
        <v>1</v>
      </c>
      <c r="O37" s="144"/>
      <c r="P37" s="146">
        <f t="shared" si="4"/>
        <v>23</v>
      </c>
      <c r="Q37" s="144">
        <v>23</v>
      </c>
      <c r="R37" s="186">
        <f t="shared" ref="R37:S37" si="34">$H$4</f>
        <v>9375</v>
      </c>
      <c r="S37" s="186">
        <f t="shared" si="34"/>
        <v>9375</v>
      </c>
      <c r="T37" s="186">
        <f t="shared" ref="T37:U37" si="35">$B$11+$H$4</f>
        <v>9375</v>
      </c>
      <c r="U37" s="186">
        <f t="shared" si="35"/>
        <v>9375</v>
      </c>
      <c r="V37" s="161">
        <f t="shared" si="6"/>
        <v>0</v>
      </c>
      <c r="W37" s="115">
        <f t="shared" si="7"/>
        <v>215625</v>
      </c>
      <c r="X37" s="144"/>
      <c r="Y37" s="144"/>
      <c r="Z37" s="144"/>
      <c r="AA37" s="144"/>
      <c r="AB37" s="144"/>
    </row>
    <row r="38" spans="1:28" ht="13.5" customHeight="1" x14ac:dyDescent="0.35">
      <c r="A38" s="127">
        <v>41483</v>
      </c>
      <c r="B38" s="129" t="s">
        <v>182</v>
      </c>
      <c r="C38" s="129" t="s">
        <v>120</v>
      </c>
      <c r="D38" s="129" t="s">
        <v>199</v>
      </c>
      <c r="E38" s="185"/>
      <c r="F38" s="129"/>
      <c r="G38" s="143">
        <f t="shared" si="0"/>
        <v>9375</v>
      </c>
      <c r="H38" s="144">
        <v>5</v>
      </c>
      <c r="I38" s="143">
        <f t="shared" si="1"/>
        <v>9375</v>
      </c>
      <c r="J38" s="139">
        <v>10</v>
      </c>
      <c r="K38" s="143">
        <f t="shared" si="2"/>
        <v>9375</v>
      </c>
      <c r="L38" s="144">
        <v>7</v>
      </c>
      <c r="M38" s="143">
        <f t="shared" si="3"/>
        <v>9375</v>
      </c>
      <c r="N38" s="144">
        <v>1</v>
      </c>
      <c r="O38" s="144"/>
      <c r="P38" s="146">
        <f t="shared" si="4"/>
        <v>23</v>
      </c>
      <c r="Q38" s="144">
        <v>23</v>
      </c>
      <c r="R38" s="186">
        <f t="shared" ref="R38:S38" si="36">$H$4</f>
        <v>9375</v>
      </c>
      <c r="S38" s="186">
        <f t="shared" si="36"/>
        <v>9375</v>
      </c>
      <c r="T38" s="186">
        <f t="shared" ref="T38:U38" si="37">$B$11+$H$4</f>
        <v>9375</v>
      </c>
      <c r="U38" s="186">
        <f t="shared" si="37"/>
        <v>9375</v>
      </c>
      <c r="V38" s="161">
        <f t="shared" si="6"/>
        <v>0</v>
      </c>
      <c r="W38" s="115">
        <f t="shared" si="7"/>
        <v>215625</v>
      </c>
      <c r="X38" s="144"/>
      <c r="Y38" s="144"/>
      <c r="Z38" s="144"/>
      <c r="AA38" s="144"/>
      <c r="AB38" s="144"/>
    </row>
    <row r="39" spans="1:28" ht="13.5" customHeight="1" x14ac:dyDescent="0.35">
      <c r="A39" s="127"/>
      <c r="B39" s="699" t="s">
        <v>200</v>
      </c>
      <c r="C39" s="637"/>
      <c r="D39" s="637"/>
      <c r="E39" s="637"/>
      <c r="F39" s="635"/>
      <c r="G39" s="143">
        <f t="shared" si="0"/>
        <v>11250</v>
      </c>
      <c r="H39" s="144">
        <v>5</v>
      </c>
      <c r="I39" s="143">
        <f t="shared" si="1"/>
        <v>11250</v>
      </c>
      <c r="J39" s="139">
        <v>10</v>
      </c>
      <c r="K39" s="143">
        <f t="shared" si="2"/>
        <v>11250</v>
      </c>
      <c r="L39" s="144">
        <v>7</v>
      </c>
      <c r="M39" s="143">
        <f t="shared" si="3"/>
        <v>11250</v>
      </c>
      <c r="N39" s="144">
        <v>1</v>
      </c>
      <c r="O39" s="144"/>
      <c r="P39" s="146">
        <f t="shared" si="4"/>
        <v>23</v>
      </c>
      <c r="Q39" s="144">
        <v>23</v>
      </c>
      <c r="R39" s="186">
        <f t="shared" ref="R39:U39" si="38">$H$8</f>
        <v>11250</v>
      </c>
      <c r="S39" s="186">
        <f t="shared" si="38"/>
        <v>11250</v>
      </c>
      <c r="T39" s="186">
        <f t="shared" si="38"/>
        <v>11250</v>
      </c>
      <c r="U39" s="186">
        <f t="shared" si="38"/>
        <v>11250</v>
      </c>
      <c r="V39" s="161">
        <f t="shared" si="6"/>
        <v>0</v>
      </c>
      <c r="W39" s="115">
        <f t="shared" si="7"/>
        <v>258750</v>
      </c>
      <c r="X39" s="144"/>
      <c r="Y39" s="144"/>
      <c r="Z39" s="144"/>
      <c r="AA39" s="144"/>
      <c r="AB39" s="144"/>
    </row>
    <row r="40" spans="1:28" ht="13.5" customHeight="1" x14ac:dyDescent="0.35">
      <c r="A40" s="152">
        <v>41500</v>
      </c>
      <c r="B40" s="156" t="s">
        <v>202</v>
      </c>
      <c r="C40" s="156" t="s">
        <v>120</v>
      </c>
      <c r="D40" s="156" t="s">
        <v>135</v>
      </c>
      <c r="E40" s="156"/>
      <c r="F40" s="156"/>
      <c r="G40" s="118">
        <f t="shared" si="0"/>
        <v>9375</v>
      </c>
      <c r="H40" s="60">
        <v>5</v>
      </c>
      <c r="I40" s="118">
        <f t="shared" si="1"/>
        <v>9375</v>
      </c>
      <c r="J40" s="116">
        <v>10</v>
      </c>
      <c r="K40" s="118">
        <f t="shared" si="2"/>
        <v>9375</v>
      </c>
      <c r="L40" s="116">
        <v>3</v>
      </c>
      <c r="M40" s="118">
        <f t="shared" si="3"/>
        <v>9375</v>
      </c>
      <c r="N40" s="60">
        <v>2</v>
      </c>
      <c r="O40" s="60"/>
      <c r="P40" s="159">
        <f t="shared" si="4"/>
        <v>20</v>
      </c>
      <c r="Q40" s="60">
        <v>20</v>
      </c>
      <c r="R40" s="160">
        <f t="shared" ref="R40:S40" si="39">$E$5</f>
        <v>9375</v>
      </c>
      <c r="S40" s="160">
        <f t="shared" si="39"/>
        <v>9375</v>
      </c>
      <c r="T40" s="160">
        <f t="shared" ref="T40:U40" si="40">$B$11+$E$5</f>
        <v>9375</v>
      </c>
      <c r="U40" s="160">
        <f t="shared" si="40"/>
        <v>9375</v>
      </c>
      <c r="V40" s="161">
        <f t="shared" si="6"/>
        <v>0</v>
      </c>
      <c r="W40" s="115">
        <f t="shared" si="7"/>
        <v>187500</v>
      </c>
      <c r="X40" s="60"/>
      <c r="Y40" s="60"/>
      <c r="Z40" s="60"/>
      <c r="AA40" s="60"/>
      <c r="AB40" s="60"/>
    </row>
    <row r="41" spans="1:28" ht="13.5" customHeight="1" x14ac:dyDescent="0.35">
      <c r="A41" s="162">
        <v>41523</v>
      </c>
      <c r="B41" s="164" t="s">
        <v>171</v>
      </c>
      <c r="C41" s="164" t="s">
        <v>166</v>
      </c>
      <c r="D41" s="164" t="s">
        <v>167</v>
      </c>
      <c r="E41" s="164"/>
      <c r="F41" s="177"/>
      <c r="G41" s="168">
        <f t="shared" si="0"/>
        <v>5000</v>
      </c>
      <c r="H41" s="171">
        <v>5</v>
      </c>
      <c r="I41" s="168">
        <f t="shared" si="1"/>
        <v>5000</v>
      </c>
      <c r="J41" s="170">
        <v>9</v>
      </c>
      <c r="K41" s="168">
        <f t="shared" si="2"/>
        <v>5000</v>
      </c>
      <c r="L41" s="171">
        <v>7</v>
      </c>
      <c r="M41" s="168">
        <f t="shared" si="3"/>
        <v>5000</v>
      </c>
      <c r="N41" s="171">
        <v>2</v>
      </c>
      <c r="O41" s="171"/>
      <c r="P41" s="172">
        <f t="shared" si="4"/>
        <v>23</v>
      </c>
      <c r="Q41" s="171">
        <v>23</v>
      </c>
      <c r="R41" s="173">
        <f t="shared" ref="R41:S41" si="41">$N$5</f>
        <v>5000</v>
      </c>
      <c r="S41" s="173">
        <f t="shared" si="41"/>
        <v>5000</v>
      </c>
      <c r="T41" s="173">
        <f t="shared" ref="T41:U41" si="42">$B$11+$N$5</f>
        <v>5000</v>
      </c>
      <c r="U41" s="173">
        <f t="shared" si="42"/>
        <v>5000</v>
      </c>
      <c r="V41" s="161">
        <f t="shared" si="6"/>
        <v>0</v>
      </c>
      <c r="W41" s="115">
        <f t="shared" si="7"/>
        <v>115000</v>
      </c>
      <c r="X41" s="171"/>
      <c r="Y41" s="171"/>
      <c r="Z41" s="171"/>
      <c r="AA41" s="171"/>
      <c r="AB41" s="171"/>
    </row>
    <row r="42" spans="1:28" ht="13.5" customHeight="1" x14ac:dyDescent="0.35">
      <c r="A42" s="162">
        <v>41527</v>
      </c>
      <c r="B42" s="164" t="s">
        <v>170</v>
      </c>
      <c r="C42" s="164" t="s">
        <v>120</v>
      </c>
      <c r="D42" s="164" t="s">
        <v>172</v>
      </c>
      <c r="E42" s="165">
        <v>24584</v>
      </c>
      <c r="F42" s="164" t="s">
        <v>157</v>
      </c>
      <c r="G42" s="168">
        <f t="shared" si="0"/>
        <v>19728.304347826088</v>
      </c>
      <c r="H42" s="171">
        <v>5</v>
      </c>
      <c r="I42" s="168">
        <f t="shared" si="1"/>
        <v>19728.304347826088</v>
      </c>
      <c r="J42" s="170">
        <v>9</v>
      </c>
      <c r="K42" s="168">
        <f t="shared" si="2"/>
        <v>19728.304347826088</v>
      </c>
      <c r="L42" s="171">
        <v>7</v>
      </c>
      <c r="M42" s="168">
        <f t="shared" si="3"/>
        <v>19728.304347826088</v>
      </c>
      <c r="N42" s="171">
        <v>2</v>
      </c>
      <c r="O42" s="171"/>
      <c r="P42" s="172">
        <f t="shared" si="4"/>
        <v>23</v>
      </c>
      <c r="Q42" s="171">
        <v>23</v>
      </c>
      <c r="R42" s="173">
        <f t="shared" ref="R42:S42" si="43">$N$3</f>
        <v>18125</v>
      </c>
      <c r="S42" s="173">
        <f t="shared" si="43"/>
        <v>18125</v>
      </c>
      <c r="T42" s="173">
        <f t="shared" ref="T42:U42" si="44">$B$11+$N$3</f>
        <v>18125</v>
      </c>
      <c r="U42" s="173">
        <f t="shared" si="44"/>
        <v>18125</v>
      </c>
      <c r="V42" s="161">
        <f t="shared" si="6"/>
        <v>1603.304347826087</v>
      </c>
      <c r="W42" s="115">
        <f t="shared" si="7"/>
        <v>453750.99999999994</v>
      </c>
      <c r="X42" s="171"/>
      <c r="Y42" s="171"/>
      <c r="Z42" s="171"/>
      <c r="AA42" s="171"/>
      <c r="AB42" s="171"/>
    </row>
    <row r="43" spans="1:28" ht="13.5" customHeight="1" x14ac:dyDescent="0.35">
      <c r="A43" s="162">
        <v>41558</v>
      </c>
      <c r="B43" s="164" t="s">
        <v>178</v>
      </c>
      <c r="C43" s="164" t="s">
        <v>120</v>
      </c>
      <c r="D43" s="164" t="s">
        <v>172</v>
      </c>
      <c r="E43" s="165">
        <v>18467</v>
      </c>
      <c r="F43" s="164"/>
      <c r="G43" s="168">
        <f t="shared" si="0"/>
        <v>19329.369565217392</v>
      </c>
      <c r="H43" s="171">
        <v>5</v>
      </c>
      <c r="I43" s="168">
        <f t="shared" si="1"/>
        <v>19329.369565217392</v>
      </c>
      <c r="J43" s="170">
        <v>9</v>
      </c>
      <c r="K43" s="168">
        <f t="shared" si="2"/>
        <v>19329.369565217392</v>
      </c>
      <c r="L43" s="171">
        <v>7</v>
      </c>
      <c r="M43" s="168">
        <f t="shared" si="3"/>
        <v>19329.369565217392</v>
      </c>
      <c r="N43" s="171">
        <v>2</v>
      </c>
      <c r="O43" s="171"/>
      <c r="P43" s="172">
        <f t="shared" si="4"/>
        <v>23</v>
      </c>
      <c r="Q43" s="171">
        <v>23</v>
      </c>
      <c r="R43" s="173">
        <f t="shared" ref="R43:S43" si="45">$N$3</f>
        <v>18125</v>
      </c>
      <c r="S43" s="173">
        <f t="shared" si="45"/>
        <v>18125</v>
      </c>
      <c r="T43" s="173">
        <f t="shared" ref="T43:U43" si="46">$B$11+$N$3</f>
        <v>18125</v>
      </c>
      <c r="U43" s="173">
        <f t="shared" si="46"/>
        <v>18125</v>
      </c>
      <c r="V43" s="161">
        <f t="shared" si="6"/>
        <v>1204.3695652173913</v>
      </c>
      <c r="W43" s="115">
        <f t="shared" si="7"/>
        <v>444575.5</v>
      </c>
      <c r="X43" s="171"/>
      <c r="Y43" s="171"/>
      <c r="Z43" s="171"/>
      <c r="AA43" s="171"/>
      <c r="AB43" s="171"/>
    </row>
    <row r="44" spans="1:28" ht="13.5" customHeight="1" x14ac:dyDescent="0.35">
      <c r="A44" s="162">
        <v>41562</v>
      </c>
      <c r="B44" s="164" t="s">
        <v>182</v>
      </c>
      <c r="C44" s="164" t="s">
        <v>120</v>
      </c>
      <c r="D44" s="164" t="s">
        <v>167</v>
      </c>
      <c r="E44" s="177"/>
      <c r="F44" s="164"/>
      <c r="G44" s="168">
        <f t="shared" si="0"/>
        <v>18125</v>
      </c>
      <c r="H44" s="171">
        <v>5</v>
      </c>
      <c r="I44" s="168">
        <f t="shared" si="1"/>
        <v>18125</v>
      </c>
      <c r="J44" s="170">
        <v>9</v>
      </c>
      <c r="K44" s="168">
        <f t="shared" si="2"/>
        <v>18125</v>
      </c>
      <c r="L44" s="171">
        <v>7</v>
      </c>
      <c r="M44" s="168">
        <f t="shared" si="3"/>
        <v>18125</v>
      </c>
      <c r="N44" s="171">
        <v>2</v>
      </c>
      <c r="O44" s="171"/>
      <c r="P44" s="172">
        <f t="shared" si="4"/>
        <v>23</v>
      </c>
      <c r="Q44" s="171">
        <v>23</v>
      </c>
      <c r="R44" s="173">
        <f t="shared" ref="R44:S44" si="47">$N$3</f>
        <v>18125</v>
      </c>
      <c r="S44" s="173">
        <f t="shared" si="47"/>
        <v>18125</v>
      </c>
      <c r="T44" s="173">
        <f t="shared" ref="T44:U44" si="48">$B$11+$N$3</f>
        <v>18125</v>
      </c>
      <c r="U44" s="173">
        <f t="shared" si="48"/>
        <v>18125</v>
      </c>
      <c r="V44" s="161">
        <f t="shared" si="6"/>
        <v>0</v>
      </c>
      <c r="W44" s="115">
        <f t="shared" si="7"/>
        <v>416875</v>
      </c>
      <c r="X44" s="171"/>
      <c r="Y44" s="171"/>
      <c r="Z44" s="171"/>
      <c r="AA44" s="171"/>
      <c r="AB44" s="171"/>
    </row>
    <row r="45" spans="1:28" ht="13.5" customHeight="1" x14ac:dyDescent="0.35">
      <c r="A45" s="162"/>
      <c r="B45" s="698" t="s">
        <v>205</v>
      </c>
      <c r="C45" s="637"/>
      <c r="D45" s="637"/>
      <c r="E45" s="637"/>
      <c r="F45" s="635"/>
      <c r="G45" s="168">
        <f t="shared" si="0"/>
        <v>78000</v>
      </c>
      <c r="H45" s="171">
        <v>5</v>
      </c>
      <c r="I45" s="168">
        <f t="shared" si="1"/>
        <v>78000</v>
      </c>
      <c r="J45" s="170">
        <f>$N$8-5</f>
        <v>13</v>
      </c>
      <c r="K45" s="168">
        <f t="shared" si="2"/>
        <v>46000</v>
      </c>
      <c r="L45" s="200">
        <f>$N$9</f>
        <v>15</v>
      </c>
      <c r="M45" s="168">
        <f t="shared" si="3"/>
        <v>18454</v>
      </c>
      <c r="N45" s="200">
        <v>22</v>
      </c>
      <c r="O45" s="171"/>
      <c r="P45" s="172">
        <f t="shared" si="4"/>
        <v>55</v>
      </c>
      <c r="Q45" s="171">
        <v>50</v>
      </c>
      <c r="R45" s="173">
        <f t="shared" ref="R45:S45" si="49">IF($Q$1&lt;&gt;"NQ",$M$8,0)</f>
        <v>78000</v>
      </c>
      <c r="S45" s="173">
        <f t="shared" si="49"/>
        <v>78000</v>
      </c>
      <c r="T45" s="173">
        <f>IF($Q$1&lt;&gt;"NQ",$M$9,0)</f>
        <v>46000</v>
      </c>
      <c r="U45" s="173">
        <f>IF($Q$1&lt;&gt;"NQ",$M$10,0)</f>
        <v>18454</v>
      </c>
      <c r="V45" s="161">
        <f t="shared" si="6"/>
        <v>0</v>
      </c>
      <c r="W45" s="115">
        <f t="shared" si="7"/>
        <v>2499988</v>
      </c>
      <c r="X45" s="171"/>
      <c r="Y45" s="171"/>
      <c r="Z45" s="171"/>
      <c r="AA45" s="171"/>
      <c r="AB45" s="171"/>
    </row>
    <row r="46" spans="1:28" ht="13.5" customHeight="1" x14ac:dyDescent="0.35">
      <c r="A46" s="152">
        <v>41593</v>
      </c>
      <c r="B46" s="156" t="s">
        <v>118</v>
      </c>
      <c r="C46" s="156" t="s">
        <v>155</v>
      </c>
      <c r="D46" s="156" t="s">
        <v>135</v>
      </c>
      <c r="E46" s="156"/>
      <c r="F46" s="156"/>
      <c r="G46" s="118">
        <f t="shared" si="0"/>
        <v>6250</v>
      </c>
      <c r="H46" s="60">
        <v>5</v>
      </c>
      <c r="I46" s="118">
        <f t="shared" si="1"/>
        <v>6250</v>
      </c>
      <c r="J46" s="116">
        <v>4</v>
      </c>
      <c r="K46" s="118">
        <f t="shared" si="2"/>
        <v>6250</v>
      </c>
      <c r="L46" s="104">
        <v>3</v>
      </c>
      <c r="M46" s="118">
        <f t="shared" si="3"/>
        <v>6250</v>
      </c>
      <c r="N46" s="104">
        <v>8</v>
      </c>
      <c r="O46" s="60"/>
      <c r="P46" s="159">
        <f t="shared" si="4"/>
        <v>20</v>
      </c>
      <c r="Q46" s="60">
        <v>20</v>
      </c>
      <c r="R46" s="160">
        <f>$E$8</f>
        <v>6250</v>
      </c>
      <c r="S46" s="160">
        <f>$E$7</f>
        <v>6250</v>
      </c>
      <c r="T46" s="160">
        <f t="shared" ref="T46:U46" si="50">$B$11+$E$7</f>
        <v>6250</v>
      </c>
      <c r="U46" s="160">
        <f t="shared" si="50"/>
        <v>6250</v>
      </c>
      <c r="V46" s="161">
        <f t="shared" si="6"/>
        <v>0</v>
      </c>
      <c r="W46" s="115">
        <f t="shared" si="7"/>
        <v>125000</v>
      </c>
      <c r="X46" s="60"/>
      <c r="Y46" s="60"/>
      <c r="Z46" s="60"/>
      <c r="AA46" s="60"/>
      <c r="AB46" s="60"/>
    </row>
    <row r="47" spans="1:28" ht="13.5" customHeight="1" x14ac:dyDescent="0.35">
      <c r="A47" s="152">
        <v>41597</v>
      </c>
      <c r="B47" s="156" t="s">
        <v>208</v>
      </c>
      <c r="C47" s="156" t="s">
        <v>166</v>
      </c>
      <c r="D47" s="156" t="s">
        <v>135</v>
      </c>
      <c r="E47" s="156"/>
      <c r="F47" s="156"/>
      <c r="G47" s="118">
        <f t="shared" si="0"/>
        <v>5000</v>
      </c>
      <c r="H47" s="60">
        <v>5</v>
      </c>
      <c r="I47" s="118">
        <f t="shared" si="1"/>
        <v>5000</v>
      </c>
      <c r="J47" s="116">
        <v>4</v>
      </c>
      <c r="K47" s="118">
        <f t="shared" si="2"/>
        <v>5000</v>
      </c>
      <c r="L47" s="104">
        <v>3</v>
      </c>
      <c r="M47" s="118">
        <f t="shared" si="3"/>
        <v>5000</v>
      </c>
      <c r="N47" s="104">
        <v>8</v>
      </c>
      <c r="O47" s="60"/>
      <c r="P47" s="159">
        <f t="shared" si="4"/>
        <v>20</v>
      </c>
      <c r="Q47" s="60">
        <v>20</v>
      </c>
      <c r="R47" s="160">
        <f t="shared" ref="R47:S47" si="51">$E$9</f>
        <v>5000</v>
      </c>
      <c r="S47" s="160">
        <f t="shared" si="51"/>
        <v>5000</v>
      </c>
      <c r="T47" s="160">
        <f t="shared" ref="T47:U47" si="52">$B$11+$E$9</f>
        <v>5000</v>
      </c>
      <c r="U47" s="160">
        <f t="shared" si="52"/>
        <v>5000</v>
      </c>
      <c r="V47" s="161">
        <f t="shared" si="6"/>
        <v>0</v>
      </c>
      <c r="W47" s="115">
        <f t="shared" si="7"/>
        <v>100000</v>
      </c>
      <c r="X47" s="60"/>
      <c r="Y47" s="60"/>
      <c r="Z47" s="60"/>
      <c r="AA47" s="60"/>
      <c r="AB47" s="60"/>
    </row>
    <row r="48" spans="1:28" ht="13.5" customHeight="1" x14ac:dyDescent="0.35">
      <c r="A48" s="179"/>
      <c r="B48" s="697" t="s">
        <v>184</v>
      </c>
      <c r="C48" s="637"/>
      <c r="D48" s="637"/>
      <c r="E48" s="637"/>
      <c r="F48" s="635"/>
      <c r="G48" s="161">
        <f>$B$3</f>
        <v>0</v>
      </c>
      <c r="H48" s="187">
        <v>5</v>
      </c>
      <c r="I48" s="161">
        <f>$B$4</f>
        <v>0</v>
      </c>
      <c r="J48" s="187">
        <f t="shared" ref="J48:J50" si="53">$N$8-5</f>
        <v>13</v>
      </c>
      <c r="K48" s="188"/>
      <c r="L48" s="208"/>
      <c r="M48" s="161"/>
      <c r="N48" s="187"/>
      <c r="O48" s="188">
        <f>$B$9</f>
        <v>2500</v>
      </c>
      <c r="P48" s="187"/>
      <c r="Q48" s="187">
        <v>7</v>
      </c>
      <c r="R48" s="161"/>
      <c r="S48" s="161"/>
      <c r="T48" s="161"/>
      <c r="U48" s="161"/>
      <c r="V48" s="161"/>
      <c r="W48" s="188">
        <f>(G48*H48)+(I48*J48)+(O48*Q48)</f>
        <v>17500</v>
      </c>
      <c r="X48" s="151"/>
      <c r="Y48" s="151"/>
      <c r="Z48" s="151"/>
      <c r="AA48" s="151"/>
      <c r="AB48" s="151"/>
    </row>
    <row r="49" spans="1:28" ht="13.5" customHeight="1" x14ac:dyDescent="0.35">
      <c r="A49" s="179"/>
      <c r="B49" s="697" t="s">
        <v>192</v>
      </c>
      <c r="C49" s="637"/>
      <c r="D49" s="637"/>
      <c r="E49" s="637"/>
      <c r="F49" s="635"/>
      <c r="G49" s="161">
        <f>$E$12/($H50+$J50+$L50)</f>
        <v>0</v>
      </c>
      <c r="H49" s="187">
        <v>5</v>
      </c>
      <c r="I49" s="161">
        <f>$E$12/($H50+$J50+$L50)</f>
        <v>0</v>
      </c>
      <c r="J49" s="187">
        <f t="shared" si="53"/>
        <v>13</v>
      </c>
      <c r="K49" s="188">
        <f>$E$12/($H50+$J50+$L50)</f>
        <v>0</v>
      </c>
      <c r="L49" s="208">
        <f t="shared" ref="L49:L50" si="54">$N$9</f>
        <v>15</v>
      </c>
      <c r="M49" s="212"/>
      <c r="N49" s="187"/>
      <c r="O49" s="212"/>
      <c r="P49" s="187"/>
      <c r="Q49" s="212"/>
      <c r="R49" s="161"/>
      <c r="S49" s="161"/>
      <c r="T49" s="161"/>
      <c r="U49" s="161"/>
      <c r="V49" s="161"/>
      <c r="W49" s="188">
        <f>(G49*H49)+(I49*J49)+(K49*L49)+(M49*N49)</f>
        <v>0</v>
      </c>
      <c r="X49" s="151"/>
      <c r="Y49" s="151"/>
      <c r="Z49" s="151"/>
      <c r="AA49" s="151"/>
      <c r="AB49" s="151"/>
    </row>
    <row r="50" spans="1:28" ht="13.5" customHeight="1" x14ac:dyDescent="0.4">
      <c r="A50" s="689" t="s">
        <v>194</v>
      </c>
      <c r="B50" s="635"/>
      <c r="C50" s="192"/>
      <c r="D50" s="690" t="s">
        <v>197</v>
      </c>
      <c r="E50" s="637"/>
      <c r="F50" s="635"/>
      <c r="G50" s="193">
        <f>SUMPRODUCT(G23:G49,H23:H49)</f>
        <v>1806588.2047101448</v>
      </c>
      <c r="H50" s="178">
        <v>5</v>
      </c>
      <c r="I50" s="193">
        <f>SUMPRODUCT(I23:I49,J23:J49)</f>
        <v>3439424.4768115943</v>
      </c>
      <c r="J50" s="178">
        <f t="shared" si="53"/>
        <v>13</v>
      </c>
      <c r="K50" s="193">
        <f>SUMPRODUCT(K23:K49,L23:L49)</f>
        <v>2401900.673188406</v>
      </c>
      <c r="L50" s="178">
        <f t="shared" si="54"/>
        <v>15</v>
      </c>
      <c r="M50" s="193">
        <f>SUMPRODUCT(M23:M49,N23:N49)</f>
        <v>1166331.6452898551</v>
      </c>
      <c r="N50" s="178">
        <v>17</v>
      </c>
      <c r="O50" s="194">
        <f>O48*Q48</f>
        <v>17500</v>
      </c>
      <c r="P50" s="728" t="s">
        <v>201</v>
      </c>
      <c r="Q50" s="635"/>
      <c r="R50" s="178">
        <f>H50+J50+L50+N50</f>
        <v>50</v>
      </c>
      <c r="S50" s="214"/>
      <c r="T50" s="214"/>
      <c r="U50" s="214"/>
      <c r="V50" s="214"/>
      <c r="W50" s="195"/>
      <c r="X50" s="156"/>
      <c r="Y50" s="156"/>
      <c r="Z50" s="156"/>
      <c r="AA50" s="196"/>
      <c r="AB50" s="196"/>
    </row>
    <row r="51" spans="1:28" ht="13.5" customHeight="1" x14ac:dyDescent="0.4">
      <c r="A51" s="689" t="s">
        <v>203</v>
      </c>
      <c r="B51" s="635"/>
      <c r="C51" s="192"/>
      <c r="D51" s="690" t="s">
        <v>204</v>
      </c>
      <c r="E51" s="637"/>
      <c r="F51" s="635"/>
      <c r="G51" s="197">
        <f>G50/H50</f>
        <v>361317.64094202896</v>
      </c>
      <c r="H51" s="198">
        <f>(SUM(H23:H38)+SUM(H40:H44)+SUM(H46:H47))/H50</f>
        <v>23</v>
      </c>
      <c r="I51" s="197">
        <f>I50/J50</f>
        <v>264571.1136008919</v>
      </c>
      <c r="J51" s="198">
        <f>(SUM(J23:J38)+SUM(J40:J44)+SUM(J46:J47))/J50</f>
        <v>14.615384615384615</v>
      </c>
      <c r="K51" s="197">
        <f>K50/L50</f>
        <v>160126.71154589375</v>
      </c>
      <c r="L51" s="198">
        <f>(SUM(L23:L38)+SUM(L40:L44)+SUM(L46:L47))/L50</f>
        <v>8.7333333333333325</v>
      </c>
      <c r="M51" s="197">
        <f>M50/N50</f>
        <v>68607.743840579715</v>
      </c>
      <c r="N51" s="198">
        <f>(SUM(N23:N38)+SUM(N40:N44)+SUM(N46:N47))/N50</f>
        <v>4.1764705882352944</v>
      </c>
      <c r="O51" s="199"/>
      <c r="P51" s="729" t="s">
        <v>206</v>
      </c>
      <c r="Q51" s="635"/>
      <c r="R51" s="197">
        <f>SUM(G50,I50,K50,M50,O50)</f>
        <v>8831745</v>
      </c>
      <c r="S51" s="214"/>
      <c r="T51" s="214"/>
      <c r="U51" s="214"/>
      <c r="V51" s="214"/>
      <c r="W51" s="201">
        <f>SUM(W23:W49)</f>
        <v>8831745</v>
      </c>
      <c r="X51" s="156"/>
      <c r="Y51" s="156"/>
      <c r="Z51" s="156"/>
      <c r="AA51" s="196"/>
      <c r="AB51" s="196"/>
    </row>
    <row r="52" spans="1:28" ht="13.5" customHeight="1" x14ac:dyDescent="0.35">
      <c r="A52" s="215">
        <v>41671</v>
      </c>
      <c r="B52" s="216" t="s">
        <v>168</v>
      </c>
      <c r="C52" s="216" t="s">
        <v>120</v>
      </c>
      <c r="D52" s="216" t="s">
        <v>122</v>
      </c>
      <c r="E52" s="217">
        <v>27000</v>
      </c>
      <c r="F52" s="216"/>
      <c r="G52" s="118">
        <f t="shared" ref="G52:G70" si="55">R52+V52</f>
        <v>11400</v>
      </c>
      <c r="H52" s="60">
        <v>5</v>
      </c>
      <c r="I52" s="118">
        <f t="shared" ref="I52:I70" si="56">S52+V52</f>
        <v>11400</v>
      </c>
      <c r="J52" s="60">
        <v>4</v>
      </c>
      <c r="K52" s="115">
        <f t="shared" ref="K52:K70" si="57">T52+V52</f>
        <v>11400</v>
      </c>
      <c r="L52" s="60">
        <v>6</v>
      </c>
      <c r="M52" s="118">
        <f t="shared" ref="M52:M70" si="58">U52+V52</f>
        <v>11400</v>
      </c>
      <c r="N52" s="60">
        <v>5</v>
      </c>
      <c r="O52" s="218"/>
      <c r="P52" s="159">
        <f t="shared" ref="P52:P70" si="59">H52+J52+L52+N52</f>
        <v>20</v>
      </c>
      <c r="Q52" s="60">
        <v>20</v>
      </c>
      <c r="R52" s="160">
        <f t="shared" ref="R52:S52" si="60">$E$5</f>
        <v>9375</v>
      </c>
      <c r="S52" s="160">
        <f t="shared" si="60"/>
        <v>9375</v>
      </c>
      <c r="T52" s="160">
        <f t="shared" ref="T52:U52" si="61">$B$11+$E$5</f>
        <v>9375</v>
      </c>
      <c r="U52" s="160">
        <f t="shared" si="61"/>
        <v>9375</v>
      </c>
      <c r="V52" s="161">
        <f t="shared" ref="V52:V70" si="62">($E52*($E$13/$Q52))</f>
        <v>2025</v>
      </c>
      <c r="W52" s="115">
        <f t="shared" ref="W52:W70" si="63">(G52*H52)+(I52*J52)+(K52*L52)+(M52*N52)</f>
        <v>228000</v>
      </c>
      <c r="X52" s="60"/>
      <c r="Y52" s="60"/>
      <c r="Z52" s="60"/>
      <c r="AA52" s="60"/>
      <c r="AB52" s="60"/>
    </row>
    <row r="53" spans="1:28" ht="13.5" customHeight="1" x14ac:dyDescent="0.35">
      <c r="A53" s="215">
        <v>41703</v>
      </c>
      <c r="B53" s="216" t="s">
        <v>215</v>
      </c>
      <c r="C53" s="216" t="s">
        <v>166</v>
      </c>
      <c r="D53" s="216" t="s">
        <v>135</v>
      </c>
      <c r="E53" s="216"/>
      <c r="F53" s="216" t="s">
        <v>164</v>
      </c>
      <c r="G53" s="118">
        <f t="shared" si="55"/>
        <v>5000</v>
      </c>
      <c r="H53" s="60">
        <v>5</v>
      </c>
      <c r="I53" s="118">
        <f t="shared" si="56"/>
        <v>6250</v>
      </c>
      <c r="J53" s="60">
        <v>4</v>
      </c>
      <c r="K53" s="115">
        <f t="shared" si="57"/>
        <v>6250</v>
      </c>
      <c r="L53" s="60">
        <v>8</v>
      </c>
      <c r="M53" s="118">
        <f t="shared" si="58"/>
        <v>6250</v>
      </c>
      <c r="N53" s="60">
        <v>3</v>
      </c>
      <c r="O53" s="218"/>
      <c r="P53" s="159">
        <f t="shared" si="59"/>
        <v>20</v>
      </c>
      <c r="Q53" s="60">
        <v>20</v>
      </c>
      <c r="R53" s="160">
        <f>$E$9</f>
        <v>5000</v>
      </c>
      <c r="S53" s="160">
        <f>$E$8</f>
        <v>6250</v>
      </c>
      <c r="T53" s="160">
        <f t="shared" ref="T53:U53" si="64">$B$11+$E$8</f>
        <v>6250</v>
      </c>
      <c r="U53" s="160">
        <f t="shared" si="64"/>
        <v>6250</v>
      </c>
      <c r="V53" s="161">
        <f t="shared" si="62"/>
        <v>0</v>
      </c>
      <c r="W53" s="115">
        <f t="shared" si="63"/>
        <v>118750</v>
      </c>
      <c r="X53" s="60"/>
      <c r="Y53" s="60"/>
      <c r="Z53" s="60"/>
      <c r="AA53" s="60"/>
      <c r="AB53" s="60"/>
    </row>
    <row r="54" spans="1:28" ht="13.5" customHeight="1" x14ac:dyDescent="0.35">
      <c r="A54" s="215">
        <v>41731</v>
      </c>
      <c r="B54" s="216" t="s">
        <v>170</v>
      </c>
      <c r="C54" s="216" t="s">
        <v>155</v>
      </c>
      <c r="D54" s="216" t="s">
        <v>122</v>
      </c>
      <c r="E54" s="217">
        <v>59066</v>
      </c>
      <c r="F54" s="216" t="s">
        <v>157</v>
      </c>
      <c r="G54" s="118">
        <f t="shared" si="55"/>
        <v>12554.95</v>
      </c>
      <c r="H54" s="60">
        <v>5</v>
      </c>
      <c r="I54" s="118">
        <f t="shared" si="56"/>
        <v>12554.95</v>
      </c>
      <c r="J54" s="60">
        <v>6</v>
      </c>
      <c r="K54" s="115">
        <f t="shared" si="57"/>
        <v>12554.95</v>
      </c>
      <c r="L54" s="60">
        <v>6</v>
      </c>
      <c r="M54" s="118">
        <f t="shared" si="58"/>
        <v>12554.95</v>
      </c>
      <c r="N54" s="60">
        <v>3</v>
      </c>
      <c r="O54" s="218"/>
      <c r="P54" s="159">
        <f t="shared" si="59"/>
        <v>20</v>
      </c>
      <c r="Q54" s="60">
        <v>20</v>
      </c>
      <c r="R54" s="160">
        <f t="shared" ref="R54:S54" si="65">$E$6</f>
        <v>8125</v>
      </c>
      <c r="S54" s="160">
        <f t="shared" si="65"/>
        <v>8125</v>
      </c>
      <c r="T54" s="160">
        <f t="shared" ref="T54:U54" si="66">$B$11+$E$6</f>
        <v>8125</v>
      </c>
      <c r="U54" s="160">
        <f t="shared" si="66"/>
        <v>8125</v>
      </c>
      <c r="V54" s="161">
        <f t="shared" si="62"/>
        <v>4429.95</v>
      </c>
      <c r="W54" s="115">
        <f t="shared" si="63"/>
        <v>251099.00000000003</v>
      </c>
      <c r="X54" s="60"/>
      <c r="Y54" s="60"/>
      <c r="Z54" s="60"/>
      <c r="AA54" s="60"/>
      <c r="AB54" s="60"/>
    </row>
    <row r="55" spans="1:28" ht="13.5" customHeight="1" x14ac:dyDescent="0.35">
      <c r="A55" s="215">
        <v>41786</v>
      </c>
      <c r="B55" s="216" t="s">
        <v>217</v>
      </c>
      <c r="C55" s="216" t="s">
        <v>120</v>
      </c>
      <c r="D55" s="216" t="s">
        <v>122</v>
      </c>
      <c r="E55" s="217">
        <v>24688</v>
      </c>
      <c r="F55" s="216"/>
      <c r="G55" s="118">
        <f t="shared" si="55"/>
        <v>10985.08695652174</v>
      </c>
      <c r="H55" s="60">
        <v>5</v>
      </c>
      <c r="I55" s="118">
        <f t="shared" si="56"/>
        <v>10985.08695652174</v>
      </c>
      <c r="J55" s="60">
        <v>12</v>
      </c>
      <c r="K55" s="115">
        <f t="shared" si="57"/>
        <v>10985.08695652174</v>
      </c>
      <c r="L55" s="60">
        <v>5</v>
      </c>
      <c r="M55" s="118">
        <f t="shared" si="58"/>
        <v>10985.08695652174</v>
      </c>
      <c r="N55" s="218">
        <v>1</v>
      </c>
      <c r="O55" s="218"/>
      <c r="P55" s="159">
        <f t="shared" si="59"/>
        <v>23</v>
      </c>
      <c r="Q55" s="60">
        <v>23</v>
      </c>
      <c r="R55" s="160">
        <f t="shared" ref="R55:S55" si="67">$E$5</f>
        <v>9375</v>
      </c>
      <c r="S55" s="160">
        <f t="shared" si="67"/>
        <v>9375</v>
      </c>
      <c r="T55" s="160">
        <f t="shared" ref="T55:U55" si="68">$B$11+$E$5</f>
        <v>9375</v>
      </c>
      <c r="U55" s="160">
        <f t="shared" si="68"/>
        <v>9375</v>
      </c>
      <c r="V55" s="161">
        <f t="shared" si="62"/>
        <v>1610.086956521739</v>
      </c>
      <c r="W55" s="115">
        <f t="shared" si="63"/>
        <v>252657</v>
      </c>
      <c r="X55" s="60"/>
      <c r="Y55" s="60"/>
      <c r="Z55" s="60"/>
      <c r="AA55" s="60"/>
      <c r="AB55" s="60"/>
    </row>
    <row r="56" spans="1:28" ht="13.5" customHeight="1" x14ac:dyDescent="0.35">
      <c r="A56" s="215">
        <v>41791</v>
      </c>
      <c r="B56" s="216" t="s">
        <v>218</v>
      </c>
      <c r="C56" s="216" t="s">
        <v>120</v>
      </c>
      <c r="D56" s="216" t="s">
        <v>122</v>
      </c>
      <c r="E56" s="217">
        <v>26762</v>
      </c>
      <c r="F56" s="216"/>
      <c r="G56" s="118">
        <f t="shared" si="55"/>
        <v>11120.347826086956</v>
      </c>
      <c r="H56" s="60">
        <v>5</v>
      </c>
      <c r="I56" s="118">
        <f t="shared" si="56"/>
        <v>11120.347826086956</v>
      </c>
      <c r="J56" s="60">
        <v>12</v>
      </c>
      <c r="K56" s="115">
        <f t="shared" si="57"/>
        <v>11120.347826086956</v>
      </c>
      <c r="L56" s="60">
        <v>5</v>
      </c>
      <c r="M56" s="118">
        <f t="shared" si="58"/>
        <v>11120.347826086956</v>
      </c>
      <c r="N56" s="218">
        <v>1</v>
      </c>
      <c r="O56" s="218"/>
      <c r="P56" s="159">
        <f t="shared" si="59"/>
        <v>23</v>
      </c>
      <c r="Q56" s="60">
        <v>23</v>
      </c>
      <c r="R56" s="160">
        <f t="shared" ref="R56:S56" si="69">$E$5</f>
        <v>9375</v>
      </c>
      <c r="S56" s="160">
        <f t="shared" si="69"/>
        <v>9375</v>
      </c>
      <c r="T56" s="160">
        <f t="shared" ref="T56:U56" si="70">$B$11+$E$5</f>
        <v>9375</v>
      </c>
      <c r="U56" s="160">
        <f t="shared" si="70"/>
        <v>9375</v>
      </c>
      <c r="V56" s="161">
        <f t="shared" si="62"/>
        <v>1745.3478260869565</v>
      </c>
      <c r="W56" s="115">
        <f t="shared" si="63"/>
        <v>255767.99999999997</v>
      </c>
      <c r="X56" s="60"/>
      <c r="Y56" s="60"/>
      <c r="Z56" s="60"/>
      <c r="AA56" s="60"/>
      <c r="AB56" s="60"/>
    </row>
    <row r="57" spans="1:28" ht="13.5" customHeight="1" x14ac:dyDescent="0.35">
      <c r="A57" s="215">
        <v>41797</v>
      </c>
      <c r="B57" s="216" t="s">
        <v>221</v>
      </c>
      <c r="C57" s="216" t="s">
        <v>120</v>
      </c>
      <c r="D57" s="216" t="s">
        <v>122</v>
      </c>
      <c r="E57" s="217">
        <v>52033</v>
      </c>
      <c r="F57" s="216"/>
      <c r="G57" s="118">
        <f t="shared" si="55"/>
        <v>12768.45652173913</v>
      </c>
      <c r="H57" s="60">
        <v>5</v>
      </c>
      <c r="I57" s="118">
        <f t="shared" si="56"/>
        <v>12768.45652173913</v>
      </c>
      <c r="J57" s="60">
        <v>12</v>
      </c>
      <c r="K57" s="115">
        <f t="shared" si="57"/>
        <v>12768.45652173913</v>
      </c>
      <c r="L57" s="60">
        <v>5</v>
      </c>
      <c r="M57" s="118">
        <f t="shared" si="58"/>
        <v>12768.45652173913</v>
      </c>
      <c r="N57" s="218">
        <v>1</v>
      </c>
      <c r="O57" s="218"/>
      <c r="P57" s="159">
        <f t="shared" si="59"/>
        <v>23</v>
      </c>
      <c r="Q57" s="60">
        <v>23</v>
      </c>
      <c r="R57" s="160">
        <f t="shared" ref="R57:S57" si="71">$E$5</f>
        <v>9375</v>
      </c>
      <c r="S57" s="160">
        <f t="shared" si="71"/>
        <v>9375</v>
      </c>
      <c r="T57" s="160">
        <f t="shared" ref="T57:U57" si="72">$B$11+$E$5</f>
        <v>9375</v>
      </c>
      <c r="U57" s="160">
        <f t="shared" si="72"/>
        <v>9375</v>
      </c>
      <c r="V57" s="161">
        <f t="shared" si="62"/>
        <v>3393.4565217391305</v>
      </c>
      <c r="W57" s="115">
        <f t="shared" si="63"/>
        <v>293674.5</v>
      </c>
      <c r="X57" s="60"/>
      <c r="Y57" s="60"/>
      <c r="Z57" s="60"/>
      <c r="AA57" s="60"/>
      <c r="AB57" s="60"/>
    </row>
    <row r="58" spans="1:28" ht="13.5" customHeight="1" x14ac:dyDescent="0.35">
      <c r="A58" s="225"/>
      <c r="B58" s="715" t="s">
        <v>222</v>
      </c>
      <c r="C58" s="637"/>
      <c r="D58" s="637"/>
      <c r="E58" s="637"/>
      <c r="F58" s="635"/>
      <c r="G58" s="168">
        <f t="shared" si="55"/>
        <v>89375</v>
      </c>
      <c r="H58" s="171">
        <f t="shared" ref="H58:H59" si="73">IF($Q$1&lt;&gt;"NQ",5,0)</f>
        <v>5</v>
      </c>
      <c r="I58" s="168">
        <f t="shared" si="56"/>
        <v>89375</v>
      </c>
      <c r="J58" s="171">
        <f t="shared" ref="J58:J59" si="74">IF($Q$1&lt;&gt;"NQ",12,0)</f>
        <v>12</v>
      </c>
      <c r="K58" s="224">
        <f t="shared" si="57"/>
        <v>89375</v>
      </c>
      <c r="L58" s="171">
        <f t="shared" ref="L58:L59" si="75">IF($Q$1&lt;&gt;"NQ",5,0)</f>
        <v>5</v>
      </c>
      <c r="M58" s="168">
        <f t="shared" si="58"/>
        <v>89375</v>
      </c>
      <c r="N58" s="171">
        <f t="shared" ref="N58:N59" si="76">IF($Q$1&lt;&gt;"NQ",1,0)</f>
        <v>1</v>
      </c>
      <c r="O58" s="226"/>
      <c r="P58" s="172">
        <f t="shared" si="59"/>
        <v>23</v>
      </c>
      <c r="Q58" s="171">
        <v>23</v>
      </c>
      <c r="R58" s="173">
        <f>IF(AND($Q$1&lt;&gt;"NQ",$B$3&gt;0),$Q$3,IF(AND($Q$1&lt;&gt;"NQ",$B$3=0),$Q$3+($Q$12*3),0))</f>
        <v>89375</v>
      </c>
      <c r="S58" s="173">
        <f>IF(AND($Q$1&lt;&gt;"NQ",$B$4&gt;0),$Q$3,IF(AND($Q$1&lt;&gt;"NQ",$B$4=0),$Q$3+($Q$12*3),0))</f>
        <v>89375</v>
      </c>
      <c r="T58" s="173">
        <f t="shared" ref="T58:U58" si="77">IF($Q$1&lt;&gt;"NQ",$Q$3+($Q$12*3),0)</f>
        <v>89375</v>
      </c>
      <c r="U58" s="173">
        <f t="shared" si="77"/>
        <v>89375</v>
      </c>
      <c r="V58" s="161">
        <f t="shared" si="62"/>
        <v>0</v>
      </c>
      <c r="W58" s="115">
        <f t="shared" si="63"/>
        <v>2055625</v>
      </c>
      <c r="X58" s="229"/>
      <c r="Y58" s="230"/>
      <c r="Z58" s="230"/>
      <c r="AA58" s="230"/>
      <c r="AB58" s="231"/>
    </row>
    <row r="59" spans="1:28" ht="13.5" customHeight="1" x14ac:dyDescent="0.35">
      <c r="A59" s="225"/>
      <c r="B59" s="715" t="s">
        <v>225</v>
      </c>
      <c r="C59" s="637"/>
      <c r="D59" s="637"/>
      <c r="E59" s="637"/>
      <c r="F59" s="635"/>
      <c r="G59" s="168">
        <f t="shared" si="55"/>
        <v>38086.956521739128</v>
      </c>
      <c r="H59" s="171">
        <f t="shared" si="73"/>
        <v>5</v>
      </c>
      <c r="I59" s="168">
        <f t="shared" si="56"/>
        <v>38086.956521739128</v>
      </c>
      <c r="J59" s="171">
        <f t="shared" si="74"/>
        <v>12</v>
      </c>
      <c r="K59" s="224">
        <f t="shared" si="57"/>
        <v>38086.956521739128</v>
      </c>
      <c r="L59" s="171">
        <f t="shared" si="75"/>
        <v>5</v>
      </c>
      <c r="M59" s="168">
        <f t="shared" si="58"/>
        <v>38086.956521739128</v>
      </c>
      <c r="N59" s="171">
        <f t="shared" si="76"/>
        <v>1</v>
      </c>
      <c r="O59" s="232"/>
      <c r="P59" s="172">
        <f t="shared" si="59"/>
        <v>23</v>
      </c>
      <c r="Q59" s="171">
        <v>23</v>
      </c>
      <c r="R59" s="173">
        <f t="shared" ref="R59:U59" si="78">IF($Q$1&lt;&gt;"NQ",$Q$5*$R$1,0)</f>
        <v>38086.956521739128</v>
      </c>
      <c r="S59" s="173">
        <f t="shared" si="78"/>
        <v>38086.956521739128</v>
      </c>
      <c r="T59" s="173">
        <f t="shared" si="78"/>
        <v>38086.956521739128</v>
      </c>
      <c r="U59" s="173">
        <f t="shared" si="78"/>
        <v>38086.956521739128</v>
      </c>
      <c r="V59" s="161">
        <f t="shared" si="62"/>
        <v>0</v>
      </c>
      <c r="W59" s="115">
        <f t="shared" si="63"/>
        <v>876000</v>
      </c>
      <c r="X59" s="229"/>
      <c r="Y59" s="230"/>
      <c r="Z59" s="230"/>
      <c r="AA59" s="230"/>
      <c r="AB59" s="231"/>
    </row>
    <row r="60" spans="1:28" ht="13.5" customHeight="1" x14ac:dyDescent="0.35">
      <c r="A60" s="225"/>
      <c r="B60" s="233" t="s">
        <v>226</v>
      </c>
      <c r="C60" s="233"/>
      <c r="D60" s="233"/>
      <c r="E60" s="233"/>
      <c r="F60" s="233"/>
      <c r="G60" s="168">
        <f t="shared" si="55"/>
        <v>202527.17391304349</v>
      </c>
      <c r="H60" s="234">
        <f>IF(OR($Q$1="KO",$Q$1="QF",$Q$1="SF",$Q$1="3rd",$Q$1="2nd",$Q$1="1st",),H$58,0)</f>
        <v>5</v>
      </c>
      <c r="I60" s="168">
        <f t="shared" si="56"/>
        <v>202527.17391304349</v>
      </c>
      <c r="J60" s="234">
        <f>IF(OR($Q$1="KO",$Q$1="QF",$Q$1="SF",$Q$1="3rd",$Q$1="2nd",$Q$1="1st",),J$58,0)</f>
        <v>12</v>
      </c>
      <c r="K60" s="224">
        <f t="shared" si="57"/>
        <v>202527.17391304349</v>
      </c>
      <c r="L60" s="234">
        <f>IF(OR($Q$1="KO",$Q$1="QF",$Q$1="SF",$Q$1="3rd",$Q$1="2nd",$Q$1="1st",),L$58,0)</f>
        <v>5</v>
      </c>
      <c r="M60" s="168">
        <f t="shared" si="58"/>
        <v>202527.17391304349</v>
      </c>
      <c r="N60" s="234">
        <f>IF(OR($Q$1="KO",$Q$1="QF",$Q$1="SF",$Q$1="3rd",$Q$1="2nd",$Q$1="1st",),N$58,0)</f>
        <v>1</v>
      </c>
      <c r="O60" s="232"/>
      <c r="P60" s="170">
        <f t="shared" si="59"/>
        <v>23</v>
      </c>
      <c r="Q60" s="172">
        <v>23</v>
      </c>
      <c r="R60" s="168">
        <f>IF(AND($Q$1="KO",$B$3&gt;0),$Q$6,IF(AND($Q$1="KO",$B$3=0),$Q$6+$Q$12,0))</f>
        <v>202527.17391304349</v>
      </c>
      <c r="S60" s="168">
        <f>IF(AND($Q$1="KO",$B$4&gt;0),$Q$6,IF(AND($Q$1="KO",$B$4=0),$Q$6+$Q$12,0))</f>
        <v>202527.17391304349</v>
      </c>
      <c r="T60" s="168">
        <f t="shared" ref="T60:U60" si="79">IF($Q$1="KO",$Q$6+$Q$12,0)</f>
        <v>202527.17391304349</v>
      </c>
      <c r="U60" s="168">
        <f t="shared" si="79"/>
        <v>202527.17391304349</v>
      </c>
      <c r="V60" s="168">
        <f t="shared" si="62"/>
        <v>0</v>
      </c>
      <c r="W60" s="224">
        <f t="shared" si="63"/>
        <v>4658125.0000000009</v>
      </c>
      <c r="Y60" s="239"/>
      <c r="Z60" s="239"/>
      <c r="AA60" s="239"/>
      <c r="AB60" s="239"/>
    </row>
    <row r="61" spans="1:28" ht="13.5" customHeight="1" x14ac:dyDescent="0.35">
      <c r="A61" s="225"/>
      <c r="B61" s="233" t="s">
        <v>228</v>
      </c>
      <c r="C61" s="233"/>
      <c r="D61" s="233"/>
      <c r="E61" s="233"/>
      <c r="F61" s="233"/>
      <c r="G61" s="168">
        <f t="shared" si="55"/>
        <v>0</v>
      </c>
      <c r="H61" s="234">
        <f>IF(OR($Q$1="QF",$Q$1="SF",$Q$1="3rd",$Q$1="2nd",$Q$1="1st",),H$58,0)</f>
        <v>0</v>
      </c>
      <c r="I61" s="168">
        <f t="shared" si="56"/>
        <v>0</v>
      </c>
      <c r="J61" s="234">
        <f>IF(OR($Q$1="QF",$Q$1="SF",$Q$1="3rd",$Q$1="2nd",$Q$1="1st",),J$58,0)</f>
        <v>0</v>
      </c>
      <c r="K61" s="224">
        <f t="shared" si="57"/>
        <v>0</v>
      </c>
      <c r="L61" s="234">
        <f>IF(OR($Q$1="QF",$Q$1="SF",$Q$1="3rd",$Q$1="2nd",$Q$1="1st",),L$58,0)</f>
        <v>0</v>
      </c>
      <c r="M61" s="168">
        <f t="shared" si="58"/>
        <v>0</v>
      </c>
      <c r="N61" s="234">
        <f>IF(OR($Q$1="QF",$Q$1="SF",$Q$1="3rd",$Q$1="2nd",$Q$1="1st",),N$58,0)</f>
        <v>0</v>
      </c>
      <c r="O61" s="232"/>
      <c r="P61" s="170">
        <f t="shared" si="59"/>
        <v>0</v>
      </c>
      <c r="Q61" s="172">
        <v>23</v>
      </c>
      <c r="R61" s="168">
        <f>IF(AND($Q$1="QF",$B$3&gt;0),$Q$6+$Q$7,IF(AND($Q$1="QF",$B$3=0),$Q$6+$Q$7+(2*Q$12),0))</f>
        <v>0</v>
      </c>
      <c r="S61" s="168">
        <f>IF(AND($Q$1="QF",$B$4&gt;0),$Q$6+$Q$7,IF(AND($Q$1="QF",$B$4=0),$Q$6+$Q$7+(2*Q$12),0))</f>
        <v>0</v>
      </c>
      <c r="T61" s="168">
        <f>IF($Q$1="QF",$Q$6+$Q$7+(2*Q$12),0)</f>
        <v>0</v>
      </c>
      <c r="U61" s="168">
        <f>IF($Q$1="QF",$Q$6+$Q$7+(2*Q$12),0)</f>
        <v>0</v>
      </c>
      <c r="V61" s="168">
        <f t="shared" si="62"/>
        <v>0</v>
      </c>
      <c r="W61" s="224">
        <f t="shared" si="63"/>
        <v>0</v>
      </c>
      <c r="X61" s="239"/>
      <c r="Y61" s="239"/>
      <c r="Z61" s="239"/>
      <c r="AA61" s="239"/>
      <c r="AB61" s="239"/>
    </row>
    <row r="62" spans="1:28" ht="13.5" customHeight="1" x14ac:dyDescent="0.35">
      <c r="A62" s="225"/>
      <c r="B62" s="233" t="s">
        <v>230</v>
      </c>
      <c r="C62" s="233"/>
      <c r="D62" s="233"/>
      <c r="E62" s="233"/>
      <c r="F62" s="233"/>
      <c r="G62" s="168">
        <f t="shared" si="55"/>
        <v>0</v>
      </c>
      <c r="H62" s="234">
        <f>IF(OR($Q$1="SF",$Q$1="3rd",$Q$1="2nd",$Q$1="1st",),H$58,0)</f>
        <v>0</v>
      </c>
      <c r="I62" s="168">
        <f t="shared" si="56"/>
        <v>0</v>
      </c>
      <c r="J62" s="234">
        <f>IF(OR($Q$1="SF",$Q$1="3rd",$Q$1="2nd",$Q$1="1st",),J$58,0)</f>
        <v>0</v>
      </c>
      <c r="K62" s="224">
        <f t="shared" si="57"/>
        <v>0</v>
      </c>
      <c r="L62" s="234">
        <f>IF(OR($Q$1="SF",$Q$1="3rd",$Q$1="2nd",$Q$1="1st",),L$58,0)</f>
        <v>0</v>
      </c>
      <c r="M62" s="168">
        <f t="shared" si="58"/>
        <v>0</v>
      </c>
      <c r="N62" s="234">
        <f>IF(OR($Q$1="SF",$Q$1="3rd",$Q$1="2nd",$Q$1="1st",),N$58,0)</f>
        <v>0</v>
      </c>
      <c r="O62" s="232"/>
      <c r="P62" s="170">
        <f t="shared" si="59"/>
        <v>0</v>
      </c>
      <c r="Q62" s="172">
        <v>23</v>
      </c>
      <c r="R62" s="168">
        <f>IF(AND($Q$1="SF",$B$3&gt;0),$Q$6+$Q$7+$Q$8,IF(AND($Q$1="SF",$B$3=0),$Q$6+$Q$7+$Q$8+(4*Q$12),0))</f>
        <v>0</v>
      </c>
      <c r="S62" s="168">
        <f>IF(AND($Q$1="SF",$B$4&gt;0),$Q$6+$Q$7+$Q$8,IF(AND($Q$1="SF",$B$4=0),$Q$6+$Q$7+$Q$8+(4*Q$12),0))</f>
        <v>0</v>
      </c>
      <c r="T62" s="168">
        <f>IF($Q$1="SF",$Q$6+$Q$7+$Q$8+(4*Q$12),0)</f>
        <v>0</v>
      </c>
      <c r="U62" s="168">
        <f>IF($Q$1="SF",$Q$6+$Q$7+$Q$8+(4*Q$12),0)</f>
        <v>0</v>
      </c>
      <c r="V62" s="168">
        <f t="shared" si="62"/>
        <v>0</v>
      </c>
      <c r="W62" s="224">
        <f t="shared" si="63"/>
        <v>0</v>
      </c>
      <c r="X62" s="239"/>
      <c r="Y62" s="239"/>
      <c r="Z62" s="239"/>
      <c r="AA62" s="239"/>
      <c r="AB62" s="239"/>
    </row>
    <row r="63" spans="1:28" ht="13.5" customHeight="1" x14ac:dyDescent="0.35">
      <c r="A63" s="225"/>
      <c r="B63" s="715" t="s">
        <v>232</v>
      </c>
      <c r="C63" s="637"/>
      <c r="D63" s="637"/>
      <c r="E63" s="637"/>
      <c r="F63" s="635"/>
      <c r="G63" s="168">
        <f t="shared" si="55"/>
        <v>0</v>
      </c>
      <c r="H63" s="234">
        <f>IF($Q$1="3rd",$H$58,0)</f>
        <v>0</v>
      </c>
      <c r="I63" s="168">
        <f t="shared" si="56"/>
        <v>0</v>
      </c>
      <c r="J63" s="234">
        <f>IF($Q$1="3rd",$J$58,0)</f>
        <v>0</v>
      </c>
      <c r="K63" s="224">
        <f t="shared" si="57"/>
        <v>0</v>
      </c>
      <c r="L63" s="234">
        <f>IF($Q$1="3rd",$L$58,0)</f>
        <v>0</v>
      </c>
      <c r="M63" s="168">
        <f t="shared" si="58"/>
        <v>0</v>
      </c>
      <c r="N63" s="234">
        <f>IF($Q$1="3rd",$N$58,0)</f>
        <v>0</v>
      </c>
      <c r="O63" s="232"/>
      <c r="P63" s="170">
        <f t="shared" si="59"/>
        <v>0</v>
      </c>
      <c r="Q63" s="172">
        <v>23</v>
      </c>
      <c r="R63" s="168">
        <f>IF(AND($Q$1="3rd",$B$3&gt;0),$Q$6+$Q$7+$Q$8+$Q$9,IF(AND($Q$1="3rd",$B$3=0),$Q$6+$Q$7+$Q$8+$Q$9+(4*Q$12),0))</f>
        <v>0</v>
      </c>
      <c r="S63" s="168">
        <f>IF(AND($Q$1="3rd",$B$4&gt;0),$Q$6+$Q$7+$Q$8+$Q$9,IF(AND($Q$1="3rd",$B$4=0),$Q$6+$Q$7+$Q$8+$Q$9+(4*Q$12),0))</f>
        <v>0</v>
      </c>
      <c r="T63" s="168">
        <f>IF($Q$1="3rd",$Q$6+$Q$7+$Q$8+$Q$9+(4*Q$12),0)</f>
        <v>0</v>
      </c>
      <c r="U63" s="168">
        <f>IF($Q$1="3rd",$Q$6+$Q$7+$Q$8+$Q$9+(4*Q$12),0)</f>
        <v>0</v>
      </c>
      <c r="V63" s="168">
        <f t="shared" si="62"/>
        <v>0</v>
      </c>
      <c r="W63" s="224">
        <f t="shared" si="63"/>
        <v>0</v>
      </c>
      <c r="X63" s="229"/>
      <c r="Y63" s="230"/>
      <c r="Z63" s="230"/>
      <c r="AA63" s="230"/>
      <c r="AB63" s="231"/>
    </row>
    <row r="64" spans="1:28" ht="13.5" customHeight="1" x14ac:dyDescent="0.35">
      <c r="A64" s="225"/>
      <c r="B64" s="715" t="s">
        <v>233</v>
      </c>
      <c r="C64" s="637"/>
      <c r="D64" s="637"/>
      <c r="E64" s="637"/>
      <c r="F64" s="635"/>
      <c r="G64" s="168">
        <f t="shared" si="55"/>
        <v>0</v>
      </c>
      <c r="H64" s="234">
        <f>IF($Q$1="2nd",$H$58,0)</f>
        <v>0</v>
      </c>
      <c r="I64" s="168">
        <f t="shared" si="56"/>
        <v>0</v>
      </c>
      <c r="J64" s="234">
        <f>IF($Q$1="2nd",$J$58,0)</f>
        <v>0</v>
      </c>
      <c r="K64" s="224">
        <f t="shared" si="57"/>
        <v>0</v>
      </c>
      <c r="L64" s="234">
        <f>IF($Q$1="2nd",$L$58,0)</f>
        <v>0</v>
      </c>
      <c r="M64" s="168">
        <f t="shared" si="58"/>
        <v>0</v>
      </c>
      <c r="N64" s="234">
        <f>IF($Q$1="2nd",$N$58,0)</f>
        <v>0</v>
      </c>
      <c r="O64" s="226"/>
      <c r="P64" s="170">
        <f t="shared" si="59"/>
        <v>0</v>
      </c>
      <c r="Q64" s="172">
        <v>23</v>
      </c>
      <c r="R64" s="168">
        <f>IF(AND($Q$1="2nd",$B$3&gt;0),$Q$6+$Q$7+$Q$8+$Q$10,IF(AND($Q$1="2nd",$B$3=0),$Q$6+$Q$7+$Q$8+$Q$10+(4*Q$12),0))</f>
        <v>0</v>
      </c>
      <c r="S64" s="168">
        <f>IF(AND($Q$1="2nd",$B$4&gt;0),$Q$6+$Q$7+$Q$8+$Q$10,IF(AND($Q$1="2nd",$B$4=0),$Q$6+$Q$7+$Q$8+$Q$10+(4*Q$12),0))</f>
        <v>0</v>
      </c>
      <c r="T64" s="168">
        <f>IF($Q$1="2nd",$Q$6+$Q$7+$Q$8+$Q$10+(4*Q$12),0)</f>
        <v>0</v>
      </c>
      <c r="U64" s="168">
        <f>IF($Q$1="2nd",$Q$6+$Q$7+$Q$8+$Q$10+(4*Q$12),0)</f>
        <v>0</v>
      </c>
      <c r="V64" s="168">
        <f t="shared" si="62"/>
        <v>0</v>
      </c>
      <c r="W64" s="224">
        <f t="shared" si="63"/>
        <v>0</v>
      </c>
      <c r="X64" s="229"/>
      <c r="Y64" s="230"/>
      <c r="Z64" s="230"/>
      <c r="AA64" s="230"/>
      <c r="AB64" s="231"/>
    </row>
    <row r="65" spans="1:28" ht="13.5" customHeight="1" x14ac:dyDescent="0.35">
      <c r="A65" s="225"/>
      <c r="B65" s="715" t="s">
        <v>235</v>
      </c>
      <c r="C65" s="637"/>
      <c r="D65" s="637"/>
      <c r="E65" s="637"/>
      <c r="F65" s="635"/>
      <c r="G65" s="168">
        <f t="shared" si="55"/>
        <v>0</v>
      </c>
      <c r="H65" s="234">
        <f>IF($Q$1="1st",$H$58,0)</f>
        <v>0</v>
      </c>
      <c r="I65" s="168">
        <f t="shared" si="56"/>
        <v>0</v>
      </c>
      <c r="J65" s="234">
        <f>IF($Q$1="1st",$J$58,0)</f>
        <v>0</v>
      </c>
      <c r="K65" s="224">
        <f t="shared" si="57"/>
        <v>0</v>
      </c>
      <c r="L65" s="234">
        <f>IF($Q$1="1st",$L$58,0)</f>
        <v>0</v>
      </c>
      <c r="M65" s="168">
        <f t="shared" si="58"/>
        <v>0</v>
      </c>
      <c r="N65" s="234">
        <f>IF($Q$1="1st",$N$58,0)</f>
        <v>0</v>
      </c>
      <c r="O65" s="226"/>
      <c r="P65" s="170">
        <f t="shared" si="59"/>
        <v>0</v>
      </c>
      <c r="Q65" s="172">
        <v>23</v>
      </c>
      <c r="R65" s="168">
        <f>IF(AND($Q$1="1st",$B$3&gt;0),$Q$6+$Q$7+$Q$8+$Q$11,IF(AND($Q$1="1st",$B$3=0),$Q$6+$Q$7+$Q$8+$Q$11+(4*Q$12),0))</f>
        <v>0</v>
      </c>
      <c r="S65" s="168">
        <f>IF(AND($Q$1="1st",$B$4&gt;0),$Q$6+$Q$7+$Q$8+$Q$11,IF(AND($Q$1="1st",$B$4=0),$Q$6+$Q$7+$Q$8+$Q$11+(4*Q$12),0))</f>
        <v>0</v>
      </c>
      <c r="T65" s="168">
        <f>IF($Q$1="1st",$Q$6+$Q$7+$Q$8+$Q$11+(4*Q$12),0)</f>
        <v>0</v>
      </c>
      <c r="U65" s="168">
        <f>IF($Q$1="1st",$Q$6+$Q$7+$Q$8+$Q$11+(4*Q$12),0)</f>
        <v>0</v>
      </c>
      <c r="V65" s="168">
        <f t="shared" si="62"/>
        <v>0</v>
      </c>
      <c r="W65" s="224">
        <f t="shared" si="63"/>
        <v>0</v>
      </c>
      <c r="X65" s="229"/>
      <c r="Y65" s="230"/>
      <c r="Z65" s="230"/>
      <c r="AA65" s="230"/>
      <c r="AB65" s="231"/>
    </row>
    <row r="66" spans="1:28" ht="13.5" customHeight="1" x14ac:dyDescent="0.35">
      <c r="A66" s="215">
        <v>41885</v>
      </c>
      <c r="B66" s="216" t="s">
        <v>237</v>
      </c>
      <c r="C66" s="216" t="s">
        <v>120</v>
      </c>
      <c r="D66" s="216" t="s">
        <v>135</v>
      </c>
      <c r="E66" s="216"/>
      <c r="F66" s="216"/>
      <c r="G66" s="118">
        <f t="shared" si="55"/>
        <v>9375</v>
      </c>
      <c r="H66" s="60">
        <v>5</v>
      </c>
      <c r="I66" s="118">
        <f t="shared" si="56"/>
        <v>9375</v>
      </c>
      <c r="J66" s="60">
        <v>4</v>
      </c>
      <c r="K66" s="115">
        <f t="shared" si="57"/>
        <v>9375</v>
      </c>
      <c r="L66" s="104">
        <v>7</v>
      </c>
      <c r="M66" s="118">
        <f t="shared" si="58"/>
        <v>9375</v>
      </c>
      <c r="N66" s="104">
        <v>4</v>
      </c>
      <c r="O66" s="226"/>
      <c r="P66" s="119">
        <f t="shared" si="59"/>
        <v>20</v>
      </c>
      <c r="Q66" s="60">
        <v>20</v>
      </c>
      <c r="R66" s="160">
        <f t="shared" ref="R66:S66" si="80">$E$5</f>
        <v>9375</v>
      </c>
      <c r="S66" s="160">
        <f t="shared" si="80"/>
        <v>9375</v>
      </c>
      <c r="T66" s="160">
        <f t="shared" ref="T66:U66" si="81">$B$11+$E$5</f>
        <v>9375</v>
      </c>
      <c r="U66" s="160">
        <f t="shared" si="81"/>
        <v>9375</v>
      </c>
      <c r="V66" s="161">
        <f t="shared" si="62"/>
        <v>0</v>
      </c>
      <c r="W66" s="115">
        <f t="shared" si="63"/>
        <v>187500</v>
      </c>
      <c r="X66" s="60"/>
      <c r="Y66" s="60"/>
      <c r="Z66" s="60"/>
      <c r="AA66" s="60"/>
      <c r="AB66" s="60"/>
    </row>
    <row r="67" spans="1:28" ht="13.5" customHeight="1" x14ac:dyDescent="0.35">
      <c r="A67" s="215">
        <v>41922</v>
      </c>
      <c r="B67" s="216" t="s">
        <v>238</v>
      </c>
      <c r="C67" s="216" t="s">
        <v>155</v>
      </c>
      <c r="D67" s="216" t="s">
        <v>122</v>
      </c>
      <c r="E67" s="217">
        <v>36265</v>
      </c>
      <c r="F67" s="216"/>
      <c r="G67" s="118">
        <f t="shared" si="55"/>
        <v>9272.0833333333321</v>
      </c>
      <c r="H67" s="60">
        <v>5</v>
      </c>
      <c r="I67" s="118">
        <f t="shared" si="56"/>
        <v>9272.0833333333321</v>
      </c>
      <c r="J67" s="60">
        <v>4</v>
      </c>
      <c r="K67" s="115">
        <f t="shared" si="57"/>
        <v>9272.0833333333321</v>
      </c>
      <c r="L67" s="104">
        <v>7</v>
      </c>
      <c r="M67" s="118">
        <f t="shared" si="58"/>
        <v>9272.0833333333321</v>
      </c>
      <c r="N67" s="104">
        <v>2</v>
      </c>
      <c r="O67" s="226"/>
      <c r="P67" s="119">
        <f t="shared" si="59"/>
        <v>18</v>
      </c>
      <c r="Q67" s="60">
        <v>18</v>
      </c>
      <c r="R67" s="160">
        <f t="shared" ref="R67:R68" si="82">$E$8</f>
        <v>6250</v>
      </c>
      <c r="S67" s="160">
        <f t="shared" ref="S67:S68" si="83">$E$7</f>
        <v>6250</v>
      </c>
      <c r="T67" s="160">
        <f t="shared" ref="T67:U67" si="84">$B$11+$E$7</f>
        <v>6250</v>
      </c>
      <c r="U67" s="160">
        <f t="shared" si="84"/>
        <v>6250</v>
      </c>
      <c r="V67" s="161">
        <f t="shared" si="62"/>
        <v>3022.083333333333</v>
      </c>
      <c r="W67" s="115">
        <f t="shared" si="63"/>
        <v>166897.49999999997</v>
      </c>
      <c r="X67" s="60"/>
      <c r="Y67" s="60"/>
      <c r="Z67" s="60"/>
      <c r="AA67" s="60"/>
      <c r="AB67" s="60"/>
    </row>
    <row r="68" spans="1:28" ht="13.5" customHeight="1" x14ac:dyDescent="0.35">
      <c r="A68" s="215">
        <v>41926</v>
      </c>
      <c r="B68" s="216" t="s">
        <v>165</v>
      </c>
      <c r="C68" s="216" t="s">
        <v>155</v>
      </c>
      <c r="D68" s="216" t="s">
        <v>122</v>
      </c>
      <c r="E68" s="217">
        <v>14805</v>
      </c>
      <c r="F68" s="216"/>
      <c r="G68" s="118">
        <f t="shared" si="55"/>
        <v>7483.75</v>
      </c>
      <c r="H68" s="60">
        <v>5</v>
      </c>
      <c r="I68" s="118">
        <f t="shared" si="56"/>
        <v>7483.75</v>
      </c>
      <c r="J68" s="60">
        <v>4</v>
      </c>
      <c r="K68" s="115">
        <f t="shared" si="57"/>
        <v>7483.75</v>
      </c>
      <c r="L68" s="104">
        <v>7</v>
      </c>
      <c r="M68" s="118">
        <f t="shared" si="58"/>
        <v>7483.75</v>
      </c>
      <c r="N68" s="104">
        <v>2</v>
      </c>
      <c r="P68" s="119">
        <f t="shared" si="59"/>
        <v>18</v>
      </c>
      <c r="Q68" s="60">
        <v>18</v>
      </c>
      <c r="R68" s="160">
        <f t="shared" si="82"/>
        <v>6250</v>
      </c>
      <c r="S68" s="160">
        <f t="shared" si="83"/>
        <v>6250</v>
      </c>
      <c r="T68" s="160">
        <f t="shared" ref="T68:U68" si="85">$B$11+$E$7</f>
        <v>6250</v>
      </c>
      <c r="U68" s="160">
        <f t="shared" si="85"/>
        <v>6250</v>
      </c>
      <c r="V68" s="161">
        <f t="shared" si="62"/>
        <v>1233.75</v>
      </c>
      <c r="W68" s="115">
        <f t="shared" si="63"/>
        <v>134707.5</v>
      </c>
      <c r="X68" s="60"/>
      <c r="Y68" s="60"/>
      <c r="Z68" s="60"/>
      <c r="AA68" s="60"/>
      <c r="AB68" s="60"/>
    </row>
    <row r="69" spans="1:28" ht="13.5" customHeight="1" x14ac:dyDescent="0.35">
      <c r="A69" s="215">
        <v>41957</v>
      </c>
      <c r="B69" s="216" t="s">
        <v>239</v>
      </c>
      <c r="C69" s="216" t="s">
        <v>166</v>
      </c>
      <c r="D69" s="216" t="s">
        <v>135</v>
      </c>
      <c r="E69" s="216"/>
      <c r="F69" s="216" t="s">
        <v>164</v>
      </c>
      <c r="G69" s="118">
        <f t="shared" si="55"/>
        <v>5000</v>
      </c>
      <c r="H69" s="60">
        <v>5</v>
      </c>
      <c r="I69" s="118">
        <f t="shared" si="56"/>
        <v>6250</v>
      </c>
      <c r="J69" s="60">
        <v>4</v>
      </c>
      <c r="K69" s="115">
        <f t="shared" si="57"/>
        <v>6250</v>
      </c>
      <c r="L69" s="104">
        <v>5</v>
      </c>
      <c r="M69" s="118">
        <f t="shared" si="58"/>
        <v>6250</v>
      </c>
      <c r="N69" s="104">
        <v>6</v>
      </c>
      <c r="P69" s="119">
        <f t="shared" si="59"/>
        <v>20</v>
      </c>
      <c r="Q69" s="60">
        <v>20</v>
      </c>
      <c r="R69" s="160">
        <f t="shared" ref="R69:R70" si="86">$E$9</f>
        <v>5000</v>
      </c>
      <c r="S69" s="160">
        <f t="shared" ref="S69:S70" si="87">$E$8</f>
        <v>6250</v>
      </c>
      <c r="T69" s="160">
        <f t="shared" ref="T69:U69" si="88">$B$11+$E$8</f>
        <v>6250</v>
      </c>
      <c r="U69" s="160">
        <f t="shared" si="88"/>
        <v>6250</v>
      </c>
      <c r="V69" s="161">
        <f t="shared" si="62"/>
        <v>0</v>
      </c>
      <c r="W69" s="115">
        <f t="shared" si="63"/>
        <v>118750</v>
      </c>
      <c r="X69" s="60"/>
      <c r="Y69" s="60"/>
      <c r="Z69" s="60"/>
      <c r="AA69" s="60"/>
      <c r="AB69" s="60"/>
    </row>
    <row r="70" spans="1:28" ht="13.5" customHeight="1" x14ac:dyDescent="0.35">
      <c r="A70" s="215">
        <v>41961</v>
      </c>
      <c r="B70" s="216" t="s">
        <v>240</v>
      </c>
      <c r="C70" s="216" t="s">
        <v>166</v>
      </c>
      <c r="D70" s="216" t="s">
        <v>135</v>
      </c>
      <c r="E70" s="216"/>
      <c r="F70" s="216"/>
      <c r="G70" s="118">
        <f t="shared" si="55"/>
        <v>5000</v>
      </c>
      <c r="H70" s="60">
        <v>5</v>
      </c>
      <c r="I70" s="118">
        <f t="shared" si="56"/>
        <v>6250</v>
      </c>
      <c r="J70" s="60">
        <v>4</v>
      </c>
      <c r="K70" s="115">
        <f t="shared" si="57"/>
        <v>6250</v>
      </c>
      <c r="L70" s="104">
        <v>5</v>
      </c>
      <c r="M70" s="118">
        <f t="shared" si="58"/>
        <v>6250</v>
      </c>
      <c r="N70" s="104">
        <v>6</v>
      </c>
      <c r="P70" s="119">
        <f t="shared" si="59"/>
        <v>20</v>
      </c>
      <c r="Q70" s="60">
        <v>20</v>
      </c>
      <c r="R70" s="160">
        <f t="shared" si="86"/>
        <v>5000</v>
      </c>
      <c r="S70" s="160">
        <f t="shared" si="87"/>
        <v>6250</v>
      </c>
      <c r="T70" s="160">
        <f t="shared" ref="T70:U70" si="89">$B$11+$E$8</f>
        <v>6250</v>
      </c>
      <c r="U70" s="160">
        <f t="shared" si="89"/>
        <v>6250</v>
      </c>
      <c r="V70" s="161">
        <f t="shared" si="62"/>
        <v>0</v>
      </c>
      <c r="W70" s="115">
        <f t="shared" si="63"/>
        <v>118750</v>
      </c>
      <c r="X70" s="60"/>
      <c r="Y70" s="60"/>
      <c r="Z70" s="60"/>
      <c r="AA70" s="60"/>
      <c r="AB70" s="60"/>
    </row>
    <row r="71" spans="1:28" ht="13.5" customHeight="1" x14ac:dyDescent="0.35">
      <c r="A71" s="262"/>
      <c r="B71" s="705" t="s">
        <v>184</v>
      </c>
      <c r="C71" s="637"/>
      <c r="D71" s="637"/>
      <c r="E71" s="637"/>
      <c r="F71" s="635"/>
      <c r="G71" s="161">
        <f>$B$3</f>
        <v>0</v>
      </c>
      <c r="H71" s="187">
        <v>5</v>
      </c>
      <c r="I71" s="161">
        <f>$B$4</f>
        <v>0</v>
      </c>
      <c r="J71" s="263">
        <v>13</v>
      </c>
      <c r="K71" s="188"/>
      <c r="L71" s="187"/>
      <c r="M71" s="161"/>
      <c r="N71" s="187"/>
      <c r="O71" s="188">
        <f>$B$9</f>
        <v>2500</v>
      </c>
      <c r="P71" s="187"/>
      <c r="Q71" s="187">
        <v>7</v>
      </c>
      <c r="R71" s="161"/>
      <c r="S71" s="161"/>
      <c r="T71" s="161"/>
      <c r="U71" s="161"/>
      <c r="V71" s="161"/>
      <c r="W71" s="188">
        <f>(G71*H71)+(I71*J71)+(O71*Q71)</f>
        <v>17500</v>
      </c>
      <c r="X71" s="189"/>
      <c r="Y71" s="189"/>
      <c r="Z71" s="189"/>
      <c r="AA71" s="189"/>
      <c r="AB71" s="189"/>
    </row>
    <row r="72" spans="1:28" ht="13.5" customHeight="1" x14ac:dyDescent="0.35">
      <c r="A72" s="262"/>
      <c r="B72" s="705" t="s">
        <v>192</v>
      </c>
      <c r="C72" s="637"/>
      <c r="D72" s="637"/>
      <c r="E72" s="637"/>
      <c r="F72" s="635"/>
      <c r="G72" s="161">
        <f>$E$12/($H73+$J73+$L73)</f>
        <v>0</v>
      </c>
      <c r="H72" s="187">
        <v>5</v>
      </c>
      <c r="I72" s="161">
        <f>$E$12/($H73+$J73+$L73)</f>
        <v>0</v>
      </c>
      <c r="J72" s="263">
        <v>13</v>
      </c>
      <c r="K72" s="188">
        <f>$E$12/($H73+$J73+$L73)</f>
        <v>0</v>
      </c>
      <c r="L72" s="187">
        <v>14</v>
      </c>
      <c r="M72" s="161"/>
      <c r="N72" s="187"/>
      <c r="O72" s="188"/>
      <c r="P72" s="187"/>
      <c r="Q72" s="187"/>
      <c r="R72" s="161"/>
      <c r="S72" s="161"/>
      <c r="T72" s="161"/>
      <c r="U72" s="161"/>
      <c r="V72" s="161"/>
      <c r="W72" s="188">
        <f>(G72*H72)+(I72*J72)+(K72*L72)+(M72*N72)</f>
        <v>0</v>
      </c>
      <c r="X72" s="189"/>
      <c r="Y72" s="189"/>
      <c r="Z72" s="189"/>
      <c r="AA72" s="189"/>
      <c r="AB72" s="189"/>
    </row>
    <row r="73" spans="1:28" ht="13.5" customHeight="1" x14ac:dyDescent="0.4">
      <c r="A73" s="711" t="s">
        <v>229</v>
      </c>
      <c r="B73" s="635"/>
      <c r="C73" s="266"/>
      <c r="D73" s="707" t="s">
        <v>197</v>
      </c>
      <c r="E73" s="637"/>
      <c r="F73" s="635"/>
      <c r="G73" s="267">
        <f>SUMPRODUCT(G52:G72,H52:H72)</f>
        <v>2149744.0253623193</v>
      </c>
      <c r="H73" s="268">
        <v>5</v>
      </c>
      <c r="I73" s="267">
        <f>SUMPRODUCT(I52:I72,J52:J72)</f>
        <v>4678809.2942028986</v>
      </c>
      <c r="J73" s="268">
        <v>13</v>
      </c>
      <c r="K73" s="267">
        <f>SUMPRODUCT(K52:K72,L52:L72)</f>
        <v>2263460.6420289855</v>
      </c>
      <c r="L73" s="270">
        <v>18</v>
      </c>
      <c r="M73" s="267">
        <f>SUMPRODUCT(M52:M72,N52:N72)</f>
        <v>624289.5384057971</v>
      </c>
      <c r="N73" s="268">
        <v>18</v>
      </c>
      <c r="O73" s="271">
        <f>$O$71*Q71</f>
        <v>17500</v>
      </c>
      <c r="P73" s="724" t="s">
        <v>201</v>
      </c>
      <c r="Q73" s="635"/>
      <c r="R73" s="268">
        <f>H73+J73+L73+N73</f>
        <v>54</v>
      </c>
      <c r="S73" s="272"/>
      <c r="T73" s="272"/>
      <c r="U73" s="272"/>
      <c r="V73" s="272"/>
      <c r="W73" s="273"/>
      <c r="X73" s="216"/>
      <c r="Y73" s="216"/>
      <c r="Z73" s="216"/>
      <c r="AA73" s="274"/>
      <c r="AB73" s="274"/>
    </row>
    <row r="74" spans="1:28" ht="13.5" customHeight="1" x14ac:dyDescent="0.4">
      <c r="A74" s="711"/>
      <c r="B74" s="635"/>
      <c r="C74" s="266"/>
      <c r="D74" s="707" t="s">
        <v>204</v>
      </c>
      <c r="E74" s="637"/>
      <c r="F74" s="635"/>
      <c r="G74" s="276">
        <f>G73/H73</f>
        <v>429948.80507246387</v>
      </c>
      <c r="H74" s="277">
        <f>(SUM(H52:H57)+(H59*3)+SUMIF(H60:H61,"&gt;0")+IF(H62&gt;0,H62*2,0)+SUM(H66:H70))/H73</f>
        <v>15</v>
      </c>
      <c r="I74" s="276">
        <f>I73/J73</f>
        <v>359908.4072463768</v>
      </c>
      <c r="J74" s="277">
        <f>(SUM(J52:J57)+(J59*3)+SUMIF(J60:J61,"&gt;0")+IF(J62&gt;0,J62*2,0)+SUM(J66:J70))/J73</f>
        <v>9.0769230769230766</v>
      </c>
      <c r="K74" s="276">
        <f>K73/L73</f>
        <v>125747.81344605476</v>
      </c>
      <c r="L74" s="277">
        <f>(SUM(L52:L57)+(L59*3)+SUMIF(L60:L61,"&gt;0")+IF(L62&gt;0,L62*2,0)+SUM(L66:L70))/L73</f>
        <v>4.7777777777777777</v>
      </c>
      <c r="M74" s="276">
        <f>M73/N73</f>
        <v>34682.752133655391</v>
      </c>
      <c r="N74" s="277">
        <f>(SUM(N52:N57)+(N59*3)+SUMIF(N60:N61,"&gt;0")+IF(N62&gt;0,N62*2,0)+SUM(N66:N70))/N73</f>
        <v>2.1111111111111112</v>
      </c>
      <c r="O74" s="278"/>
      <c r="P74" s="723" t="s">
        <v>206</v>
      </c>
      <c r="Q74" s="635"/>
      <c r="R74" s="276">
        <f>SUM(G73,I73,K73,M73,O73)</f>
        <v>9733803.5</v>
      </c>
      <c r="S74" s="272"/>
      <c r="T74" s="272"/>
      <c r="U74" s="272"/>
      <c r="V74" s="272"/>
      <c r="W74" s="279">
        <f>SUM(W52:W72)</f>
        <v>9733803.5</v>
      </c>
      <c r="X74" s="216"/>
      <c r="Y74" s="216"/>
      <c r="Z74" s="216"/>
      <c r="AA74" s="274"/>
      <c r="AB74" s="274"/>
    </row>
    <row r="75" spans="1:28" ht="13.5" customHeight="1" x14ac:dyDescent="0.35">
      <c r="A75" s="280">
        <v>42032</v>
      </c>
      <c r="B75" s="281" t="s">
        <v>241</v>
      </c>
      <c r="C75" s="281" t="s">
        <v>166</v>
      </c>
      <c r="D75" s="281" t="s">
        <v>135</v>
      </c>
      <c r="E75" s="281"/>
      <c r="F75" s="281" t="s">
        <v>164</v>
      </c>
      <c r="G75" s="118">
        <f t="shared" ref="G75:G95" si="90">R75+V75</f>
        <v>5000</v>
      </c>
      <c r="H75" s="60">
        <v>5</v>
      </c>
      <c r="I75" s="118">
        <f t="shared" ref="I75:I95" si="91">S75+V75</f>
        <v>5000</v>
      </c>
      <c r="J75" s="60">
        <v>4</v>
      </c>
      <c r="K75" s="115">
        <f t="shared" ref="K75:K95" si="92">T75+V75</f>
        <v>5000</v>
      </c>
      <c r="L75" s="60">
        <v>5</v>
      </c>
      <c r="M75" s="118">
        <f t="shared" ref="M75:M95" si="93">U75+V75</f>
        <v>5000</v>
      </c>
      <c r="N75" s="60">
        <v>4</v>
      </c>
      <c r="O75" s="60"/>
      <c r="P75" s="159">
        <f t="shared" ref="P75:P95" si="94">H75+J75+L75+N75</f>
        <v>18</v>
      </c>
      <c r="Q75" s="60">
        <v>20</v>
      </c>
      <c r="R75" s="160">
        <f t="shared" ref="R75:S75" si="95">$E$9</f>
        <v>5000</v>
      </c>
      <c r="S75" s="160">
        <f t="shared" si="95"/>
        <v>5000</v>
      </c>
      <c r="T75" s="160">
        <f t="shared" ref="T75:U75" si="96">$B$11+$E$9</f>
        <v>5000</v>
      </c>
      <c r="U75" s="160">
        <f t="shared" si="96"/>
        <v>5000</v>
      </c>
      <c r="V75" s="161">
        <f t="shared" ref="V75:V95" si="97">($E75*($E$13/$Q75))</f>
        <v>0</v>
      </c>
      <c r="W75" s="115">
        <f t="shared" ref="W75:W95" si="98">(G75*H75)+(I75*J75)+(K75*L75)+(M75*N75)</f>
        <v>90000</v>
      </c>
      <c r="X75" s="60"/>
      <c r="Y75" s="60"/>
      <c r="Z75" s="60"/>
      <c r="AA75" s="60"/>
      <c r="AB75" s="60"/>
    </row>
    <row r="76" spans="1:28" ht="13.5" customHeight="1" x14ac:dyDescent="0.35">
      <c r="A76" s="280">
        <v>42043</v>
      </c>
      <c r="B76" s="281" t="s">
        <v>182</v>
      </c>
      <c r="C76" s="281" t="s">
        <v>120</v>
      </c>
      <c r="D76" s="281" t="s">
        <v>122</v>
      </c>
      <c r="E76" s="282">
        <v>20271</v>
      </c>
      <c r="F76" s="281"/>
      <c r="G76" s="118">
        <f t="shared" si="90"/>
        <v>11064.25</v>
      </c>
      <c r="H76" s="60">
        <v>5</v>
      </c>
      <c r="I76" s="118">
        <f t="shared" si="91"/>
        <v>11064.25</v>
      </c>
      <c r="J76" s="60">
        <v>4</v>
      </c>
      <c r="K76" s="115">
        <f t="shared" si="92"/>
        <v>11064.25</v>
      </c>
      <c r="L76" s="60">
        <v>5</v>
      </c>
      <c r="M76" s="118">
        <f t="shared" si="93"/>
        <v>11064.25</v>
      </c>
      <c r="N76" s="60">
        <v>4</v>
      </c>
      <c r="O76" s="60"/>
      <c r="P76" s="159">
        <f t="shared" si="94"/>
        <v>18</v>
      </c>
      <c r="Q76" s="60">
        <v>18</v>
      </c>
      <c r="R76" s="160">
        <f t="shared" ref="R76:S76" si="99">$E$5</f>
        <v>9375</v>
      </c>
      <c r="S76" s="160">
        <f t="shared" si="99"/>
        <v>9375</v>
      </c>
      <c r="T76" s="160">
        <f t="shared" ref="T76:U76" si="100">$B$11+$E$5</f>
        <v>9375</v>
      </c>
      <c r="U76" s="160">
        <f t="shared" si="100"/>
        <v>9375</v>
      </c>
      <c r="V76" s="161">
        <f t="shared" si="97"/>
        <v>1689.25</v>
      </c>
      <c r="W76" s="115">
        <f t="shared" si="98"/>
        <v>199156.5</v>
      </c>
      <c r="X76" s="60"/>
      <c r="Y76" s="60"/>
      <c r="Z76" s="60"/>
      <c r="AA76" s="60"/>
      <c r="AB76" s="60"/>
    </row>
    <row r="77" spans="1:28" ht="13.5" customHeight="1" x14ac:dyDescent="0.35">
      <c r="A77" s="280">
        <v>42088</v>
      </c>
      <c r="B77" s="281" t="s">
        <v>212</v>
      </c>
      <c r="C77" s="281" t="s">
        <v>166</v>
      </c>
      <c r="D77" s="281" t="s">
        <v>135</v>
      </c>
      <c r="E77" s="281"/>
      <c r="F77" s="281" t="s">
        <v>157</v>
      </c>
      <c r="G77" s="118">
        <f t="shared" si="90"/>
        <v>5000</v>
      </c>
      <c r="H77" s="60">
        <v>5</v>
      </c>
      <c r="I77" s="118">
        <f t="shared" si="91"/>
        <v>6250</v>
      </c>
      <c r="J77" s="60">
        <v>6</v>
      </c>
      <c r="K77" s="115">
        <f t="shared" si="92"/>
        <v>6250</v>
      </c>
      <c r="L77" s="60">
        <v>5</v>
      </c>
      <c r="M77" s="118">
        <f t="shared" si="93"/>
        <v>6250</v>
      </c>
      <c r="N77" s="60">
        <v>4</v>
      </c>
      <c r="O77" s="60"/>
      <c r="P77" s="159">
        <f t="shared" si="94"/>
        <v>20</v>
      </c>
      <c r="Q77" s="60">
        <v>20</v>
      </c>
      <c r="R77" s="160">
        <f>$E$9</f>
        <v>5000</v>
      </c>
      <c r="S77" s="160">
        <f>$E$8</f>
        <v>6250</v>
      </c>
      <c r="T77" s="160">
        <f t="shared" ref="T77:U77" si="101">$B$11+$E$8</f>
        <v>6250</v>
      </c>
      <c r="U77" s="160">
        <f t="shared" si="101"/>
        <v>6250</v>
      </c>
      <c r="V77" s="161">
        <f t="shared" si="97"/>
        <v>0</v>
      </c>
      <c r="W77" s="115">
        <f t="shared" si="98"/>
        <v>118750</v>
      </c>
      <c r="X77" s="60"/>
      <c r="Y77" s="60"/>
      <c r="Z77" s="60"/>
      <c r="AA77" s="60"/>
      <c r="AB77" s="60"/>
    </row>
    <row r="78" spans="1:28" ht="13.5" customHeight="1" x14ac:dyDescent="0.35">
      <c r="A78" s="280">
        <v>42094</v>
      </c>
      <c r="B78" s="281" t="s">
        <v>216</v>
      </c>
      <c r="C78" s="281" t="s">
        <v>155</v>
      </c>
      <c r="D78" s="281" t="s">
        <v>135</v>
      </c>
      <c r="E78" s="281"/>
      <c r="F78" s="281" t="s">
        <v>157</v>
      </c>
      <c r="G78" s="118">
        <f t="shared" si="90"/>
        <v>8125</v>
      </c>
      <c r="H78" s="60">
        <v>5</v>
      </c>
      <c r="I78" s="118">
        <f t="shared" si="91"/>
        <v>8125</v>
      </c>
      <c r="J78" s="60">
        <v>6</v>
      </c>
      <c r="K78" s="115">
        <f t="shared" si="92"/>
        <v>8125</v>
      </c>
      <c r="L78" s="60">
        <v>5</v>
      </c>
      <c r="M78" s="118">
        <f t="shared" si="93"/>
        <v>8125</v>
      </c>
      <c r="N78" s="60">
        <v>4</v>
      </c>
      <c r="O78" s="60"/>
      <c r="P78" s="159">
        <f t="shared" si="94"/>
        <v>20</v>
      </c>
      <c r="Q78" s="60">
        <v>20</v>
      </c>
      <c r="R78" s="160">
        <f t="shared" ref="R78:S78" si="102">$E$6</f>
        <v>8125</v>
      </c>
      <c r="S78" s="160">
        <f t="shared" si="102"/>
        <v>8125</v>
      </c>
      <c r="T78" s="160">
        <f t="shared" ref="T78:U78" si="103">$B$11+$E$6</f>
        <v>8125</v>
      </c>
      <c r="U78" s="160">
        <f t="shared" si="103"/>
        <v>8125</v>
      </c>
      <c r="V78" s="161">
        <f t="shared" si="97"/>
        <v>0</v>
      </c>
      <c r="W78" s="115">
        <f t="shared" si="98"/>
        <v>162500</v>
      </c>
      <c r="X78" s="60"/>
      <c r="Y78" s="60"/>
      <c r="Z78" s="60"/>
      <c r="AA78" s="60"/>
      <c r="AB78" s="60"/>
    </row>
    <row r="79" spans="1:28" ht="13.5" customHeight="1" x14ac:dyDescent="0.35">
      <c r="A79" s="280">
        <v>42109</v>
      </c>
      <c r="B79" s="281" t="s">
        <v>170</v>
      </c>
      <c r="C79" s="281" t="s">
        <v>120</v>
      </c>
      <c r="D79" s="281" t="s">
        <v>122</v>
      </c>
      <c r="E79" s="282">
        <v>64369</v>
      </c>
      <c r="F79" s="281" t="s">
        <v>157</v>
      </c>
      <c r="G79" s="118">
        <f t="shared" si="90"/>
        <v>22989.083333333332</v>
      </c>
      <c r="H79" s="60">
        <v>5</v>
      </c>
      <c r="I79" s="118">
        <f t="shared" si="91"/>
        <v>22989.083333333332</v>
      </c>
      <c r="J79" s="60">
        <v>7</v>
      </c>
      <c r="K79" s="115">
        <f t="shared" si="92"/>
        <v>22989.083333333332</v>
      </c>
      <c r="L79" s="60">
        <v>5</v>
      </c>
      <c r="M79" s="118">
        <f t="shared" si="93"/>
        <v>22989.083333333332</v>
      </c>
      <c r="N79" s="60">
        <v>1</v>
      </c>
      <c r="O79" s="60"/>
      <c r="P79" s="159">
        <f t="shared" si="94"/>
        <v>18</v>
      </c>
      <c r="Q79" s="60">
        <v>18</v>
      </c>
      <c r="R79" s="160">
        <f t="shared" ref="R79:S79" si="104">$E$3</f>
        <v>17625</v>
      </c>
      <c r="S79" s="160">
        <f t="shared" si="104"/>
        <v>17625</v>
      </c>
      <c r="T79" s="160">
        <f t="shared" ref="T79:U79" si="105">$B$11+$E$3</f>
        <v>17625</v>
      </c>
      <c r="U79" s="160">
        <f t="shared" si="105"/>
        <v>17625</v>
      </c>
      <c r="V79" s="161">
        <f t="shared" si="97"/>
        <v>5364.083333333333</v>
      </c>
      <c r="W79" s="115">
        <f t="shared" si="98"/>
        <v>413803.49999999994</v>
      </c>
      <c r="X79" s="60"/>
      <c r="Y79" s="60"/>
      <c r="Z79" s="60"/>
      <c r="AA79" s="60"/>
      <c r="AB79" s="60"/>
    </row>
    <row r="80" spans="1:28" ht="13.5" customHeight="1" x14ac:dyDescent="0.35">
      <c r="A80" s="280">
        <v>42160</v>
      </c>
      <c r="B80" s="281" t="s">
        <v>163</v>
      </c>
      <c r="C80" s="281" t="s">
        <v>120</v>
      </c>
      <c r="D80" s="281" t="s">
        <v>135</v>
      </c>
      <c r="E80" s="281"/>
      <c r="F80" s="281" t="s">
        <v>164</v>
      </c>
      <c r="G80" s="118">
        <f t="shared" si="90"/>
        <v>12500</v>
      </c>
      <c r="H80" s="60">
        <v>5</v>
      </c>
      <c r="I80" s="118">
        <f t="shared" si="91"/>
        <v>12500</v>
      </c>
      <c r="J80" s="60">
        <v>7</v>
      </c>
      <c r="K80" s="115">
        <f t="shared" si="92"/>
        <v>12500</v>
      </c>
      <c r="L80" s="60">
        <v>5</v>
      </c>
      <c r="M80" s="118">
        <f t="shared" si="93"/>
        <v>12500</v>
      </c>
      <c r="N80" s="60">
        <v>3</v>
      </c>
      <c r="O80" s="60"/>
      <c r="P80" s="159">
        <f t="shared" si="94"/>
        <v>20</v>
      </c>
      <c r="Q80" s="60">
        <v>20</v>
      </c>
      <c r="R80" s="160">
        <f t="shared" ref="R80:S80" si="106">$E$4</f>
        <v>12500</v>
      </c>
      <c r="S80" s="160">
        <f t="shared" si="106"/>
        <v>12500</v>
      </c>
      <c r="T80" s="160">
        <f t="shared" ref="T80:U80" si="107">$B$11+$E$4</f>
        <v>12500</v>
      </c>
      <c r="U80" s="160">
        <f t="shared" si="107"/>
        <v>12500</v>
      </c>
      <c r="V80" s="161">
        <f t="shared" si="97"/>
        <v>0</v>
      </c>
      <c r="W80" s="115">
        <f t="shared" si="98"/>
        <v>250000</v>
      </c>
      <c r="X80" s="60"/>
      <c r="Y80" s="60"/>
      <c r="Z80" s="60"/>
      <c r="AA80" s="60"/>
      <c r="AB80" s="60"/>
    </row>
    <row r="81" spans="1:28" ht="13.5" customHeight="1" x14ac:dyDescent="0.35">
      <c r="A81" s="280">
        <v>42165</v>
      </c>
      <c r="B81" s="281" t="s">
        <v>156</v>
      </c>
      <c r="C81" s="281" t="s">
        <v>120</v>
      </c>
      <c r="D81" s="281" t="s">
        <v>135</v>
      </c>
      <c r="E81" s="281"/>
      <c r="F81" s="281" t="s">
        <v>164</v>
      </c>
      <c r="G81" s="118">
        <f t="shared" si="90"/>
        <v>12500</v>
      </c>
      <c r="H81" s="60">
        <v>5</v>
      </c>
      <c r="I81" s="118">
        <f t="shared" si="91"/>
        <v>12500</v>
      </c>
      <c r="J81" s="60">
        <v>7</v>
      </c>
      <c r="K81" s="115">
        <f t="shared" si="92"/>
        <v>12500</v>
      </c>
      <c r="L81" s="60">
        <v>5</v>
      </c>
      <c r="M81" s="118">
        <f t="shared" si="93"/>
        <v>12500</v>
      </c>
      <c r="N81" s="60">
        <v>3</v>
      </c>
      <c r="O81" s="60"/>
      <c r="P81" s="159">
        <f t="shared" si="94"/>
        <v>20</v>
      </c>
      <c r="Q81" s="60">
        <v>20</v>
      </c>
      <c r="R81" s="160">
        <f t="shared" ref="R81:S81" si="108">$E$4</f>
        <v>12500</v>
      </c>
      <c r="S81" s="160">
        <f t="shared" si="108"/>
        <v>12500</v>
      </c>
      <c r="T81" s="160">
        <f t="shared" ref="T81:U81" si="109">$B$11+$E$4</f>
        <v>12500</v>
      </c>
      <c r="U81" s="160">
        <f t="shared" si="109"/>
        <v>12500</v>
      </c>
      <c r="V81" s="161">
        <f t="shared" si="97"/>
        <v>0</v>
      </c>
      <c r="W81" s="115">
        <f t="shared" si="98"/>
        <v>250000</v>
      </c>
      <c r="X81" s="60"/>
      <c r="Y81" s="60"/>
      <c r="Z81" s="60"/>
      <c r="AA81" s="60"/>
      <c r="AB81" s="60"/>
    </row>
    <row r="82" spans="1:28" ht="13.5" customHeight="1" x14ac:dyDescent="0.35">
      <c r="A82" s="280">
        <v>42188</v>
      </c>
      <c r="B82" s="281" t="s">
        <v>187</v>
      </c>
      <c r="C82" s="281" t="s">
        <v>120</v>
      </c>
      <c r="D82" s="281" t="s">
        <v>122</v>
      </c>
      <c r="E82" s="282">
        <v>44835</v>
      </c>
      <c r="F82" s="281"/>
      <c r="G82" s="118">
        <f t="shared" si="90"/>
        <v>12299.021739130434</v>
      </c>
      <c r="H82" s="60">
        <v>5</v>
      </c>
      <c r="I82" s="118">
        <f t="shared" si="91"/>
        <v>12299.021739130434</v>
      </c>
      <c r="J82" s="60">
        <v>8</v>
      </c>
      <c r="K82" s="115">
        <f t="shared" si="92"/>
        <v>12299.021739130434</v>
      </c>
      <c r="L82" s="60">
        <v>8</v>
      </c>
      <c r="M82" s="118">
        <f t="shared" si="93"/>
        <v>12299.021739130434</v>
      </c>
      <c r="N82" s="60">
        <v>2</v>
      </c>
      <c r="O82" s="60"/>
      <c r="P82" s="159">
        <f t="shared" si="94"/>
        <v>23</v>
      </c>
      <c r="Q82" s="60">
        <v>23</v>
      </c>
      <c r="R82" s="160">
        <f t="shared" ref="R82:S82" si="110">$E$5</f>
        <v>9375</v>
      </c>
      <c r="S82" s="160">
        <f t="shared" si="110"/>
        <v>9375</v>
      </c>
      <c r="T82" s="160">
        <f t="shared" ref="T82:U82" si="111">$B$11+$E$5</f>
        <v>9375</v>
      </c>
      <c r="U82" s="160">
        <f t="shared" si="111"/>
        <v>9375</v>
      </c>
      <c r="V82" s="161">
        <f t="shared" si="97"/>
        <v>2924.0217391304345</v>
      </c>
      <c r="W82" s="115">
        <f t="shared" si="98"/>
        <v>282877.5</v>
      </c>
      <c r="X82" s="60"/>
      <c r="Y82" s="60"/>
      <c r="Z82" s="60"/>
      <c r="AA82" s="60"/>
      <c r="AB82" s="60"/>
    </row>
    <row r="83" spans="1:28" ht="13.5" customHeight="1" x14ac:dyDescent="0.35">
      <c r="A83" s="255">
        <v>42192</v>
      </c>
      <c r="B83" s="283" t="s">
        <v>165</v>
      </c>
      <c r="C83" s="283" t="s">
        <v>120</v>
      </c>
      <c r="D83" s="283" t="s">
        <v>188</v>
      </c>
      <c r="E83" s="284"/>
      <c r="F83" s="283"/>
      <c r="G83" s="143">
        <f t="shared" si="90"/>
        <v>9375</v>
      </c>
      <c r="H83" s="144">
        <v>5</v>
      </c>
      <c r="I83" s="143">
        <f t="shared" si="91"/>
        <v>9375</v>
      </c>
      <c r="J83" s="144">
        <v>8</v>
      </c>
      <c r="K83" s="138">
        <f t="shared" si="92"/>
        <v>9375</v>
      </c>
      <c r="L83" s="144">
        <v>8</v>
      </c>
      <c r="M83" s="143">
        <f t="shared" si="93"/>
        <v>9375</v>
      </c>
      <c r="N83" s="144">
        <v>2</v>
      </c>
      <c r="O83" s="144"/>
      <c r="P83" s="146">
        <f t="shared" si="94"/>
        <v>23</v>
      </c>
      <c r="Q83" s="144">
        <v>23</v>
      </c>
      <c r="R83" s="186">
        <f t="shared" ref="R83:U83" si="112">$H$4</f>
        <v>9375</v>
      </c>
      <c r="S83" s="186">
        <f t="shared" si="112"/>
        <v>9375</v>
      </c>
      <c r="T83" s="186">
        <f t="shared" si="112"/>
        <v>9375</v>
      </c>
      <c r="U83" s="186">
        <f t="shared" si="112"/>
        <v>9375</v>
      </c>
      <c r="V83" s="161">
        <f t="shared" si="97"/>
        <v>0</v>
      </c>
      <c r="W83" s="115">
        <f t="shared" si="98"/>
        <v>215625</v>
      </c>
      <c r="X83" s="144"/>
      <c r="Y83" s="144"/>
      <c r="Z83" s="144"/>
      <c r="AA83" s="144"/>
      <c r="AB83" s="144"/>
    </row>
    <row r="84" spans="1:28" ht="13.5" customHeight="1" x14ac:dyDescent="0.35">
      <c r="A84" s="255">
        <v>42195</v>
      </c>
      <c r="B84" s="283" t="s">
        <v>223</v>
      </c>
      <c r="C84" s="283" t="s">
        <v>120</v>
      </c>
      <c r="D84" s="283" t="s">
        <v>188</v>
      </c>
      <c r="E84" s="284"/>
      <c r="F84" s="283"/>
      <c r="G84" s="143">
        <f t="shared" si="90"/>
        <v>9375</v>
      </c>
      <c r="H84" s="144">
        <v>5</v>
      </c>
      <c r="I84" s="143">
        <f t="shared" si="91"/>
        <v>9375</v>
      </c>
      <c r="J84" s="144">
        <v>8</v>
      </c>
      <c r="K84" s="138">
        <f t="shared" si="92"/>
        <v>9375</v>
      </c>
      <c r="L84" s="144">
        <v>8</v>
      </c>
      <c r="M84" s="143">
        <f t="shared" si="93"/>
        <v>9375</v>
      </c>
      <c r="N84" s="144">
        <v>2</v>
      </c>
      <c r="O84" s="144"/>
      <c r="P84" s="146">
        <f t="shared" si="94"/>
        <v>23</v>
      </c>
      <c r="Q84" s="144">
        <v>23</v>
      </c>
      <c r="R84" s="186">
        <f t="shared" ref="R84:U84" si="113">$H$4</f>
        <v>9375</v>
      </c>
      <c r="S84" s="186">
        <f t="shared" si="113"/>
        <v>9375</v>
      </c>
      <c r="T84" s="186">
        <f t="shared" si="113"/>
        <v>9375</v>
      </c>
      <c r="U84" s="186">
        <f t="shared" si="113"/>
        <v>9375</v>
      </c>
      <c r="V84" s="161">
        <f t="shared" si="97"/>
        <v>0</v>
      </c>
      <c r="W84" s="115">
        <f t="shared" si="98"/>
        <v>215625</v>
      </c>
      <c r="X84" s="144"/>
      <c r="Y84" s="144"/>
      <c r="Z84" s="144"/>
      <c r="AA84" s="144"/>
      <c r="AB84" s="144"/>
    </row>
    <row r="85" spans="1:28" ht="13.5" customHeight="1" x14ac:dyDescent="0.35">
      <c r="A85" s="255">
        <v>42198</v>
      </c>
      <c r="B85" s="283" t="s">
        <v>182</v>
      </c>
      <c r="C85" s="283" t="s">
        <v>155</v>
      </c>
      <c r="D85" s="283" t="s">
        <v>188</v>
      </c>
      <c r="E85" s="284"/>
      <c r="F85" s="283"/>
      <c r="G85" s="143">
        <f t="shared" si="90"/>
        <v>6563</v>
      </c>
      <c r="H85" s="144">
        <v>5</v>
      </c>
      <c r="I85" s="143">
        <f t="shared" si="91"/>
        <v>6563</v>
      </c>
      <c r="J85" s="144">
        <v>8</v>
      </c>
      <c r="K85" s="138">
        <f t="shared" si="92"/>
        <v>6563</v>
      </c>
      <c r="L85" s="144">
        <v>8</v>
      </c>
      <c r="M85" s="143">
        <f t="shared" si="93"/>
        <v>6563</v>
      </c>
      <c r="N85" s="144">
        <v>2</v>
      </c>
      <c r="O85" s="144"/>
      <c r="P85" s="146">
        <f t="shared" si="94"/>
        <v>23</v>
      </c>
      <c r="Q85" s="144">
        <v>23</v>
      </c>
      <c r="R85" s="186">
        <f t="shared" ref="R85:U85" si="114">$H$5</f>
        <v>6563</v>
      </c>
      <c r="S85" s="186">
        <f t="shared" si="114"/>
        <v>6563</v>
      </c>
      <c r="T85" s="186">
        <f t="shared" si="114"/>
        <v>6563</v>
      </c>
      <c r="U85" s="186">
        <f t="shared" si="114"/>
        <v>6563</v>
      </c>
      <c r="V85" s="161">
        <f t="shared" si="97"/>
        <v>0</v>
      </c>
      <c r="W85" s="115">
        <f t="shared" si="98"/>
        <v>150949</v>
      </c>
      <c r="X85" s="144"/>
      <c r="Y85" s="144"/>
      <c r="Z85" s="144"/>
      <c r="AA85" s="144"/>
      <c r="AB85" s="144"/>
    </row>
    <row r="86" spans="1:28" ht="13.5" customHeight="1" x14ac:dyDescent="0.35">
      <c r="A86" s="255">
        <v>42203</v>
      </c>
      <c r="B86" s="283" t="s">
        <v>191</v>
      </c>
      <c r="C86" s="283" t="s">
        <v>120</v>
      </c>
      <c r="D86" s="283" t="s">
        <v>196</v>
      </c>
      <c r="E86" s="284"/>
      <c r="F86" s="283"/>
      <c r="G86" s="143">
        <f t="shared" si="90"/>
        <v>9375</v>
      </c>
      <c r="H86" s="144">
        <v>5</v>
      </c>
      <c r="I86" s="143">
        <f t="shared" si="91"/>
        <v>9375</v>
      </c>
      <c r="J86" s="144">
        <v>8</v>
      </c>
      <c r="K86" s="138">
        <f t="shared" si="92"/>
        <v>9375</v>
      </c>
      <c r="L86" s="144">
        <v>8</v>
      </c>
      <c r="M86" s="143">
        <f t="shared" si="93"/>
        <v>9375</v>
      </c>
      <c r="N86" s="144">
        <v>2</v>
      </c>
      <c r="O86" s="144"/>
      <c r="P86" s="146">
        <f t="shared" si="94"/>
        <v>23</v>
      </c>
      <c r="Q86" s="144">
        <v>23</v>
      </c>
      <c r="R86" s="186">
        <f t="shared" ref="R86:U86" si="115">$H$4</f>
        <v>9375</v>
      </c>
      <c r="S86" s="186">
        <f t="shared" si="115"/>
        <v>9375</v>
      </c>
      <c r="T86" s="186">
        <f t="shared" si="115"/>
        <v>9375</v>
      </c>
      <c r="U86" s="186">
        <f t="shared" si="115"/>
        <v>9375</v>
      </c>
      <c r="V86" s="161">
        <f t="shared" si="97"/>
        <v>0</v>
      </c>
      <c r="W86" s="115">
        <f t="shared" si="98"/>
        <v>215625</v>
      </c>
      <c r="X86" s="144"/>
      <c r="Y86" s="144"/>
      <c r="Z86" s="144"/>
      <c r="AA86" s="144"/>
      <c r="AB86" s="144"/>
    </row>
    <row r="87" spans="1:28" ht="13.5" customHeight="1" x14ac:dyDescent="0.35">
      <c r="A87" s="255">
        <v>42207</v>
      </c>
      <c r="B87" s="283" t="s">
        <v>178</v>
      </c>
      <c r="C87" s="283" t="s">
        <v>166</v>
      </c>
      <c r="D87" s="283" t="s">
        <v>198</v>
      </c>
      <c r="E87" s="284"/>
      <c r="F87" s="283"/>
      <c r="G87" s="143">
        <f t="shared" si="90"/>
        <v>5000</v>
      </c>
      <c r="H87" s="144">
        <v>5</v>
      </c>
      <c r="I87" s="143">
        <f t="shared" si="91"/>
        <v>5000</v>
      </c>
      <c r="J87" s="144">
        <v>8</v>
      </c>
      <c r="K87" s="138">
        <f t="shared" si="92"/>
        <v>5000</v>
      </c>
      <c r="L87" s="144">
        <v>8</v>
      </c>
      <c r="M87" s="143">
        <f t="shared" si="93"/>
        <v>5000</v>
      </c>
      <c r="N87" s="144">
        <v>2</v>
      </c>
      <c r="O87" s="144"/>
      <c r="P87" s="146">
        <f t="shared" si="94"/>
        <v>23</v>
      </c>
      <c r="Q87" s="144">
        <v>23</v>
      </c>
      <c r="R87" s="186">
        <f t="shared" ref="R87:U87" si="116">$H$6</f>
        <v>5000</v>
      </c>
      <c r="S87" s="186">
        <f t="shared" si="116"/>
        <v>5000</v>
      </c>
      <c r="T87" s="186">
        <f t="shared" si="116"/>
        <v>5000</v>
      </c>
      <c r="U87" s="186">
        <f t="shared" si="116"/>
        <v>5000</v>
      </c>
      <c r="V87" s="161">
        <f t="shared" si="97"/>
        <v>0</v>
      </c>
      <c r="W87" s="115">
        <f t="shared" si="98"/>
        <v>115000</v>
      </c>
      <c r="X87" s="144"/>
      <c r="Y87" s="144"/>
      <c r="Z87" s="144"/>
      <c r="AA87" s="144"/>
      <c r="AB87" s="144"/>
    </row>
    <row r="88" spans="1:28" ht="13.5" customHeight="1" x14ac:dyDescent="0.35">
      <c r="A88" s="255">
        <v>42210</v>
      </c>
      <c r="B88" s="283" t="s">
        <v>182</v>
      </c>
      <c r="C88" s="283" t="s">
        <v>155</v>
      </c>
      <c r="D88" s="714" t="s">
        <v>243</v>
      </c>
      <c r="E88" s="637"/>
      <c r="F88" s="635"/>
      <c r="G88" s="143">
        <f t="shared" si="90"/>
        <v>6563</v>
      </c>
      <c r="H88" s="144">
        <v>5</v>
      </c>
      <c r="I88" s="143">
        <f t="shared" si="91"/>
        <v>6563</v>
      </c>
      <c r="J88" s="144">
        <v>8</v>
      </c>
      <c r="K88" s="138">
        <f t="shared" si="92"/>
        <v>6563</v>
      </c>
      <c r="L88" s="144">
        <v>8</v>
      </c>
      <c r="M88" s="143">
        <f t="shared" si="93"/>
        <v>6563</v>
      </c>
      <c r="N88" s="144">
        <v>2</v>
      </c>
      <c r="O88" s="144"/>
      <c r="P88" s="146">
        <f t="shared" si="94"/>
        <v>23</v>
      </c>
      <c r="Q88" s="144">
        <v>23</v>
      </c>
      <c r="R88" s="186">
        <f t="shared" ref="R88:U88" si="117">$H$5</f>
        <v>6563</v>
      </c>
      <c r="S88" s="186">
        <f t="shared" si="117"/>
        <v>6563</v>
      </c>
      <c r="T88" s="186">
        <f t="shared" si="117"/>
        <v>6563</v>
      </c>
      <c r="U88" s="186">
        <f t="shared" si="117"/>
        <v>6563</v>
      </c>
      <c r="V88" s="161">
        <f t="shared" si="97"/>
        <v>0</v>
      </c>
      <c r="W88" s="115">
        <f t="shared" si="98"/>
        <v>150949</v>
      </c>
      <c r="X88" s="144"/>
      <c r="Y88" s="144"/>
      <c r="Z88" s="144"/>
      <c r="AA88" s="144"/>
      <c r="AB88" s="144"/>
    </row>
    <row r="89" spans="1:28" ht="13.5" customHeight="1" x14ac:dyDescent="0.35">
      <c r="A89" s="255"/>
      <c r="B89" s="706" t="s">
        <v>250</v>
      </c>
      <c r="C89" s="637"/>
      <c r="D89" s="637"/>
      <c r="E89" s="637"/>
      <c r="F89" s="635"/>
      <c r="G89" s="143">
        <f t="shared" si="90"/>
        <v>0</v>
      </c>
      <c r="H89" s="144">
        <v>5</v>
      </c>
      <c r="I89" s="143">
        <f t="shared" si="91"/>
        <v>0</v>
      </c>
      <c r="J89" s="144">
        <v>8</v>
      </c>
      <c r="K89" s="138">
        <f t="shared" si="92"/>
        <v>0</v>
      </c>
      <c r="L89" s="144">
        <v>8</v>
      </c>
      <c r="M89" s="143">
        <f t="shared" si="93"/>
        <v>0</v>
      </c>
      <c r="N89" s="144">
        <v>2</v>
      </c>
      <c r="O89" s="144"/>
      <c r="P89" s="146">
        <f t="shared" si="94"/>
        <v>23</v>
      </c>
      <c r="Q89" s="144">
        <v>23</v>
      </c>
      <c r="R89" s="186">
        <f t="shared" ref="R89:U89" si="118">$H$11</f>
        <v>0</v>
      </c>
      <c r="S89" s="186">
        <f t="shared" si="118"/>
        <v>0</v>
      </c>
      <c r="T89" s="186">
        <f t="shared" si="118"/>
        <v>0</v>
      </c>
      <c r="U89" s="186">
        <f t="shared" si="118"/>
        <v>0</v>
      </c>
      <c r="V89" s="161">
        <f t="shared" si="97"/>
        <v>0</v>
      </c>
      <c r="W89" s="115">
        <f t="shared" si="98"/>
        <v>0</v>
      </c>
      <c r="X89" s="144"/>
      <c r="Y89" s="144"/>
      <c r="Z89" s="144"/>
      <c r="AA89" s="144"/>
      <c r="AB89" s="144"/>
    </row>
    <row r="90" spans="1:28" ht="13.5" customHeight="1" x14ac:dyDescent="0.35">
      <c r="A90" s="280">
        <v>42251</v>
      </c>
      <c r="B90" s="281" t="s">
        <v>252</v>
      </c>
      <c r="C90" s="281" t="s">
        <v>120</v>
      </c>
      <c r="D90" s="281" t="s">
        <v>122</v>
      </c>
      <c r="E90" s="282">
        <v>28896</v>
      </c>
      <c r="F90" s="281" t="s">
        <v>164</v>
      </c>
      <c r="G90" s="118">
        <f t="shared" si="90"/>
        <v>14908</v>
      </c>
      <c r="H90" s="60">
        <v>5</v>
      </c>
      <c r="I90" s="118">
        <f t="shared" si="91"/>
        <v>14908</v>
      </c>
      <c r="J90" s="60">
        <v>4</v>
      </c>
      <c r="K90" s="115">
        <f t="shared" si="92"/>
        <v>14908</v>
      </c>
      <c r="L90" s="60">
        <v>5</v>
      </c>
      <c r="M90" s="118">
        <f t="shared" si="93"/>
        <v>14908</v>
      </c>
      <c r="N90" s="60">
        <v>4</v>
      </c>
      <c r="O90" s="60"/>
      <c r="P90" s="159">
        <f t="shared" si="94"/>
        <v>18</v>
      </c>
      <c r="Q90" s="60">
        <v>18</v>
      </c>
      <c r="R90" s="160">
        <f t="shared" ref="R90:S90" si="119">$E$4</f>
        <v>12500</v>
      </c>
      <c r="S90" s="160">
        <f t="shared" si="119"/>
        <v>12500</v>
      </c>
      <c r="T90" s="160">
        <f t="shared" ref="T90:U90" si="120">$B$11+$E$4</f>
        <v>12500</v>
      </c>
      <c r="U90" s="160">
        <f t="shared" si="120"/>
        <v>12500</v>
      </c>
      <c r="V90" s="161">
        <f t="shared" si="97"/>
        <v>2408</v>
      </c>
      <c r="W90" s="115">
        <f t="shared" si="98"/>
        <v>268344</v>
      </c>
      <c r="X90" s="60"/>
      <c r="Y90" s="60"/>
      <c r="Z90" s="60"/>
      <c r="AA90" s="60"/>
      <c r="AB90" s="60"/>
    </row>
    <row r="91" spans="1:28" ht="13.5" customHeight="1" x14ac:dyDescent="0.35">
      <c r="A91" s="280">
        <v>42255</v>
      </c>
      <c r="B91" s="281" t="s">
        <v>179</v>
      </c>
      <c r="C91" s="281" t="s">
        <v>166</v>
      </c>
      <c r="D91" s="281" t="s">
        <v>122</v>
      </c>
      <c r="E91" s="282">
        <v>29308</v>
      </c>
      <c r="F91" s="281" t="s">
        <v>157</v>
      </c>
      <c r="G91" s="118">
        <f t="shared" si="90"/>
        <v>7442.333333333333</v>
      </c>
      <c r="H91" s="60">
        <v>5</v>
      </c>
      <c r="I91" s="118">
        <f t="shared" si="91"/>
        <v>8692.3333333333321</v>
      </c>
      <c r="J91" s="60">
        <v>4</v>
      </c>
      <c r="K91" s="115">
        <f t="shared" si="92"/>
        <v>8692.3333333333321</v>
      </c>
      <c r="L91" s="60">
        <v>5</v>
      </c>
      <c r="M91" s="118">
        <f t="shared" si="93"/>
        <v>8692.3333333333321</v>
      </c>
      <c r="N91" s="60">
        <v>4</v>
      </c>
      <c r="O91" s="60"/>
      <c r="P91" s="159">
        <f t="shared" si="94"/>
        <v>18</v>
      </c>
      <c r="Q91" s="60">
        <v>18</v>
      </c>
      <c r="R91" s="160">
        <f>$E$9</f>
        <v>5000</v>
      </c>
      <c r="S91" s="160">
        <f>$E$8</f>
        <v>6250</v>
      </c>
      <c r="T91" s="160">
        <f t="shared" ref="T91:U91" si="121">$B$11+$E$8</f>
        <v>6250</v>
      </c>
      <c r="U91" s="160">
        <f t="shared" si="121"/>
        <v>6250</v>
      </c>
      <c r="V91" s="161">
        <f t="shared" si="97"/>
        <v>2442.333333333333</v>
      </c>
      <c r="W91" s="115">
        <f t="shared" si="98"/>
        <v>150212</v>
      </c>
      <c r="X91" s="60"/>
      <c r="Y91" s="60"/>
      <c r="Z91" s="60"/>
      <c r="AA91" s="60"/>
      <c r="AB91" s="60"/>
    </row>
    <row r="92" spans="1:28" ht="13.5" customHeight="1" x14ac:dyDescent="0.35">
      <c r="A92" s="255">
        <v>42287</v>
      </c>
      <c r="B92" s="283" t="s">
        <v>170</v>
      </c>
      <c r="C92" s="283" t="s">
        <v>155</v>
      </c>
      <c r="D92" s="283" t="s">
        <v>254</v>
      </c>
      <c r="E92" s="284"/>
      <c r="F92" s="283" t="s">
        <v>157</v>
      </c>
      <c r="G92" s="143">
        <f t="shared" si="90"/>
        <v>0</v>
      </c>
      <c r="H92" s="144">
        <v>5</v>
      </c>
      <c r="I92" s="143">
        <f t="shared" si="91"/>
        <v>0</v>
      </c>
      <c r="J92" s="144">
        <v>9</v>
      </c>
      <c r="K92" s="138">
        <f t="shared" si="92"/>
        <v>0</v>
      </c>
      <c r="L92" s="144">
        <v>6</v>
      </c>
      <c r="M92" s="143">
        <f t="shared" si="93"/>
        <v>0</v>
      </c>
      <c r="N92" s="144">
        <v>3</v>
      </c>
      <c r="O92" s="144"/>
      <c r="P92" s="146">
        <f t="shared" si="94"/>
        <v>23</v>
      </c>
      <c r="Q92" s="144">
        <v>23</v>
      </c>
      <c r="R92" s="186">
        <v>0</v>
      </c>
      <c r="S92" s="186">
        <v>0</v>
      </c>
      <c r="T92" s="186">
        <v>0</v>
      </c>
      <c r="U92" s="186">
        <v>0</v>
      </c>
      <c r="V92" s="161">
        <f t="shared" si="97"/>
        <v>0</v>
      </c>
      <c r="W92" s="115">
        <f t="shared" si="98"/>
        <v>0</v>
      </c>
      <c r="X92" s="144"/>
      <c r="Y92" s="144"/>
      <c r="Z92" s="144"/>
      <c r="AA92" s="144"/>
      <c r="AB92" s="144"/>
    </row>
    <row r="93" spans="1:28" ht="13.5" customHeight="1" x14ac:dyDescent="0.35">
      <c r="A93" s="280">
        <v>42290</v>
      </c>
      <c r="B93" s="281" t="s">
        <v>171</v>
      </c>
      <c r="C93" s="281" t="s">
        <v>166</v>
      </c>
      <c r="D93" s="281" t="s">
        <v>122</v>
      </c>
      <c r="E93" s="282">
        <v>9214</v>
      </c>
      <c r="F93" s="281"/>
      <c r="G93" s="118">
        <f t="shared" si="90"/>
        <v>5767.833333333333</v>
      </c>
      <c r="H93" s="60">
        <v>5</v>
      </c>
      <c r="I93" s="118">
        <f t="shared" si="91"/>
        <v>7017.833333333333</v>
      </c>
      <c r="J93" s="60">
        <v>5</v>
      </c>
      <c r="K93" s="115">
        <f t="shared" si="92"/>
        <v>7017.833333333333</v>
      </c>
      <c r="L93" s="60">
        <v>5</v>
      </c>
      <c r="M93" s="118">
        <f t="shared" si="93"/>
        <v>7017.833333333333</v>
      </c>
      <c r="N93" s="60">
        <v>3</v>
      </c>
      <c r="O93" s="60"/>
      <c r="P93" s="159">
        <f t="shared" si="94"/>
        <v>18</v>
      </c>
      <c r="Q93" s="60">
        <v>18</v>
      </c>
      <c r="R93" s="160">
        <f>$E$9</f>
        <v>5000</v>
      </c>
      <c r="S93" s="160">
        <f>$E$8</f>
        <v>6250</v>
      </c>
      <c r="T93" s="160">
        <f t="shared" ref="T93:U93" si="122">$B$11+$E$8</f>
        <v>6250</v>
      </c>
      <c r="U93" s="160">
        <f t="shared" si="122"/>
        <v>6250</v>
      </c>
      <c r="V93" s="161">
        <f t="shared" si="97"/>
        <v>767.83333333333326</v>
      </c>
      <c r="W93" s="115">
        <f t="shared" si="98"/>
        <v>120071</v>
      </c>
      <c r="X93" s="60"/>
      <c r="Y93" s="60"/>
      <c r="Z93" s="60"/>
      <c r="AA93" s="60"/>
      <c r="AB93" s="60"/>
    </row>
    <row r="94" spans="1:28" ht="13.5" customHeight="1" x14ac:dyDescent="0.35">
      <c r="A94" s="269">
        <v>42321</v>
      </c>
      <c r="B94" s="288" t="s">
        <v>293</v>
      </c>
      <c r="C94" s="288" t="s">
        <v>120</v>
      </c>
      <c r="D94" s="288" t="s">
        <v>304</v>
      </c>
      <c r="E94" s="289">
        <v>43433</v>
      </c>
      <c r="F94" s="288"/>
      <c r="G94" s="168">
        <f t="shared" si="90"/>
        <v>18457.58695652174</v>
      </c>
      <c r="H94" s="171">
        <v>5</v>
      </c>
      <c r="I94" s="168">
        <f t="shared" si="91"/>
        <v>18457.58695652174</v>
      </c>
      <c r="J94" s="171">
        <v>9</v>
      </c>
      <c r="K94" s="224">
        <f t="shared" si="92"/>
        <v>18457.58695652174</v>
      </c>
      <c r="L94" s="171">
        <v>7</v>
      </c>
      <c r="M94" s="168">
        <f t="shared" si="93"/>
        <v>18457.58695652174</v>
      </c>
      <c r="N94" s="171">
        <v>2</v>
      </c>
      <c r="O94" s="171"/>
      <c r="P94" s="172">
        <f t="shared" si="94"/>
        <v>23</v>
      </c>
      <c r="Q94" s="171">
        <v>23</v>
      </c>
      <c r="R94" s="173">
        <f t="shared" ref="R94:U94" si="123">$M$3</f>
        <v>15625</v>
      </c>
      <c r="S94" s="173">
        <f t="shared" si="123"/>
        <v>15625</v>
      </c>
      <c r="T94" s="173">
        <f t="shared" si="123"/>
        <v>15625</v>
      </c>
      <c r="U94" s="173">
        <f t="shared" si="123"/>
        <v>15625</v>
      </c>
      <c r="V94" s="161">
        <f t="shared" si="97"/>
        <v>2832.586956521739</v>
      </c>
      <c r="W94" s="115">
        <f t="shared" si="98"/>
        <v>424524.5</v>
      </c>
      <c r="X94" s="171"/>
      <c r="Y94" s="171"/>
      <c r="Z94" s="171"/>
      <c r="AA94" s="171"/>
      <c r="AB94" s="171"/>
    </row>
    <row r="95" spans="1:28" ht="13.5" customHeight="1" x14ac:dyDescent="0.35">
      <c r="A95" s="269">
        <v>42325</v>
      </c>
      <c r="B95" s="288" t="s">
        <v>327</v>
      </c>
      <c r="C95" s="288" t="s">
        <v>155</v>
      </c>
      <c r="D95" s="288" t="s">
        <v>328</v>
      </c>
      <c r="E95" s="288"/>
      <c r="F95" s="288"/>
      <c r="G95" s="168">
        <f t="shared" si="90"/>
        <v>7500</v>
      </c>
      <c r="H95" s="171">
        <v>5</v>
      </c>
      <c r="I95" s="168">
        <f t="shared" si="91"/>
        <v>7500</v>
      </c>
      <c r="J95" s="171">
        <v>9</v>
      </c>
      <c r="K95" s="224">
        <f t="shared" si="92"/>
        <v>7500</v>
      </c>
      <c r="L95" s="171">
        <v>7</v>
      </c>
      <c r="M95" s="168">
        <f t="shared" si="93"/>
        <v>7500</v>
      </c>
      <c r="N95" s="171">
        <v>2</v>
      </c>
      <c r="O95" s="171"/>
      <c r="P95" s="172">
        <f t="shared" si="94"/>
        <v>23</v>
      </c>
      <c r="Q95" s="171">
        <v>23</v>
      </c>
      <c r="R95" s="173">
        <f t="shared" ref="R95:U95" si="124">$M$4</f>
        <v>7500</v>
      </c>
      <c r="S95" s="173">
        <f t="shared" si="124"/>
        <v>7500</v>
      </c>
      <c r="T95" s="173">
        <f t="shared" si="124"/>
        <v>7500</v>
      </c>
      <c r="U95" s="173">
        <f t="shared" si="124"/>
        <v>7500</v>
      </c>
      <c r="V95" s="161">
        <f t="shared" si="97"/>
        <v>0</v>
      </c>
      <c r="W95" s="115">
        <f t="shared" si="98"/>
        <v>172500</v>
      </c>
      <c r="X95" s="171"/>
      <c r="Y95" s="171"/>
      <c r="Z95" s="171"/>
      <c r="AA95" s="171"/>
      <c r="AB95" s="171"/>
    </row>
    <row r="96" spans="1:28" ht="13.5" customHeight="1" x14ac:dyDescent="0.35">
      <c r="A96" s="291"/>
      <c r="B96" s="702" t="s">
        <v>184</v>
      </c>
      <c r="C96" s="637"/>
      <c r="D96" s="637"/>
      <c r="E96" s="637"/>
      <c r="F96" s="635"/>
      <c r="G96" s="161">
        <f>$B$3</f>
        <v>0</v>
      </c>
      <c r="H96" s="187">
        <v>5</v>
      </c>
      <c r="I96" s="161">
        <f>$B$4</f>
        <v>0</v>
      </c>
      <c r="J96" s="189">
        <v>10</v>
      </c>
      <c r="K96" s="188"/>
      <c r="L96" s="187"/>
      <c r="M96" s="161"/>
      <c r="N96" s="187"/>
      <c r="O96" s="188">
        <f>$B$8</f>
        <v>1875</v>
      </c>
      <c r="P96" s="187"/>
      <c r="Q96" s="187">
        <v>6</v>
      </c>
      <c r="R96" s="161"/>
      <c r="S96" s="161"/>
      <c r="T96" s="161"/>
      <c r="U96" s="161"/>
      <c r="V96" s="161"/>
      <c r="W96" s="188">
        <f>(G96*H96)+(I96*J96)+(O96*Q96)</f>
        <v>11250</v>
      </c>
      <c r="X96" s="189"/>
      <c r="Y96" s="189"/>
      <c r="Z96" s="189"/>
      <c r="AA96" s="189"/>
      <c r="AB96" s="189"/>
    </row>
    <row r="97" spans="1:28" ht="13.5" customHeight="1" x14ac:dyDescent="0.35">
      <c r="A97" s="291"/>
      <c r="B97" s="702" t="s">
        <v>192</v>
      </c>
      <c r="C97" s="637"/>
      <c r="D97" s="637"/>
      <c r="E97" s="637"/>
      <c r="F97" s="635"/>
      <c r="G97" s="161">
        <f>$E$12/($H98+$J98+$L98)</f>
        <v>0</v>
      </c>
      <c r="H97" s="187">
        <v>5</v>
      </c>
      <c r="I97" s="161">
        <f>$E$12/($H98+$J98+$L98)</f>
        <v>0</v>
      </c>
      <c r="J97" s="189">
        <v>10</v>
      </c>
      <c r="K97" s="188">
        <f>$E$12/($H98+$J98+$L98)</f>
        <v>0</v>
      </c>
      <c r="L97" s="187">
        <v>6</v>
      </c>
      <c r="M97" s="161"/>
      <c r="N97" s="187"/>
      <c r="O97" s="188"/>
      <c r="P97" s="187"/>
      <c r="Q97" s="187"/>
      <c r="R97" s="161"/>
      <c r="S97" s="161"/>
      <c r="T97" s="161"/>
      <c r="U97" s="161"/>
      <c r="V97" s="161"/>
      <c r="W97" s="188">
        <f>(G97*H97)+(I97*J97)+(K97*L97)+(M97*N97)</f>
        <v>0</v>
      </c>
      <c r="X97" s="189"/>
      <c r="Y97" s="189"/>
      <c r="Z97" s="189"/>
      <c r="AA97" s="189"/>
      <c r="AB97" s="189"/>
    </row>
    <row r="98" spans="1:28" ht="13.5" customHeight="1" x14ac:dyDescent="0.4">
      <c r="A98" s="703" t="s">
        <v>331</v>
      </c>
      <c r="B98" s="635"/>
      <c r="C98" s="292"/>
      <c r="D98" s="293" t="s">
        <v>197</v>
      </c>
      <c r="E98" s="281"/>
      <c r="F98" s="281"/>
      <c r="G98" s="294">
        <f>SUMPRODUCT(G75:G97,H75:H97)</f>
        <v>949020.54347826075</v>
      </c>
      <c r="H98" s="265">
        <v>5</v>
      </c>
      <c r="I98" s="294">
        <f>SUMPRODUCT(I75:I97,J75:J97)</f>
        <v>1317939.5398550725</v>
      </c>
      <c r="J98" s="265">
        <v>10</v>
      </c>
      <c r="K98" s="294">
        <f>SUMPRODUCT(K75:K97,L75:L97)</f>
        <v>1195335.7826086956</v>
      </c>
      <c r="L98" s="265">
        <v>14</v>
      </c>
      <c r="M98" s="294">
        <f>SUMPRODUCT(M75:M97,N75:N97)</f>
        <v>504216.13405797101</v>
      </c>
      <c r="N98" s="265">
        <v>24</v>
      </c>
      <c r="O98" s="296">
        <f>O96*Q96</f>
        <v>11250</v>
      </c>
      <c r="P98" s="722" t="s">
        <v>201</v>
      </c>
      <c r="Q98" s="635"/>
      <c r="R98" s="265">
        <f>H98+J98+L98+N98</f>
        <v>53</v>
      </c>
      <c r="S98" s="297"/>
      <c r="T98" s="297"/>
      <c r="U98" s="297"/>
      <c r="V98" s="297"/>
      <c r="W98" s="297"/>
      <c r="X98" s="281"/>
      <c r="Y98" s="281"/>
      <c r="Z98" s="281"/>
      <c r="AA98" s="298"/>
      <c r="AB98" s="298"/>
    </row>
    <row r="99" spans="1:28" ht="13.5" customHeight="1" x14ac:dyDescent="0.4">
      <c r="A99" s="703" t="s">
        <v>372</v>
      </c>
      <c r="B99" s="635"/>
      <c r="C99" s="292"/>
      <c r="D99" s="710" t="s">
        <v>204</v>
      </c>
      <c r="E99" s="637"/>
      <c r="F99" s="635"/>
      <c r="G99" s="302">
        <f>G98/H98</f>
        <v>189804.10869565216</v>
      </c>
      <c r="H99" s="305">
        <f>(SUM(H75:H88)+SUM(H90:H95))/H98</f>
        <v>20</v>
      </c>
      <c r="I99" s="302">
        <f>I98/J98</f>
        <v>131793.95398550725</v>
      </c>
      <c r="J99" s="305">
        <f>(SUM(J75:J88)+SUM(J90:J95))/J98</f>
        <v>13.7</v>
      </c>
      <c r="K99" s="302">
        <f>K98/L98</f>
        <v>85381.127329192546</v>
      </c>
      <c r="L99" s="305">
        <f>(SUM(L75:L88)+SUM(L90:L95))/L98</f>
        <v>9</v>
      </c>
      <c r="M99" s="302">
        <f>M98/N98</f>
        <v>21009.005585748793</v>
      </c>
      <c r="N99" s="305">
        <f>(SUM(N75:N88)+SUM(N90:N95))/N98</f>
        <v>2.2916666666666665</v>
      </c>
      <c r="O99" s="295"/>
      <c r="P99" s="721" t="s">
        <v>206</v>
      </c>
      <c r="Q99" s="635"/>
      <c r="R99" s="302">
        <f>SUM(G98,I98,K98,M98,O98)</f>
        <v>3977761.9999999995</v>
      </c>
      <c r="S99" s="297"/>
      <c r="T99" s="297"/>
      <c r="U99" s="297"/>
      <c r="V99" s="297"/>
      <c r="W99" s="308">
        <f>SUM(W75:W97)</f>
        <v>3977762</v>
      </c>
      <c r="X99" s="281"/>
      <c r="Y99" s="281"/>
      <c r="Z99" s="281"/>
      <c r="AA99" s="298"/>
      <c r="AB99" s="298"/>
    </row>
    <row r="100" spans="1:28" ht="13.5" customHeight="1" x14ac:dyDescent="0.35">
      <c r="A100" s="309">
        <v>42400</v>
      </c>
      <c r="B100" s="310" t="s">
        <v>133</v>
      </c>
      <c r="C100" s="310" t="s">
        <v>120</v>
      </c>
      <c r="D100" s="310" t="s">
        <v>122</v>
      </c>
      <c r="E100" s="311">
        <v>8803</v>
      </c>
      <c r="F100" s="310"/>
      <c r="G100" s="118">
        <f t="shared" ref="G100:G120" si="125">R100+V100</f>
        <v>10035.225</v>
      </c>
      <c r="H100" s="60">
        <v>5</v>
      </c>
      <c r="I100" s="118">
        <f t="shared" ref="I100:I120" si="126">S100+V100</f>
        <v>10035.225</v>
      </c>
      <c r="J100" s="116">
        <v>3</v>
      </c>
      <c r="K100" s="115">
        <f t="shared" ref="K100:K120" si="127">T100+V100</f>
        <v>10035.225</v>
      </c>
      <c r="L100" s="60">
        <v>5</v>
      </c>
      <c r="M100" s="118">
        <f t="shared" ref="M100:M120" si="128">U100+V100</f>
        <v>10035.225</v>
      </c>
      <c r="N100" s="60">
        <v>7</v>
      </c>
      <c r="O100" s="60"/>
      <c r="P100" s="159">
        <f t="shared" ref="P100:P120" si="129">H100+J100+L100+N100</f>
        <v>20</v>
      </c>
      <c r="Q100" s="60">
        <v>20</v>
      </c>
      <c r="R100" s="160">
        <f t="shared" ref="R100:S100" si="130">$E$5</f>
        <v>9375</v>
      </c>
      <c r="S100" s="160">
        <f t="shared" si="130"/>
        <v>9375</v>
      </c>
      <c r="T100" s="160">
        <f t="shared" ref="T100:U100" si="131">$B$11+$E$5</f>
        <v>9375</v>
      </c>
      <c r="U100" s="160">
        <f t="shared" si="131"/>
        <v>9375</v>
      </c>
      <c r="V100" s="161">
        <f t="shared" ref="V100:V106" si="132">($E100*($E$13/$Q100))</f>
        <v>660.22500000000002</v>
      </c>
      <c r="W100" s="115">
        <f t="shared" ref="W100:W120" si="133">(G100*H100)+(I100*J100)+(K100*L100)+(M100*N100)</f>
        <v>200704.5</v>
      </c>
      <c r="X100" s="60"/>
      <c r="Y100" s="60"/>
      <c r="Z100" s="60"/>
      <c r="AA100" s="60"/>
      <c r="AB100" s="60"/>
    </row>
    <row r="101" spans="1:28" ht="13.5" customHeight="1" x14ac:dyDescent="0.35">
      <c r="A101" s="309">
        <v>42405</v>
      </c>
      <c r="B101" s="310" t="s">
        <v>158</v>
      </c>
      <c r="C101" s="310" t="s">
        <v>120</v>
      </c>
      <c r="D101" s="310" t="s">
        <v>122</v>
      </c>
      <c r="E101" s="311">
        <v>9274</v>
      </c>
      <c r="F101" s="310"/>
      <c r="G101" s="118">
        <f t="shared" si="125"/>
        <v>10147.833333333334</v>
      </c>
      <c r="H101" s="60">
        <v>5</v>
      </c>
      <c r="I101" s="118">
        <f t="shared" si="126"/>
        <v>10147.833333333334</v>
      </c>
      <c r="J101" s="116">
        <v>3</v>
      </c>
      <c r="K101" s="115">
        <f t="shared" si="127"/>
        <v>10147.833333333334</v>
      </c>
      <c r="L101" s="60">
        <v>3</v>
      </c>
      <c r="M101" s="118">
        <f t="shared" si="128"/>
        <v>10147.833333333334</v>
      </c>
      <c r="N101" s="60">
        <v>7</v>
      </c>
      <c r="O101" s="60"/>
      <c r="P101" s="159">
        <f t="shared" si="129"/>
        <v>18</v>
      </c>
      <c r="Q101" s="60">
        <v>18</v>
      </c>
      <c r="R101" s="160">
        <f t="shared" ref="R101:S101" si="134">$E$5</f>
        <v>9375</v>
      </c>
      <c r="S101" s="160">
        <f t="shared" si="134"/>
        <v>9375</v>
      </c>
      <c r="T101" s="160">
        <f t="shared" ref="T101:U101" si="135">$B$11+$E$5</f>
        <v>9375</v>
      </c>
      <c r="U101" s="160">
        <f t="shared" si="135"/>
        <v>9375</v>
      </c>
      <c r="V101" s="161">
        <f t="shared" si="132"/>
        <v>772.83333333333326</v>
      </c>
      <c r="W101" s="115">
        <f t="shared" si="133"/>
        <v>182661</v>
      </c>
      <c r="X101" s="60"/>
      <c r="Y101" s="60"/>
      <c r="Z101" s="60"/>
      <c r="AA101" s="60"/>
      <c r="AB101" s="60"/>
    </row>
    <row r="102" spans="1:28" ht="13.5" customHeight="1" x14ac:dyDescent="0.35">
      <c r="A102" s="312">
        <v>42454</v>
      </c>
      <c r="B102" s="314" t="s">
        <v>187</v>
      </c>
      <c r="C102" s="314" t="s">
        <v>166</v>
      </c>
      <c r="D102" s="314" t="s">
        <v>328</v>
      </c>
      <c r="E102" s="314"/>
      <c r="F102" s="314"/>
      <c r="G102" s="168">
        <f t="shared" si="125"/>
        <v>5000</v>
      </c>
      <c r="H102" s="171">
        <v>5</v>
      </c>
      <c r="I102" s="168">
        <f t="shared" si="126"/>
        <v>5000</v>
      </c>
      <c r="J102" s="171">
        <v>7</v>
      </c>
      <c r="K102" s="224">
        <f t="shared" si="127"/>
        <v>5000</v>
      </c>
      <c r="L102" s="171">
        <v>7</v>
      </c>
      <c r="M102" s="168">
        <f t="shared" si="128"/>
        <v>5000</v>
      </c>
      <c r="N102" s="171">
        <v>4</v>
      </c>
      <c r="O102" s="171"/>
      <c r="P102" s="172">
        <f t="shared" si="129"/>
        <v>23</v>
      </c>
      <c r="Q102" s="171">
        <v>23</v>
      </c>
      <c r="R102" s="173">
        <f t="shared" ref="R102:U102" si="136">$M$5</f>
        <v>5000</v>
      </c>
      <c r="S102" s="173">
        <f t="shared" si="136"/>
        <v>5000</v>
      </c>
      <c r="T102" s="173">
        <f t="shared" si="136"/>
        <v>5000</v>
      </c>
      <c r="U102" s="173">
        <f t="shared" si="136"/>
        <v>5000</v>
      </c>
      <c r="V102" s="161">
        <f t="shared" si="132"/>
        <v>0</v>
      </c>
      <c r="W102" s="115">
        <f t="shared" si="133"/>
        <v>115000</v>
      </c>
      <c r="X102" s="171"/>
      <c r="Y102" s="171"/>
      <c r="Z102" s="171"/>
      <c r="AA102" s="171"/>
      <c r="AB102" s="171"/>
    </row>
    <row r="103" spans="1:28" ht="13.5" customHeight="1" x14ac:dyDescent="0.35">
      <c r="A103" s="312">
        <v>42458</v>
      </c>
      <c r="B103" s="314" t="s">
        <v>187</v>
      </c>
      <c r="C103" s="314" t="s">
        <v>120</v>
      </c>
      <c r="D103" s="314" t="s">
        <v>304</v>
      </c>
      <c r="E103" s="315">
        <v>20624</v>
      </c>
      <c r="F103" s="314"/>
      <c r="G103" s="168">
        <f t="shared" si="125"/>
        <v>16970.043478260868</v>
      </c>
      <c r="H103" s="171">
        <v>5</v>
      </c>
      <c r="I103" s="168">
        <f t="shared" si="126"/>
        <v>16970.043478260868</v>
      </c>
      <c r="J103" s="171">
        <v>7</v>
      </c>
      <c r="K103" s="224">
        <f t="shared" si="127"/>
        <v>16970.043478260868</v>
      </c>
      <c r="L103" s="171">
        <v>7</v>
      </c>
      <c r="M103" s="168">
        <f t="shared" si="128"/>
        <v>16970.043478260868</v>
      </c>
      <c r="N103" s="171">
        <v>4</v>
      </c>
      <c r="O103" s="171"/>
      <c r="P103" s="172">
        <f t="shared" si="129"/>
        <v>23</v>
      </c>
      <c r="Q103" s="171">
        <v>23</v>
      </c>
      <c r="R103" s="173">
        <f t="shared" ref="R103:U103" si="137">$M$3</f>
        <v>15625</v>
      </c>
      <c r="S103" s="173">
        <f t="shared" si="137"/>
        <v>15625</v>
      </c>
      <c r="T103" s="173">
        <f t="shared" si="137"/>
        <v>15625</v>
      </c>
      <c r="U103" s="173">
        <f t="shared" si="137"/>
        <v>15625</v>
      </c>
      <c r="V103" s="161">
        <f t="shared" si="132"/>
        <v>1345.0434782608695</v>
      </c>
      <c r="W103" s="115">
        <f t="shared" si="133"/>
        <v>390311</v>
      </c>
      <c r="X103" s="171"/>
      <c r="Y103" s="171"/>
      <c r="Z103" s="171"/>
      <c r="AA103" s="171"/>
      <c r="AB103" s="171"/>
    </row>
    <row r="104" spans="1:28" ht="13.5" customHeight="1" x14ac:dyDescent="0.35">
      <c r="A104" s="309">
        <v>42512</v>
      </c>
      <c r="B104" s="310" t="s">
        <v>374</v>
      </c>
      <c r="C104" s="310" t="s">
        <v>120</v>
      </c>
      <c r="D104" s="310" t="s">
        <v>135</v>
      </c>
      <c r="E104" s="310"/>
      <c r="F104" s="310"/>
      <c r="G104" s="118">
        <f t="shared" si="125"/>
        <v>9375</v>
      </c>
      <c r="H104" s="60">
        <v>5</v>
      </c>
      <c r="I104" s="118">
        <f t="shared" si="126"/>
        <v>9375</v>
      </c>
      <c r="J104" s="60">
        <v>8</v>
      </c>
      <c r="K104" s="115">
        <f t="shared" si="127"/>
        <v>9375</v>
      </c>
      <c r="L104" s="60">
        <v>7</v>
      </c>
      <c r="M104" s="118">
        <f t="shared" si="128"/>
        <v>9375</v>
      </c>
      <c r="N104" s="60">
        <v>3</v>
      </c>
      <c r="O104" s="60"/>
      <c r="P104" s="159">
        <f t="shared" si="129"/>
        <v>23</v>
      </c>
      <c r="Q104" s="60">
        <v>23</v>
      </c>
      <c r="R104" s="160">
        <f t="shared" ref="R104:S104" si="138">$E$5</f>
        <v>9375</v>
      </c>
      <c r="S104" s="160">
        <f t="shared" si="138"/>
        <v>9375</v>
      </c>
      <c r="T104" s="160">
        <f t="shared" ref="T104:U104" si="139">$B$11+$E$5</f>
        <v>9375</v>
      </c>
      <c r="U104" s="160">
        <f t="shared" si="139"/>
        <v>9375</v>
      </c>
      <c r="V104" s="161">
        <f t="shared" si="132"/>
        <v>0</v>
      </c>
      <c r="W104" s="115">
        <f t="shared" si="133"/>
        <v>215625</v>
      </c>
      <c r="X104" s="60"/>
      <c r="Y104" s="60"/>
      <c r="Z104" s="60"/>
      <c r="AA104" s="60"/>
      <c r="AB104" s="60"/>
    </row>
    <row r="105" spans="1:28" ht="13.5" customHeight="1" x14ac:dyDescent="0.35">
      <c r="A105" s="309">
        <v>42515</v>
      </c>
      <c r="B105" s="310" t="s">
        <v>238</v>
      </c>
      <c r="C105" s="310" t="s">
        <v>120</v>
      </c>
      <c r="D105" s="310" t="s">
        <v>122</v>
      </c>
      <c r="E105" s="311">
        <v>9893</v>
      </c>
      <c r="F105" s="310"/>
      <c r="G105" s="118">
        <f t="shared" si="125"/>
        <v>10020.195652173912</v>
      </c>
      <c r="H105" s="60">
        <v>5</v>
      </c>
      <c r="I105" s="118">
        <f t="shared" si="126"/>
        <v>10020.195652173912</v>
      </c>
      <c r="J105" s="60">
        <v>8</v>
      </c>
      <c r="K105" s="115">
        <f t="shared" si="127"/>
        <v>10020.195652173912</v>
      </c>
      <c r="L105" s="60">
        <v>7</v>
      </c>
      <c r="M105" s="118">
        <f t="shared" si="128"/>
        <v>10020.195652173912</v>
      </c>
      <c r="N105" s="60">
        <v>3</v>
      </c>
      <c r="O105" s="60"/>
      <c r="P105" s="159">
        <f t="shared" si="129"/>
        <v>23</v>
      </c>
      <c r="Q105" s="60">
        <v>23</v>
      </c>
      <c r="R105" s="160">
        <f t="shared" ref="R105:S105" si="140">$E$5</f>
        <v>9375</v>
      </c>
      <c r="S105" s="160">
        <f t="shared" si="140"/>
        <v>9375</v>
      </c>
      <c r="T105" s="160">
        <f t="shared" ref="T105:U105" si="141">$B$11+$E$5</f>
        <v>9375</v>
      </c>
      <c r="U105" s="160">
        <f t="shared" si="141"/>
        <v>9375</v>
      </c>
      <c r="V105" s="161">
        <f t="shared" si="132"/>
        <v>645.195652173913</v>
      </c>
      <c r="W105" s="115">
        <f t="shared" si="133"/>
        <v>230464.49999999997</v>
      </c>
      <c r="X105" s="60"/>
      <c r="Y105" s="60"/>
      <c r="Z105" s="60"/>
      <c r="AA105" s="60"/>
      <c r="AB105" s="60"/>
    </row>
    <row r="106" spans="1:28" ht="13.5" customHeight="1" x14ac:dyDescent="0.35">
      <c r="A106" s="309">
        <v>42518</v>
      </c>
      <c r="B106" s="310" t="s">
        <v>375</v>
      </c>
      <c r="C106" s="310" t="s">
        <v>120</v>
      </c>
      <c r="D106" s="310" t="s">
        <v>122</v>
      </c>
      <c r="E106" s="311">
        <v>8894</v>
      </c>
      <c r="F106" s="310"/>
      <c r="G106" s="118">
        <f t="shared" si="125"/>
        <v>9955.04347826087</v>
      </c>
      <c r="H106" s="60">
        <v>5</v>
      </c>
      <c r="I106" s="118">
        <f t="shared" si="126"/>
        <v>9955.04347826087</v>
      </c>
      <c r="J106" s="60">
        <v>8</v>
      </c>
      <c r="K106" s="115">
        <f t="shared" si="127"/>
        <v>9955.04347826087</v>
      </c>
      <c r="L106" s="60">
        <v>7</v>
      </c>
      <c r="M106" s="118">
        <f t="shared" si="128"/>
        <v>9955.04347826087</v>
      </c>
      <c r="N106" s="60">
        <v>3</v>
      </c>
      <c r="O106" s="60"/>
      <c r="P106" s="159">
        <f t="shared" si="129"/>
        <v>23</v>
      </c>
      <c r="Q106" s="60">
        <v>23</v>
      </c>
      <c r="R106" s="160">
        <f t="shared" ref="R106:S106" si="142">$E$5</f>
        <v>9375</v>
      </c>
      <c r="S106" s="160">
        <f t="shared" si="142"/>
        <v>9375</v>
      </c>
      <c r="T106" s="160">
        <f t="shared" ref="T106:U106" si="143">$B$11+$E$5</f>
        <v>9375</v>
      </c>
      <c r="U106" s="160">
        <f t="shared" si="143"/>
        <v>9375</v>
      </c>
      <c r="V106" s="161">
        <f t="shared" si="132"/>
        <v>580.04347826086951</v>
      </c>
      <c r="W106" s="115">
        <f t="shared" si="133"/>
        <v>228966</v>
      </c>
      <c r="X106" s="60"/>
      <c r="Y106" s="60"/>
      <c r="Z106" s="60"/>
      <c r="AA106" s="60"/>
      <c r="AB106" s="60"/>
    </row>
    <row r="107" spans="1:28" ht="13.5" customHeight="1" x14ac:dyDescent="0.35">
      <c r="A107" s="327">
        <v>42524</v>
      </c>
      <c r="B107" s="328" t="s">
        <v>239</v>
      </c>
      <c r="C107" s="328" t="s">
        <v>166</v>
      </c>
      <c r="D107" s="328" t="s">
        <v>376</v>
      </c>
      <c r="E107" s="329">
        <v>67439</v>
      </c>
      <c r="F107" s="328" t="s">
        <v>164</v>
      </c>
      <c r="G107" s="143">
        <f t="shared" si="125"/>
        <v>5000</v>
      </c>
      <c r="H107" s="144">
        <v>5</v>
      </c>
      <c r="I107" s="143">
        <f t="shared" si="126"/>
        <v>5000</v>
      </c>
      <c r="J107" s="144">
        <v>8</v>
      </c>
      <c r="K107" s="138">
        <f t="shared" si="127"/>
        <v>5000</v>
      </c>
      <c r="L107" s="144">
        <v>7</v>
      </c>
      <c r="M107" s="143">
        <f t="shared" si="128"/>
        <v>5000</v>
      </c>
      <c r="N107" s="144">
        <v>3</v>
      </c>
      <c r="O107" s="144"/>
      <c r="P107" s="146">
        <f t="shared" si="129"/>
        <v>23</v>
      </c>
      <c r="Q107" s="144">
        <v>23</v>
      </c>
      <c r="R107" s="186">
        <f t="shared" ref="R107:U107" si="144">$J$6</f>
        <v>5000</v>
      </c>
      <c r="S107" s="186">
        <f t="shared" si="144"/>
        <v>5000</v>
      </c>
      <c r="T107" s="186">
        <f t="shared" si="144"/>
        <v>5000</v>
      </c>
      <c r="U107" s="186">
        <f t="shared" si="144"/>
        <v>5000</v>
      </c>
      <c r="V107" s="330">
        <v>0</v>
      </c>
      <c r="W107" s="115">
        <f t="shared" si="133"/>
        <v>115000</v>
      </c>
      <c r="X107" s="144"/>
      <c r="Y107" s="144"/>
      <c r="Z107" s="144"/>
      <c r="AA107" s="144"/>
      <c r="AB107" s="144"/>
    </row>
    <row r="108" spans="1:28" ht="13.5" customHeight="1" x14ac:dyDescent="0.35">
      <c r="A108" s="327">
        <v>42528</v>
      </c>
      <c r="B108" s="328" t="s">
        <v>171</v>
      </c>
      <c r="C108" s="328" t="s">
        <v>120</v>
      </c>
      <c r="D108" s="328" t="s">
        <v>376</v>
      </c>
      <c r="E108" s="329">
        <v>39642</v>
      </c>
      <c r="F108" s="328"/>
      <c r="G108" s="143">
        <f t="shared" si="125"/>
        <v>14125</v>
      </c>
      <c r="H108" s="144">
        <v>5</v>
      </c>
      <c r="I108" s="143">
        <f t="shared" si="126"/>
        <v>14125</v>
      </c>
      <c r="J108" s="144">
        <v>8</v>
      </c>
      <c r="K108" s="138">
        <f t="shared" si="127"/>
        <v>14125</v>
      </c>
      <c r="L108" s="144">
        <v>7</v>
      </c>
      <c r="M108" s="143">
        <f t="shared" si="128"/>
        <v>14125</v>
      </c>
      <c r="N108" s="144">
        <v>3</v>
      </c>
      <c r="O108" s="144"/>
      <c r="P108" s="146">
        <f t="shared" si="129"/>
        <v>23</v>
      </c>
      <c r="Q108" s="144">
        <v>23</v>
      </c>
      <c r="R108" s="186">
        <f t="shared" ref="R108:U108" si="145">$J$4</f>
        <v>14125</v>
      </c>
      <c r="S108" s="186">
        <f t="shared" si="145"/>
        <v>14125</v>
      </c>
      <c r="T108" s="186">
        <f t="shared" si="145"/>
        <v>14125</v>
      </c>
      <c r="U108" s="186">
        <f t="shared" si="145"/>
        <v>14125</v>
      </c>
      <c r="V108" s="330">
        <v>0</v>
      </c>
      <c r="W108" s="115">
        <f t="shared" si="133"/>
        <v>324875</v>
      </c>
      <c r="X108" s="144"/>
      <c r="Y108" s="144"/>
      <c r="Z108" s="144"/>
      <c r="AA108" s="144"/>
      <c r="AB108" s="144"/>
    </row>
    <row r="109" spans="1:28" ht="13.5" customHeight="1" x14ac:dyDescent="0.35">
      <c r="A109" s="327">
        <v>42532</v>
      </c>
      <c r="B109" s="328" t="s">
        <v>378</v>
      </c>
      <c r="C109" s="328" t="s">
        <v>120</v>
      </c>
      <c r="D109" s="328" t="s">
        <v>376</v>
      </c>
      <c r="E109" s="329">
        <v>51041</v>
      </c>
      <c r="F109" s="328"/>
      <c r="G109" s="143">
        <f t="shared" si="125"/>
        <v>14125</v>
      </c>
      <c r="H109" s="144">
        <v>5</v>
      </c>
      <c r="I109" s="143">
        <f t="shared" si="126"/>
        <v>14125</v>
      </c>
      <c r="J109" s="144">
        <v>8</v>
      </c>
      <c r="K109" s="138">
        <f t="shared" si="127"/>
        <v>14125</v>
      </c>
      <c r="L109" s="144">
        <v>7</v>
      </c>
      <c r="M109" s="143">
        <f t="shared" si="128"/>
        <v>14125</v>
      </c>
      <c r="N109" s="144">
        <v>3</v>
      </c>
      <c r="O109" s="144"/>
      <c r="P109" s="146">
        <f t="shared" si="129"/>
        <v>23</v>
      </c>
      <c r="Q109" s="144">
        <v>23</v>
      </c>
      <c r="R109" s="186">
        <f t="shared" ref="R109:U109" si="146">$J$4</f>
        <v>14125</v>
      </c>
      <c r="S109" s="186">
        <f t="shared" si="146"/>
        <v>14125</v>
      </c>
      <c r="T109" s="186">
        <f t="shared" si="146"/>
        <v>14125</v>
      </c>
      <c r="U109" s="186">
        <f t="shared" si="146"/>
        <v>14125</v>
      </c>
      <c r="V109" s="330">
        <v>0</v>
      </c>
      <c r="W109" s="115">
        <f t="shared" si="133"/>
        <v>324875</v>
      </c>
      <c r="X109" s="144"/>
      <c r="Y109" s="144"/>
      <c r="Z109" s="144"/>
      <c r="AA109" s="144"/>
      <c r="AB109" s="144"/>
    </row>
    <row r="110" spans="1:28" ht="13.5" customHeight="1" x14ac:dyDescent="0.35">
      <c r="A110" s="327"/>
      <c r="B110" s="704" t="s">
        <v>379</v>
      </c>
      <c r="C110" s="637"/>
      <c r="D110" s="637"/>
      <c r="E110" s="637"/>
      <c r="F110" s="635"/>
      <c r="G110" s="143">
        <f t="shared" si="125"/>
        <v>12500</v>
      </c>
      <c r="H110" s="144">
        <v>5</v>
      </c>
      <c r="I110" s="143">
        <f t="shared" si="126"/>
        <v>12500</v>
      </c>
      <c r="J110" s="144">
        <v>8</v>
      </c>
      <c r="K110" s="138">
        <f t="shared" si="127"/>
        <v>12500</v>
      </c>
      <c r="L110" s="144">
        <v>7</v>
      </c>
      <c r="M110" s="143">
        <f t="shared" si="128"/>
        <v>12500</v>
      </c>
      <c r="N110" s="144">
        <v>3</v>
      </c>
      <c r="O110" s="144"/>
      <c r="P110" s="146">
        <f t="shared" si="129"/>
        <v>23</v>
      </c>
      <c r="Q110" s="144">
        <v>23</v>
      </c>
      <c r="R110" s="186">
        <f t="shared" ref="R110:U110" si="147">$J$7</f>
        <v>12500</v>
      </c>
      <c r="S110" s="186">
        <f t="shared" si="147"/>
        <v>12500</v>
      </c>
      <c r="T110" s="186">
        <f t="shared" si="147"/>
        <v>12500</v>
      </c>
      <c r="U110" s="186">
        <f t="shared" si="147"/>
        <v>12500</v>
      </c>
      <c r="V110" s="330">
        <v>0</v>
      </c>
      <c r="W110" s="115">
        <f t="shared" si="133"/>
        <v>287500</v>
      </c>
      <c r="X110" s="144"/>
      <c r="Y110" s="144"/>
      <c r="Z110" s="144"/>
      <c r="AA110" s="144"/>
      <c r="AB110" s="144"/>
    </row>
    <row r="111" spans="1:28" ht="13.5" customHeight="1" x14ac:dyDescent="0.35">
      <c r="A111" s="327">
        <v>42537</v>
      </c>
      <c r="B111" s="328" t="s">
        <v>238</v>
      </c>
      <c r="C111" s="328" t="s">
        <v>120</v>
      </c>
      <c r="D111" s="328" t="s">
        <v>380</v>
      </c>
      <c r="E111" s="329">
        <v>47322</v>
      </c>
      <c r="F111" s="328"/>
      <c r="G111" s="143">
        <f t="shared" si="125"/>
        <v>14125</v>
      </c>
      <c r="H111" s="144">
        <v>5</v>
      </c>
      <c r="I111" s="143">
        <f t="shared" si="126"/>
        <v>14125</v>
      </c>
      <c r="J111" s="144">
        <v>8</v>
      </c>
      <c r="K111" s="138">
        <f t="shared" si="127"/>
        <v>14125</v>
      </c>
      <c r="L111" s="144">
        <v>7</v>
      </c>
      <c r="M111" s="143">
        <f t="shared" si="128"/>
        <v>14125</v>
      </c>
      <c r="N111" s="144">
        <v>3</v>
      </c>
      <c r="O111" s="144"/>
      <c r="P111" s="146">
        <f t="shared" si="129"/>
        <v>23</v>
      </c>
      <c r="Q111" s="144">
        <v>23</v>
      </c>
      <c r="R111" s="186">
        <f t="shared" ref="R111:U111" si="148">$J$4</f>
        <v>14125</v>
      </c>
      <c r="S111" s="186">
        <f t="shared" si="148"/>
        <v>14125</v>
      </c>
      <c r="T111" s="186">
        <f t="shared" si="148"/>
        <v>14125</v>
      </c>
      <c r="U111" s="186">
        <f t="shared" si="148"/>
        <v>14125</v>
      </c>
      <c r="V111" s="330">
        <v>0</v>
      </c>
      <c r="W111" s="115">
        <f t="shared" si="133"/>
        <v>324875</v>
      </c>
      <c r="X111" s="144"/>
      <c r="Y111" s="144"/>
      <c r="Z111" s="144"/>
      <c r="AA111" s="144"/>
      <c r="AB111" s="144"/>
    </row>
    <row r="112" spans="1:28" ht="13.5" customHeight="1" x14ac:dyDescent="0.35">
      <c r="A112" s="327">
        <v>42542</v>
      </c>
      <c r="B112" s="328" t="s">
        <v>227</v>
      </c>
      <c r="C112" s="328" t="s">
        <v>166</v>
      </c>
      <c r="D112" s="328" t="s">
        <v>381</v>
      </c>
      <c r="E112" s="329">
        <v>70858</v>
      </c>
      <c r="F112" s="328" t="s">
        <v>164</v>
      </c>
      <c r="G112" s="143">
        <f t="shared" si="125"/>
        <v>5000</v>
      </c>
      <c r="H112" s="144">
        <v>5</v>
      </c>
      <c r="I112" s="143">
        <f t="shared" si="126"/>
        <v>5000</v>
      </c>
      <c r="J112" s="144">
        <v>8</v>
      </c>
      <c r="K112" s="138">
        <f t="shared" si="127"/>
        <v>5000</v>
      </c>
      <c r="L112" s="144">
        <v>7</v>
      </c>
      <c r="M112" s="143">
        <f t="shared" si="128"/>
        <v>5000</v>
      </c>
      <c r="N112" s="144">
        <v>3</v>
      </c>
      <c r="O112" s="144"/>
      <c r="P112" s="146">
        <f t="shared" si="129"/>
        <v>23</v>
      </c>
      <c r="Q112" s="144">
        <v>23</v>
      </c>
      <c r="R112" s="186">
        <f t="shared" ref="R112:U112" si="149">$J$6</f>
        <v>5000</v>
      </c>
      <c r="S112" s="186">
        <f t="shared" si="149"/>
        <v>5000</v>
      </c>
      <c r="T112" s="186">
        <f t="shared" si="149"/>
        <v>5000</v>
      </c>
      <c r="U112" s="186">
        <f t="shared" si="149"/>
        <v>5000</v>
      </c>
      <c r="V112" s="330">
        <v>0</v>
      </c>
      <c r="W112" s="115">
        <f t="shared" si="133"/>
        <v>115000</v>
      </c>
      <c r="X112" s="144"/>
      <c r="Y112" s="144"/>
      <c r="Z112" s="144"/>
      <c r="AA112" s="144"/>
      <c r="AB112" s="144"/>
    </row>
    <row r="113" spans="1:28" ht="13.5" customHeight="1" x14ac:dyDescent="0.35">
      <c r="A113" s="327">
        <v>42546</v>
      </c>
      <c r="B113" s="328" t="s">
        <v>239</v>
      </c>
      <c r="C113" s="328" t="s">
        <v>166</v>
      </c>
      <c r="D113" s="328" t="s">
        <v>382</v>
      </c>
      <c r="E113" s="329">
        <v>29041</v>
      </c>
      <c r="F113" s="328" t="s">
        <v>164</v>
      </c>
      <c r="G113" s="143">
        <f t="shared" si="125"/>
        <v>5000</v>
      </c>
      <c r="H113" s="144">
        <v>5</v>
      </c>
      <c r="I113" s="143">
        <f t="shared" si="126"/>
        <v>5000</v>
      </c>
      <c r="J113" s="144">
        <v>8</v>
      </c>
      <c r="K113" s="138">
        <f t="shared" si="127"/>
        <v>5000</v>
      </c>
      <c r="L113" s="144">
        <v>7</v>
      </c>
      <c r="M113" s="143">
        <f t="shared" si="128"/>
        <v>5000</v>
      </c>
      <c r="N113" s="144">
        <v>3</v>
      </c>
      <c r="O113" s="144"/>
      <c r="P113" s="146">
        <f t="shared" si="129"/>
        <v>23</v>
      </c>
      <c r="Q113" s="144">
        <v>23</v>
      </c>
      <c r="R113" s="186">
        <f t="shared" ref="R113:U113" si="150">$J$6</f>
        <v>5000</v>
      </c>
      <c r="S113" s="186">
        <f t="shared" si="150"/>
        <v>5000</v>
      </c>
      <c r="T113" s="186">
        <f t="shared" si="150"/>
        <v>5000</v>
      </c>
      <c r="U113" s="186">
        <f t="shared" si="150"/>
        <v>5000</v>
      </c>
      <c r="V113" s="330">
        <v>0</v>
      </c>
      <c r="W113" s="115">
        <f t="shared" si="133"/>
        <v>115000</v>
      </c>
      <c r="X113" s="144"/>
      <c r="Y113" s="144"/>
      <c r="Z113" s="144"/>
      <c r="AA113" s="144"/>
      <c r="AB113" s="144"/>
    </row>
    <row r="114" spans="1:28" ht="13.5" customHeight="1" x14ac:dyDescent="0.35">
      <c r="A114" s="327"/>
      <c r="B114" s="704" t="s">
        <v>384</v>
      </c>
      <c r="C114" s="637"/>
      <c r="D114" s="637"/>
      <c r="E114" s="637"/>
      <c r="F114" s="635"/>
      <c r="G114" s="143">
        <f t="shared" si="125"/>
        <v>6875</v>
      </c>
      <c r="H114" s="144">
        <v>5</v>
      </c>
      <c r="I114" s="143">
        <f t="shared" si="126"/>
        <v>6875</v>
      </c>
      <c r="J114" s="144">
        <v>8</v>
      </c>
      <c r="K114" s="138">
        <f t="shared" si="127"/>
        <v>6875</v>
      </c>
      <c r="L114" s="144">
        <v>7</v>
      </c>
      <c r="M114" s="143">
        <f t="shared" si="128"/>
        <v>6875</v>
      </c>
      <c r="N114" s="144">
        <v>3</v>
      </c>
      <c r="O114" s="144"/>
      <c r="P114" s="146">
        <f t="shared" si="129"/>
        <v>23</v>
      </c>
      <c r="Q114" s="144">
        <v>23</v>
      </c>
      <c r="R114" s="186">
        <f t="shared" ref="R114:U114" si="151">$J$11</f>
        <v>6875</v>
      </c>
      <c r="S114" s="186">
        <f t="shared" si="151"/>
        <v>6875</v>
      </c>
      <c r="T114" s="186">
        <f t="shared" si="151"/>
        <v>6875</v>
      </c>
      <c r="U114" s="186">
        <f t="shared" si="151"/>
        <v>6875</v>
      </c>
      <c r="V114" s="161">
        <f t="shared" ref="V114:V120" si="152">($E114*($E$13/$Q114))</f>
        <v>0</v>
      </c>
      <c r="W114" s="115">
        <f t="shared" si="133"/>
        <v>158125</v>
      </c>
      <c r="X114" s="144"/>
      <c r="Y114" s="144"/>
      <c r="Z114" s="144"/>
      <c r="AA114" s="144"/>
      <c r="AB114" s="144"/>
    </row>
    <row r="115" spans="1:28" ht="13.5" customHeight="1" x14ac:dyDescent="0.35">
      <c r="A115" s="312">
        <v>42615</v>
      </c>
      <c r="B115" s="314" t="s">
        <v>293</v>
      </c>
      <c r="C115" s="314" t="s">
        <v>120</v>
      </c>
      <c r="D115" s="314" t="s">
        <v>328</v>
      </c>
      <c r="E115" s="314"/>
      <c r="F115" s="314"/>
      <c r="G115" s="168">
        <f t="shared" si="125"/>
        <v>15625</v>
      </c>
      <c r="H115" s="171">
        <v>5</v>
      </c>
      <c r="I115" s="168">
        <f t="shared" si="126"/>
        <v>15625</v>
      </c>
      <c r="J115" s="171">
        <v>7</v>
      </c>
      <c r="K115" s="224">
        <f t="shared" si="127"/>
        <v>15625</v>
      </c>
      <c r="L115" s="171">
        <v>7</v>
      </c>
      <c r="M115" s="168">
        <f t="shared" si="128"/>
        <v>15625</v>
      </c>
      <c r="N115" s="171">
        <v>4</v>
      </c>
      <c r="O115" s="171"/>
      <c r="P115" s="172">
        <f t="shared" si="129"/>
        <v>23</v>
      </c>
      <c r="Q115" s="171">
        <v>23</v>
      </c>
      <c r="R115" s="173">
        <f t="shared" ref="R115:U115" si="153">$M$3</f>
        <v>15625</v>
      </c>
      <c r="S115" s="173">
        <f t="shared" si="153"/>
        <v>15625</v>
      </c>
      <c r="T115" s="173">
        <f t="shared" si="153"/>
        <v>15625</v>
      </c>
      <c r="U115" s="173">
        <f t="shared" si="153"/>
        <v>15625</v>
      </c>
      <c r="V115" s="161">
        <f t="shared" si="152"/>
        <v>0</v>
      </c>
      <c r="W115" s="115">
        <f t="shared" si="133"/>
        <v>359375</v>
      </c>
      <c r="X115" s="171"/>
      <c r="Y115" s="171"/>
      <c r="Z115" s="171"/>
      <c r="AA115" s="171"/>
      <c r="AB115" s="171"/>
    </row>
    <row r="116" spans="1:28" ht="13.5" customHeight="1" x14ac:dyDescent="0.35">
      <c r="A116" s="312">
        <v>42619</v>
      </c>
      <c r="B116" s="314" t="s">
        <v>327</v>
      </c>
      <c r="C116" s="314" t="s">
        <v>120</v>
      </c>
      <c r="D116" s="314" t="s">
        <v>304</v>
      </c>
      <c r="E116" s="315">
        <v>19410</v>
      </c>
      <c r="F116" s="314"/>
      <c r="G116" s="168">
        <f t="shared" si="125"/>
        <v>16890.869565217392</v>
      </c>
      <c r="H116" s="171">
        <v>5</v>
      </c>
      <c r="I116" s="168">
        <f t="shared" si="126"/>
        <v>16890.869565217392</v>
      </c>
      <c r="J116" s="171">
        <v>7</v>
      </c>
      <c r="K116" s="224">
        <f t="shared" si="127"/>
        <v>16890.869565217392</v>
      </c>
      <c r="L116" s="171">
        <v>7</v>
      </c>
      <c r="M116" s="168">
        <f t="shared" si="128"/>
        <v>16890.869565217392</v>
      </c>
      <c r="N116" s="171">
        <v>4</v>
      </c>
      <c r="O116" s="171"/>
      <c r="P116" s="172">
        <f t="shared" si="129"/>
        <v>23</v>
      </c>
      <c r="Q116" s="171">
        <v>23</v>
      </c>
      <c r="R116" s="173">
        <f t="shared" ref="R116:U116" si="154">$M$3</f>
        <v>15625</v>
      </c>
      <c r="S116" s="173">
        <f t="shared" si="154"/>
        <v>15625</v>
      </c>
      <c r="T116" s="173">
        <f t="shared" si="154"/>
        <v>15625</v>
      </c>
      <c r="U116" s="173">
        <f t="shared" si="154"/>
        <v>15625</v>
      </c>
      <c r="V116" s="161">
        <f t="shared" si="152"/>
        <v>1265.8695652173913</v>
      </c>
      <c r="W116" s="115">
        <f t="shared" si="133"/>
        <v>388490</v>
      </c>
      <c r="X116" s="171"/>
      <c r="Y116" s="171"/>
      <c r="Z116" s="171"/>
      <c r="AA116" s="171"/>
      <c r="AB116" s="171"/>
    </row>
    <row r="117" spans="1:28" ht="13.5" customHeight="1" x14ac:dyDescent="0.35">
      <c r="A117" s="309">
        <v>42650</v>
      </c>
      <c r="B117" s="310" t="s">
        <v>191</v>
      </c>
      <c r="C117" s="310" t="s">
        <v>120</v>
      </c>
      <c r="D117" s="310" t="s">
        <v>135</v>
      </c>
      <c r="E117" s="310"/>
      <c r="F117" s="310"/>
      <c r="G117" s="118">
        <f t="shared" si="125"/>
        <v>9375</v>
      </c>
      <c r="H117" s="60">
        <v>5</v>
      </c>
      <c r="I117" s="118">
        <f t="shared" si="126"/>
        <v>9375</v>
      </c>
      <c r="J117" s="60">
        <v>4</v>
      </c>
      <c r="K117" s="115">
        <f t="shared" si="127"/>
        <v>9375</v>
      </c>
      <c r="L117" s="60">
        <v>5</v>
      </c>
      <c r="M117" s="118">
        <f t="shared" si="128"/>
        <v>9375</v>
      </c>
      <c r="N117" s="60">
        <v>6</v>
      </c>
      <c r="O117" s="60"/>
      <c r="P117" s="159">
        <f t="shared" si="129"/>
        <v>20</v>
      </c>
      <c r="Q117" s="60">
        <v>20</v>
      </c>
      <c r="R117" s="160">
        <f t="shared" ref="R117:S117" si="155">$E$5</f>
        <v>9375</v>
      </c>
      <c r="S117" s="160">
        <f t="shared" si="155"/>
        <v>9375</v>
      </c>
      <c r="T117" s="160">
        <f t="shared" ref="T117:U117" si="156">$B$11+$E$5</f>
        <v>9375</v>
      </c>
      <c r="U117" s="160">
        <f t="shared" si="156"/>
        <v>9375</v>
      </c>
      <c r="V117" s="161">
        <f t="shared" si="152"/>
        <v>0</v>
      </c>
      <c r="W117" s="115">
        <f t="shared" si="133"/>
        <v>187500</v>
      </c>
      <c r="X117" s="60"/>
      <c r="Y117" s="60"/>
      <c r="Z117" s="60"/>
      <c r="AA117" s="60"/>
      <c r="AB117" s="60"/>
    </row>
    <row r="118" spans="1:28" ht="13.5" customHeight="1" x14ac:dyDescent="0.35">
      <c r="A118" s="309">
        <v>42654</v>
      </c>
      <c r="B118" s="310" t="s">
        <v>174</v>
      </c>
      <c r="C118" s="310" t="s">
        <v>155</v>
      </c>
      <c r="D118" s="310" t="s">
        <v>122</v>
      </c>
      <c r="E118" s="311">
        <v>9012</v>
      </c>
      <c r="F118" s="310"/>
      <c r="G118" s="118">
        <f t="shared" si="125"/>
        <v>6925.9</v>
      </c>
      <c r="H118" s="60">
        <v>5</v>
      </c>
      <c r="I118" s="118">
        <f t="shared" si="126"/>
        <v>6925.9</v>
      </c>
      <c r="J118" s="60">
        <v>4</v>
      </c>
      <c r="K118" s="115">
        <f t="shared" si="127"/>
        <v>6925.9</v>
      </c>
      <c r="L118" s="60">
        <v>5</v>
      </c>
      <c r="M118" s="118">
        <f t="shared" si="128"/>
        <v>6925.9</v>
      </c>
      <c r="N118" s="60">
        <v>6</v>
      </c>
      <c r="O118" s="60"/>
      <c r="P118" s="159">
        <f t="shared" si="129"/>
        <v>20</v>
      </c>
      <c r="Q118" s="60">
        <v>20</v>
      </c>
      <c r="R118" s="160">
        <f>$E$8</f>
        <v>6250</v>
      </c>
      <c r="S118" s="160">
        <f>$E$7</f>
        <v>6250</v>
      </c>
      <c r="T118" s="160">
        <f t="shared" ref="T118:U118" si="157">$B$11+$E$7</f>
        <v>6250</v>
      </c>
      <c r="U118" s="160">
        <f t="shared" si="157"/>
        <v>6250</v>
      </c>
      <c r="V118" s="161">
        <f t="shared" si="152"/>
        <v>675.9</v>
      </c>
      <c r="W118" s="115">
        <f t="shared" si="133"/>
        <v>138518</v>
      </c>
      <c r="X118" s="60"/>
      <c r="Y118" s="60"/>
      <c r="Z118" s="60"/>
      <c r="AA118" s="60"/>
      <c r="AB118" s="60"/>
    </row>
    <row r="119" spans="1:28" ht="13.5" customHeight="1" x14ac:dyDescent="0.35">
      <c r="A119" s="312">
        <v>42685</v>
      </c>
      <c r="B119" s="314" t="s">
        <v>170</v>
      </c>
      <c r="C119" s="314" t="s">
        <v>166</v>
      </c>
      <c r="D119" s="314" t="s">
        <v>172</v>
      </c>
      <c r="E119" s="315">
        <v>24650</v>
      </c>
      <c r="F119" s="314" t="s">
        <v>157</v>
      </c>
      <c r="G119" s="168">
        <f t="shared" si="125"/>
        <v>6607.608695652174</v>
      </c>
      <c r="H119" s="171">
        <v>5</v>
      </c>
      <c r="I119" s="168">
        <f t="shared" si="126"/>
        <v>6607.608695652174</v>
      </c>
      <c r="J119" s="171">
        <v>8</v>
      </c>
      <c r="K119" s="224">
        <f t="shared" si="127"/>
        <v>6607.608695652174</v>
      </c>
      <c r="L119" s="171">
        <v>7</v>
      </c>
      <c r="M119" s="168">
        <f t="shared" si="128"/>
        <v>6607.608695652174</v>
      </c>
      <c r="N119" s="171">
        <v>3</v>
      </c>
      <c r="O119" s="171"/>
      <c r="P119" s="172">
        <f t="shared" si="129"/>
        <v>23</v>
      </c>
      <c r="Q119" s="171">
        <v>23</v>
      </c>
      <c r="R119" s="173">
        <f t="shared" ref="R119:S119" si="158">$N$5</f>
        <v>5000</v>
      </c>
      <c r="S119" s="173">
        <f t="shared" si="158"/>
        <v>5000</v>
      </c>
      <c r="T119" s="173">
        <f t="shared" ref="T119:U119" si="159">$B$11+$N$5</f>
        <v>5000</v>
      </c>
      <c r="U119" s="173">
        <f t="shared" si="159"/>
        <v>5000</v>
      </c>
      <c r="V119" s="161">
        <f t="shared" si="152"/>
        <v>1607.6086956521738</v>
      </c>
      <c r="W119" s="115">
        <f t="shared" si="133"/>
        <v>151975</v>
      </c>
      <c r="X119" s="171"/>
      <c r="Y119" s="171"/>
      <c r="Z119" s="171"/>
      <c r="AA119" s="171"/>
      <c r="AB119" s="171"/>
    </row>
    <row r="120" spans="1:28" ht="13.5" customHeight="1" x14ac:dyDescent="0.35">
      <c r="A120" s="312">
        <v>42689</v>
      </c>
      <c r="B120" s="314" t="s">
        <v>171</v>
      </c>
      <c r="C120" s="314" t="s">
        <v>166</v>
      </c>
      <c r="D120" s="314" t="s">
        <v>167</v>
      </c>
      <c r="E120" s="314"/>
      <c r="F120" s="314"/>
      <c r="G120" s="168">
        <f t="shared" si="125"/>
        <v>5000</v>
      </c>
      <c r="H120" s="171">
        <v>5</v>
      </c>
      <c r="I120" s="168">
        <f t="shared" si="126"/>
        <v>5000</v>
      </c>
      <c r="J120" s="171">
        <v>8</v>
      </c>
      <c r="K120" s="224">
        <f t="shared" si="127"/>
        <v>5000</v>
      </c>
      <c r="L120" s="171">
        <v>7</v>
      </c>
      <c r="M120" s="168">
        <f t="shared" si="128"/>
        <v>5000</v>
      </c>
      <c r="N120" s="171">
        <v>3</v>
      </c>
      <c r="O120" s="171"/>
      <c r="P120" s="172">
        <f t="shared" si="129"/>
        <v>23</v>
      </c>
      <c r="Q120" s="171">
        <v>23</v>
      </c>
      <c r="R120" s="173">
        <f t="shared" ref="R120:S120" si="160">$N$5</f>
        <v>5000</v>
      </c>
      <c r="S120" s="173">
        <f t="shared" si="160"/>
        <v>5000</v>
      </c>
      <c r="T120" s="173">
        <f t="shared" ref="T120:U120" si="161">$B$11+$N$5</f>
        <v>5000</v>
      </c>
      <c r="U120" s="173">
        <f t="shared" si="161"/>
        <v>5000</v>
      </c>
      <c r="V120" s="161">
        <f t="shared" si="152"/>
        <v>0</v>
      </c>
      <c r="W120" s="115">
        <f t="shared" si="133"/>
        <v>115000</v>
      </c>
      <c r="X120" s="171"/>
      <c r="Y120" s="171"/>
      <c r="Z120" s="171"/>
      <c r="AA120" s="171"/>
      <c r="AB120" s="171"/>
    </row>
    <row r="121" spans="1:28" ht="13.5" customHeight="1" x14ac:dyDescent="0.35">
      <c r="A121" s="335"/>
      <c r="B121" s="701" t="s">
        <v>184</v>
      </c>
      <c r="C121" s="637"/>
      <c r="D121" s="637"/>
      <c r="E121" s="637"/>
      <c r="F121" s="635"/>
      <c r="G121" s="161">
        <f>$B$3</f>
        <v>0</v>
      </c>
      <c r="H121" s="187">
        <v>5</v>
      </c>
      <c r="I121" s="161">
        <f>$B$4</f>
        <v>0</v>
      </c>
      <c r="J121" s="187">
        <v>10</v>
      </c>
      <c r="K121" s="188"/>
      <c r="L121" s="187"/>
      <c r="M121" s="161"/>
      <c r="N121" s="187"/>
      <c r="O121" s="188">
        <f>$B$8</f>
        <v>1875</v>
      </c>
      <c r="P121" s="187"/>
      <c r="Q121" s="187">
        <v>6</v>
      </c>
      <c r="R121" s="161"/>
      <c r="S121" s="161"/>
      <c r="T121" s="161"/>
      <c r="U121" s="161"/>
      <c r="V121" s="161"/>
      <c r="W121" s="188">
        <f>(G121*H121)+(I121*J121)+(O121*Q121)</f>
        <v>11250</v>
      </c>
      <c r="X121" s="189"/>
      <c r="Y121" s="189"/>
      <c r="Z121" s="189"/>
      <c r="AA121" s="189"/>
      <c r="AB121" s="189"/>
    </row>
    <row r="122" spans="1:28" ht="13.5" customHeight="1" x14ac:dyDescent="0.35">
      <c r="A122" s="335"/>
      <c r="B122" s="701" t="s">
        <v>192</v>
      </c>
      <c r="C122" s="637"/>
      <c r="D122" s="637"/>
      <c r="E122" s="637"/>
      <c r="F122" s="635"/>
      <c r="G122" s="161">
        <f>$E$12/($H123+$J123+$L123)</f>
        <v>0</v>
      </c>
      <c r="H122" s="187">
        <v>5</v>
      </c>
      <c r="I122" s="161">
        <f>$E$12/($H123+$J123+$L123)</f>
        <v>0</v>
      </c>
      <c r="J122" s="187">
        <v>10</v>
      </c>
      <c r="K122" s="188">
        <f>$E$12/($H123+$J123+$L123)</f>
        <v>0</v>
      </c>
      <c r="L122" s="187">
        <v>15</v>
      </c>
      <c r="M122" s="161"/>
      <c r="N122" s="187"/>
      <c r="O122" s="188"/>
      <c r="P122" s="187"/>
      <c r="Q122" s="187"/>
      <c r="R122" s="161"/>
      <c r="S122" s="161"/>
      <c r="T122" s="161"/>
      <c r="U122" s="161"/>
      <c r="V122" s="161"/>
      <c r="W122" s="188">
        <f>(G122*H122)+(I122*J122)+(K122*L122)+(M122*N122)</f>
        <v>0</v>
      </c>
      <c r="X122" s="189"/>
      <c r="Y122" s="189"/>
      <c r="Z122" s="189"/>
      <c r="AA122" s="189"/>
      <c r="AB122" s="189"/>
    </row>
    <row r="123" spans="1:28" ht="13.5" customHeight="1" x14ac:dyDescent="0.4">
      <c r="A123" s="709" t="s">
        <v>388</v>
      </c>
      <c r="B123" s="635"/>
      <c r="C123" s="339"/>
      <c r="D123" s="700" t="s">
        <v>197</v>
      </c>
      <c r="E123" s="637"/>
      <c r="F123" s="635"/>
      <c r="G123" s="340">
        <f>SUMPRODUCT(G100:G122,H100:H122)</f>
        <v>1043388.5960144927</v>
      </c>
      <c r="H123" s="341">
        <v>5</v>
      </c>
      <c r="I123" s="340">
        <f>SUMPRODUCT(I100:I122,J100:J122)</f>
        <v>1448816.9489130436</v>
      </c>
      <c r="J123" s="341">
        <v>10</v>
      </c>
      <c r="K123" s="340">
        <f>SUMPRODUCT(K100:K122,L100:L122)</f>
        <v>1367480.4510869565</v>
      </c>
      <c r="L123" s="341">
        <v>15</v>
      </c>
      <c r="M123" s="340">
        <f>SUMPRODUCT(M100:M122,N100:N122)</f>
        <v>810154.0039855073</v>
      </c>
      <c r="N123" s="341">
        <v>20</v>
      </c>
      <c r="O123" s="342">
        <f>$O121*Q121</f>
        <v>11250</v>
      </c>
      <c r="P123" s="727" t="s">
        <v>201</v>
      </c>
      <c r="Q123" s="635"/>
      <c r="R123" s="341">
        <f>H123+J123+L123+N123</f>
        <v>50</v>
      </c>
      <c r="S123" s="344"/>
      <c r="T123" s="344"/>
      <c r="U123" s="344"/>
      <c r="V123" s="344"/>
      <c r="W123" s="344"/>
      <c r="X123" s="310"/>
      <c r="Y123" s="310"/>
      <c r="Z123" s="310"/>
      <c r="AA123" s="346"/>
      <c r="AB123" s="346"/>
    </row>
    <row r="124" spans="1:28" ht="13.5" customHeight="1" x14ac:dyDescent="0.4">
      <c r="A124" s="709" t="s">
        <v>391</v>
      </c>
      <c r="B124" s="635"/>
      <c r="C124" s="339"/>
      <c r="D124" s="700" t="s">
        <v>204</v>
      </c>
      <c r="E124" s="637"/>
      <c r="F124" s="635"/>
      <c r="G124" s="347">
        <f>G123/H123</f>
        <v>208677.71920289853</v>
      </c>
      <c r="H124" s="348">
        <f>(SUM(H100:H109)+SUM(H111:H113)+SUM(H115:H120))/H123</f>
        <v>19</v>
      </c>
      <c r="I124" s="347">
        <f>I123/J123</f>
        <v>144881.69489130436</v>
      </c>
      <c r="J124" s="348">
        <f>(SUM(J100:J109)+SUM(J111:J113)+SUM(J115:J120))/J123</f>
        <v>13</v>
      </c>
      <c r="K124" s="347">
        <f>K123/L123</f>
        <v>91165.363405797107</v>
      </c>
      <c r="L124" s="348">
        <f>(SUM(L100:L109)+SUM(L111:L113)+SUM(L115:L120))/L123</f>
        <v>8.1999999999999993</v>
      </c>
      <c r="M124" s="347">
        <f>M123/N123</f>
        <v>40507.700199275365</v>
      </c>
      <c r="N124" s="348">
        <f>(SUM(N100:N109)+SUM(N111:N113)+SUM(N115:N120))/N123</f>
        <v>3.75</v>
      </c>
      <c r="O124" s="349"/>
      <c r="P124" s="726" t="s">
        <v>206</v>
      </c>
      <c r="Q124" s="635"/>
      <c r="R124" s="347">
        <f>SUM(G123,I123,K123,M123,O123)</f>
        <v>4681090</v>
      </c>
      <c r="S124" s="344"/>
      <c r="T124" s="344"/>
      <c r="U124" s="344"/>
      <c r="V124" s="344"/>
      <c r="W124" s="350">
        <f>SUM(W100:W122)</f>
        <v>4681090</v>
      </c>
      <c r="X124" s="310"/>
      <c r="Y124" s="310"/>
      <c r="Z124" s="310"/>
      <c r="AA124" s="346"/>
      <c r="AB124" s="346"/>
    </row>
    <row r="125" spans="1:28" ht="13.5" customHeight="1" x14ac:dyDescent="0.35">
      <c r="A125" s="215">
        <v>42764</v>
      </c>
      <c r="B125" s="216" t="s">
        <v>393</v>
      </c>
      <c r="C125" s="216" t="s">
        <v>155</v>
      </c>
      <c r="D125" s="216" t="s">
        <v>122</v>
      </c>
      <c r="E125" s="217">
        <v>20079</v>
      </c>
      <c r="F125" s="216"/>
      <c r="G125" s="118">
        <f t="shared" ref="G125:G145" si="162">R125+V125</f>
        <v>7755.9250000000002</v>
      </c>
      <c r="H125" s="60">
        <v>5</v>
      </c>
      <c r="I125" s="118">
        <f t="shared" ref="I125:I145" si="163">S125+V125</f>
        <v>7755.9250000000002</v>
      </c>
      <c r="J125" s="60">
        <v>3</v>
      </c>
      <c r="K125" s="115">
        <f t="shared" ref="K125:K145" si="164">T125+V125</f>
        <v>7755.9250000000002</v>
      </c>
      <c r="L125" s="60">
        <v>2</v>
      </c>
      <c r="M125" s="118">
        <f t="shared" ref="M125:M145" si="165">U125+V125</f>
        <v>7755.9250000000002</v>
      </c>
      <c r="N125" s="60">
        <v>10</v>
      </c>
      <c r="O125" s="60"/>
      <c r="P125" s="159">
        <f t="shared" ref="P125:P145" si="166">H125+J125+L125+N125</f>
        <v>20</v>
      </c>
      <c r="Q125" s="60">
        <v>20</v>
      </c>
      <c r="R125" s="160">
        <f>$E$8</f>
        <v>6250</v>
      </c>
      <c r="S125" s="160">
        <f>$E$7</f>
        <v>6250</v>
      </c>
      <c r="T125" s="160">
        <f t="shared" ref="T125:U125" si="167">$B$11+$E$7</f>
        <v>6250</v>
      </c>
      <c r="U125" s="160">
        <f t="shared" si="167"/>
        <v>6250</v>
      </c>
      <c r="V125" s="161">
        <f t="shared" ref="V125:V132" si="168">($E125*($E$13/$Q125))</f>
        <v>1505.925</v>
      </c>
      <c r="W125" s="115">
        <f t="shared" ref="W125:W145" si="169">(G125*H125)+(I125*J125)+(K125*L125)+(M125*N125)</f>
        <v>155118.5</v>
      </c>
      <c r="X125" s="60"/>
      <c r="Y125" s="60"/>
      <c r="Z125" s="60"/>
      <c r="AA125" s="60"/>
      <c r="AB125" s="60"/>
    </row>
    <row r="126" spans="1:28" ht="13.5" customHeight="1" x14ac:dyDescent="0.35">
      <c r="A126" s="215">
        <v>42769</v>
      </c>
      <c r="B126" s="216" t="s">
        <v>178</v>
      </c>
      <c r="C126" s="216" t="s">
        <v>120</v>
      </c>
      <c r="D126" s="216" t="s">
        <v>122</v>
      </c>
      <c r="E126" s="217">
        <v>17903</v>
      </c>
      <c r="F126" s="216"/>
      <c r="G126" s="118">
        <f t="shared" si="162"/>
        <v>10717.725</v>
      </c>
      <c r="H126" s="60">
        <v>5</v>
      </c>
      <c r="I126" s="118">
        <f t="shared" si="163"/>
        <v>10717.725</v>
      </c>
      <c r="J126" s="60">
        <v>3</v>
      </c>
      <c r="K126" s="115">
        <f t="shared" si="164"/>
        <v>10717.725</v>
      </c>
      <c r="L126" s="60">
        <v>2</v>
      </c>
      <c r="M126" s="118">
        <f t="shared" si="165"/>
        <v>10717.725</v>
      </c>
      <c r="N126" s="60">
        <v>10</v>
      </c>
      <c r="O126" s="60"/>
      <c r="P126" s="159">
        <f t="shared" si="166"/>
        <v>20</v>
      </c>
      <c r="Q126" s="60">
        <v>20</v>
      </c>
      <c r="R126" s="160">
        <f t="shared" ref="R126:S126" si="170">$E$5</f>
        <v>9375</v>
      </c>
      <c r="S126" s="160">
        <f t="shared" si="170"/>
        <v>9375</v>
      </c>
      <c r="T126" s="160">
        <f t="shared" ref="T126:U126" si="171">$B$11+$E$5</f>
        <v>9375</v>
      </c>
      <c r="U126" s="160">
        <f t="shared" si="171"/>
        <v>9375</v>
      </c>
      <c r="V126" s="161">
        <f t="shared" si="168"/>
        <v>1342.7249999999999</v>
      </c>
      <c r="W126" s="115">
        <f t="shared" si="169"/>
        <v>214354.5</v>
      </c>
      <c r="X126" s="60"/>
      <c r="Y126" s="60"/>
      <c r="Z126" s="60"/>
      <c r="AA126" s="60"/>
      <c r="AB126" s="60"/>
    </row>
    <row r="127" spans="1:28" ht="13.5" customHeight="1" x14ac:dyDescent="0.35">
      <c r="A127" s="225">
        <v>42818</v>
      </c>
      <c r="B127" s="351" t="s">
        <v>165</v>
      </c>
      <c r="C127" s="351" t="s">
        <v>120</v>
      </c>
      <c r="D127" s="351" t="s">
        <v>172</v>
      </c>
      <c r="E127" s="352">
        <v>17729</v>
      </c>
      <c r="F127" s="351"/>
      <c r="G127" s="168">
        <f t="shared" si="162"/>
        <v>19281.239130434784</v>
      </c>
      <c r="H127" s="171">
        <v>5</v>
      </c>
      <c r="I127" s="168">
        <f t="shared" si="163"/>
        <v>19281.239130434784</v>
      </c>
      <c r="J127" s="171">
        <v>7</v>
      </c>
      <c r="K127" s="224">
        <f t="shared" si="164"/>
        <v>19281.239130434784</v>
      </c>
      <c r="L127" s="171">
        <v>7</v>
      </c>
      <c r="M127" s="168">
        <f t="shared" si="165"/>
        <v>19281.239130434784</v>
      </c>
      <c r="N127" s="171">
        <v>4</v>
      </c>
      <c r="O127" s="171"/>
      <c r="P127" s="172">
        <f t="shared" si="166"/>
        <v>23</v>
      </c>
      <c r="Q127" s="171">
        <v>23</v>
      </c>
      <c r="R127" s="173">
        <f t="shared" ref="R127:S127" si="172">$N$3</f>
        <v>18125</v>
      </c>
      <c r="S127" s="173">
        <f t="shared" si="172"/>
        <v>18125</v>
      </c>
      <c r="T127" s="173">
        <f t="shared" ref="T127:U127" si="173">$B$11+$N$3</f>
        <v>18125</v>
      </c>
      <c r="U127" s="173">
        <f t="shared" si="173"/>
        <v>18125</v>
      </c>
      <c r="V127" s="161">
        <f t="shared" si="168"/>
        <v>1156.2391304347825</v>
      </c>
      <c r="W127" s="115">
        <f t="shared" si="169"/>
        <v>443468.5</v>
      </c>
      <c r="X127" s="171"/>
      <c r="Y127" s="171"/>
      <c r="Z127" s="171"/>
      <c r="AA127" s="171"/>
      <c r="AB127" s="171"/>
    </row>
    <row r="128" spans="1:28" ht="13.5" customHeight="1" x14ac:dyDescent="0.35">
      <c r="A128" s="225">
        <v>42822</v>
      </c>
      <c r="B128" s="351" t="s">
        <v>182</v>
      </c>
      <c r="C128" s="351" t="s">
        <v>155</v>
      </c>
      <c r="D128" s="351" t="s">
        <v>167</v>
      </c>
      <c r="E128" s="351"/>
      <c r="F128" s="351"/>
      <c r="G128" s="168">
        <f t="shared" si="162"/>
        <v>10000</v>
      </c>
      <c r="H128" s="171">
        <v>5</v>
      </c>
      <c r="I128" s="168">
        <f t="shared" si="163"/>
        <v>10000</v>
      </c>
      <c r="J128" s="171">
        <v>7</v>
      </c>
      <c r="K128" s="224">
        <f t="shared" si="164"/>
        <v>10000</v>
      </c>
      <c r="L128" s="171">
        <v>7</v>
      </c>
      <c r="M128" s="168">
        <f t="shared" si="165"/>
        <v>10000</v>
      </c>
      <c r="N128" s="171">
        <v>4</v>
      </c>
      <c r="O128" s="171"/>
      <c r="P128" s="172">
        <f t="shared" si="166"/>
        <v>23</v>
      </c>
      <c r="Q128" s="171">
        <v>23</v>
      </c>
      <c r="R128" s="173">
        <f t="shared" ref="R128:S128" si="174">$N$4</f>
        <v>10000</v>
      </c>
      <c r="S128" s="173">
        <f t="shared" si="174"/>
        <v>10000</v>
      </c>
      <c r="T128" s="173">
        <f t="shared" ref="T128:U128" si="175">$B$11+$N$4</f>
        <v>10000</v>
      </c>
      <c r="U128" s="173">
        <f t="shared" si="175"/>
        <v>10000</v>
      </c>
      <c r="V128" s="161">
        <f t="shared" si="168"/>
        <v>0</v>
      </c>
      <c r="W128" s="115">
        <f t="shared" si="169"/>
        <v>230000</v>
      </c>
      <c r="X128" s="171"/>
      <c r="Y128" s="171"/>
      <c r="Z128" s="171"/>
      <c r="AA128" s="171"/>
      <c r="AB128" s="171"/>
    </row>
    <row r="129" spans="1:28" ht="13.5" customHeight="1" x14ac:dyDescent="0.35">
      <c r="A129" s="215">
        <v>42889</v>
      </c>
      <c r="B129" s="216" t="s">
        <v>396</v>
      </c>
      <c r="C129" s="216" t="s">
        <v>155</v>
      </c>
      <c r="D129" s="216" t="s">
        <v>122</v>
      </c>
      <c r="E129" s="217">
        <v>17315</v>
      </c>
      <c r="F129" s="216"/>
      <c r="G129" s="118">
        <f t="shared" si="162"/>
        <v>7548.625</v>
      </c>
      <c r="H129" s="60">
        <v>5</v>
      </c>
      <c r="I129" s="118">
        <f t="shared" si="163"/>
        <v>7548.625</v>
      </c>
      <c r="J129" s="60">
        <v>6</v>
      </c>
      <c r="K129" s="115">
        <f t="shared" si="164"/>
        <v>7548.625</v>
      </c>
      <c r="L129" s="60">
        <v>7</v>
      </c>
      <c r="M129" s="118">
        <f t="shared" si="165"/>
        <v>7548.625</v>
      </c>
      <c r="N129" s="60">
        <v>2</v>
      </c>
      <c r="O129" s="60"/>
      <c r="P129" s="159">
        <f t="shared" si="166"/>
        <v>20</v>
      </c>
      <c r="Q129" s="60">
        <v>20</v>
      </c>
      <c r="R129" s="160">
        <f>$E$8</f>
        <v>6250</v>
      </c>
      <c r="S129" s="160">
        <f>$E$7</f>
        <v>6250</v>
      </c>
      <c r="T129" s="160">
        <f t="shared" ref="T129:U129" si="176">$B$11+$E$7</f>
        <v>6250</v>
      </c>
      <c r="U129" s="160">
        <f t="shared" si="176"/>
        <v>6250</v>
      </c>
      <c r="V129" s="161">
        <f t="shared" si="168"/>
        <v>1298.625</v>
      </c>
      <c r="W129" s="115">
        <f t="shared" si="169"/>
        <v>150972.5</v>
      </c>
      <c r="X129" s="60"/>
      <c r="Y129" s="60"/>
      <c r="Z129" s="60"/>
      <c r="AA129" s="60"/>
      <c r="AB129" s="60"/>
    </row>
    <row r="130" spans="1:28" ht="13.5" customHeight="1" x14ac:dyDescent="0.35">
      <c r="A130" s="225">
        <v>42894</v>
      </c>
      <c r="B130" s="351" t="s">
        <v>327</v>
      </c>
      <c r="C130" s="351" t="s">
        <v>120</v>
      </c>
      <c r="D130" s="351" t="s">
        <v>172</v>
      </c>
      <c r="E130" s="352">
        <v>19188</v>
      </c>
      <c r="F130" s="351"/>
      <c r="G130" s="168">
        <f t="shared" si="162"/>
        <v>19376.391304347824</v>
      </c>
      <c r="H130" s="171">
        <v>5</v>
      </c>
      <c r="I130" s="168">
        <f t="shared" si="163"/>
        <v>19376.391304347824</v>
      </c>
      <c r="J130" s="171">
        <v>8</v>
      </c>
      <c r="K130" s="224">
        <f t="shared" si="164"/>
        <v>19376.391304347824</v>
      </c>
      <c r="L130" s="171">
        <v>7</v>
      </c>
      <c r="M130" s="168">
        <f t="shared" si="165"/>
        <v>19376.391304347824</v>
      </c>
      <c r="N130" s="171">
        <v>3</v>
      </c>
      <c r="O130" s="171"/>
      <c r="P130" s="172">
        <f t="shared" si="166"/>
        <v>23</v>
      </c>
      <c r="Q130" s="171">
        <v>23</v>
      </c>
      <c r="R130" s="173">
        <f t="shared" ref="R130:S130" si="177">$N$3</f>
        <v>18125</v>
      </c>
      <c r="S130" s="173">
        <f t="shared" si="177"/>
        <v>18125</v>
      </c>
      <c r="T130" s="173">
        <f t="shared" ref="T130:U130" si="178">$B$11+$N$3</f>
        <v>18125</v>
      </c>
      <c r="U130" s="173">
        <f t="shared" si="178"/>
        <v>18125</v>
      </c>
      <c r="V130" s="161">
        <f t="shared" si="168"/>
        <v>1251.391304347826</v>
      </c>
      <c r="W130" s="115">
        <f t="shared" si="169"/>
        <v>445656.99999999994</v>
      </c>
      <c r="X130" s="171"/>
      <c r="Y130" s="171"/>
      <c r="Z130" s="171"/>
      <c r="AA130" s="171"/>
      <c r="AB130" s="171"/>
    </row>
    <row r="131" spans="1:28" ht="13.5" customHeight="1" x14ac:dyDescent="0.35">
      <c r="A131" s="225">
        <v>42897</v>
      </c>
      <c r="B131" s="351" t="s">
        <v>170</v>
      </c>
      <c r="C131" s="351" t="s">
        <v>155</v>
      </c>
      <c r="D131" s="351" t="s">
        <v>167</v>
      </c>
      <c r="E131" s="351"/>
      <c r="F131" s="351" t="s">
        <v>157</v>
      </c>
      <c r="G131" s="168">
        <f t="shared" si="162"/>
        <v>10000</v>
      </c>
      <c r="H131" s="171">
        <v>5</v>
      </c>
      <c r="I131" s="168">
        <f t="shared" si="163"/>
        <v>10000</v>
      </c>
      <c r="J131" s="171">
        <v>8</v>
      </c>
      <c r="K131" s="224">
        <f t="shared" si="164"/>
        <v>10000</v>
      </c>
      <c r="L131" s="171">
        <v>7</v>
      </c>
      <c r="M131" s="168">
        <f t="shared" si="165"/>
        <v>10000</v>
      </c>
      <c r="N131" s="171">
        <v>3</v>
      </c>
      <c r="O131" s="171"/>
      <c r="P131" s="172">
        <f t="shared" si="166"/>
        <v>23</v>
      </c>
      <c r="Q131" s="171">
        <v>23</v>
      </c>
      <c r="R131" s="173">
        <f t="shared" ref="R131:S131" si="179">$N$4</f>
        <v>10000</v>
      </c>
      <c r="S131" s="173">
        <f t="shared" si="179"/>
        <v>10000</v>
      </c>
      <c r="T131" s="173">
        <f t="shared" ref="T131:U131" si="180">$B$11+$N$4</f>
        <v>10000</v>
      </c>
      <c r="U131" s="173">
        <f t="shared" si="180"/>
        <v>10000</v>
      </c>
      <c r="V131" s="161">
        <f t="shared" si="168"/>
        <v>0</v>
      </c>
      <c r="W131" s="115">
        <f t="shared" si="169"/>
        <v>230000</v>
      </c>
      <c r="X131" s="171"/>
      <c r="Y131" s="171"/>
      <c r="Z131" s="171"/>
      <c r="AA131" s="171"/>
      <c r="AB131" s="171"/>
    </row>
    <row r="132" spans="1:28" ht="13.5" customHeight="1" x14ac:dyDescent="0.35">
      <c r="A132" s="215">
        <v>42917</v>
      </c>
      <c r="B132" s="216" t="s">
        <v>399</v>
      </c>
      <c r="C132" s="216" t="s">
        <v>120</v>
      </c>
      <c r="D132" s="216" t="s">
        <v>122</v>
      </c>
      <c r="E132" s="217">
        <v>28754</v>
      </c>
      <c r="F132" s="216"/>
      <c r="G132" s="118">
        <f t="shared" si="162"/>
        <v>11250.260869565218</v>
      </c>
      <c r="H132" s="60">
        <v>5</v>
      </c>
      <c r="I132" s="118">
        <f t="shared" si="163"/>
        <v>11250.260869565218</v>
      </c>
      <c r="J132" s="60">
        <v>10</v>
      </c>
      <c r="K132" s="115">
        <f t="shared" si="164"/>
        <v>11250.260869565218</v>
      </c>
      <c r="L132" s="60">
        <v>7</v>
      </c>
      <c r="M132" s="118">
        <f t="shared" si="165"/>
        <v>11250.260869565218</v>
      </c>
      <c r="N132" s="60">
        <v>1</v>
      </c>
      <c r="O132" s="60"/>
      <c r="P132" s="159">
        <f t="shared" si="166"/>
        <v>23</v>
      </c>
      <c r="Q132" s="60">
        <v>23</v>
      </c>
      <c r="R132" s="160">
        <f t="shared" ref="R132:S132" si="181">$E$5</f>
        <v>9375</v>
      </c>
      <c r="S132" s="160">
        <f t="shared" si="181"/>
        <v>9375</v>
      </c>
      <c r="T132" s="160">
        <f t="shared" ref="T132:U132" si="182">$B$11+$E$5</f>
        <v>9375</v>
      </c>
      <c r="U132" s="160">
        <f t="shared" si="182"/>
        <v>9375</v>
      </c>
      <c r="V132" s="161">
        <f t="shared" si="168"/>
        <v>1875.2608695652173</v>
      </c>
      <c r="W132" s="115">
        <f t="shared" si="169"/>
        <v>258756.00000000003</v>
      </c>
      <c r="X132" s="60"/>
      <c r="Y132" s="60"/>
      <c r="Z132" s="60"/>
      <c r="AA132" s="60"/>
      <c r="AB132" s="60"/>
    </row>
    <row r="133" spans="1:28" ht="13.5" customHeight="1" x14ac:dyDescent="0.35">
      <c r="A133" s="353">
        <v>42924</v>
      </c>
      <c r="B133" s="354" t="s">
        <v>182</v>
      </c>
      <c r="C133" s="354" t="s">
        <v>155</v>
      </c>
      <c r="D133" s="354" t="s">
        <v>188</v>
      </c>
      <c r="E133" s="355">
        <v>47622</v>
      </c>
      <c r="F133" s="354"/>
      <c r="G133" s="143">
        <f t="shared" si="162"/>
        <v>6563</v>
      </c>
      <c r="H133" s="144">
        <v>5</v>
      </c>
      <c r="I133" s="143">
        <f t="shared" si="163"/>
        <v>6563</v>
      </c>
      <c r="J133" s="144">
        <v>10</v>
      </c>
      <c r="K133" s="138">
        <f t="shared" si="164"/>
        <v>6563</v>
      </c>
      <c r="L133" s="144">
        <v>7</v>
      </c>
      <c r="M133" s="143">
        <f t="shared" si="165"/>
        <v>6563</v>
      </c>
      <c r="N133" s="144">
        <v>1</v>
      </c>
      <c r="O133" s="144"/>
      <c r="P133" s="146">
        <f t="shared" si="166"/>
        <v>23</v>
      </c>
      <c r="Q133" s="144">
        <v>23</v>
      </c>
      <c r="R133" s="186">
        <f t="shared" ref="R133:U133" si="183">$H$5</f>
        <v>6563</v>
      </c>
      <c r="S133" s="186">
        <f t="shared" si="183"/>
        <v>6563</v>
      </c>
      <c r="T133" s="186">
        <f t="shared" si="183"/>
        <v>6563</v>
      </c>
      <c r="U133" s="186">
        <f t="shared" si="183"/>
        <v>6563</v>
      </c>
      <c r="V133" s="330">
        <v>0</v>
      </c>
      <c r="W133" s="115">
        <f t="shared" si="169"/>
        <v>150949</v>
      </c>
      <c r="X133" s="144"/>
      <c r="Y133" s="144"/>
      <c r="Z133" s="144"/>
      <c r="AA133" s="144"/>
      <c r="AB133" s="144"/>
    </row>
    <row r="134" spans="1:28" ht="13.5" customHeight="1" x14ac:dyDescent="0.35">
      <c r="A134" s="353">
        <v>42928</v>
      </c>
      <c r="B134" s="354" t="s">
        <v>402</v>
      </c>
      <c r="C134" s="354" t="s">
        <v>120</v>
      </c>
      <c r="D134" s="354" t="s">
        <v>188</v>
      </c>
      <c r="E134" s="355">
        <v>23368</v>
      </c>
      <c r="F134" s="354"/>
      <c r="G134" s="143">
        <f t="shared" si="162"/>
        <v>9375</v>
      </c>
      <c r="H134" s="144">
        <v>5</v>
      </c>
      <c r="I134" s="143">
        <f t="shared" si="163"/>
        <v>9375</v>
      </c>
      <c r="J134" s="144">
        <v>10</v>
      </c>
      <c r="K134" s="138">
        <f t="shared" si="164"/>
        <v>9375</v>
      </c>
      <c r="L134" s="144">
        <v>7</v>
      </c>
      <c r="M134" s="143">
        <f t="shared" si="165"/>
        <v>9375</v>
      </c>
      <c r="N134" s="144">
        <v>1</v>
      </c>
      <c r="O134" s="144"/>
      <c r="P134" s="146">
        <f t="shared" si="166"/>
        <v>23</v>
      </c>
      <c r="Q134" s="144">
        <v>23</v>
      </c>
      <c r="R134" s="186">
        <f t="shared" ref="R134:U134" si="184">$H$4</f>
        <v>9375</v>
      </c>
      <c r="S134" s="186">
        <f t="shared" si="184"/>
        <v>9375</v>
      </c>
      <c r="T134" s="186">
        <f t="shared" si="184"/>
        <v>9375</v>
      </c>
      <c r="U134" s="186">
        <f t="shared" si="184"/>
        <v>9375</v>
      </c>
      <c r="V134" s="330">
        <v>0</v>
      </c>
      <c r="W134" s="115">
        <f t="shared" si="169"/>
        <v>215625</v>
      </c>
      <c r="X134" s="144"/>
      <c r="Y134" s="144"/>
      <c r="Z134" s="144"/>
      <c r="AA134" s="144"/>
      <c r="AB134" s="144"/>
    </row>
    <row r="135" spans="1:28" ht="13.5" customHeight="1" x14ac:dyDescent="0.35">
      <c r="A135" s="353">
        <v>42931</v>
      </c>
      <c r="B135" s="354" t="s">
        <v>403</v>
      </c>
      <c r="C135" s="354" t="s">
        <v>120</v>
      </c>
      <c r="D135" s="354" t="s">
        <v>188</v>
      </c>
      <c r="E135" s="355">
        <v>27934</v>
      </c>
      <c r="F135" s="354"/>
      <c r="G135" s="143">
        <f t="shared" si="162"/>
        <v>9375</v>
      </c>
      <c r="H135" s="144">
        <v>5</v>
      </c>
      <c r="I135" s="143">
        <f t="shared" si="163"/>
        <v>9375</v>
      </c>
      <c r="J135" s="144">
        <v>10</v>
      </c>
      <c r="K135" s="138">
        <f t="shared" si="164"/>
        <v>9375</v>
      </c>
      <c r="L135" s="144">
        <v>7</v>
      </c>
      <c r="M135" s="143">
        <f t="shared" si="165"/>
        <v>9375</v>
      </c>
      <c r="N135" s="144">
        <v>1</v>
      </c>
      <c r="O135" s="144"/>
      <c r="P135" s="146">
        <f t="shared" si="166"/>
        <v>23</v>
      </c>
      <c r="Q135" s="144">
        <v>23</v>
      </c>
      <c r="R135" s="186">
        <f t="shared" ref="R135:U135" si="185">$H$4</f>
        <v>9375</v>
      </c>
      <c r="S135" s="186">
        <f t="shared" si="185"/>
        <v>9375</v>
      </c>
      <c r="T135" s="186">
        <f t="shared" si="185"/>
        <v>9375</v>
      </c>
      <c r="U135" s="186">
        <f t="shared" si="185"/>
        <v>9375</v>
      </c>
      <c r="V135" s="330">
        <v>0</v>
      </c>
      <c r="W135" s="115">
        <f t="shared" si="169"/>
        <v>215625</v>
      </c>
      <c r="X135" s="144"/>
      <c r="Y135" s="144"/>
      <c r="Z135" s="144"/>
      <c r="AA135" s="144"/>
      <c r="AB135" s="144"/>
    </row>
    <row r="136" spans="1:28" ht="13.5" customHeight="1" x14ac:dyDescent="0.35">
      <c r="A136" s="353">
        <v>42935</v>
      </c>
      <c r="B136" s="354" t="s">
        <v>195</v>
      </c>
      <c r="C136" s="354" t="s">
        <v>120</v>
      </c>
      <c r="D136" s="354" t="s">
        <v>196</v>
      </c>
      <c r="E136" s="355">
        <v>31615</v>
      </c>
      <c r="F136" s="354"/>
      <c r="G136" s="143">
        <f t="shared" si="162"/>
        <v>9375</v>
      </c>
      <c r="H136" s="144">
        <v>5</v>
      </c>
      <c r="I136" s="143">
        <f t="shared" si="163"/>
        <v>9375</v>
      </c>
      <c r="J136" s="144">
        <v>10</v>
      </c>
      <c r="K136" s="138">
        <f t="shared" si="164"/>
        <v>9375</v>
      </c>
      <c r="L136" s="144">
        <v>7</v>
      </c>
      <c r="M136" s="143">
        <f t="shared" si="165"/>
        <v>9375</v>
      </c>
      <c r="N136" s="144">
        <v>1</v>
      </c>
      <c r="O136" s="144"/>
      <c r="P136" s="146">
        <f t="shared" si="166"/>
        <v>23</v>
      </c>
      <c r="Q136" s="144">
        <v>23</v>
      </c>
      <c r="R136" s="186">
        <f t="shared" ref="R136:U136" si="186">$H$4</f>
        <v>9375</v>
      </c>
      <c r="S136" s="186">
        <f t="shared" si="186"/>
        <v>9375</v>
      </c>
      <c r="T136" s="186">
        <f t="shared" si="186"/>
        <v>9375</v>
      </c>
      <c r="U136" s="186">
        <f t="shared" si="186"/>
        <v>9375</v>
      </c>
      <c r="V136" s="330">
        <v>0</v>
      </c>
      <c r="W136" s="115">
        <f t="shared" si="169"/>
        <v>215625</v>
      </c>
      <c r="X136" s="144"/>
      <c r="Y136" s="144"/>
      <c r="Z136" s="144"/>
      <c r="AA136" s="144"/>
      <c r="AB136" s="144"/>
    </row>
    <row r="137" spans="1:28" ht="13.5" customHeight="1" x14ac:dyDescent="0.35">
      <c r="A137" s="353">
        <v>42938</v>
      </c>
      <c r="B137" s="354" t="s">
        <v>171</v>
      </c>
      <c r="C137" s="354" t="s">
        <v>120</v>
      </c>
      <c r="D137" s="354" t="s">
        <v>198</v>
      </c>
      <c r="E137" s="355">
        <v>45516</v>
      </c>
      <c r="F137" s="354"/>
      <c r="G137" s="143">
        <f t="shared" si="162"/>
        <v>9375</v>
      </c>
      <c r="H137" s="144">
        <v>5</v>
      </c>
      <c r="I137" s="143">
        <f t="shared" si="163"/>
        <v>9375</v>
      </c>
      <c r="J137" s="144">
        <v>10</v>
      </c>
      <c r="K137" s="138">
        <f t="shared" si="164"/>
        <v>9375</v>
      </c>
      <c r="L137" s="144">
        <v>7</v>
      </c>
      <c r="M137" s="143">
        <f t="shared" si="165"/>
        <v>9375</v>
      </c>
      <c r="N137" s="144">
        <v>1</v>
      </c>
      <c r="O137" s="144"/>
      <c r="P137" s="146">
        <f t="shared" si="166"/>
        <v>23</v>
      </c>
      <c r="Q137" s="144">
        <v>23</v>
      </c>
      <c r="R137" s="186">
        <f t="shared" ref="R137:U137" si="187">$H$4</f>
        <v>9375</v>
      </c>
      <c r="S137" s="186">
        <f t="shared" si="187"/>
        <v>9375</v>
      </c>
      <c r="T137" s="186">
        <f t="shared" si="187"/>
        <v>9375</v>
      </c>
      <c r="U137" s="186">
        <f t="shared" si="187"/>
        <v>9375</v>
      </c>
      <c r="V137" s="330">
        <v>0</v>
      </c>
      <c r="W137" s="115">
        <f t="shared" si="169"/>
        <v>215625</v>
      </c>
      <c r="X137" s="144"/>
      <c r="Y137" s="144"/>
      <c r="Z137" s="144"/>
      <c r="AA137" s="144"/>
      <c r="AB137" s="144"/>
    </row>
    <row r="138" spans="1:28" ht="13.5" customHeight="1" x14ac:dyDescent="0.35">
      <c r="A138" s="353">
        <v>42942</v>
      </c>
      <c r="B138" s="354" t="s">
        <v>178</v>
      </c>
      <c r="C138" s="354" t="s">
        <v>120</v>
      </c>
      <c r="D138" s="354" t="s">
        <v>199</v>
      </c>
      <c r="E138" s="355">
        <v>63032</v>
      </c>
      <c r="F138" s="354"/>
      <c r="G138" s="143">
        <f t="shared" si="162"/>
        <v>9375</v>
      </c>
      <c r="H138" s="144">
        <v>5</v>
      </c>
      <c r="I138" s="143">
        <f t="shared" si="163"/>
        <v>9375</v>
      </c>
      <c r="J138" s="144">
        <v>10</v>
      </c>
      <c r="K138" s="138">
        <f t="shared" si="164"/>
        <v>9375</v>
      </c>
      <c r="L138" s="144">
        <v>7</v>
      </c>
      <c r="M138" s="143">
        <f t="shared" si="165"/>
        <v>9375</v>
      </c>
      <c r="N138" s="144">
        <v>1</v>
      </c>
      <c r="O138" s="144"/>
      <c r="P138" s="146">
        <f t="shared" si="166"/>
        <v>23</v>
      </c>
      <c r="Q138" s="144">
        <v>23</v>
      </c>
      <c r="R138" s="186">
        <f t="shared" ref="R138:U138" si="188">$H$4</f>
        <v>9375</v>
      </c>
      <c r="S138" s="186">
        <f t="shared" si="188"/>
        <v>9375</v>
      </c>
      <c r="T138" s="186">
        <f t="shared" si="188"/>
        <v>9375</v>
      </c>
      <c r="U138" s="186">
        <f t="shared" si="188"/>
        <v>9375</v>
      </c>
      <c r="V138" s="330">
        <v>0</v>
      </c>
      <c r="W138" s="115">
        <f t="shared" si="169"/>
        <v>215625</v>
      </c>
      <c r="X138" s="144"/>
      <c r="Y138" s="144"/>
      <c r="Z138" s="144"/>
      <c r="AA138" s="144"/>
      <c r="AB138" s="144"/>
    </row>
    <row r="139" spans="1:28" ht="13.5" customHeight="1" x14ac:dyDescent="0.35">
      <c r="A139" s="353"/>
      <c r="B139" s="708" t="s">
        <v>404</v>
      </c>
      <c r="C139" s="637"/>
      <c r="D139" s="637"/>
      <c r="E139" s="637"/>
      <c r="F139" s="635"/>
      <c r="G139" s="143">
        <f t="shared" si="162"/>
        <v>11250</v>
      </c>
      <c r="H139" s="144">
        <v>5</v>
      </c>
      <c r="I139" s="143">
        <f t="shared" si="163"/>
        <v>11250</v>
      </c>
      <c r="J139" s="144">
        <v>10</v>
      </c>
      <c r="K139" s="138">
        <f t="shared" si="164"/>
        <v>11250</v>
      </c>
      <c r="L139" s="144">
        <v>7</v>
      </c>
      <c r="M139" s="143">
        <f t="shared" si="165"/>
        <v>11250</v>
      </c>
      <c r="N139" s="144">
        <v>1</v>
      </c>
      <c r="O139" s="144"/>
      <c r="P139" s="146">
        <f t="shared" si="166"/>
        <v>23</v>
      </c>
      <c r="Q139" s="144">
        <v>23</v>
      </c>
      <c r="R139" s="186">
        <f t="shared" ref="R139:U139" si="189">$H$8</f>
        <v>11250</v>
      </c>
      <c r="S139" s="186">
        <f t="shared" si="189"/>
        <v>11250</v>
      </c>
      <c r="T139" s="186">
        <f t="shared" si="189"/>
        <v>11250</v>
      </c>
      <c r="U139" s="186">
        <f t="shared" si="189"/>
        <v>11250</v>
      </c>
      <c r="V139" s="161">
        <f t="shared" ref="V139:V145" si="190">($E139*($E$13/$Q139))</f>
        <v>0</v>
      </c>
      <c r="W139" s="115">
        <f t="shared" si="169"/>
        <v>258750</v>
      </c>
      <c r="X139" s="144"/>
      <c r="Y139" s="144"/>
      <c r="Z139" s="144"/>
      <c r="AA139" s="144"/>
      <c r="AB139" s="144"/>
    </row>
    <row r="140" spans="1:28" ht="13.5" customHeight="1" x14ac:dyDescent="0.35">
      <c r="A140" s="225">
        <v>42979</v>
      </c>
      <c r="B140" s="351" t="s">
        <v>171</v>
      </c>
      <c r="C140" s="351" t="s">
        <v>166</v>
      </c>
      <c r="D140" s="351" t="s">
        <v>172</v>
      </c>
      <c r="E140" s="352">
        <v>26500</v>
      </c>
      <c r="F140" s="351"/>
      <c r="G140" s="168">
        <f t="shared" si="162"/>
        <v>6728.260869565217</v>
      </c>
      <c r="H140" s="171">
        <v>5</v>
      </c>
      <c r="I140" s="168">
        <f t="shared" si="163"/>
        <v>6728.260869565217</v>
      </c>
      <c r="J140" s="171">
        <v>7</v>
      </c>
      <c r="K140" s="224">
        <f t="shared" si="164"/>
        <v>6728.260869565217</v>
      </c>
      <c r="L140" s="171">
        <v>7</v>
      </c>
      <c r="M140" s="168">
        <f t="shared" si="165"/>
        <v>6728.260869565217</v>
      </c>
      <c r="N140" s="171">
        <v>4</v>
      </c>
      <c r="O140" s="171"/>
      <c r="P140" s="172">
        <f t="shared" si="166"/>
        <v>23</v>
      </c>
      <c r="Q140" s="171">
        <v>23</v>
      </c>
      <c r="R140" s="173">
        <f t="shared" ref="R140:S140" si="191">$N$5</f>
        <v>5000</v>
      </c>
      <c r="S140" s="173">
        <f t="shared" si="191"/>
        <v>5000</v>
      </c>
      <c r="T140" s="173">
        <f t="shared" ref="T140:U140" si="192">$B$11+$N$5</f>
        <v>5000</v>
      </c>
      <c r="U140" s="173">
        <f t="shared" si="192"/>
        <v>5000</v>
      </c>
      <c r="V140" s="161">
        <f t="shared" si="190"/>
        <v>1728.2608695652173</v>
      </c>
      <c r="W140" s="115">
        <f t="shared" si="169"/>
        <v>154750</v>
      </c>
      <c r="X140" s="171"/>
      <c r="Y140" s="171"/>
      <c r="Z140" s="171"/>
      <c r="AA140" s="171"/>
      <c r="AB140" s="171"/>
    </row>
    <row r="141" spans="1:28" ht="13.5" customHeight="1" x14ac:dyDescent="0.35">
      <c r="A141" s="225">
        <v>42983</v>
      </c>
      <c r="B141" s="351" t="s">
        <v>165</v>
      </c>
      <c r="C141" s="351" t="s">
        <v>155</v>
      </c>
      <c r="D141" s="351" t="s">
        <v>167</v>
      </c>
      <c r="E141" s="351"/>
      <c r="F141" s="351"/>
      <c r="G141" s="168">
        <f t="shared" si="162"/>
        <v>10000</v>
      </c>
      <c r="H141" s="171">
        <v>5</v>
      </c>
      <c r="I141" s="168">
        <f t="shared" si="163"/>
        <v>10000</v>
      </c>
      <c r="J141" s="171">
        <v>7</v>
      </c>
      <c r="K141" s="224">
        <f t="shared" si="164"/>
        <v>10000</v>
      </c>
      <c r="L141" s="171">
        <v>7</v>
      </c>
      <c r="M141" s="168">
        <f t="shared" si="165"/>
        <v>10000</v>
      </c>
      <c r="N141" s="171">
        <v>4</v>
      </c>
      <c r="O141" s="171"/>
      <c r="P141" s="172">
        <f t="shared" si="166"/>
        <v>23</v>
      </c>
      <c r="Q141" s="171">
        <v>23</v>
      </c>
      <c r="R141" s="173">
        <f t="shared" ref="R141:S141" si="193">$N$4</f>
        <v>10000</v>
      </c>
      <c r="S141" s="173">
        <f t="shared" si="193"/>
        <v>10000</v>
      </c>
      <c r="T141" s="173">
        <f t="shared" ref="T141:U141" si="194">$B$11+$N$4</f>
        <v>10000</v>
      </c>
      <c r="U141" s="173">
        <f t="shared" si="194"/>
        <v>10000</v>
      </c>
      <c r="V141" s="161">
        <f t="shared" si="190"/>
        <v>0</v>
      </c>
      <c r="W141" s="115">
        <f t="shared" si="169"/>
        <v>230000</v>
      </c>
      <c r="X141" s="171"/>
      <c r="Y141" s="171"/>
      <c r="Z141" s="171"/>
      <c r="AA141" s="171"/>
      <c r="AB141" s="171"/>
    </row>
    <row r="142" spans="1:28" ht="13.5" customHeight="1" x14ac:dyDescent="0.35">
      <c r="A142" s="225">
        <v>43014</v>
      </c>
      <c r="B142" s="351" t="s">
        <v>182</v>
      </c>
      <c r="C142" s="351" t="s">
        <v>120</v>
      </c>
      <c r="D142" s="351" t="s">
        <v>172</v>
      </c>
      <c r="E142" s="352">
        <v>25303</v>
      </c>
      <c r="F142" s="351"/>
      <c r="G142" s="168">
        <f t="shared" si="162"/>
        <v>19775.195652173912</v>
      </c>
      <c r="H142" s="171">
        <v>5</v>
      </c>
      <c r="I142" s="168">
        <f t="shared" si="163"/>
        <v>19775.195652173912</v>
      </c>
      <c r="J142" s="171">
        <v>7</v>
      </c>
      <c r="K142" s="224">
        <f t="shared" si="164"/>
        <v>19775.195652173912</v>
      </c>
      <c r="L142" s="171">
        <v>7</v>
      </c>
      <c r="M142" s="168">
        <f t="shared" si="165"/>
        <v>19775.195652173912</v>
      </c>
      <c r="N142" s="171">
        <v>4</v>
      </c>
      <c r="O142" s="171"/>
      <c r="P142" s="172">
        <f t="shared" si="166"/>
        <v>23</v>
      </c>
      <c r="Q142" s="171">
        <v>23</v>
      </c>
      <c r="R142" s="173">
        <f t="shared" ref="R142:S142" si="195">$N$3</f>
        <v>18125</v>
      </c>
      <c r="S142" s="173">
        <f t="shared" si="195"/>
        <v>18125</v>
      </c>
      <c r="T142" s="173">
        <f t="shared" ref="T142:U142" si="196">$B$11+$N$3</f>
        <v>18125</v>
      </c>
      <c r="U142" s="173">
        <f t="shared" si="196"/>
        <v>18125</v>
      </c>
      <c r="V142" s="161">
        <f t="shared" si="190"/>
        <v>1650.195652173913</v>
      </c>
      <c r="W142" s="115">
        <f t="shared" si="169"/>
        <v>454829.5</v>
      </c>
      <c r="X142" s="171"/>
      <c r="Y142" s="171"/>
      <c r="Z142" s="171"/>
      <c r="AA142" s="171"/>
      <c r="AB142" s="171"/>
    </row>
    <row r="143" spans="1:28" ht="13.5" customHeight="1" x14ac:dyDescent="0.35">
      <c r="A143" s="225">
        <v>43018</v>
      </c>
      <c r="B143" s="351" t="s">
        <v>327</v>
      </c>
      <c r="C143" s="351" t="s">
        <v>166</v>
      </c>
      <c r="D143" s="351" t="s">
        <v>167</v>
      </c>
      <c r="E143" s="351"/>
      <c r="F143" s="351"/>
      <c r="G143" s="168">
        <f t="shared" si="162"/>
        <v>5000</v>
      </c>
      <c r="H143" s="171">
        <v>5</v>
      </c>
      <c r="I143" s="168">
        <f t="shared" si="163"/>
        <v>5000</v>
      </c>
      <c r="J143" s="171">
        <v>7</v>
      </c>
      <c r="K143" s="224">
        <f t="shared" si="164"/>
        <v>5000</v>
      </c>
      <c r="L143" s="171">
        <v>7</v>
      </c>
      <c r="M143" s="168">
        <f t="shared" si="165"/>
        <v>5000</v>
      </c>
      <c r="N143" s="171">
        <v>4</v>
      </c>
      <c r="O143" s="171"/>
      <c r="P143" s="172">
        <f t="shared" si="166"/>
        <v>23</v>
      </c>
      <c r="Q143" s="171">
        <v>23</v>
      </c>
      <c r="R143" s="173">
        <f t="shared" ref="R143:S143" si="197">$N$5</f>
        <v>5000</v>
      </c>
      <c r="S143" s="173">
        <f t="shared" si="197"/>
        <v>5000</v>
      </c>
      <c r="T143" s="173">
        <f t="shared" ref="T143:U143" si="198">$B$11+$N$5</f>
        <v>5000</v>
      </c>
      <c r="U143" s="173">
        <f t="shared" si="198"/>
        <v>5000</v>
      </c>
      <c r="V143" s="161">
        <f t="shared" si="190"/>
        <v>0</v>
      </c>
      <c r="W143" s="115">
        <f t="shared" si="169"/>
        <v>115000</v>
      </c>
      <c r="X143" s="171"/>
      <c r="Y143" s="171"/>
      <c r="Z143" s="171"/>
      <c r="AA143" s="171"/>
      <c r="AB143" s="171"/>
    </row>
    <row r="144" spans="1:28" ht="13.5" customHeight="1" x14ac:dyDescent="0.35">
      <c r="A144" s="225"/>
      <c r="B144" s="351" t="s">
        <v>205</v>
      </c>
      <c r="C144" s="351"/>
      <c r="D144" s="351"/>
      <c r="E144" s="351"/>
      <c r="F144" s="351"/>
      <c r="G144" s="168">
        <f t="shared" si="162"/>
        <v>0</v>
      </c>
      <c r="H144" s="171">
        <v>5</v>
      </c>
      <c r="I144" s="168">
        <f t="shared" si="163"/>
        <v>0</v>
      </c>
      <c r="J144" s="200">
        <f>$N$8-5</f>
        <v>13</v>
      </c>
      <c r="K144" s="224">
        <f t="shared" si="164"/>
        <v>0</v>
      </c>
      <c r="L144" s="200">
        <f>$N$9</f>
        <v>15</v>
      </c>
      <c r="M144" s="168">
        <f t="shared" si="165"/>
        <v>0</v>
      </c>
      <c r="N144" s="171">
        <v>17</v>
      </c>
      <c r="O144" s="171"/>
      <c r="P144" s="172">
        <f t="shared" si="166"/>
        <v>50</v>
      </c>
      <c r="Q144" s="171">
        <v>50</v>
      </c>
      <c r="R144" s="173">
        <f t="shared" ref="R144:S144" si="199">IF($S$1&lt;&gt;"NQ",$M$8,0)</f>
        <v>0</v>
      </c>
      <c r="S144" s="173">
        <f t="shared" si="199"/>
        <v>0</v>
      </c>
      <c r="T144" s="173">
        <f>IF($S$1&lt;&gt;"NQ",$M$9,0)</f>
        <v>0</v>
      </c>
      <c r="U144" s="173">
        <f>IF($S$1&lt;&gt;"NQ",$M$10,0)</f>
        <v>0</v>
      </c>
      <c r="V144" s="275">
        <f t="shared" si="190"/>
        <v>0</v>
      </c>
      <c r="W144" s="224">
        <f t="shared" si="169"/>
        <v>0</v>
      </c>
      <c r="X144" s="171"/>
      <c r="Y144" s="171"/>
      <c r="Z144" s="171"/>
      <c r="AA144" s="171"/>
      <c r="AB144" s="171"/>
    </row>
    <row r="145" spans="1:28" ht="13.5" customHeight="1" x14ac:dyDescent="0.35">
      <c r="A145" s="215">
        <v>43053</v>
      </c>
      <c r="B145" s="216" t="s">
        <v>406</v>
      </c>
      <c r="C145" s="216" t="s">
        <v>155</v>
      </c>
      <c r="D145" s="216" t="s">
        <v>135</v>
      </c>
      <c r="E145" s="216"/>
      <c r="F145" s="216" t="s">
        <v>157</v>
      </c>
      <c r="G145" s="118">
        <f t="shared" si="162"/>
        <v>8125</v>
      </c>
      <c r="H145" s="60">
        <v>5</v>
      </c>
      <c r="I145" s="118">
        <f t="shared" si="163"/>
        <v>8125</v>
      </c>
      <c r="J145" s="60">
        <v>7</v>
      </c>
      <c r="K145" s="115">
        <f t="shared" si="164"/>
        <v>8125</v>
      </c>
      <c r="L145" s="60">
        <v>2</v>
      </c>
      <c r="M145" s="118">
        <f t="shared" si="165"/>
        <v>8125</v>
      </c>
      <c r="N145" s="60">
        <v>6</v>
      </c>
      <c r="O145" s="60"/>
      <c r="P145" s="159">
        <f t="shared" si="166"/>
        <v>20</v>
      </c>
      <c r="Q145" s="60">
        <v>20</v>
      </c>
      <c r="R145" s="160">
        <f t="shared" ref="R145:S145" si="200">$E$6</f>
        <v>8125</v>
      </c>
      <c r="S145" s="160">
        <f t="shared" si="200"/>
        <v>8125</v>
      </c>
      <c r="T145" s="160">
        <f t="shared" ref="T145:U145" si="201">$B$11+$E$6</f>
        <v>8125</v>
      </c>
      <c r="U145" s="160">
        <f t="shared" si="201"/>
        <v>8125</v>
      </c>
      <c r="V145" s="161">
        <f t="shared" si="190"/>
        <v>0</v>
      </c>
      <c r="W145" s="115">
        <f t="shared" si="169"/>
        <v>162500</v>
      </c>
      <c r="X145" s="60"/>
      <c r="Y145" s="60"/>
      <c r="Z145" s="60"/>
      <c r="AA145" s="60"/>
      <c r="AB145" s="60"/>
    </row>
    <row r="146" spans="1:28" ht="13.5" customHeight="1" x14ac:dyDescent="0.35">
      <c r="A146" s="357"/>
      <c r="B146" s="705" t="s">
        <v>184</v>
      </c>
      <c r="C146" s="637"/>
      <c r="D146" s="637"/>
      <c r="E146" s="637"/>
      <c r="F146" s="635"/>
      <c r="G146" s="161">
        <f>$B$3</f>
        <v>0</v>
      </c>
      <c r="H146" s="187">
        <v>5</v>
      </c>
      <c r="I146" s="161">
        <f>$B$4</f>
        <v>0</v>
      </c>
      <c r="J146" s="187">
        <v>12</v>
      </c>
      <c r="K146" s="188"/>
      <c r="L146" s="187"/>
      <c r="M146" s="161"/>
      <c r="N146" s="187"/>
      <c r="O146" s="188">
        <f>$B$9</f>
        <v>2500</v>
      </c>
      <c r="P146" s="187"/>
      <c r="Q146" s="187">
        <v>6</v>
      </c>
      <c r="R146" s="161"/>
      <c r="S146" s="161"/>
      <c r="T146" s="161"/>
      <c r="U146" s="161"/>
      <c r="V146" s="161"/>
      <c r="W146" s="115">
        <f>(G146*H146)+(I146*J146)+(O146*Q146)</f>
        <v>15000</v>
      </c>
      <c r="X146" s="60"/>
      <c r="Y146" s="60"/>
      <c r="Z146" s="60"/>
      <c r="AA146" s="60"/>
      <c r="AB146" s="60"/>
    </row>
    <row r="147" spans="1:28" ht="13.5" customHeight="1" x14ac:dyDescent="0.35">
      <c r="A147" s="357"/>
      <c r="B147" s="705" t="s">
        <v>192</v>
      </c>
      <c r="C147" s="637"/>
      <c r="D147" s="637"/>
      <c r="E147" s="637"/>
      <c r="F147" s="635"/>
      <c r="G147" s="161">
        <f>$E$12/($H148+$J148+$L148)</f>
        <v>0</v>
      </c>
      <c r="H147" s="187">
        <v>5</v>
      </c>
      <c r="I147" s="161">
        <f>$E$12/($H148+$J148+$L148)</f>
        <v>0</v>
      </c>
      <c r="J147" s="187">
        <v>12</v>
      </c>
      <c r="K147" s="188">
        <f>$E$12/($H148+$J148+$L148)</f>
        <v>0</v>
      </c>
      <c r="L147" s="187">
        <v>15</v>
      </c>
      <c r="M147" s="161"/>
      <c r="N147" s="187"/>
      <c r="O147" s="188"/>
      <c r="P147" s="187"/>
      <c r="Q147" s="187"/>
      <c r="R147" s="161"/>
      <c r="S147" s="161"/>
      <c r="T147" s="161"/>
      <c r="U147" s="161"/>
      <c r="V147" s="161"/>
      <c r="W147" s="115">
        <f>(G147*H147)+(I147*J147)+(K147*L147)+(M147*N147)</f>
        <v>0</v>
      </c>
      <c r="X147" s="60"/>
      <c r="Y147" s="60"/>
      <c r="Z147" s="60"/>
      <c r="AA147" s="60"/>
      <c r="AB147" s="60"/>
    </row>
    <row r="148" spans="1:28" ht="13.5" customHeight="1" x14ac:dyDescent="0.4">
      <c r="A148" s="711" t="s">
        <v>407</v>
      </c>
      <c r="B148" s="635"/>
      <c r="C148" s="266"/>
      <c r="D148" s="707" t="s">
        <v>197</v>
      </c>
      <c r="E148" s="637"/>
      <c r="F148" s="635"/>
      <c r="G148" s="267">
        <f>SUMPRODUCT(G125:G147,H125:H147)</f>
        <v>1051233.1141304348</v>
      </c>
      <c r="H148" s="268">
        <v>5</v>
      </c>
      <c r="I148" s="267">
        <f>SUMPRODUCT(I125:I147,J125:J147)</f>
        <v>1647474.3086956521</v>
      </c>
      <c r="J148" s="268">
        <v>12</v>
      </c>
      <c r="K148" s="267">
        <f>SUMPRODUCT(K125:K147,L125:L147)</f>
        <v>1338733.1097826085</v>
      </c>
      <c r="L148" s="268">
        <v>15</v>
      </c>
      <c r="M148" s="267">
        <f>SUMPRODUCT(M125:M147,N125:N147)</f>
        <v>695789.96739130432</v>
      </c>
      <c r="N148" s="268">
        <v>18</v>
      </c>
      <c r="O148" s="271">
        <f>O146*Q146</f>
        <v>15000</v>
      </c>
      <c r="P148" s="724" t="s">
        <v>201</v>
      </c>
      <c r="Q148" s="635"/>
      <c r="R148" s="268">
        <f>H148+J148+L148+N148</f>
        <v>50</v>
      </c>
      <c r="S148" s="272"/>
      <c r="T148" s="272"/>
      <c r="U148" s="272"/>
      <c r="V148" s="272"/>
      <c r="W148" s="272"/>
      <c r="X148" s="216"/>
      <c r="Y148" s="216"/>
      <c r="Z148" s="216"/>
      <c r="AA148" s="274"/>
      <c r="AB148" s="274"/>
    </row>
    <row r="149" spans="1:28" ht="13.5" customHeight="1" x14ac:dyDescent="0.4">
      <c r="A149" s="711" t="s">
        <v>408</v>
      </c>
      <c r="B149" s="635"/>
      <c r="C149" s="266"/>
      <c r="D149" s="707" t="s">
        <v>204</v>
      </c>
      <c r="E149" s="637"/>
      <c r="F149" s="635"/>
      <c r="G149" s="276">
        <f>G148/H148</f>
        <v>210246.62282608697</v>
      </c>
      <c r="H149" s="277">
        <f>(SUM(H125:H138)+SUM(H140:H145))/H148</f>
        <v>20</v>
      </c>
      <c r="I149" s="276">
        <f>I148/J148</f>
        <v>137289.52572463767</v>
      </c>
      <c r="J149" s="277">
        <f>(SUM(J125:J138)+SUM(J140:J145))/J148</f>
        <v>13.333333333333334</v>
      </c>
      <c r="K149" s="276">
        <f>K148/L148</f>
        <v>89248.873985507234</v>
      </c>
      <c r="L149" s="277">
        <f>(SUM(L125:L138)+SUM(L140:L145))/L148</f>
        <v>8.8666666666666671</v>
      </c>
      <c r="M149" s="276">
        <f>M148/N148</f>
        <v>38654.998188405792</v>
      </c>
      <c r="N149" s="277">
        <f>(SUM(N125:N138)+SUM(N140:N145))/N148</f>
        <v>4.5555555555555554</v>
      </c>
      <c r="O149" s="278"/>
      <c r="P149" s="723" t="s">
        <v>206</v>
      </c>
      <c r="Q149" s="635"/>
      <c r="R149" s="276">
        <f>SUM(G148,I148,K148,M148,O148)</f>
        <v>4748230.5</v>
      </c>
      <c r="S149" s="272"/>
      <c r="T149" s="272"/>
      <c r="U149" s="272"/>
      <c r="V149" s="272"/>
      <c r="W149" s="279">
        <f>SUM(W125:W147)</f>
        <v>4748230.5</v>
      </c>
      <c r="X149" s="216"/>
      <c r="Y149" s="216"/>
      <c r="Z149" s="216"/>
      <c r="AA149" s="274"/>
      <c r="AB149" s="274"/>
    </row>
    <row r="150" spans="1:28" ht="13.5" customHeight="1" x14ac:dyDescent="0.35">
      <c r="A150" s="280">
        <v>43128</v>
      </c>
      <c r="B150" s="281" t="s">
        <v>202</v>
      </c>
      <c r="C150" s="281" t="s">
        <v>409</v>
      </c>
      <c r="D150" s="281" t="s">
        <v>122</v>
      </c>
      <c r="E150" s="282">
        <v>11161</v>
      </c>
      <c r="F150" s="281"/>
      <c r="G150" s="118">
        <f t="shared" ref="G150:G168" si="202">R150+V150</f>
        <v>7087.0749999999998</v>
      </c>
      <c r="H150" s="218">
        <v>5</v>
      </c>
      <c r="I150" s="118">
        <f t="shared" ref="I150:I168" si="203">S150+V150</f>
        <v>7087.0749999999998</v>
      </c>
      <c r="J150" s="60">
        <v>6</v>
      </c>
      <c r="K150" s="115">
        <f t="shared" ref="K150:K168" si="204">T150+V150</f>
        <v>7087.0749999999998</v>
      </c>
      <c r="L150" s="60">
        <v>6</v>
      </c>
      <c r="M150" s="118">
        <f t="shared" ref="M150:M168" si="205">U150+V150</f>
        <v>7087.0749999999998</v>
      </c>
      <c r="N150" s="218">
        <v>3</v>
      </c>
      <c r="O150" s="60"/>
      <c r="P150" s="159">
        <f t="shared" ref="P150:P168" si="206">H150+J150+L150+N150</f>
        <v>20</v>
      </c>
      <c r="Q150" s="60">
        <v>20</v>
      </c>
      <c r="R150" s="160">
        <f>$E$8</f>
        <v>6250</v>
      </c>
      <c r="S150" s="160">
        <f>$E$7</f>
        <v>6250</v>
      </c>
      <c r="T150" s="160">
        <f t="shared" ref="T150:U150" si="207">$B$11+$E$7</f>
        <v>6250</v>
      </c>
      <c r="U150" s="160">
        <f t="shared" si="207"/>
        <v>6250</v>
      </c>
      <c r="V150" s="161">
        <f t="shared" ref="V150:V168" si="208">($E150*($E$13/$Q150))</f>
        <v>837.07499999999993</v>
      </c>
      <c r="W150" s="115">
        <f t="shared" ref="W150:W168" si="209">(G150*H150)+(I150*J150)+(K150*L150)+(M150*N150)</f>
        <v>141741.5</v>
      </c>
      <c r="X150" s="60"/>
      <c r="Y150" s="60"/>
      <c r="Z150" s="60"/>
      <c r="AA150" s="60"/>
      <c r="AB150" s="60"/>
    </row>
    <row r="151" spans="1:28" ht="13.5" customHeight="1" x14ac:dyDescent="0.35">
      <c r="A151" s="280">
        <v>43186</v>
      </c>
      <c r="B151" s="281" t="s">
        <v>378</v>
      </c>
      <c r="C151" s="282" t="s">
        <v>120</v>
      </c>
      <c r="D151" s="281" t="s">
        <v>122</v>
      </c>
      <c r="E151" s="282">
        <v>9895</v>
      </c>
      <c r="F151" s="281"/>
      <c r="G151" s="118">
        <f t="shared" si="202"/>
        <v>10117.125</v>
      </c>
      <c r="H151" s="218">
        <v>5</v>
      </c>
      <c r="I151" s="118">
        <f t="shared" si="203"/>
        <v>10117.125</v>
      </c>
      <c r="J151" s="60">
        <v>6</v>
      </c>
      <c r="K151" s="115">
        <f t="shared" si="204"/>
        <v>10117.125</v>
      </c>
      <c r="L151" s="60">
        <v>6</v>
      </c>
      <c r="M151" s="118">
        <f t="shared" si="205"/>
        <v>10117.125</v>
      </c>
      <c r="N151" s="218">
        <v>3</v>
      </c>
      <c r="O151" s="60"/>
      <c r="P151" s="159">
        <f t="shared" si="206"/>
        <v>20</v>
      </c>
      <c r="Q151" s="60">
        <v>20</v>
      </c>
      <c r="R151" s="160">
        <f>$E$5</f>
        <v>9375</v>
      </c>
      <c r="S151" s="160">
        <f>$E$5</f>
        <v>9375</v>
      </c>
      <c r="T151" s="160">
        <f>$B$11+$E$5</f>
        <v>9375</v>
      </c>
      <c r="U151" s="160">
        <f>$B$11+$E$5</f>
        <v>9375</v>
      </c>
      <c r="V151" s="161">
        <f t="shared" si="208"/>
        <v>742.125</v>
      </c>
      <c r="W151" s="115">
        <f t="shared" si="209"/>
        <v>202342.5</v>
      </c>
      <c r="X151" s="60"/>
      <c r="Y151" s="60"/>
      <c r="Z151" s="60"/>
      <c r="AA151" s="60"/>
      <c r="AB151" s="60"/>
    </row>
    <row r="152" spans="1:28" ht="13.5" customHeight="1" x14ac:dyDescent="0.35">
      <c r="A152" s="280">
        <v>43248</v>
      </c>
      <c r="B152" s="281" t="s">
        <v>375</v>
      </c>
      <c r="C152" s="282" t="s">
        <v>120</v>
      </c>
      <c r="D152" s="281" t="s">
        <v>122</v>
      </c>
      <c r="E152" s="282">
        <v>11882</v>
      </c>
      <c r="F152" s="281"/>
      <c r="G152" s="118">
        <f t="shared" si="202"/>
        <v>10149.91304347826</v>
      </c>
      <c r="H152" s="218">
        <v>5</v>
      </c>
      <c r="I152" s="118">
        <f t="shared" si="203"/>
        <v>18899.91304347826</v>
      </c>
      <c r="J152" s="218">
        <v>12</v>
      </c>
      <c r="K152" s="115">
        <f t="shared" si="204"/>
        <v>18899.91304347826</v>
      </c>
      <c r="L152" s="218">
        <v>5</v>
      </c>
      <c r="M152" s="118">
        <f t="shared" si="205"/>
        <v>18899.91304347826</v>
      </c>
      <c r="N152" s="218">
        <v>1</v>
      </c>
      <c r="O152" s="60"/>
      <c r="P152" s="159">
        <f t="shared" si="206"/>
        <v>23</v>
      </c>
      <c r="Q152" s="218">
        <v>23</v>
      </c>
      <c r="R152" s="160">
        <f>$E$5</f>
        <v>9375</v>
      </c>
      <c r="S152" s="160">
        <f>$N$3</f>
        <v>18125</v>
      </c>
      <c r="T152" s="160">
        <f>$B$11+$N$3</f>
        <v>18125</v>
      </c>
      <c r="U152" s="160">
        <f>$B$11+$N$3</f>
        <v>18125</v>
      </c>
      <c r="V152" s="161">
        <f t="shared" si="208"/>
        <v>774.91304347826087</v>
      </c>
      <c r="W152" s="115">
        <f t="shared" si="209"/>
        <v>390948</v>
      </c>
      <c r="X152" s="60"/>
      <c r="Y152" s="60"/>
      <c r="Z152" s="60"/>
      <c r="AA152" s="60"/>
      <c r="AB152" s="60"/>
    </row>
    <row r="153" spans="1:28" ht="13.5" customHeight="1" x14ac:dyDescent="0.35">
      <c r="A153" s="280">
        <v>43257</v>
      </c>
      <c r="B153" s="281" t="s">
        <v>240</v>
      </c>
      <c r="C153" s="281" t="s">
        <v>166</v>
      </c>
      <c r="D153" s="281" t="s">
        <v>135</v>
      </c>
      <c r="E153" s="282"/>
      <c r="F153" s="281"/>
      <c r="G153" s="118">
        <f t="shared" si="202"/>
        <v>5000</v>
      </c>
      <c r="H153" s="218">
        <v>5</v>
      </c>
      <c r="I153" s="118">
        <f t="shared" si="203"/>
        <v>10000</v>
      </c>
      <c r="J153" s="218">
        <v>12</v>
      </c>
      <c r="K153" s="115">
        <f t="shared" si="204"/>
        <v>10000</v>
      </c>
      <c r="L153" s="218">
        <v>5</v>
      </c>
      <c r="M153" s="118">
        <f t="shared" si="205"/>
        <v>10000</v>
      </c>
      <c r="N153" s="218">
        <v>1</v>
      </c>
      <c r="O153" s="60"/>
      <c r="P153" s="159">
        <f t="shared" si="206"/>
        <v>23</v>
      </c>
      <c r="Q153" s="218">
        <v>23</v>
      </c>
      <c r="R153" s="160">
        <f>$E$9</f>
        <v>5000</v>
      </c>
      <c r="S153" s="160">
        <f>$N$4</f>
        <v>10000</v>
      </c>
      <c r="T153" s="160">
        <f>$B$11+$N$4</f>
        <v>10000</v>
      </c>
      <c r="U153" s="160">
        <f>$B$11+$N$4</f>
        <v>10000</v>
      </c>
      <c r="V153" s="161">
        <f t="shared" si="208"/>
        <v>0</v>
      </c>
      <c r="W153" s="115">
        <f t="shared" si="209"/>
        <v>205000</v>
      </c>
      <c r="X153" s="60"/>
      <c r="Y153" s="60"/>
      <c r="Z153" s="60"/>
      <c r="AA153" s="60"/>
      <c r="AB153" s="60"/>
    </row>
    <row r="154" spans="1:28" ht="13.5" customHeight="1" x14ac:dyDescent="0.35">
      <c r="A154" s="280">
        <v>43260</v>
      </c>
      <c r="B154" s="281" t="s">
        <v>214</v>
      </c>
      <c r="C154" s="282" t="s">
        <v>409</v>
      </c>
      <c r="D154" s="281" t="s">
        <v>135</v>
      </c>
      <c r="E154" s="282"/>
      <c r="F154" s="281" t="s">
        <v>157</v>
      </c>
      <c r="G154" s="118">
        <f t="shared" si="202"/>
        <v>8125</v>
      </c>
      <c r="H154" s="218">
        <v>5</v>
      </c>
      <c r="I154" s="118">
        <f t="shared" si="203"/>
        <v>6250</v>
      </c>
      <c r="J154" s="218">
        <v>12</v>
      </c>
      <c r="K154" s="115">
        <f t="shared" si="204"/>
        <v>6250</v>
      </c>
      <c r="L154" s="218">
        <v>5</v>
      </c>
      <c r="M154" s="118">
        <f t="shared" si="205"/>
        <v>6250</v>
      </c>
      <c r="N154" s="218">
        <v>1</v>
      </c>
      <c r="O154" s="60"/>
      <c r="P154" s="159">
        <f t="shared" si="206"/>
        <v>23</v>
      </c>
      <c r="Q154" s="218">
        <v>23</v>
      </c>
      <c r="R154" s="160">
        <f>$E$6</f>
        <v>8125</v>
      </c>
      <c r="S154" s="160">
        <f>$E$7</f>
        <v>6250</v>
      </c>
      <c r="T154" s="160">
        <f>$B$11+$E$7</f>
        <v>6250</v>
      </c>
      <c r="U154" s="160">
        <f>$B$11+$E$7</f>
        <v>6250</v>
      </c>
      <c r="V154" s="161">
        <f t="shared" si="208"/>
        <v>0</v>
      </c>
      <c r="W154" s="115">
        <f t="shared" si="209"/>
        <v>153125</v>
      </c>
      <c r="X154" s="60"/>
      <c r="Y154" s="60"/>
      <c r="Z154" s="60"/>
      <c r="AA154" s="60"/>
      <c r="AB154" s="60"/>
    </row>
    <row r="155" spans="1:28" ht="13.5" customHeight="1" x14ac:dyDescent="0.35">
      <c r="A155" s="269"/>
      <c r="B155" s="288" t="s">
        <v>222</v>
      </c>
      <c r="C155" s="289"/>
      <c r="D155" s="288"/>
      <c r="E155" s="289"/>
      <c r="F155" s="288"/>
      <c r="G155" s="168">
        <f t="shared" si="202"/>
        <v>0</v>
      </c>
      <c r="H155" s="171">
        <f>IF($S$1&lt;&gt;"NQ",5,0)</f>
        <v>0</v>
      </c>
      <c r="I155" s="168">
        <f t="shared" si="203"/>
        <v>0</v>
      </c>
      <c r="J155" s="171">
        <f>IF($S$1&lt;&gt;"NQ",12,0)</f>
        <v>0</v>
      </c>
      <c r="K155" s="224">
        <f t="shared" si="204"/>
        <v>0</v>
      </c>
      <c r="L155" s="171">
        <f>IF($S$1&lt;&gt;"NQ",5,0)</f>
        <v>0</v>
      </c>
      <c r="M155" s="168">
        <f t="shared" si="205"/>
        <v>0</v>
      </c>
      <c r="N155" s="171">
        <f>IF($S$1&lt;&gt;"NQ",1,0)</f>
        <v>0</v>
      </c>
      <c r="O155" s="171"/>
      <c r="P155" s="172">
        <f t="shared" si="206"/>
        <v>0</v>
      </c>
      <c r="Q155" s="171">
        <v>23</v>
      </c>
      <c r="R155" s="173">
        <f>IF(AND($S$1&lt;&gt;"NQ",$B$3&gt;0),$S$3,IF(AND($S$1&lt;&gt;"NQ",$B$3=0),$S$3+($S$12*3),0))</f>
        <v>0</v>
      </c>
      <c r="S155" s="173">
        <f>IF(AND($S$1&lt;&gt;"NQ",$B$4&gt;0),$S$3,IF(AND($S$1&lt;&gt;"NQ",$B$4=0),$S$3+($S$12*3),0))</f>
        <v>0</v>
      </c>
      <c r="T155" s="173">
        <f>IF($S$1&lt;&gt;"NQ",$S$3+($S$12*3),0)</f>
        <v>0</v>
      </c>
      <c r="U155" s="173">
        <f>IF($S$1&lt;&gt;"NQ",$S$3+($S$12*3),0)</f>
        <v>0</v>
      </c>
      <c r="V155" s="275">
        <f t="shared" si="208"/>
        <v>0</v>
      </c>
      <c r="W155" s="224">
        <f t="shared" si="209"/>
        <v>0</v>
      </c>
      <c r="X155" s="171"/>
      <c r="Y155" s="171"/>
      <c r="Z155" s="171"/>
      <c r="AA155" s="171"/>
      <c r="AB155" s="171"/>
    </row>
    <row r="156" spans="1:28" ht="13.5" customHeight="1" x14ac:dyDescent="0.35">
      <c r="A156" s="269"/>
      <c r="B156" s="288" t="s">
        <v>225</v>
      </c>
      <c r="C156" s="289"/>
      <c r="D156" s="288"/>
      <c r="E156" s="289"/>
      <c r="F156" s="288"/>
      <c r="G156" s="168">
        <f t="shared" si="202"/>
        <v>0</v>
      </c>
      <c r="H156" s="171">
        <f>IF($S$1&lt;&gt;"NQ",5,0)</f>
        <v>0</v>
      </c>
      <c r="I156" s="168">
        <f t="shared" si="203"/>
        <v>0</v>
      </c>
      <c r="J156" s="171">
        <f>IF($S$1&lt;&gt;"NQ",12,0)</f>
        <v>0</v>
      </c>
      <c r="K156" s="224">
        <f t="shared" si="204"/>
        <v>0</v>
      </c>
      <c r="L156" s="171">
        <f>IF($S$1&lt;&gt;"NQ",5,0)</f>
        <v>0</v>
      </c>
      <c r="M156" s="168">
        <f t="shared" si="205"/>
        <v>0</v>
      </c>
      <c r="N156" s="171">
        <f>IF($S$1&lt;&gt;"NQ",1,0)</f>
        <v>0</v>
      </c>
      <c r="O156" s="171"/>
      <c r="P156" s="172">
        <f t="shared" si="206"/>
        <v>0</v>
      </c>
      <c r="Q156" s="171">
        <v>23</v>
      </c>
      <c r="R156" s="173">
        <f>IF($S$1&lt;&gt;"NQ",$S$5*$T$1,0)</f>
        <v>0</v>
      </c>
      <c r="S156" s="173">
        <f>IF($S$1&lt;&gt;"NQ",$S$5*$T$1,0)</f>
        <v>0</v>
      </c>
      <c r="T156" s="173">
        <f>IF($S$1&lt;&gt;"NQ",$S$5*$T$1,0)</f>
        <v>0</v>
      </c>
      <c r="U156" s="173">
        <f>IF($S$1&lt;&gt;"NQ",$S$5*$T$1,0)</f>
        <v>0</v>
      </c>
      <c r="V156" s="275">
        <f t="shared" si="208"/>
        <v>0</v>
      </c>
      <c r="W156" s="224">
        <f t="shared" si="209"/>
        <v>0</v>
      </c>
      <c r="X156" s="171"/>
      <c r="Y156" s="171"/>
      <c r="Z156" s="171"/>
      <c r="AA156" s="171"/>
      <c r="AB156" s="171"/>
    </row>
    <row r="157" spans="1:28" ht="13.5" customHeight="1" x14ac:dyDescent="0.35">
      <c r="A157" s="269"/>
      <c r="B157" s="288" t="s">
        <v>226</v>
      </c>
      <c r="C157" s="289"/>
      <c r="D157" s="288"/>
      <c r="E157" s="289"/>
      <c r="F157" s="288"/>
      <c r="G157" s="168">
        <f t="shared" si="202"/>
        <v>0</v>
      </c>
      <c r="H157" s="171">
        <f>IF(OR($S$1="KO",$S$1="QF",$S$1="SF",$S$1="3rd",$S$1="2nd",$S$1="1st",),H$58,0)</f>
        <v>0</v>
      </c>
      <c r="I157" s="168">
        <f t="shared" si="203"/>
        <v>0</v>
      </c>
      <c r="J157" s="171">
        <f>IF(OR($S$1="KO",$S$1="QF",$S$1="SF",$S$1="3rd",$S$1="2nd",$S$1="1st",),J$58,0)</f>
        <v>0</v>
      </c>
      <c r="K157" s="224">
        <f t="shared" si="204"/>
        <v>0</v>
      </c>
      <c r="L157" s="171">
        <f>IF(OR($S$1="KO",$S$1="QF",$S$1="SF",$S$1="3rd",$S$1="2nd",$S$1="1st",),L$58,0)</f>
        <v>0</v>
      </c>
      <c r="M157" s="168">
        <f t="shared" si="205"/>
        <v>0</v>
      </c>
      <c r="N157" s="171">
        <f>IF(OR($S$1="KO",$S$1="QF",$S$1="SF",$S$1="3rd",$S$1="2nd",$S$1="1st",),N$58,0)</f>
        <v>0</v>
      </c>
      <c r="O157" s="171"/>
      <c r="P157" s="172">
        <f t="shared" si="206"/>
        <v>0</v>
      </c>
      <c r="Q157" s="171">
        <v>23</v>
      </c>
      <c r="R157" s="173">
        <f>IF(AND($S$1="KO",$B$3&gt;0),$S$6,IF(AND($S$1="KO",$B$3=0),$S$6+$S$12,0))</f>
        <v>0</v>
      </c>
      <c r="S157" s="173">
        <f>IF(AND($S$1="KO",$B$4&gt;0),$S$6,IF(AND($S$1="KO",$B$4=0),$S$6+$S$12,0))</f>
        <v>0</v>
      </c>
      <c r="T157" s="173">
        <f>IF($S$1="KO",$S$6+$S$12,0)</f>
        <v>0</v>
      </c>
      <c r="U157" s="173">
        <f>IF($S$1="KO",$S$6+$S$12,0)</f>
        <v>0</v>
      </c>
      <c r="V157" s="275">
        <f t="shared" si="208"/>
        <v>0</v>
      </c>
      <c r="W157" s="224">
        <f t="shared" si="209"/>
        <v>0</v>
      </c>
      <c r="X157" s="171"/>
      <c r="Y157" s="171"/>
      <c r="Z157" s="171"/>
      <c r="AA157" s="171"/>
      <c r="AB157" s="171"/>
    </row>
    <row r="158" spans="1:28" ht="13.5" customHeight="1" x14ac:dyDescent="0.35">
      <c r="A158" s="269"/>
      <c r="B158" s="288" t="s">
        <v>228</v>
      </c>
      <c r="C158" s="289"/>
      <c r="D158" s="288"/>
      <c r="E158" s="289"/>
      <c r="F158" s="288"/>
      <c r="G158" s="168">
        <f t="shared" si="202"/>
        <v>0</v>
      </c>
      <c r="H158" s="171">
        <f>IF(OR($S$1="QF",$S$1="SF",$S$1="3rd",$S$1="2nd",$S$1="1st",),H$58,0)</f>
        <v>0</v>
      </c>
      <c r="I158" s="168">
        <f t="shared" si="203"/>
        <v>0</v>
      </c>
      <c r="J158" s="171">
        <f>IF(OR($S$1="QF",$S$1="SF",$S$1="3rd",$S$1="2nd",$S$1="1st",),J$58,0)</f>
        <v>0</v>
      </c>
      <c r="K158" s="224">
        <f t="shared" si="204"/>
        <v>0</v>
      </c>
      <c r="L158" s="171">
        <f>IF(OR($S$1="QF",$S$1="SF",$S$1="3rd",$S$1="2nd",$S$1="1st",),L$58,0)</f>
        <v>0</v>
      </c>
      <c r="M158" s="168">
        <f t="shared" si="205"/>
        <v>0</v>
      </c>
      <c r="N158" s="171">
        <f>IF(OR($S$1="QF",$S$1="SF",$S$1="3rd",$S$1="2nd",$S$1="1st",),N$58,0)</f>
        <v>0</v>
      </c>
      <c r="O158" s="171"/>
      <c r="P158" s="172">
        <f t="shared" si="206"/>
        <v>0</v>
      </c>
      <c r="Q158" s="171">
        <v>23</v>
      </c>
      <c r="R158" s="173">
        <f>IF(AND($S$1="QF",$B$3&gt;0),$S$6+$S$7,IF(AND($S$1="QF",$B$3=0),$S$6+$S$7+(2*Q$12),0))</f>
        <v>0</v>
      </c>
      <c r="S158" s="173">
        <f>IF(AND($S$1="QF",$B$4&gt;0),$S$6+$S$7,IF(AND($S$1="QF",$B$4=0),$S$6+$S$7+(2*Q$12),0))</f>
        <v>0</v>
      </c>
      <c r="T158" s="173">
        <f>IF($S$1="QF",$S$6+$S$7+(2*Q$12),0)</f>
        <v>0</v>
      </c>
      <c r="U158" s="173">
        <f>IF($S$1="QF",$S$6+$S$7+(2*Q$12),0)</f>
        <v>0</v>
      </c>
      <c r="V158" s="275">
        <f t="shared" si="208"/>
        <v>0</v>
      </c>
      <c r="W158" s="224">
        <f t="shared" si="209"/>
        <v>0</v>
      </c>
      <c r="X158" s="171"/>
      <c r="Y158" s="171"/>
      <c r="Z158" s="171"/>
      <c r="AA158" s="171"/>
      <c r="AB158" s="171"/>
    </row>
    <row r="159" spans="1:28" ht="13.5" customHeight="1" x14ac:dyDescent="0.35">
      <c r="A159" s="269"/>
      <c r="B159" s="288" t="s">
        <v>230</v>
      </c>
      <c r="C159" s="289"/>
      <c r="D159" s="288"/>
      <c r="E159" s="289"/>
      <c r="F159" s="288"/>
      <c r="G159" s="168">
        <f t="shared" si="202"/>
        <v>0</v>
      </c>
      <c r="H159" s="171">
        <f>IF(OR($S$1="SF",$S$1="3rd",$S$1="2nd",$S$1="1st",),H$58,0)</f>
        <v>0</v>
      </c>
      <c r="I159" s="168">
        <f t="shared" si="203"/>
        <v>0</v>
      </c>
      <c r="J159" s="171">
        <f>IF(OR($S$1="SF",$S$1="3rd",$S$1="2nd",$S$1="1st",),J$58,0)</f>
        <v>0</v>
      </c>
      <c r="K159" s="224">
        <f t="shared" si="204"/>
        <v>0</v>
      </c>
      <c r="L159" s="171">
        <f>IF(OR($S$1="SF",$S$1="3rd",$S$1="2nd",$S$1="1st",),L$58,0)</f>
        <v>0</v>
      </c>
      <c r="M159" s="168">
        <f t="shared" si="205"/>
        <v>0</v>
      </c>
      <c r="N159" s="171">
        <f>IF(OR($S$1="SF",$S$1="3rd",$S$1="2nd",$S$1="1st",),N$58,0)</f>
        <v>0</v>
      </c>
      <c r="O159" s="171"/>
      <c r="P159" s="172">
        <f t="shared" si="206"/>
        <v>0</v>
      </c>
      <c r="Q159" s="171">
        <v>23</v>
      </c>
      <c r="R159" s="173">
        <f>IF(AND($S$1="SF",$B$3&gt;0),$S$6+$S$7+$S$8,IF(AND($S$1="SF",$B$3=0),$S$6+$S$7+$S$8+(4*Q$12),0))</f>
        <v>0</v>
      </c>
      <c r="S159" s="173">
        <f>IF(AND($S$1="SF",$B$4&gt;0),$S$6+$S$7+$S$8,IF(AND($S$1="SF",$B$4=0),$S$6+$S$7+$S$8+(4*Q$12),0))</f>
        <v>0</v>
      </c>
      <c r="T159" s="173">
        <f>IF($S$1="SF",$S$6+$S$7+$S$8+(4*Q$12),0)</f>
        <v>0</v>
      </c>
      <c r="U159" s="173">
        <f>IF($S$1="SF",$S$6+$S$7+$S$8+(4*Q$12),0)</f>
        <v>0</v>
      </c>
      <c r="V159" s="275">
        <f t="shared" si="208"/>
        <v>0</v>
      </c>
      <c r="W159" s="224">
        <f t="shared" si="209"/>
        <v>0</v>
      </c>
      <c r="X159" s="171"/>
      <c r="Y159" s="171"/>
      <c r="Z159" s="171"/>
      <c r="AA159" s="171"/>
      <c r="AB159" s="171"/>
    </row>
    <row r="160" spans="1:28" ht="13.5" customHeight="1" x14ac:dyDescent="0.35">
      <c r="A160" s="269"/>
      <c r="B160" s="288" t="s">
        <v>232</v>
      </c>
      <c r="C160" s="289"/>
      <c r="D160" s="288"/>
      <c r="E160" s="289"/>
      <c r="F160" s="288"/>
      <c r="G160" s="168">
        <f t="shared" si="202"/>
        <v>0</v>
      </c>
      <c r="H160" s="171">
        <f>IF($S$1="3rd",$H$58,0)</f>
        <v>0</v>
      </c>
      <c r="I160" s="168">
        <f t="shared" si="203"/>
        <v>0</v>
      </c>
      <c r="J160" s="171">
        <f>IF($S$1="3rd",$J$58,0)</f>
        <v>0</v>
      </c>
      <c r="K160" s="224">
        <f t="shared" si="204"/>
        <v>0</v>
      </c>
      <c r="L160" s="171">
        <f>IF($S$1="3rd",$L$58,0)</f>
        <v>0</v>
      </c>
      <c r="M160" s="168">
        <f t="shared" si="205"/>
        <v>0</v>
      </c>
      <c r="N160" s="171">
        <f>IF($S$1="3rd",$N$58,0)</f>
        <v>0</v>
      </c>
      <c r="O160" s="171"/>
      <c r="P160" s="172">
        <f t="shared" si="206"/>
        <v>0</v>
      </c>
      <c r="Q160" s="171">
        <v>23</v>
      </c>
      <c r="R160" s="173">
        <f>IF(AND($S$1="3rd",$B$3&gt;0),$S$6+$S$7+$S$8+$S$9,IF(AND($S$1="3rd",$B$3=0),$S$6+$S$7+$S$8+$S$9+(4*Q$12),0))</f>
        <v>0</v>
      </c>
      <c r="S160" s="173">
        <f>IF(AND($S$1="3rd",$B$4&gt;0),$S$6+$S$7+$S$8+$S$9,IF(AND($S$1="3rd",$B$4=0),$S$6+$S$7+$S$8+$S$9+(4*Q$12),0))</f>
        <v>0</v>
      </c>
      <c r="T160" s="173">
        <f>IF($S$1="3rd",$S$6+$S$7+$S$8+$S$9+(4*Q$12),0)</f>
        <v>0</v>
      </c>
      <c r="U160" s="173">
        <f>IF($S$1="3rd",$S$6+$S$7+$S$8+$S$9+(4*Q$12),0)</f>
        <v>0</v>
      </c>
      <c r="V160" s="275">
        <f t="shared" si="208"/>
        <v>0</v>
      </c>
      <c r="W160" s="224">
        <f t="shared" si="209"/>
        <v>0</v>
      </c>
      <c r="X160" s="171"/>
      <c r="Y160" s="171"/>
      <c r="Z160" s="171"/>
      <c r="AA160" s="171"/>
      <c r="AB160" s="171"/>
    </row>
    <row r="161" spans="1:28" ht="13.5" customHeight="1" x14ac:dyDescent="0.35">
      <c r="A161" s="269"/>
      <c r="B161" s="288" t="s">
        <v>233</v>
      </c>
      <c r="C161" s="289"/>
      <c r="D161" s="288"/>
      <c r="E161" s="289"/>
      <c r="F161" s="288"/>
      <c r="G161" s="168">
        <f t="shared" si="202"/>
        <v>0</v>
      </c>
      <c r="H161" s="171">
        <f>IF($S$1="2nd",$H$58,0)</f>
        <v>0</v>
      </c>
      <c r="I161" s="168">
        <f t="shared" si="203"/>
        <v>0</v>
      </c>
      <c r="J161" s="171">
        <f>IF($S$1="2nd",$J$58,0)</f>
        <v>0</v>
      </c>
      <c r="K161" s="224">
        <f t="shared" si="204"/>
        <v>0</v>
      </c>
      <c r="L161" s="171">
        <f>IF($S$1="2nd",$L$58,0)</f>
        <v>0</v>
      </c>
      <c r="M161" s="168">
        <f t="shared" si="205"/>
        <v>0</v>
      </c>
      <c r="N161" s="171">
        <f>IF($S$1="2nd",$N$58,0)</f>
        <v>0</v>
      </c>
      <c r="O161" s="171"/>
      <c r="P161" s="172">
        <f t="shared" si="206"/>
        <v>0</v>
      </c>
      <c r="Q161" s="171">
        <v>23</v>
      </c>
      <c r="R161" s="173">
        <f>IF(AND($S$1="2nd",$B$3&gt;0),$S$6+$S$7+$S$8+$S$10,IF(AND($S$1="2nd",$B$3=0),$S$6+$S$7+$S$8+$S$10+(4*Q$12),0))</f>
        <v>0</v>
      </c>
      <c r="S161" s="173">
        <f>IF(AND($S$1="2nd",$B$4&gt;0),$S$6+$S$7+$S$8+$S$10,IF(AND($S$1="2nd",$B$4=0),$S$6+$S$7+$S$8+$S$10+(4*Q$12),0))</f>
        <v>0</v>
      </c>
      <c r="T161" s="173">
        <f>IF($S$1="2nd",$S$6+$S$7+$S$8+$S$10+(4*Q$12),0)</f>
        <v>0</v>
      </c>
      <c r="U161" s="173">
        <f>IF($S$1="2nd",$S$6+$S$7+$S$8+$S$10+(4*Q$12),0)</f>
        <v>0</v>
      </c>
      <c r="V161" s="275">
        <f t="shared" si="208"/>
        <v>0</v>
      </c>
      <c r="W161" s="224">
        <f t="shared" si="209"/>
        <v>0</v>
      </c>
      <c r="X161" s="171"/>
      <c r="Y161" s="171"/>
      <c r="Z161" s="171"/>
      <c r="AA161" s="171"/>
      <c r="AB161" s="171"/>
    </row>
    <row r="162" spans="1:28" ht="13.5" customHeight="1" x14ac:dyDescent="0.35">
      <c r="A162" s="269"/>
      <c r="B162" s="288" t="s">
        <v>235</v>
      </c>
      <c r="C162" s="289"/>
      <c r="D162" s="288"/>
      <c r="E162" s="289"/>
      <c r="F162" s="288"/>
      <c r="G162" s="168">
        <f t="shared" si="202"/>
        <v>0</v>
      </c>
      <c r="H162" s="171">
        <f>IF($S$1="1st",$H$58,0)</f>
        <v>0</v>
      </c>
      <c r="I162" s="168">
        <f t="shared" si="203"/>
        <v>0</v>
      </c>
      <c r="J162" s="171">
        <f>IF($S$1="1st",$J$58,0)</f>
        <v>0</v>
      </c>
      <c r="K162" s="224">
        <f t="shared" si="204"/>
        <v>0</v>
      </c>
      <c r="L162" s="171">
        <f>IF($S$1="1st",$L$58,0)</f>
        <v>0</v>
      </c>
      <c r="M162" s="168">
        <f t="shared" si="205"/>
        <v>0</v>
      </c>
      <c r="N162" s="171">
        <f>IF($S$1="1st",$N$58,0)</f>
        <v>0</v>
      </c>
      <c r="O162" s="171"/>
      <c r="P162" s="172">
        <f t="shared" si="206"/>
        <v>0</v>
      </c>
      <c r="Q162" s="171">
        <v>23</v>
      </c>
      <c r="R162" s="173">
        <f>IF(AND($S$1="1st",$B$3&gt;0),$S$6+$S$7+$S$8+$S$11,IF(AND($S$1="1st",$B$3=0),$S$6+$S$7+$S$8+$S$11+(4*Q$12),0))</f>
        <v>0</v>
      </c>
      <c r="S162" s="173">
        <f>IF(AND($S$1="1st",$B$4&gt;0),$S$6+$S$7+$S$8+$S$11,IF(AND($S$1="1st",$B$4=0),$S$6+$S$7+$S$8+$S$11+(4*Q$12),0))</f>
        <v>0</v>
      </c>
      <c r="T162" s="173">
        <f>IF($S$1="1st",$S$6+$S$7+$S$8+$S$11+(4*Q$12),0)</f>
        <v>0</v>
      </c>
      <c r="U162" s="173">
        <f>IF($S$1="1st",$S$6+$S$7+$S$8+$S$11+(4*Q$12),0)</f>
        <v>0</v>
      </c>
      <c r="V162" s="275">
        <f t="shared" si="208"/>
        <v>0</v>
      </c>
      <c r="W162" s="224">
        <f t="shared" si="209"/>
        <v>0</v>
      </c>
      <c r="X162" s="171"/>
      <c r="Y162" s="171"/>
      <c r="Z162" s="171"/>
      <c r="AA162" s="171"/>
      <c r="AB162" s="171"/>
    </row>
    <row r="163" spans="1:28" ht="13.5" customHeight="1" x14ac:dyDescent="0.35">
      <c r="A163" s="280">
        <v>43350</v>
      </c>
      <c r="B163" s="281" t="s">
        <v>179</v>
      </c>
      <c r="C163" s="282" t="s">
        <v>166</v>
      </c>
      <c r="D163" s="281" t="s">
        <v>122</v>
      </c>
      <c r="E163" s="282">
        <v>32489</v>
      </c>
      <c r="F163" s="281" t="s">
        <v>157</v>
      </c>
      <c r="G163" s="118">
        <f t="shared" si="202"/>
        <v>7436.6749999999993</v>
      </c>
      <c r="H163" s="218">
        <v>5</v>
      </c>
      <c r="I163" s="118">
        <f t="shared" si="203"/>
        <v>20561.674999999999</v>
      </c>
      <c r="J163" s="60">
        <v>6</v>
      </c>
      <c r="K163" s="115">
        <f t="shared" si="204"/>
        <v>20561.674999999999</v>
      </c>
      <c r="L163" s="60">
        <v>6</v>
      </c>
      <c r="M163" s="118">
        <f t="shared" si="205"/>
        <v>20561.674999999999</v>
      </c>
      <c r="N163" s="60">
        <v>5</v>
      </c>
      <c r="O163" s="60"/>
      <c r="P163" s="159">
        <f t="shared" si="206"/>
        <v>22</v>
      </c>
      <c r="Q163" s="60">
        <v>20</v>
      </c>
      <c r="R163" s="160">
        <f>$E$9</f>
        <v>5000</v>
      </c>
      <c r="S163" s="160">
        <f>$N$3</f>
        <v>18125</v>
      </c>
      <c r="T163" s="160">
        <f>$B$11+$N$3</f>
        <v>18125</v>
      </c>
      <c r="U163" s="160">
        <f>$B$11+$N$3</f>
        <v>18125</v>
      </c>
      <c r="V163" s="161">
        <f t="shared" si="208"/>
        <v>2436.6749999999997</v>
      </c>
      <c r="W163" s="115">
        <f t="shared" si="209"/>
        <v>386731.85</v>
      </c>
      <c r="X163" s="60"/>
      <c r="Y163" s="60"/>
      <c r="Z163" s="60"/>
      <c r="AA163" s="60"/>
      <c r="AB163" s="60"/>
    </row>
    <row r="164" spans="1:28" ht="13.5" customHeight="1" x14ac:dyDescent="0.35">
      <c r="A164" s="280">
        <v>43354</v>
      </c>
      <c r="B164" s="281" t="s">
        <v>170</v>
      </c>
      <c r="C164" s="281" t="s">
        <v>120</v>
      </c>
      <c r="D164" s="281" t="s">
        <v>122</v>
      </c>
      <c r="E164" s="282">
        <v>40194</v>
      </c>
      <c r="F164" s="281" t="s">
        <v>157</v>
      </c>
      <c r="G164" s="118">
        <f t="shared" si="202"/>
        <v>20639.55</v>
      </c>
      <c r="H164" s="218">
        <v>5</v>
      </c>
      <c r="I164" s="118">
        <f t="shared" si="203"/>
        <v>13014.55</v>
      </c>
      <c r="J164" s="60">
        <v>6</v>
      </c>
      <c r="K164" s="115">
        <f t="shared" si="204"/>
        <v>13014.55</v>
      </c>
      <c r="L164" s="60">
        <v>6</v>
      </c>
      <c r="M164" s="118">
        <f t="shared" si="205"/>
        <v>13014.55</v>
      </c>
      <c r="N164" s="60">
        <v>5</v>
      </c>
      <c r="O164" s="60"/>
      <c r="P164" s="159">
        <f t="shared" si="206"/>
        <v>22</v>
      </c>
      <c r="Q164" s="60">
        <v>20</v>
      </c>
      <c r="R164" s="160">
        <f>$E$3</f>
        <v>17625</v>
      </c>
      <c r="S164" s="160">
        <f>$N$4</f>
        <v>10000</v>
      </c>
      <c r="T164" s="160">
        <f>$B$11+$N$4</f>
        <v>10000</v>
      </c>
      <c r="U164" s="160">
        <f>$B$11+$N$4</f>
        <v>10000</v>
      </c>
      <c r="V164" s="161">
        <f t="shared" si="208"/>
        <v>3014.5499999999997</v>
      </c>
      <c r="W164" s="115">
        <f t="shared" si="209"/>
        <v>324445.09999999998</v>
      </c>
      <c r="X164" s="60"/>
      <c r="Y164" s="60"/>
      <c r="Z164" s="60"/>
      <c r="AA164" s="60"/>
      <c r="AB164" s="60"/>
    </row>
    <row r="165" spans="1:28" ht="13.5" customHeight="1" x14ac:dyDescent="0.35">
      <c r="A165" s="280">
        <v>43384</v>
      </c>
      <c r="B165" s="281" t="s">
        <v>239</v>
      </c>
      <c r="C165" s="282" t="s">
        <v>166</v>
      </c>
      <c r="D165" s="281" t="s">
        <v>122</v>
      </c>
      <c r="E165" s="282">
        <v>38631</v>
      </c>
      <c r="F165" s="281" t="s">
        <v>164</v>
      </c>
      <c r="G165" s="118">
        <f t="shared" si="202"/>
        <v>7897.3249999999998</v>
      </c>
      <c r="H165" s="218">
        <v>5</v>
      </c>
      <c r="I165" s="118">
        <f t="shared" si="203"/>
        <v>12272.325000000001</v>
      </c>
      <c r="J165" s="60">
        <v>6</v>
      </c>
      <c r="K165" s="115">
        <f t="shared" si="204"/>
        <v>12272.325000000001</v>
      </c>
      <c r="L165" s="60">
        <v>6</v>
      </c>
      <c r="M165" s="118">
        <f t="shared" si="205"/>
        <v>12272.325000000001</v>
      </c>
      <c r="N165" s="60">
        <v>5</v>
      </c>
      <c r="O165" s="60"/>
      <c r="P165" s="159">
        <f t="shared" si="206"/>
        <v>22</v>
      </c>
      <c r="Q165" s="60">
        <v>20</v>
      </c>
      <c r="R165" s="160">
        <f>$E$9</f>
        <v>5000</v>
      </c>
      <c r="S165" s="160">
        <f>$E$5</f>
        <v>9375</v>
      </c>
      <c r="T165" s="160">
        <f>$B$11+$E$5</f>
        <v>9375</v>
      </c>
      <c r="U165" s="160">
        <f>$B$11+$E$5</f>
        <v>9375</v>
      </c>
      <c r="V165" s="161">
        <f t="shared" si="208"/>
        <v>2897.3249999999998</v>
      </c>
      <c r="W165" s="115">
        <f t="shared" si="209"/>
        <v>248116.15000000002</v>
      </c>
      <c r="X165" s="60"/>
      <c r="Y165" s="60"/>
      <c r="Z165" s="60"/>
      <c r="AA165" s="60"/>
      <c r="AB165" s="60"/>
    </row>
    <row r="166" spans="1:28" ht="13.5" customHeight="1" x14ac:dyDescent="0.35">
      <c r="A166" s="280">
        <v>43389</v>
      </c>
      <c r="B166" s="281" t="s">
        <v>252</v>
      </c>
      <c r="C166" s="282" t="s">
        <v>409</v>
      </c>
      <c r="D166" s="281" t="s">
        <v>122</v>
      </c>
      <c r="E166" s="282">
        <v>24959</v>
      </c>
      <c r="F166" s="281" t="s">
        <v>164</v>
      </c>
      <c r="G166" s="118">
        <f t="shared" si="202"/>
        <v>8121.9250000000002</v>
      </c>
      <c r="H166" s="218">
        <v>5</v>
      </c>
      <c r="I166" s="118">
        <f t="shared" si="203"/>
        <v>8434.9249999999993</v>
      </c>
      <c r="J166" s="60">
        <v>6</v>
      </c>
      <c r="K166" s="115">
        <f t="shared" si="204"/>
        <v>8434.9249999999993</v>
      </c>
      <c r="L166" s="60">
        <v>6</v>
      </c>
      <c r="M166" s="118">
        <f t="shared" si="205"/>
        <v>8434.9249999999993</v>
      </c>
      <c r="N166" s="60">
        <v>5</v>
      </c>
      <c r="O166" s="60"/>
      <c r="P166" s="159">
        <f t="shared" si="206"/>
        <v>22</v>
      </c>
      <c r="Q166" s="60">
        <v>20</v>
      </c>
      <c r="R166" s="160">
        <f>$E$7</f>
        <v>6250</v>
      </c>
      <c r="S166" s="160">
        <f>$H$5</f>
        <v>6563</v>
      </c>
      <c r="T166" s="160">
        <f>$H$5</f>
        <v>6563</v>
      </c>
      <c r="U166" s="160">
        <f>$H$5</f>
        <v>6563</v>
      </c>
      <c r="V166" s="161">
        <f t="shared" si="208"/>
        <v>1871.925</v>
      </c>
      <c r="W166" s="115">
        <f t="shared" si="209"/>
        <v>184003.34999999998</v>
      </c>
      <c r="X166" s="60"/>
      <c r="Y166" s="60"/>
      <c r="Z166" s="60"/>
      <c r="AA166" s="60"/>
      <c r="AB166" s="60"/>
    </row>
    <row r="167" spans="1:28" ht="13.5" customHeight="1" x14ac:dyDescent="0.35">
      <c r="A167" s="280">
        <v>43419</v>
      </c>
      <c r="B167" s="281" t="s">
        <v>234</v>
      </c>
      <c r="C167" s="282" t="s">
        <v>166</v>
      </c>
      <c r="D167" s="281" t="s">
        <v>135</v>
      </c>
      <c r="E167" s="282"/>
      <c r="F167" s="281" t="s">
        <v>157</v>
      </c>
      <c r="G167" s="118">
        <f t="shared" si="202"/>
        <v>5000</v>
      </c>
      <c r="H167" s="218">
        <v>5</v>
      </c>
      <c r="I167" s="118">
        <f t="shared" si="203"/>
        <v>9375</v>
      </c>
      <c r="J167" s="60">
        <v>6</v>
      </c>
      <c r="K167" s="115">
        <f t="shared" si="204"/>
        <v>9375</v>
      </c>
      <c r="L167" s="60">
        <v>6</v>
      </c>
      <c r="M167" s="118">
        <f t="shared" si="205"/>
        <v>9375</v>
      </c>
      <c r="N167" s="60">
        <v>5</v>
      </c>
      <c r="O167" s="60"/>
      <c r="P167" s="159">
        <f t="shared" si="206"/>
        <v>22</v>
      </c>
      <c r="Q167" s="60">
        <v>20</v>
      </c>
      <c r="R167" s="160">
        <f>$E$9</f>
        <v>5000</v>
      </c>
      <c r="S167" s="160">
        <f>$H$4</f>
        <v>9375</v>
      </c>
      <c r="T167" s="160">
        <f>$H$4</f>
        <v>9375</v>
      </c>
      <c r="U167" s="160">
        <f>$H$4</f>
        <v>9375</v>
      </c>
      <c r="V167" s="118">
        <f t="shared" si="208"/>
        <v>0</v>
      </c>
      <c r="W167" s="115">
        <f t="shared" si="209"/>
        <v>184375</v>
      </c>
      <c r="X167" s="60"/>
      <c r="Y167" s="60"/>
      <c r="Z167" s="60"/>
      <c r="AA167" s="60"/>
      <c r="AB167" s="60"/>
    </row>
    <row r="168" spans="1:28" ht="13.5" customHeight="1" x14ac:dyDescent="0.35">
      <c r="A168" s="280">
        <v>43424</v>
      </c>
      <c r="B168" s="281" t="s">
        <v>410</v>
      </c>
      <c r="C168" s="282" t="s">
        <v>166</v>
      </c>
      <c r="D168" s="281" t="s">
        <v>135</v>
      </c>
      <c r="E168" s="282"/>
      <c r="F168" s="281" t="s">
        <v>164</v>
      </c>
      <c r="G168" s="118">
        <f t="shared" si="202"/>
        <v>5000</v>
      </c>
      <c r="H168" s="218">
        <v>5</v>
      </c>
      <c r="I168" s="118">
        <f t="shared" si="203"/>
        <v>9375</v>
      </c>
      <c r="J168" s="60">
        <v>6</v>
      </c>
      <c r="K168" s="115">
        <f t="shared" si="204"/>
        <v>9375</v>
      </c>
      <c r="L168" s="60">
        <v>6</v>
      </c>
      <c r="M168" s="118">
        <f t="shared" si="205"/>
        <v>9375</v>
      </c>
      <c r="N168" s="60">
        <v>5</v>
      </c>
      <c r="O168" s="60"/>
      <c r="P168" s="159">
        <f t="shared" si="206"/>
        <v>22</v>
      </c>
      <c r="Q168" s="60">
        <v>20</v>
      </c>
      <c r="R168" s="160">
        <f>$E$9</f>
        <v>5000</v>
      </c>
      <c r="S168" s="160">
        <f>$H$4</f>
        <v>9375</v>
      </c>
      <c r="T168" s="160">
        <f>$H$4</f>
        <v>9375</v>
      </c>
      <c r="U168" s="160">
        <f>$H$4</f>
        <v>9375</v>
      </c>
      <c r="V168" s="118">
        <f t="shared" si="208"/>
        <v>0</v>
      </c>
      <c r="W168" s="115">
        <f t="shared" si="209"/>
        <v>184375</v>
      </c>
      <c r="X168" s="60"/>
      <c r="Y168" s="60"/>
      <c r="Z168" s="60"/>
      <c r="AA168" s="60"/>
      <c r="AB168" s="60"/>
    </row>
    <row r="169" spans="1:28" ht="13.5" customHeight="1" x14ac:dyDescent="0.35">
      <c r="A169" s="291"/>
      <c r="B169" s="299" t="s">
        <v>184</v>
      </c>
      <c r="C169" s="300"/>
      <c r="D169" s="301"/>
      <c r="E169" s="303"/>
      <c r="F169" s="304"/>
      <c r="G169" s="161">
        <f>$B$3</f>
        <v>0</v>
      </c>
      <c r="H169" s="399">
        <v>5</v>
      </c>
      <c r="I169" s="161">
        <f>$B$4</f>
        <v>0</v>
      </c>
      <c r="J169" s="187">
        <v>12</v>
      </c>
      <c r="K169" s="188"/>
      <c r="L169" s="187"/>
      <c r="M169" s="161"/>
      <c r="N169" s="187"/>
      <c r="O169" s="188">
        <f>$B$8</f>
        <v>1875</v>
      </c>
      <c r="P169" s="187"/>
      <c r="Q169" s="187">
        <v>6</v>
      </c>
      <c r="R169" s="161"/>
      <c r="S169" s="161"/>
      <c r="T169" s="161"/>
      <c r="U169" s="161"/>
      <c r="V169" s="161"/>
      <c r="W169" s="188">
        <f>(G169*H169)+(I169*J169)+(O169*Q169)</f>
        <v>11250</v>
      </c>
      <c r="X169" s="189"/>
      <c r="Y169" s="189"/>
      <c r="Z169" s="189"/>
      <c r="AA169" s="189"/>
      <c r="AB169" s="189"/>
    </row>
    <row r="170" spans="1:28" ht="13.5" customHeight="1" x14ac:dyDescent="0.35">
      <c r="A170" s="291"/>
      <c r="B170" s="299" t="s">
        <v>192</v>
      </c>
      <c r="C170" s="300"/>
      <c r="D170" s="301"/>
      <c r="E170" s="303"/>
      <c r="F170" s="304"/>
      <c r="G170" s="161">
        <f>$E$12/($H171+$J171+$L171)</f>
        <v>0</v>
      </c>
      <c r="H170" s="399">
        <v>5</v>
      </c>
      <c r="I170" s="161">
        <f>$E$12/($H171+$J171+$L171)</f>
        <v>0</v>
      </c>
      <c r="J170" s="187">
        <v>12</v>
      </c>
      <c r="K170" s="188">
        <f>$E$12/($H171+$J171+$L171)</f>
        <v>0</v>
      </c>
      <c r="L170" s="187">
        <v>15</v>
      </c>
      <c r="M170" s="161"/>
      <c r="N170" s="187"/>
      <c r="O170" s="188"/>
      <c r="P170" s="187"/>
      <c r="Q170" s="187"/>
      <c r="R170" s="161"/>
      <c r="S170" s="161"/>
      <c r="T170" s="161"/>
      <c r="U170" s="161"/>
      <c r="V170" s="161"/>
      <c r="W170" s="188">
        <f>(G170*H170)+(I170*J170)+(K170*L170)+(M170*N170)</f>
        <v>0</v>
      </c>
      <c r="X170" s="189"/>
      <c r="Y170" s="189"/>
      <c r="Z170" s="189"/>
      <c r="AA170" s="189"/>
      <c r="AB170" s="189"/>
    </row>
    <row r="171" spans="1:28" ht="13.5" customHeight="1" x14ac:dyDescent="0.4">
      <c r="A171" s="703" t="s">
        <v>411</v>
      </c>
      <c r="B171" s="635"/>
      <c r="C171" s="292"/>
      <c r="D171" s="710" t="s">
        <v>197</v>
      </c>
      <c r="E171" s="637"/>
      <c r="F171" s="635"/>
      <c r="G171" s="294">
        <f>SUMPRODUCT(G150:G170,H150:H170)</f>
        <v>472872.9402173913</v>
      </c>
      <c r="H171" s="401">
        <v>5</v>
      </c>
      <c r="I171" s="294">
        <f>SUMPRODUCT(I150:I170,J150:J170)</f>
        <v>963225.0065217393</v>
      </c>
      <c r="J171" s="265">
        <v>12</v>
      </c>
      <c r="K171" s="294">
        <f>SUMPRODUCT(K150:K170,L150:L170)</f>
        <v>717175.6152173914</v>
      </c>
      <c r="L171" s="401">
        <v>14</v>
      </c>
      <c r="M171" s="294">
        <f>SUMPRODUCT(M150:M170,N150:N170)</f>
        <v>451929.88804347825</v>
      </c>
      <c r="N171" s="401">
        <v>20</v>
      </c>
      <c r="O171" s="296">
        <f>O169*Q169</f>
        <v>11250</v>
      </c>
      <c r="P171" s="722" t="s">
        <v>201</v>
      </c>
      <c r="Q171" s="635"/>
      <c r="R171" s="265">
        <f>H171+J171+L171+N171</f>
        <v>51</v>
      </c>
      <c r="S171" s="297"/>
      <c r="T171" s="297"/>
      <c r="U171" s="297"/>
      <c r="V171" s="297"/>
      <c r="W171" s="297"/>
      <c r="X171" s="281"/>
      <c r="Y171" s="281"/>
      <c r="Z171" s="281"/>
      <c r="AA171" s="298"/>
      <c r="AB171" s="298"/>
    </row>
    <row r="172" spans="1:28" ht="13.5" customHeight="1" x14ac:dyDescent="0.4">
      <c r="A172" s="703" t="s">
        <v>412</v>
      </c>
      <c r="B172" s="635"/>
      <c r="C172" s="292"/>
      <c r="D172" s="710" t="s">
        <v>204</v>
      </c>
      <c r="E172" s="637"/>
      <c r="F172" s="635"/>
      <c r="G172" s="302">
        <f>G171/H171</f>
        <v>94574.588043478259</v>
      </c>
      <c r="H172" s="305">
        <f>(SUM(H150:H154)+(H155*3)+SUMIF(H157:H158,"&gt;0")+IF(H159&gt;0,H159*3,0)+SUM(H163:H168))/H171</f>
        <v>11</v>
      </c>
      <c r="I172" s="302">
        <f>I171/J171</f>
        <v>80268.75054347828</v>
      </c>
      <c r="J172" s="305">
        <f>(SUM(J150:J154)+(J155*3)+SUMIF(J157:J158,"&gt;0")+IF(J159&gt;0,J159*3,0)+SUM(J163:J168))/J171</f>
        <v>7</v>
      </c>
      <c r="K172" s="302">
        <f>K171/L171</f>
        <v>51226.829658385097</v>
      </c>
      <c r="L172" s="305">
        <f>(SUM(L150:L154)+(L155*3)+SUMIF(L157:L158,"&gt;0")+IF(L159&gt;0,L159*3,0)+SUM(L163:L168))/L171</f>
        <v>4.5</v>
      </c>
      <c r="M172" s="302">
        <f>M171/N171</f>
        <v>22596.494402173914</v>
      </c>
      <c r="N172" s="305">
        <f>(SUM(N150:N154)+(N155*3)+SUMIF(N157:N158,"&gt;0")+IF(N159&gt;0,N159*3,0)+SUM(N163:N168))/N171</f>
        <v>1.95</v>
      </c>
      <c r="O172" s="295"/>
      <c r="P172" s="721" t="s">
        <v>206</v>
      </c>
      <c r="Q172" s="635"/>
      <c r="R172" s="302">
        <f>SUM(G171,I171,K171,M171,O171)</f>
        <v>2616453.4500000002</v>
      </c>
      <c r="S172" s="297"/>
      <c r="T172" s="297"/>
      <c r="U172" s="297"/>
      <c r="V172" s="297"/>
      <c r="W172" s="308">
        <f>SUM(W150:W170)</f>
        <v>2616453.4500000002</v>
      </c>
      <c r="X172" s="281"/>
      <c r="Y172" s="281"/>
      <c r="Z172" s="281"/>
      <c r="AA172" s="298"/>
      <c r="AB172" s="298"/>
    </row>
    <row r="173" spans="1:28" ht="13.5" customHeight="1" x14ac:dyDescent="0.4">
      <c r="A173" s="15"/>
      <c r="B173" s="15"/>
      <c r="C173" s="15"/>
      <c r="D173" s="15"/>
      <c r="E173" s="15"/>
      <c r="F173" s="15"/>
      <c r="G173" s="118"/>
      <c r="H173" s="103"/>
      <c r="I173" s="103"/>
      <c r="J173" s="103"/>
      <c r="K173" s="103"/>
      <c r="L173" s="103"/>
      <c r="M173" s="103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</row>
    <row r="174" spans="1:28" ht="13.5" customHeight="1" x14ac:dyDescent="0.3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</row>
    <row r="175" spans="1:28" ht="13.5" customHeight="1" x14ac:dyDescent="0.3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</row>
    <row r="176" spans="1:28" ht="13.5" customHeight="1" x14ac:dyDescent="0.3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</row>
    <row r="177" spans="1:28" ht="13.5" customHeight="1" x14ac:dyDescent="0.3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</row>
    <row r="178" spans="1:28" ht="13.5" customHeight="1" x14ac:dyDescent="0.3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</row>
    <row r="179" spans="1:28" ht="13.5" customHeight="1" x14ac:dyDescent="0.3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</row>
    <row r="180" spans="1:28" ht="13.5" customHeight="1" x14ac:dyDescent="0.3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</row>
    <row r="181" spans="1:28" ht="13.5" customHeight="1" x14ac:dyDescent="0.3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</row>
    <row r="182" spans="1:28" ht="13.5" customHeight="1" x14ac:dyDescent="0.3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</row>
    <row r="183" spans="1:28" ht="13.5" customHeight="1" x14ac:dyDescent="0.3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</row>
    <row r="184" spans="1:28" ht="13.5" customHeight="1" x14ac:dyDescent="0.3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</row>
    <row r="185" spans="1:28" ht="13.5" customHeight="1" x14ac:dyDescent="0.3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</row>
    <row r="186" spans="1:28" ht="13.5" customHeight="1" x14ac:dyDescent="0.3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</row>
    <row r="187" spans="1:28" ht="13.5" customHeight="1" x14ac:dyDescent="0.3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</row>
    <row r="188" spans="1:28" ht="13.5" customHeight="1" x14ac:dyDescent="0.3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</row>
    <row r="189" spans="1:28" ht="13.5" customHeight="1" x14ac:dyDescent="0.3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</row>
    <row r="190" spans="1:28" ht="13.5" customHeight="1" x14ac:dyDescent="0.3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</row>
    <row r="191" spans="1:28" ht="13.5" customHeight="1" x14ac:dyDescent="0.3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</row>
    <row r="192" spans="1:28" ht="13.5" customHeight="1" x14ac:dyDescent="0.3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</row>
    <row r="193" spans="1:28" ht="13.5" customHeight="1" x14ac:dyDescent="0.3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</row>
    <row r="194" spans="1:28" ht="13.5" customHeight="1" x14ac:dyDescent="0.3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</row>
    <row r="195" spans="1:28" ht="13.5" customHeight="1" x14ac:dyDescent="0.3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</row>
    <row r="196" spans="1:28" ht="13.5" customHeight="1" x14ac:dyDescent="0.3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</row>
    <row r="197" spans="1:28" ht="13.5" customHeight="1" x14ac:dyDescent="0.3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</row>
    <row r="198" spans="1:28" ht="13.5" customHeight="1" x14ac:dyDescent="0.3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</row>
    <row r="199" spans="1:28" ht="13.5" customHeight="1" x14ac:dyDescent="0.3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</row>
    <row r="200" spans="1:28" ht="13.5" customHeight="1" x14ac:dyDescent="0.3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</row>
    <row r="201" spans="1:28" ht="13.5" customHeight="1" x14ac:dyDescent="0.3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</row>
    <row r="202" spans="1:28" ht="13.5" customHeight="1" x14ac:dyDescent="0.3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</row>
    <row r="203" spans="1:28" ht="13.5" customHeight="1" x14ac:dyDescent="0.3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</row>
    <row r="204" spans="1:28" ht="13.5" customHeight="1" x14ac:dyDescent="0.3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</row>
    <row r="205" spans="1:28" ht="13.5" customHeight="1" x14ac:dyDescent="0.3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</row>
    <row r="206" spans="1:28" ht="13.5" customHeight="1" x14ac:dyDescent="0.3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</row>
    <row r="207" spans="1:28" ht="13.5" customHeight="1" x14ac:dyDescent="0.3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</row>
    <row r="208" spans="1:28" ht="13.5" customHeight="1" x14ac:dyDescent="0.3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</row>
    <row r="209" spans="1:28" ht="13.5" customHeight="1" x14ac:dyDescent="0.3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</row>
    <row r="210" spans="1:28" ht="13.5" customHeight="1" x14ac:dyDescent="0.3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</row>
    <row r="211" spans="1:28" ht="13.5" customHeight="1" x14ac:dyDescent="0.3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</row>
    <row r="212" spans="1:28" ht="13.5" customHeight="1" x14ac:dyDescent="0.3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</row>
    <row r="213" spans="1:28" ht="13.5" customHeight="1" x14ac:dyDescent="0.3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</row>
    <row r="214" spans="1:28" ht="13.5" customHeight="1" x14ac:dyDescent="0.3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</row>
    <row r="215" spans="1:28" ht="13.5" customHeight="1" x14ac:dyDescent="0.3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</row>
    <row r="216" spans="1:28" ht="13.5" customHeight="1" x14ac:dyDescent="0.3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</row>
    <row r="217" spans="1:28" ht="13.5" customHeight="1" x14ac:dyDescent="0.3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</row>
    <row r="218" spans="1:28" ht="13.5" customHeight="1" x14ac:dyDescent="0.3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</row>
    <row r="219" spans="1:28" ht="13.5" customHeight="1" x14ac:dyDescent="0.3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</row>
    <row r="220" spans="1:28" ht="13.5" customHeight="1" x14ac:dyDescent="0.3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</row>
    <row r="221" spans="1:28" ht="13.5" customHeight="1" x14ac:dyDescent="0.3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</row>
    <row r="222" spans="1:28" ht="13.5" customHeight="1" x14ac:dyDescent="0.3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</row>
    <row r="223" spans="1:28" ht="13.5" customHeight="1" x14ac:dyDescent="0.3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</row>
    <row r="224" spans="1:28" ht="13.5" customHeight="1" x14ac:dyDescent="0.3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</row>
    <row r="225" spans="1:28" ht="13.5" customHeight="1" x14ac:dyDescent="0.3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</row>
    <row r="226" spans="1:28" ht="13.5" customHeight="1" x14ac:dyDescent="0.3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</row>
    <row r="227" spans="1:28" ht="13.5" customHeight="1" x14ac:dyDescent="0.3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</row>
    <row r="228" spans="1:28" ht="13.5" customHeight="1" x14ac:dyDescent="0.3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</row>
    <row r="229" spans="1:28" ht="13.5" customHeight="1" x14ac:dyDescent="0.3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</row>
    <row r="230" spans="1:28" ht="13.5" customHeight="1" x14ac:dyDescent="0.3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</row>
    <row r="231" spans="1:28" ht="13.5" customHeight="1" x14ac:dyDescent="0.35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</row>
    <row r="232" spans="1:28" ht="13.5" customHeight="1" x14ac:dyDescent="0.3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</row>
    <row r="233" spans="1:28" ht="13.5" customHeight="1" x14ac:dyDescent="0.35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</row>
    <row r="234" spans="1:28" ht="13.5" customHeight="1" x14ac:dyDescent="0.35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</row>
    <row r="235" spans="1:28" ht="13.5" customHeight="1" x14ac:dyDescent="0.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</row>
    <row r="236" spans="1:28" ht="13.5" customHeight="1" x14ac:dyDescent="0.35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</row>
    <row r="237" spans="1:28" ht="13.5" customHeight="1" x14ac:dyDescent="0.35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</row>
    <row r="238" spans="1:28" ht="13.5" customHeight="1" x14ac:dyDescent="0.35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</row>
    <row r="239" spans="1:28" ht="13.5" customHeight="1" x14ac:dyDescent="0.3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</row>
    <row r="240" spans="1:28" ht="13.5" customHeight="1" x14ac:dyDescent="0.3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</row>
    <row r="241" spans="1:28" ht="13.5" customHeight="1" x14ac:dyDescent="0.3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</row>
    <row r="242" spans="1:28" ht="13.5" customHeight="1" x14ac:dyDescent="0.35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</row>
    <row r="243" spans="1:28" ht="13.5" customHeight="1" x14ac:dyDescent="0.35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</row>
    <row r="244" spans="1:28" ht="13.5" customHeight="1" x14ac:dyDescent="0.3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</row>
    <row r="245" spans="1:28" ht="13.5" customHeight="1" x14ac:dyDescent="0.3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</row>
    <row r="246" spans="1:28" ht="13.5" customHeight="1" x14ac:dyDescent="0.3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</row>
    <row r="247" spans="1:28" ht="13.5" customHeight="1" x14ac:dyDescent="0.35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</row>
    <row r="248" spans="1:28" ht="13.5" customHeight="1" x14ac:dyDescent="0.35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</row>
    <row r="249" spans="1:28" ht="13.5" customHeight="1" x14ac:dyDescent="0.35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</row>
    <row r="250" spans="1:28" ht="13.5" customHeight="1" x14ac:dyDescent="0.35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</row>
    <row r="251" spans="1:28" ht="13.5" customHeight="1" x14ac:dyDescent="0.35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</row>
    <row r="252" spans="1:28" ht="13.5" customHeight="1" x14ac:dyDescent="0.35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</row>
    <row r="253" spans="1:28" ht="13.5" customHeight="1" x14ac:dyDescent="0.35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</row>
    <row r="254" spans="1:28" ht="13.5" customHeight="1" x14ac:dyDescent="0.35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</row>
    <row r="255" spans="1:28" ht="13.5" customHeight="1" x14ac:dyDescent="0.3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</row>
    <row r="256" spans="1:28" ht="13.5" customHeight="1" x14ac:dyDescent="0.35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</row>
    <row r="257" spans="1:28" ht="13.5" customHeight="1" x14ac:dyDescent="0.35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</row>
    <row r="258" spans="1:28" ht="13.5" customHeight="1" x14ac:dyDescent="0.35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</row>
    <row r="259" spans="1:28" ht="13.5" customHeight="1" x14ac:dyDescent="0.35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</row>
    <row r="260" spans="1:28" ht="13.5" customHeight="1" x14ac:dyDescent="0.35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</row>
    <row r="261" spans="1:28" ht="13.5" customHeight="1" x14ac:dyDescent="0.35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</row>
    <row r="262" spans="1:28" ht="13.5" customHeight="1" x14ac:dyDescent="0.35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</row>
    <row r="263" spans="1:28" ht="13.5" customHeight="1" x14ac:dyDescent="0.35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</row>
    <row r="264" spans="1:28" ht="13.5" customHeight="1" x14ac:dyDescent="0.35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</row>
    <row r="265" spans="1:28" ht="13.5" customHeight="1" x14ac:dyDescent="0.3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</row>
    <row r="266" spans="1:28" ht="13.5" customHeight="1" x14ac:dyDescent="0.35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</row>
    <row r="267" spans="1:28" ht="13.5" customHeight="1" x14ac:dyDescent="0.35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</row>
    <row r="268" spans="1:28" ht="13.5" customHeight="1" x14ac:dyDescent="0.35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</row>
    <row r="269" spans="1:28" ht="13.5" customHeight="1" x14ac:dyDescent="0.35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</row>
    <row r="270" spans="1:28" ht="13.5" customHeight="1" x14ac:dyDescent="0.35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</row>
    <row r="271" spans="1:28" ht="13.5" customHeight="1" x14ac:dyDescent="0.3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</row>
    <row r="272" spans="1:28" ht="13.5" customHeight="1" x14ac:dyDescent="0.3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</row>
    <row r="273" spans="1:28" ht="13.5" customHeight="1" x14ac:dyDescent="0.3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</row>
    <row r="274" spans="1:28" ht="13.5" customHeight="1" x14ac:dyDescent="0.3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</row>
    <row r="275" spans="1:28" ht="13.5" customHeight="1" x14ac:dyDescent="0.3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</row>
    <row r="276" spans="1:28" ht="13.5" customHeight="1" x14ac:dyDescent="0.3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</row>
    <row r="277" spans="1:28" ht="13.5" customHeight="1" x14ac:dyDescent="0.35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</row>
    <row r="278" spans="1:28" ht="13.5" customHeight="1" x14ac:dyDescent="0.3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</row>
    <row r="279" spans="1:28" ht="13.5" customHeight="1" x14ac:dyDescent="0.3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</row>
    <row r="280" spans="1:28" ht="13.5" customHeight="1" x14ac:dyDescent="0.35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</row>
    <row r="281" spans="1:28" ht="13.5" customHeight="1" x14ac:dyDescent="0.35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</row>
    <row r="282" spans="1:28" ht="13.5" customHeight="1" x14ac:dyDescent="0.3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</row>
    <row r="283" spans="1:28" ht="13.5" customHeight="1" x14ac:dyDescent="0.35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</row>
    <row r="284" spans="1:28" ht="13.5" customHeight="1" x14ac:dyDescent="0.3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</row>
    <row r="285" spans="1:28" ht="13.5" customHeight="1" x14ac:dyDescent="0.3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</row>
    <row r="286" spans="1:28" ht="13.5" customHeight="1" x14ac:dyDescent="0.35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</row>
    <row r="287" spans="1:28" ht="13.5" customHeight="1" x14ac:dyDescent="0.3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</row>
    <row r="288" spans="1:28" ht="13.5" customHeight="1" x14ac:dyDescent="0.3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</row>
    <row r="289" spans="1:28" ht="13.5" customHeight="1" x14ac:dyDescent="0.35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</row>
    <row r="290" spans="1:28" ht="13.5" customHeight="1" x14ac:dyDescent="0.35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</row>
    <row r="291" spans="1:28" ht="13.5" customHeight="1" x14ac:dyDescent="0.35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</row>
    <row r="292" spans="1:28" ht="13.5" customHeight="1" x14ac:dyDescent="0.35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</row>
    <row r="293" spans="1:28" ht="13.5" customHeight="1" x14ac:dyDescent="0.3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</row>
    <row r="294" spans="1:28" ht="13.5" customHeight="1" x14ac:dyDescent="0.3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</row>
    <row r="295" spans="1:28" ht="13.5" customHeight="1" x14ac:dyDescent="0.3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</row>
    <row r="296" spans="1:28" ht="13.5" customHeight="1" x14ac:dyDescent="0.35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</row>
    <row r="297" spans="1:28" ht="13.5" customHeight="1" x14ac:dyDescent="0.3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</row>
    <row r="298" spans="1:28" ht="13.5" customHeight="1" x14ac:dyDescent="0.3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</row>
    <row r="299" spans="1:28" ht="13.5" customHeight="1" x14ac:dyDescent="0.3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</row>
    <row r="300" spans="1:28" ht="13.5" customHeight="1" x14ac:dyDescent="0.3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</row>
    <row r="301" spans="1:28" ht="13.5" customHeight="1" x14ac:dyDescent="0.35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</row>
    <row r="302" spans="1:28" ht="13.5" customHeight="1" x14ac:dyDescent="0.3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</row>
    <row r="303" spans="1:28" ht="13.5" customHeight="1" x14ac:dyDescent="0.3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</row>
    <row r="304" spans="1:28" ht="13.5" customHeight="1" x14ac:dyDescent="0.3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</row>
    <row r="305" spans="1:28" ht="13.5" customHeight="1" x14ac:dyDescent="0.3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</row>
    <row r="306" spans="1:28" ht="13.5" customHeight="1" x14ac:dyDescent="0.3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</row>
    <row r="307" spans="1:28" ht="13.5" customHeight="1" x14ac:dyDescent="0.3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</row>
    <row r="308" spans="1:28" ht="13.5" customHeight="1" x14ac:dyDescent="0.3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</row>
    <row r="309" spans="1:28" ht="13.5" customHeight="1" x14ac:dyDescent="0.3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</row>
    <row r="310" spans="1:28" ht="13.5" customHeight="1" x14ac:dyDescent="0.3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</row>
    <row r="311" spans="1:28" ht="13.5" customHeight="1" x14ac:dyDescent="0.3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</row>
    <row r="312" spans="1:28" ht="13.5" customHeight="1" x14ac:dyDescent="0.35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</row>
    <row r="313" spans="1:28" ht="13.5" customHeight="1" x14ac:dyDescent="0.3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</row>
    <row r="314" spans="1:28" ht="13.5" customHeight="1" x14ac:dyDescent="0.3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</row>
    <row r="315" spans="1:28" ht="13.5" customHeight="1" x14ac:dyDescent="0.3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</row>
    <row r="316" spans="1:28" ht="13.5" customHeight="1" x14ac:dyDescent="0.35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</row>
    <row r="317" spans="1:28" ht="13.5" customHeight="1" x14ac:dyDescent="0.35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</row>
    <row r="318" spans="1:28" ht="13.5" customHeight="1" x14ac:dyDescent="0.3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</row>
    <row r="319" spans="1:28" ht="13.5" customHeight="1" x14ac:dyDescent="0.3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</row>
    <row r="320" spans="1:28" ht="13.5" customHeight="1" x14ac:dyDescent="0.3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</row>
    <row r="321" spans="1:28" ht="13.5" customHeight="1" x14ac:dyDescent="0.3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</row>
    <row r="322" spans="1:28" ht="13.5" customHeight="1" x14ac:dyDescent="0.3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</row>
    <row r="323" spans="1:28" ht="13.5" customHeight="1" x14ac:dyDescent="0.3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</row>
    <row r="324" spans="1:28" ht="13.5" customHeight="1" x14ac:dyDescent="0.3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</row>
    <row r="325" spans="1:28" ht="13.5" customHeight="1" x14ac:dyDescent="0.3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</row>
    <row r="326" spans="1:28" ht="13.5" customHeight="1" x14ac:dyDescent="0.3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</row>
    <row r="327" spans="1:28" ht="13.5" customHeight="1" x14ac:dyDescent="0.3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</row>
    <row r="328" spans="1:28" ht="13.5" customHeight="1" x14ac:dyDescent="0.35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</row>
    <row r="329" spans="1:28" ht="13.5" customHeight="1" x14ac:dyDescent="0.3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</row>
    <row r="330" spans="1:28" ht="13.5" customHeight="1" x14ac:dyDescent="0.35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</row>
    <row r="331" spans="1:28" ht="13.5" customHeight="1" x14ac:dyDescent="0.35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</row>
    <row r="332" spans="1:28" ht="13.5" customHeight="1" x14ac:dyDescent="0.3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</row>
    <row r="333" spans="1:28" ht="13.5" customHeight="1" x14ac:dyDescent="0.3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</row>
    <row r="334" spans="1:28" ht="13.5" customHeight="1" x14ac:dyDescent="0.3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</row>
    <row r="335" spans="1:28" ht="13.5" customHeight="1" x14ac:dyDescent="0.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</row>
    <row r="336" spans="1:28" ht="13.5" customHeight="1" x14ac:dyDescent="0.35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</row>
    <row r="337" spans="1:28" ht="13.5" customHeight="1" x14ac:dyDescent="0.3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</row>
    <row r="338" spans="1:28" ht="13.5" customHeight="1" x14ac:dyDescent="0.3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</row>
    <row r="339" spans="1:28" ht="13.5" customHeight="1" x14ac:dyDescent="0.35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</row>
    <row r="340" spans="1:28" ht="13.5" customHeight="1" x14ac:dyDescent="0.3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</row>
    <row r="341" spans="1:28" ht="13.5" customHeight="1" x14ac:dyDescent="0.3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</row>
    <row r="342" spans="1:28" ht="13.5" customHeight="1" x14ac:dyDescent="0.3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</row>
    <row r="343" spans="1:28" ht="13.5" customHeight="1" x14ac:dyDescent="0.3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</row>
    <row r="344" spans="1:28" ht="13.5" customHeight="1" x14ac:dyDescent="0.3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</row>
    <row r="345" spans="1:28" ht="13.5" customHeight="1" x14ac:dyDescent="0.3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</row>
    <row r="346" spans="1:28" ht="13.5" customHeight="1" x14ac:dyDescent="0.3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</row>
    <row r="347" spans="1:28" ht="13.5" customHeight="1" x14ac:dyDescent="0.3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</row>
    <row r="348" spans="1:28" ht="13.5" customHeight="1" x14ac:dyDescent="0.3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</row>
    <row r="349" spans="1:28" ht="13.5" customHeight="1" x14ac:dyDescent="0.3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</row>
    <row r="350" spans="1:28" ht="13.5" customHeight="1" x14ac:dyDescent="0.3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</row>
    <row r="351" spans="1:28" ht="13.5" customHeight="1" x14ac:dyDescent="0.3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</row>
    <row r="352" spans="1:28" ht="13.5" customHeight="1" x14ac:dyDescent="0.3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</row>
    <row r="353" spans="1:28" ht="13.5" customHeight="1" x14ac:dyDescent="0.3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</row>
    <row r="354" spans="1:28" ht="13.5" customHeight="1" x14ac:dyDescent="0.3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</row>
    <row r="355" spans="1:28" ht="13.5" customHeight="1" x14ac:dyDescent="0.3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</row>
    <row r="356" spans="1:28" ht="13.5" customHeight="1" x14ac:dyDescent="0.3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</row>
    <row r="357" spans="1:28" ht="13.5" customHeight="1" x14ac:dyDescent="0.3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</row>
    <row r="358" spans="1:28" ht="13.5" customHeight="1" x14ac:dyDescent="0.3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</row>
    <row r="359" spans="1:28" ht="13.5" customHeight="1" x14ac:dyDescent="0.3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</row>
    <row r="360" spans="1:28" ht="13.5" customHeight="1" x14ac:dyDescent="0.3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</row>
    <row r="361" spans="1:28" ht="13.5" customHeight="1" x14ac:dyDescent="0.3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</row>
    <row r="362" spans="1:28" ht="13.5" customHeight="1" x14ac:dyDescent="0.3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</row>
    <row r="363" spans="1:28" ht="13.5" customHeight="1" x14ac:dyDescent="0.3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</row>
    <row r="364" spans="1:28" ht="13.5" customHeight="1" x14ac:dyDescent="0.3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</row>
    <row r="365" spans="1:28" ht="13.5" customHeight="1" x14ac:dyDescent="0.3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</row>
    <row r="366" spans="1:28" ht="13.5" customHeight="1" x14ac:dyDescent="0.3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</row>
    <row r="367" spans="1:28" ht="13.5" customHeight="1" x14ac:dyDescent="0.3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</row>
    <row r="368" spans="1:28" ht="13.5" customHeight="1" x14ac:dyDescent="0.3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</row>
    <row r="369" spans="1:28" ht="13.5" customHeight="1" x14ac:dyDescent="0.3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</row>
    <row r="370" spans="1:28" ht="13.5" customHeight="1" x14ac:dyDescent="0.3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</row>
    <row r="371" spans="1:28" ht="13.5" customHeight="1" x14ac:dyDescent="0.3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</row>
    <row r="372" spans="1:28" ht="13.5" customHeight="1" x14ac:dyDescent="0.3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</row>
    <row r="373" spans="1:28" ht="13.5" customHeight="1" x14ac:dyDescent="0.3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</row>
    <row r="374" spans="1:28" ht="13.5" customHeight="1" x14ac:dyDescent="0.3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</row>
    <row r="375" spans="1:28" ht="13.5" customHeight="1" x14ac:dyDescent="0.3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</row>
    <row r="376" spans="1:28" ht="13.5" customHeight="1" x14ac:dyDescent="0.3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</row>
    <row r="377" spans="1:28" ht="13.5" customHeight="1" x14ac:dyDescent="0.3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</row>
    <row r="378" spans="1:28" ht="13.5" customHeight="1" x14ac:dyDescent="0.3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</row>
    <row r="379" spans="1:28" ht="13.5" customHeight="1" x14ac:dyDescent="0.3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</row>
    <row r="380" spans="1:28" ht="13.5" customHeight="1" x14ac:dyDescent="0.3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</row>
    <row r="381" spans="1:28" ht="13.5" customHeight="1" x14ac:dyDescent="0.3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</row>
    <row r="382" spans="1:28" ht="13.5" customHeight="1" x14ac:dyDescent="0.3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</row>
    <row r="383" spans="1:28" ht="13.5" customHeight="1" x14ac:dyDescent="0.3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</row>
    <row r="384" spans="1:28" ht="13.5" customHeight="1" x14ac:dyDescent="0.3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</row>
    <row r="385" spans="1:28" ht="13.5" customHeight="1" x14ac:dyDescent="0.3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</row>
    <row r="386" spans="1:28" ht="13.5" customHeight="1" x14ac:dyDescent="0.3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</row>
    <row r="387" spans="1:28" ht="13.5" customHeight="1" x14ac:dyDescent="0.3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</row>
    <row r="388" spans="1:28" ht="13.5" customHeight="1" x14ac:dyDescent="0.3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</row>
    <row r="389" spans="1:28" ht="13.5" customHeight="1" x14ac:dyDescent="0.3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</row>
    <row r="390" spans="1:28" ht="13.5" customHeight="1" x14ac:dyDescent="0.3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</row>
    <row r="391" spans="1:28" ht="13.5" customHeight="1" x14ac:dyDescent="0.3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</row>
    <row r="392" spans="1:28" ht="13.5" customHeight="1" x14ac:dyDescent="0.3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</row>
    <row r="393" spans="1:28" ht="13.5" customHeight="1" x14ac:dyDescent="0.3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</row>
    <row r="394" spans="1:28" ht="13.5" customHeight="1" x14ac:dyDescent="0.3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</row>
    <row r="395" spans="1:28" ht="13.5" customHeight="1" x14ac:dyDescent="0.3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</row>
    <row r="396" spans="1:28" ht="13.5" customHeight="1" x14ac:dyDescent="0.3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</row>
    <row r="397" spans="1:28" ht="13.5" customHeight="1" x14ac:dyDescent="0.3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</row>
    <row r="398" spans="1:28" ht="13.5" customHeight="1" x14ac:dyDescent="0.3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</row>
    <row r="399" spans="1:28" ht="13.5" customHeight="1" x14ac:dyDescent="0.3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</row>
    <row r="400" spans="1:28" ht="13.5" customHeight="1" x14ac:dyDescent="0.3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</row>
    <row r="401" spans="1:28" ht="13.5" customHeight="1" x14ac:dyDescent="0.3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</row>
    <row r="402" spans="1:28" ht="13.5" customHeight="1" x14ac:dyDescent="0.3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</row>
    <row r="403" spans="1:28" ht="13.5" customHeight="1" x14ac:dyDescent="0.3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</row>
    <row r="404" spans="1:28" ht="13.5" customHeight="1" x14ac:dyDescent="0.35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</row>
    <row r="405" spans="1:28" ht="13.5" customHeight="1" x14ac:dyDescent="0.3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</row>
    <row r="406" spans="1:28" ht="13.5" customHeight="1" x14ac:dyDescent="0.3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</row>
    <row r="407" spans="1:28" ht="13.5" customHeight="1" x14ac:dyDescent="0.3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</row>
    <row r="408" spans="1:28" ht="13.5" customHeight="1" x14ac:dyDescent="0.3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</row>
    <row r="409" spans="1:28" ht="13.5" customHeight="1" x14ac:dyDescent="0.3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</row>
    <row r="410" spans="1:28" ht="13.5" customHeight="1" x14ac:dyDescent="0.3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</row>
    <row r="411" spans="1:28" ht="13.5" customHeight="1" x14ac:dyDescent="0.3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</row>
    <row r="412" spans="1:28" ht="13.5" customHeight="1" x14ac:dyDescent="0.3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</row>
    <row r="413" spans="1:28" ht="13.5" customHeight="1" x14ac:dyDescent="0.3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</row>
    <row r="414" spans="1:28" ht="13.5" customHeight="1" x14ac:dyDescent="0.35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</row>
    <row r="415" spans="1:28" ht="13.5" customHeight="1" x14ac:dyDescent="0.3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</row>
    <row r="416" spans="1:28" ht="13.5" customHeight="1" x14ac:dyDescent="0.3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</row>
    <row r="417" spans="1:28" ht="13.5" customHeight="1" x14ac:dyDescent="0.35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</row>
    <row r="418" spans="1:28" ht="13.5" customHeight="1" x14ac:dyDescent="0.3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</row>
    <row r="419" spans="1:28" ht="13.5" customHeight="1" x14ac:dyDescent="0.3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</row>
    <row r="420" spans="1:28" ht="13.5" customHeight="1" x14ac:dyDescent="0.35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</row>
    <row r="421" spans="1:28" ht="13.5" customHeight="1" x14ac:dyDescent="0.35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</row>
    <row r="422" spans="1:28" ht="13.5" customHeight="1" x14ac:dyDescent="0.35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</row>
    <row r="423" spans="1:28" ht="13.5" customHeight="1" x14ac:dyDescent="0.3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</row>
    <row r="424" spans="1:28" ht="13.5" customHeight="1" x14ac:dyDescent="0.3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</row>
    <row r="425" spans="1:28" ht="13.5" customHeight="1" x14ac:dyDescent="0.3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</row>
    <row r="426" spans="1:28" ht="13.5" customHeight="1" x14ac:dyDescent="0.35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</row>
    <row r="427" spans="1:28" ht="13.5" customHeight="1" x14ac:dyDescent="0.3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</row>
    <row r="428" spans="1:28" ht="13.5" customHeight="1" x14ac:dyDescent="0.3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</row>
    <row r="429" spans="1:28" ht="13.5" customHeight="1" x14ac:dyDescent="0.3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</row>
    <row r="430" spans="1:28" ht="13.5" customHeight="1" x14ac:dyDescent="0.3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</row>
    <row r="431" spans="1:28" ht="13.5" customHeight="1" x14ac:dyDescent="0.3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</row>
    <row r="432" spans="1:28" ht="13.5" customHeight="1" x14ac:dyDescent="0.3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</row>
    <row r="433" spans="1:28" ht="13.5" customHeight="1" x14ac:dyDescent="0.35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</row>
    <row r="434" spans="1:28" ht="13.5" customHeight="1" x14ac:dyDescent="0.3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</row>
    <row r="435" spans="1:28" ht="13.5" customHeight="1" x14ac:dyDescent="0.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</row>
    <row r="436" spans="1:28" ht="13.5" customHeight="1" x14ac:dyDescent="0.3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</row>
    <row r="437" spans="1:28" ht="13.5" customHeight="1" x14ac:dyDescent="0.3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</row>
    <row r="438" spans="1:28" ht="13.5" customHeight="1" x14ac:dyDescent="0.3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</row>
    <row r="439" spans="1:28" ht="13.5" customHeight="1" x14ac:dyDescent="0.3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</row>
    <row r="440" spans="1:28" ht="13.5" customHeight="1" x14ac:dyDescent="0.3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</row>
    <row r="441" spans="1:28" ht="13.5" customHeight="1" x14ac:dyDescent="0.3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</row>
    <row r="442" spans="1:28" ht="13.5" customHeight="1" x14ac:dyDescent="0.3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</row>
    <row r="443" spans="1:28" ht="13.5" customHeight="1" x14ac:dyDescent="0.3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</row>
    <row r="444" spans="1:28" ht="13.5" customHeight="1" x14ac:dyDescent="0.35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</row>
    <row r="445" spans="1:28" ht="13.5" customHeight="1" x14ac:dyDescent="0.3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</row>
    <row r="446" spans="1:28" ht="13.5" customHeight="1" x14ac:dyDescent="0.3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</row>
    <row r="447" spans="1:28" ht="13.5" customHeight="1" x14ac:dyDescent="0.35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</row>
    <row r="448" spans="1:28" ht="13.5" customHeight="1" x14ac:dyDescent="0.35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</row>
    <row r="449" spans="1:28" ht="13.5" customHeight="1" x14ac:dyDescent="0.35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</row>
    <row r="450" spans="1:28" ht="13.5" customHeight="1" x14ac:dyDescent="0.35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</row>
    <row r="451" spans="1:28" ht="13.5" customHeight="1" x14ac:dyDescent="0.35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</row>
    <row r="452" spans="1:28" ht="13.5" customHeight="1" x14ac:dyDescent="0.3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</row>
    <row r="453" spans="1:28" ht="13.5" customHeight="1" x14ac:dyDescent="0.3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</row>
    <row r="454" spans="1:28" ht="13.5" customHeight="1" x14ac:dyDescent="0.3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</row>
    <row r="455" spans="1:28" ht="13.5" customHeight="1" x14ac:dyDescent="0.3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</row>
    <row r="456" spans="1:28" ht="13.5" customHeight="1" x14ac:dyDescent="0.3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</row>
    <row r="457" spans="1:28" ht="13.5" customHeight="1" x14ac:dyDescent="0.3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</row>
    <row r="458" spans="1:28" ht="13.5" customHeight="1" x14ac:dyDescent="0.35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</row>
    <row r="459" spans="1:28" ht="13.5" customHeight="1" x14ac:dyDescent="0.3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</row>
    <row r="460" spans="1:28" ht="13.5" customHeight="1" x14ac:dyDescent="0.3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</row>
    <row r="461" spans="1:28" ht="13.5" customHeight="1" x14ac:dyDescent="0.3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</row>
    <row r="462" spans="1:28" ht="13.5" customHeight="1" x14ac:dyDescent="0.35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</row>
    <row r="463" spans="1:28" ht="13.5" customHeight="1" x14ac:dyDescent="0.35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</row>
    <row r="464" spans="1:28" ht="13.5" customHeight="1" x14ac:dyDescent="0.3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</row>
    <row r="465" spans="1:28" ht="13.5" customHeight="1" x14ac:dyDescent="0.3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</row>
    <row r="466" spans="1:28" ht="13.5" customHeight="1" x14ac:dyDescent="0.3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</row>
    <row r="467" spans="1:28" ht="13.5" customHeight="1" x14ac:dyDescent="0.3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</row>
    <row r="468" spans="1:28" ht="13.5" customHeight="1" x14ac:dyDescent="0.3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</row>
    <row r="469" spans="1:28" ht="13.5" customHeight="1" x14ac:dyDescent="0.3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</row>
    <row r="470" spans="1:28" ht="13.5" customHeight="1" x14ac:dyDescent="0.3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</row>
    <row r="471" spans="1:28" ht="13.5" customHeight="1" x14ac:dyDescent="0.3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</row>
    <row r="472" spans="1:28" ht="13.5" customHeight="1" x14ac:dyDescent="0.35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</row>
    <row r="473" spans="1:28" ht="13.5" customHeight="1" x14ac:dyDescent="0.3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</row>
    <row r="474" spans="1:28" ht="13.5" customHeight="1" x14ac:dyDescent="0.3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</row>
    <row r="475" spans="1:28" ht="13.5" customHeight="1" x14ac:dyDescent="0.3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</row>
    <row r="476" spans="1:28" ht="13.5" customHeight="1" x14ac:dyDescent="0.3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</row>
    <row r="477" spans="1:28" ht="13.5" customHeight="1" x14ac:dyDescent="0.35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</row>
    <row r="478" spans="1:28" ht="13.5" customHeight="1" x14ac:dyDescent="0.3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</row>
    <row r="479" spans="1:28" ht="13.5" customHeight="1" x14ac:dyDescent="0.3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</row>
    <row r="480" spans="1:28" ht="13.5" customHeight="1" x14ac:dyDescent="0.3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</row>
    <row r="481" spans="1:28" ht="13.5" customHeight="1" x14ac:dyDescent="0.35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</row>
    <row r="482" spans="1:28" ht="13.5" customHeight="1" x14ac:dyDescent="0.3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</row>
    <row r="483" spans="1:28" ht="13.5" customHeight="1" x14ac:dyDescent="0.3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</row>
    <row r="484" spans="1:28" ht="13.5" customHeight="1" x14ac:dyDescent="0.3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</row>
    <row r="485" spans="1:28" ht="13.5" customHeight="1" x14ac:dyDescent="0.3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</row>
    <row r="486" spans="1:28" ht="13.5" customHeight="1" x14ac:dyDescent="0.3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</row>
    <row r="487" spans="1:28" ht="13.5" customHeight="1" x14ac:dyDescent="0.35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</row>
    <row r="488" spans="1:28" ht="13.5" customHeight="1" x14ac:dyDescent="0.3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</row>
    <row r="489" spans="1:28" ht="13.5" customHeight="1" x14ac:dyDescent="0.3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</row>
    <row r="490" spans="1:28" ht="13.5" customHeight="1" x14ac:dyDescent="0.3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</row>
    <row r="491" spans="1:28" ht="13.5" customHeight="1" x14ac:dyDescent="0.3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</row>
    <row r="492" spans="1:28" ht="13.5" customHeight="1" x14ac:dyDescent="0.3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</row>
    <row r="493" spans="1:28" ht="13.5" customHeight="1" x14ac:dyDescent="0.3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</row>
    <row r="494" spans="1:28" ht="13.5" customHeight="1" x14ac:dyDescent="0.3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</row>
    <row r="495" spans="1:28" ht="13.5" customHeight="1" x14ac:dyDescent="0.3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</row>
    <row r="496" spans="1:28" ht="13.5" customHeight="1" x14ac:dyDescent="0.3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</row>
    <row r="497" spans="1:28" ht="13.5" customHeight="1" x14ac:dyDescent="0.35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</row>
    <row r="498" spans="1:28" ht="13.5" customHeight="1" x14ac:dyDescent="0.3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</row>
    <row r="499" spans="1:28" ht="13.5" customHeight="1" x14ac:dyDescent="0.35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</row>
    <row r="500" spans="1:28" ht="13.5" customHeight="1" x14ac:dyDescent="0.3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</row>
    <row r="501" spans="1:28" ht="13.5" customHeight="1" x14ac:dyDescent="0.3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</row>
    <row r="502" spans="1:28" ht="13.5" customHeight="1" x14ac:dyDescent="0.3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</row>
    <row r="503" spans="1:28" ht="13.5" customHeight="1" x14ac:dyDescent="0.3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</row>
    <row r="504" spans="1:28" ht="13.5" customHeight="1" x14ac:dyDescent="0.35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</row>
    <row r="505" spans="1:28" ht="13.5" customHeight="1" x14ac:dyDescent="0.3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</row>
    <row r="506" spans="1:28" ht="13.5" customHeight="1" x14ac:dyDescent="0.3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</row>
    <row r="507" spans="1:28" ht="13.5" customHeight="1" x14ac:dyDescent="0.3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</row>
    <row r="508" spans="1:28" ht="13.5" customHeight="1" x14ac:dyDescent="0.35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</row>
    <row r="509" spans="1:28" ht="13.5" customHeight="1" x14ac:dyDescent="0.3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</row>
    <row r="510" spans="1:28" ht="13.5" customHeight="1" x14ac:dyDescent="0.35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</row>
    <row r="511" spans="1:28" ht="13.5" customHeight="1" x14ac:dyDescent="0.3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</row>
    <row r="512" spans="1:28" ht="13.5" customHeight="1" x14ac:dyDescent="0.3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</row>
    <row r="513" spans="1:28" ht="13.5" customHeight="1" x14ac:dyDescent="0.3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</row>
    <row r="514" spans="1:28" ht="13.5" customHeight="1" x14ac:dyDescent="0.3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</row>
    <row r="515" spans="1:28" ht="13.5" customHeight="1" x14ac:dyDescent="0.3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</row>
    <row r="516" spans="1:28" ht="13.5" customHeight="1" x14ac:dyDescent="0.35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</row>
    <row r="517" spans="1:28" ht="13.5" customHeight="1" x14ac:dyDescent="0.3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</row>
    <row r="518" spans="1:28" ht="13.5" customHeight="1" x14ac:dyDescent="0.3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</row>
    <row r="519" spans="1:28" ht="13.5" customHeight="1" x14ac:dyDescent="0.3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</row>
    <row r="520" spans="1:28" ht="13.5" customHeight="1" x14ac:dyDescent="0.3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</row>
    <row r="521" spans="1:28" ht="13.5" customHeight="1" x14ac:dyDescent="0.3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</row>
    <row r="522" spans="1:28" ht="13.5" customHeight="1" x14ac:dyDescent="0.35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</row>
    <row r="523" spans="1:28" ht="13.5" customHeight="1" x14ac:dyDescent="0.3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</row>
    <row r="524" spans="1:28" ht="13.5" customHeight="1" x14ac:dyDescent="0.3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</row>
    <row r="525" spans="1:28" ht="13.5" customHeight="1" x14ac:dyDescent="0.3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</row>
    <row r="526" spans="1:28" ht="13.5" customHeight="1" x14ac:dyDescent="0.3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</row>
    <row r="527" spans="1:28" ht="13.5" customHeight="1" x14ac:dyDescent="0.3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</row>
    <row r="528" spans="1:28" ht="13.5" customHeight="1" x14ac:dyDescent="0.3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</row>
    <row r="529" spans="1:28" ht="13.5" customHeight="1" x14ac:dyDescent="0.3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</row>
    <row r="530" spans="1:28" ht="13.5" customHeight="1" x14ac:dyDescent="0.3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</row>
    <row r="531" spans="1:28" ht="13.5" customHeight="1" x14ac:dyDescent="0.3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</row>
    <row r="532" spans="1:28" ht="13.5" customHeight="1" x14ac:dyDescent="0.3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</row>
    <row r="533" spans="1:28" ht="13.5" customHeight="1" x14ac:dyDescent="0.35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</row>
    <row r="534" spans="1:28" ht="13.5" customHeight="1" x14ac:dyDescent="0.3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</row>
    <row r="535" spans="1:28" ht="13.5" customHeight="1" x14ac:dyDescent="0.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</row>
    <row r="536" spans="1:28" ht="13.5" customHeight="1" x14ac:dyDescent="0.3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</row>
    <row r="537" spans="1:28" ht="13.5" customHeight="1" x14ac:dyDescent="0.35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</row>
    <row r="538" spans="1:28" ht="13.5" customHeight="1" x14ac:dyDescent="0.35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</row>
    <row r="539" spans="1:28" ht="13.5" customHeight="1" x14ac:dyDescent="0.3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</row>
    <row r="540" spans="1:28" ht="13.5" customHeight="1" x14ac:dyDescent="0.3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</row>
    <row r="541" spans="1:28" ht="13.5" customHeight="1" x14ac:dyDescent="0.3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</row>
    <row r="542" spans="1:28" ht="13.5" customHeight="1" x14ac:dyDescent="0.3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</row>
    <row r="543" spans="1:28" ht="13.5" customHeight="1" x14ac:dyDescent="0.3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</row>
    <row r="544" spans="1:28" ht="13.5" customHeight="1" x14ac:dyDescent="0.3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</row>
    <row r="545" spans="1:28" ht="13.5" customHeight="1" x14ac:dyDescent="0.3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</row>
    <row r="546" spans="1:28" ht="13.5" customHeight="1" x14ac:dyDescent="0.35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</row>
    <row r="547" spans="1:28" ht="13.5" customHeight="1" x14ac:dyDescent="0.3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</row>
    <row r="548" spans="1:28" ht="13.5" customHeight="1" x14ac:dyDescent="0.3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</row>
    <row r="549" spans="1:28" ht="13.5" customHeight="1" x14ac:dyDescent="0.3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</row>
    <row r="550" spans="1:28" ht="13.5" customHeight="1" x14ac:dyDescent="0.3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</row>
    <row r="551" spans="1:28" ht="13.5" customHeight="1" x14ac:dyDescent="0.3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</row>
    <row r="552" spans="1:28" ht="13.5" customHeight="1" x14ac:dyDescent="0.35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</row>
    <row r="553" spans="1:28" ht="13.5" customHeight="1" x14ac:dyDescent="0.3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</row>
    <row r="554" spans="1:28" ht="13.5" customHeight="1" x14ac:dyDescent="0.3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</row>
    <row r="555" spans="1:28" ht="13.5" customHeight="1" x14ac:dyDescent="0.3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</row>
    <row r="556" spans="1:28" ht="13.5" customHeight="1" x14ac:dyDescent="0.35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</row>
    <row r="557" spans="1:28" ht="13.5" customHeight="1" x14ac:dyDescent="0.3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</row>
    <row r="558" spans="1:28" ht="13.5" customHeight="1" x14ac:dyDescent="0.3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</row>
    <row r="559" spans="1:28" ht="13.5" customHeight="1" x14ac:dyDescent="0.35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</row>
    <row r="560" spans="1:28" ht="13.5" customHeight="1" x14ac:dyDescent="0.35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</row>
    <row r="561" spans="1:28" ht="13.5" customHeight="1" x14ac:dyDescent="0.3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</row>
    <row r="562" spans="1:28" ht="13.5" customHeight="1" x14ac:dyDescent="0.35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</row>
    <row r="563" spans="1:28" ht="13.5" customHeight="1" x14ac:dyDescent="0.3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</row>
    <row r="564" spans="1:28" ht="13.5" customHeight="1" x14ac:dyDescent="0.35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</row>
    <row r="565" spans="1:28" ht="13.5" customHeight="1" x14ac:dyDescent="0.3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</row>
    <row r="566" spans="1:28" ht="13.5" customHeight="1" x14ac:dyDescent="0.3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</row>
    <row r="567" spans="1:28" ht="13.5" customHeight="1" x14ac:dyDescent="0.3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</row>
    <row r="568" spans="1:28" ht="13.5" customHeight="1" x14ac:dyDescent="0.35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</row>
    <row r="569" spans="1:28" ht="13.5" customHeight="1" x14ac:dyDescent="0.3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</row>
    <row r="570" spans="1:28" ht="13.5" customHeight="1" x14ac:dyDescent="0.3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</row>
    <row r="571" spans="1:28" ht="13.5" customHeight="1" x14ac:dyDescent="0.3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</row>
    <row r="572" spans="1:28" ht="13.5" customHeight="1" x14ac:dyDescent="0.3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</row>
    <row r="573" spans="1:28" ht="13.5" customHeight="1" x14ac:dyDescent="0.3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</row>
    <row r="574" spans="1:28" ht="13.5" customHeight="1" x14ac:dyDescent="0.3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</row>
    <row r="575" spans="1:28" ht="13.5" customHeight="1" x14ac:dyDescent="0.3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</row>
    <row r="576" spans="1:28" ht="13.5" customHeight="1" x14ac:dyDescent="0.3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</row>
    <row r="577" spans="1:28" ht="13.5" customHeight="1" x14ac:dyDescent="0.35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</row>
    <row r="578" spans="1:28" ht="13.5" customHeight="1" x14ac:dyDescent="0.3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</row>
    <row r="579" spans="1:28" ht="13.5" customHeight="1" x14ac:dyDescent="0.3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</row>
    <row r="580" spans="1:28" ht="13.5" customHeight="1" x14ac:dyDescent="0.3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</row>
    <row r="581" spans="1:28" ht="13.5" customHeight="1" x14ac:dyDescent="0.3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</row>
    <row r="582" spans="1:28" ht="13.5" customHeight="1" x14ac:dyDescent="0.3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</row>
    <row r="583" spans="1:28" ht="13.5" customHeight="1" x14ac:dyDescent="0.3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</row>
    <row r="584" spans="1:28" ht="13.5" customHeight="1" x14ac:dyDescent="0.35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</row>
    <row r="585" spans="1:28" ht="13.5" customHeight="1" x14ac:dyDescent="0.3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</row>
    <row r="586" spans="1:28" ht="13.5" customHeight="1" x14ac:dyDescent="0.3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</row>
    <row r="587" spans="1:28" ht="13.5" customHeight="1" x14ac:dyDescent="0.3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</row>
    <row r="588" spans="1:28" ht="13.5" customHeight="1" x14ac:dyDescent="0.3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</row>
    <row r="589" spans="1:28" ht="13.5" customHeight="1" x14ac:dyDescent="0.3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</row>
    <row r="590" spans="1:28" ht="13.5" customHeight="1" x14ac:dyDescent="0.3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</row>
    <row r="591" spans="1:28" ht="13.5" customHeight="1" x14ac:dyDescent="0.3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</row>
    <row r="592" spans="1:28" ht="13.5" customHeight="1" x14ac:dyDescent="0.3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</row>
    <row r="593" spans="1:28" ht="13.5" customHeight="1" x14ac:dyDescent="0.3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</row>
    <row r="594" spans="1:28" ht="13.5" customHeight="1" x14ac:dyDescent="0.3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</row>
    <row r="595" spans="1:28" ht="13.5" customHeight="1" x14ac:dyDescent="0.3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</row>
    <row r="596" spans="1:28" ht="13.5" customHeight="1" x14ac:dyDescent="0.3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</row>
    <row r="597" spans="1:28" ht="13.5" customHeight="1" x14ac:dyDescent="0.3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</row>
    <row r="598" spans="1:28" ht="13.5" customHeight="1" x14ac:dyDescent="0.3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</row>
    <row r="599" spans="1:28" ht="13.5" customHeight="1" x14ac:dyDescent="0.3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</row>
    <row r="600" spans="1:28" ht="13.5" customHeight="1" x14ac:dyDescent="0.3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</row>
    <row r="601" spans="1:28" ht="13.5" customHeight="1" x14ac:dyDescent="0.3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</row>
    <row r="602" spans="1:28" ht="13.5" customHeight="1" x14ac:dyDescent="0.3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</row>
    <row r="603" spans="1:28" ht="13.5" customHeight="1" x14ac:dyDescent="0.3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</row>
    <row r="604" spans="1:28" ht="13.5" customHeight="1" x14ac:dyDescent="0.3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</row>
    <row r="605" spans="1:28" ht="13.5" customHeight="1" x14ac:dyDescent="0.3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</row>
    <row r="606" spans="1:28" ht="13.5" customHeight="1" x14ac:dyDescent="0.3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</row>
    <row r="607" spans="1:28" ht="13.5" customHeight="1" x14ac:dyDescent="0.3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</row>
    <row r="608" spans="1:28" ht="13.5" customHeight="1" x14ac:dyDescent="0.3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</row>
    <row r="609" spans="1:28" ht="13.5" customHeight="1" x14ac:dyDescent="0.3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</row>
    <row r="610" spans="1:28" ht="13.5" customHeight="1" x14ac:dyDescent="0.3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</row>
    <row r="611" spans="1:28" ht="13.5" customHeight="1" x14ac:dyDescent="0.3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</row>
    <row r="612" spans="1:28" ht="13.5" customHeight="1" x14ac:dyDescent="0.3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</row>
    <row r="613" spans="1:28" ht="13.5" customHeight="1" x14ac:dyDescent="0.3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</row>
    <row r="614" spans="1:28" ht="13.5" customHeight="1" x14ac:dyDescent="0.3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</row>
    <row r="615" spans="1:28" ht="13.5" customHeight="1" x14ac:dyDescent="0.3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</row>
    <row r="616" spans="1:28" ht="13.5" customHeight="1" x14ac:dyDescent="0.3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</row>
    <row r="617" spans="1:28" ht="13.5" customHeight="1" x14ac:dyDescent="0.3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</row>
    <row r="618" spans="1:28" ht="13.5" customHeight="1" x14ac:dyDescent="0.3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</row>
    <row r="619" spans="1:28" ht="13.5" customHeight="1" x14ac:dyDescent="0.3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</row>
    <row r="620" spans="1:28" ht="13.5" customHeight="1" x14ac:dyDescent="0.3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</row>
    <row r="621" spans="1:28" ht="13.5" customHeight="1" x14ac:dyDescent="0.3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</row>
    <row r="622" spans="1:28" ht="13.5" customHeight="1" x14ac:dyDescent="0.3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</row>
    <row r="623" spans="1:28" ht="13.5" customHeight="1" x14ac:dyDescent="0.3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</row>
    <row r="624" spans="1:28" ht="13.5" customHeight="1" x14ac:dyDescent="0.3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</row>
    <row r="625" spans="1:28" ht="13.5" customHeight="1" x14ac:dyDescent="0.3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</row>
    <row r="626" spans="1:28" ht="13.5" customHeight="1" x14ac:dyDescent="0.3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</row>
    <row r="627" spans="1:28" ht="13.5" customHeight="1" x14ac:dyDescent="0.3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</row>
    <row r="628" spans="1:28" ht="13.5" customHeight="1" x14ac:dyDescent="0.3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</row>
    <row r="629" spans="1:28" ht="13.5" customHeight="1" x14ac:dyDescent="0.3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</row>
    <row r="630" spans="1:28" ht="13.5" customHeight="1" x14ac:dyDescent="0.3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</row>
    <row r="631" spans="1:28" ht="13.5" customHeight="1" x14ac:dyDescent="0.3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</row>
    <row r="632" spans="1:28" ht="13.5" customHeight="1" x14ac:dyDescent="0.3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</row>
    <row r="633" spans="1:28" ht="13.5" customHeight="1" x14ac:dyDescent="0.3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</row>
    <row r="634" spans="1:28" ht="13.5" customHeight="1" x14ac:dyDescent="0.3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</row>
    <row r="635" spans="1:28" ht="13.5" customHeight="1" x14ac:dyDescent="0.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</row>
    <row r="636" spans="1:28" ht="13.5" customHeight="1" x14ac:dyDescent="0.3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</row>
    <row r="637" spans="1:28" ht="13.5" customHeight="1" x14ac:dyDescent="0.3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</row>
    <row r="638" spans="1:28" ht="13.5" customHeight="1" x14ac:dyDescent="0.3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</row>
    <row r="639" spans="1:28" ht="13.5" customHeight="1" x14ac:dyDescent="0.3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</row>
    <row r="640" spans="1:28" ht="13.5" customHeight="1" x14ac:dyDescent="0.3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</row>
    <row r="641" spans="1:28" ht="13.5" customHeight="1" x14ac:dyDescent="0.3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</row>
    <row r="642" spans="1:28" ht="13.5" customHeight="1" x14ac:dyDescent="0.3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</row>
    <row r="643" spans="1:28" ht="13.5" customHeight="1" x14ac:dyDescent="0.3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</row>
    <row r="644" spans="1:28" ht="13.5" customHeight="1" x14ac:dyDescent="0.3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</row>
    <row r="645" spans="1:28" ht="13.5" customHeight="1" x14ac:dyDescent="0.3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</row>
    <row r="646" spans="1:28" ht="13.5" customHeight="1" x14ac:dyDescent="0.3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</row>
    <row r="647" spans="1:28" ht="13.5" customHeight="1" x14ac:dyDescent="0.3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</row>
    <row r="648" spans="1:28" ht="13.5" customHeight="1" x14ac:dyDescent="0.3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</row>
    <row r="649" spans="1:28" ht="13.5" customHeight="1" x14ac:dyDescent="0.3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</row>
    <row r="650" spans="1:28" ht="13.5" customHeight="1" x14ac:dyDescent="0.3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</row>
    <row r="651" spans="1:28" ht="13.5" customHeight="1" x14ac:dyDescent="0.3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</row>
    <row r="652" spans="1:28" ht="13.5" customHeight="1" x14ac:dyDescent="0.3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</row>
    <row r="653" spans="1:28" ht="13.5" customHeight="1" x14ac:dyDescent="0.3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</row>
    <row r="654" spans="1:28" ht="13.5" customHeight="1" x14ac:dyDescent="0.3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</row>
    <row r="655" spans="1:28" ht="13.5" customHeight="1" x14ac:dyDescent="0.3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</row>
    <row r="656" spans="1:28" ht="13.5" customHeight="1" x14ac:dyDescent="0.3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</row>
    <row r="657" spans="1:28" ht="13.5" customHeight="1" x14ac:dyDescent="0.3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</row>
    <row r="658" spans="1:28" ht="13.5" customHeight="1" x14ac:dyDescent="0.3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</row>
    <row r="659" spans="1:28" ht="13.5" customHeight="1" x14ac:dyDescent="0.3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</row>
    <row r="660" spans="1:28" ht="13.5" customHeight="1" x14ac:dyDescent="0.3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</row>
    <row r="661" spans="1:28" ht="13.5" customHeight="1" x14ac:dyDescent="0.3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</row>
    <row r="662" spans="1:28" ht="13.5" customHeight="1" x14ac:dyDescent="0.3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</row>
    <row r="663" spans="1:28" ht="13.5" customHeight="1" x14ac:dyDescent="0.3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</row>
    <row r="664" spans="1:28" ht="13.5" customHeight="1" x14ac:dyDescent="0.3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</row>
    <row r="665" spans="1:28" ht="13.5" customHeight="1" x14ac:dyDescent="0.3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</row>
    <row r="666" spans="1:28" ht="13.5" customHeight="1" x14ac:dyDescent="0.3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</row>
    <row r="667" spans="1:28" ht="13.5" customHeight="1" x14ac:dyDescent="0.3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</row>
    <row r="668" spans="1:28" ht="13.5" customHeight="1" x14ac:dyDescent="0.3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</row>
    <row r="669" spans="1:28" ht="13.5" customHeight="1" x14ac:dyDescent="0.3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</row>
    <row r="670" spans="1:28" ht="13.5" customHeight="1" x14ac:dyDescent="0.3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</row>
    <row r="671" spans="1:28" ht="13.5" customHeight="1" x14ac:dyDescent="0.3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</row>
    <row r="672" spans="1:28" ht="13.5" customHeight="1" x14ac:dyDescent="0.3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</row>
    <row r="673" spans="1:28" ht="13.5" customHeight="1" x14ac:dyDescent="0.3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</row>
    <row r="674" spans="1:28" ht="13.5" customHeight="1" x14ac:dyDescent="0.3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</row>
    <row r="675" spans="1:28" ht="13.5" customHeight="1" x14ac:dyDescent="0.3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</row>
    <row r="676" spans="1:28" ht="13.5" customHeight="1" x14ac:dyDescent="0.3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</row>
    <row r="677" spans="1:28" ht="13.5" customHeight="1" x14ac:dyDescent="0.3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</row>
    <row r="678" spans="1:28" ht="13.5" customHeight="1" x14ac:dyDescent="0.3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</row>
    <row r="679" spans="1:28" ht="13.5" customHeight="1" x14ac:dyDescent="0.3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</row>
    <row r="680" spans="1:28" ht="13.5" customHeight="1" x14ac:dyDescent="0.3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</row>
    <row r="681" spans="1:28" ht="13.5" customHeight="1" x14ac:dyDescent="0.3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</row>
    <row r="682" spans="1:28" ht="13.5" customHeight="1" x14ac:dyDescent="0.3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</row>
    <row r="683" spans="1:28" ht="13.5" customHeight="1" x14ac:dyDescent="0.3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</row>
    <row r="684" spans="1:28" ht="13.5" customHeight="1" x14ac:dyDescent="0.3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</row>
    <row r="685" spans="1:28" ht="13.5" customHeight="1" x14ac:dyDescent="0.3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</row>
    <row r="686" spans="1:28" ht="13.5" customHeight="1" x14ac:dyDescent="0.3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</row>
    <row r="687" spans="1:28" ht="13.5" customHeight="1" x14ac:dyDescent="0.3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</row>
    <row r="688" spans="1:28" ht="13.5" customHeight="1" x14ac:dyDescent="0.3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</row>
    <row r="689" spans="1:28" ht="13.5" customHeight="1" x14ac:dyDescent="0.3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</row>
    <row r="690" spans="1:28" ht="13.5" customHeight="1" x14ac:dyDescent="0.3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</row>
    <row r="691" spans="1:28" ht="13.5" customHeight="1" x14ac:dyDescent="0.3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</row>
    <row r="692" spans="1:28" ht="13.5" customHeight="1" x14ac:dyDescent="0.3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</row>
    <row r="693" spans="1:28" ht="13.5" customHeight="1" x14ac:dyDescent="0.3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</row>
    <row r="694" spans="1:28" ht="13.5" customHeight="1" x14ac:dyDescent="0.3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</row>
    <row r="695" spans="1:28" ht="13.5" customHeight="1" x14ac:dyDescent="0.3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</row>
    <row r="696" spans="1:28" ht="13.5" customHeight="1" x14ac:dyDescent="0.3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</row>
    <row r="697" spans="1:28" ht="13.5" customHeight="1" x14ac:dyDescent="0.3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</row>
    <row r="698" spans="1:28" ht="13.5" customHeight="1" x14ac:dyDescent="0.3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</row>
    <row r="699" spans="1:28" ht="13.5" customHeight="1" x14ac:dyDescent="0.3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</row>
    <row r="700" spans="1:28" ht="13.5" customHeight="1" x14ac:dyDescent="0.3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</row>
    <row r="701" spans="1:28" ht="13.5" customHeight="1" x14ac:dyDescent="0.3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</row>
    <row r="702" spans="1:28" ht="13.5" customHeight="1" x14ac:dyDescent="0.3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</row>
    <row r="703" spans="1:28" ht="13.5" customHeight="1" x14ac:dyDescent="0.3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</row>
    <row r="704" spans="1:28" ht="13.5" customHeight="1" x14ac:dyDescent="0.3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</row>
    <row r="705" spans="1:28" ht="13.5" customHeight="1" x14ac:dyDescent="0.3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</row>
    <row r="706" spans="1:28" ht="13.5" customHeight="1" x14ac:dyDescent="0.3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</row>
    <row r="707" spans="1:28" ht="13.5" customHeight="1" x14ac:dyDescent="0.3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</row>
    <row r="708" spans="1:28" ht="13.5" customHeight="1" x14ac:dyDescent="0.3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</row>
    <row r="709" spans="1:28" ht="13.5" customHeight="1" x14ac:dyDescent="0.3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</row>
    <row r="710" spans="1:28" ht="13.5" customHeight="1" x14ac:dyDescent="0.3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</row>
    <row r="711" spans="1:28" ht="13.5" customHeight="1" x14ac:dyDescent="0.3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</row>
    <row r="712" spans="1:28" ht="13.5" customHeight="1" x14ac:dyDescent="0.3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</row>
    <row r="713" spans="1:28" ht="13.5" customHeight="1" x14ac:dyDescent="0.3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</row>
    <row r="714" spans="1:28" ht="13.5" customHeight="1" x14ac:dyDescent="0.3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</row>
    <row r="715" spans="1:28" ht="13.5" customHeight="1" x14ac:dyDescent="0.3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</row>
    <row r="716" spans="1:28" ht="13.5" customHeight="1" x14ac:dyDescent="0.3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</row>
    <row r="717" spans="1:28" ht="13.5" customHeight="1" x14ac:dyDescent="0.3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</row>
    <row r="718" spans="1:28" ht="13.5" customHeight="1" x14ac:dyDescent="0.3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</row>
    <row r="719" spans="1:28" ht="13.5" customHeight="1" x14ac:dyDescent="0.3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</row>
    <row r="720" spans="1:28" ht="13.5" customHeight="1" x14ac:dyDescent="0.3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</row>
    <row r="721" spans="1:28" ht="13.5" customHeight="1" x14ac:dyDescent="0.3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</row>
    <row r="722" spans="1:28" ht="13.5" customHeight="1" x14ac:dyDescent="0.3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</row>
    <row r="723" spans="1:28" ht="13.5" customHeight="1" x14ac:dyDescent="0.3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</row>
    <row r="724" spans="1:28" ht="13.5" customHeight="1" x14ac:dyDescent="0.3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</row>
    <row r="725" spans="1:28" ht="13.5" customHeight="1" x14ac:dyDescent="0.3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</row>
    <row r="726" spans="1:28" ht="13.5" customHeight="1" x14ac:dyDescent="0.3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</row>
    <row r="727" spans="1:28" ht="13.5" customHeight="1" x14ac:dyDescent="0.3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</row>
    <row r="728" spans="1:28" ht="13.5" customHeight="1" x14ac:dyDescent="0.3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</row>
    <row r="729" spans="1:28" ht="13.5" customHeight="1" x14ac:dyDescent="0.3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</row>
    <row r="730" spans="1:28" ht="13.5" customHeight="1" x14ac:dyDescent="0.3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</row>
    <row r="731" spans="1:28" ht="13.5" customHeight="1" x14ac:dyDescent="0.3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</row>
    <row r="732" spans="1:28" ht="13.5" customHeight="1" x14ac:dyDescent="0.3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</row>
    <row r="733" spans="1:28" ht="13.5" customHeight="1" x14ac:dyDescent="0.3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</row>
    <row r="734" spans="1:28" ht="13.5" customHeight="1" x14ac:dyDescent="0.3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</row>
    <row r="735" spans="1:28" ht="13.5" customHeight="1" x14ac:dyDescent="0.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</row>
    <row r="736" spans="1:28" ht="13.5" customHeight="1" x14ac:dyDescent="0.3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</row>
    <row r="737" spans="1:28" ht="13.5" customHeight="1" x14ac:dyDescent="0.3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</row>
    <row r="738" spans="1:28" ht="13.5" customHeight="1" x14ac:dyDescent="0.3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</row>
    <row r="739" spans="1:28" ht="13.5" customHeight="1" x14ac:dyDescent="0.3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</row>
    <row r="740" spans="1:28" ht="13.5" customHeight="1" x14ac:dyDescent="0.3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</row>
    <row r="741" spans="1:28" ht="13.5" customHeight="1" x14ac:dyDescent="0.3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</row>
    <row r="742" spans="1:28" ht="13.5" customHeight="1" x14ac:dyDescent="0.3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</row>
    <row r="743" spans="1:28" ht="13.5" customHeight="1" x14ac:dyDescent="0.3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</row>
    <row r="744" spans="1:28" ht="13.5" customHeight="1" x14ac:dyDescent="0.3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</row>
    <row r="745" spans="1:28" ht="13.5" customHeight="1" x14ac:dyDescent="0.3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</row>
    <row r="746" spans="1:28" ht="13.5" customHeight="1" x14ac:dyDescent="0.3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</row>
    <row r="747" spans="1:28" ht="13.5" customHeight="1" x14ac:dyDescent="0.3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</row>
    <row r="748" spans="1:28" ht="13.5" customHeight="1" x14ac:dyDescent="0.3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</row>
    <row r="749" spans="1:28" ht="13.5" customHeight="1" x14ac:dyDescent="0.3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</row>
    <row r="750" spans="1:28" ht="13.5" customHeight="1" x14ac:dyDescent="0.3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</row>
    <row r="751" spans="1:28" ht="13.5" customHeight="1" x14ac:dyDescent="0.3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</row>
    <row r="752" spans="1:28" ht="13.5" customHeight="1" x14ac:dyDescent="0.3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</row>
    <row r="753" spans="1:28" ht="13.5" customHeight="1" x14ac:dyDescent="0.3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</row>
    <row r="754" spans="1:28" ht="13.5" customHeight="1" x14ac:dyDescent="0.3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</row>
    <row r="755" spans="1:28" ht="13.5" customHeight="1" x14ac:dyDescent="0.3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</row>
    <row r="756" spans="1:28" ht="13.5" customHeight="1" x14ac:dyDescent="0.3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</row>
    <row r="757" spans="1:28" ht="13.5" customHeight="1" x14ac:dyDescent="0.3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</row>
    <row r="758" spans="1:28" ht="13.5" customHeight="1" x14ac:dyDescent="0.3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</row>
    <row r="759" spans="1:28" ht="13.5" customHeight="1" x14ac:dyDescent="0.3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</row>
    <row r="760" spans="1:28" ht="13.5" customHeight="1" x14ac:dyDescent="0.3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</row>
    <row r="761" spans="1:28" ht="13.5" customHeight="1" x14ac:dyDescent="0.3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</row>
    <row r="762" spans="1:28" ht="13.5" customHeight="1" x14ac:dyDescent="0.3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</row>
    <row r="763" spans="1:28" ht="13.5" customHeight="1" x14ac:dyDescent="0.3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</row>
    <row r="764" spans="1:28" ht="13.5" customHeight="1" x14ac:dyDescent="0.3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</row>
    <row r="765" spans="1:28" ht="13.5" customHeight="1" x14ac:dyDescent="0.3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</row>
    <row r="766" spans="1:28" ht="13.5" customHeight="1" x14ac:dyDescent="0.3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</row>
    <row r="767" spans="1:28" ht="13.5" customHeight="1" x14ac:dyDescent="0.3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</row>
    <row r="768" spans="1:28" ht="13.5" customHeight="1" x14ac:dyDescent="0.3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</row>
    <row r="769" spans="1:28" ht="13.5" customHeight="1" x14ac:dyDescent="0.3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</row>
    <row r="770" spans="1:28" ht="13.5" customHeight="1" x14ac:dyDescent="0.3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</row>
    <row r="771" spans="1:28" ht="13.5" customHeight="1" x14ac:dyDescent="0.3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</row>
    <row r="772" spans="1:28" ht="13.5" customHeight="1" x14ac:dyDescent="0.3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</row>
    <row r="773" spans="1:28" ht="13.5" customHeight="1" x14ac:dyDescent="0.3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</row>
    <row r="774" spans="1:28" ht="13.5" customHeight="1" x14ac:dyDescent="0.3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</row>
    <row r="775" spans="1:28" ht="13.5" customHeight="1" x14ac:dyDescent="0.3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</row>
    <row r="776" spans="1:28" ht="13.5" customHeight="1" x14ac:dyDescent="0.3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</row>
    <row r="777" spans="1:28" ht="13.5" customHeight="1" x14ac:dyDescent="0.3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</row>
    <row r="778" spans="1:28" ht="13.5" customHeight="1" x14ac:dyDescent="0.3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</row>
    <row r="779" spans="1:28" ht="13.5" customHeight="1" x14ac:dyDescent="0.3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</row>
    <row r="780" spans="1:28" ht="13.5" customHeight="1" x14ac:dyDescent="0.3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</row>
    <row r="781" spans="1:28" ht="13.5" customHeight="1" x14ac:dyDescent="0.3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</row>
    <row r="782" spans="1:28" ht="13.5" customHeight="1" x14ac:dyDescent="0.3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</row>
    <row r="783" spans="1:28" ht="13.5" customHeight="1" x14ac:dyDescent="0.3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</row>
    <row r="784" spans="1:28" ht="13.5" customHeight="1" x14ac:dyDescent="0.3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</row>
    <row r="785" spans="1:28" ht="13.5" customHeight="1" x14ac:dyDescent="0.3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</row>
    <row r="786" spans="1:28" ht="13.5" customHeight="1" x14ac:dyDescent="0.3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</row>
    <row r="787" spans="1:28" ht="13.5" customHeight="1" x14ac:dyDescent="0.3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</row>
    <row r="788" spans="1:28" ht="13.5" customHeight="1" x14ac:dyDescent="0.3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</row>
    <row r="789" spans="1:28" ht="13.5" customHeight="1" x14ac:dyDescent="0.3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</row>
    <row r="790" spans="1:28" ht="13.5" customHeight="1" x14ac:dyDescent="0.3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</row>
    <row r="791" spans="1:28" ht="13.5" customHeight="1" x14ac:dyDescent="0.3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</row>
    <row r="792" spans="1:28" ht="13.5" customHeight="1" x14ac:dyDescent="0.3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</row>
    <row r="793" spans="1:28" ht="13.5" customHeight="1" x14ac:dyDescent="0.3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</row>
    <row r="794" spans="1:28" ht="13.5" customHeight="1" x14ac:dyDescent="0.3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</row>
    <row r="795" spans="1:28" ht="13.5" customHeight="1" x14ac:dyDescent="0.3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</row>
    <row r="796" spans="1:28" ht="13.5" customHeight="1" x14ac:dyDescent="0.3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</row>
    <row r="797" spans="1:28" ht="13.5" customHeight="1" x14ac:dyDescent="0.3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</row>
    <row r="798" spans="1:28" ht="13.5" customHeight="1" x14ac:dyDescent="0.3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</row>
    <row r="799" spans="1:28" ht="13.5" customHeight="1" x14ac:dyDescent="0.3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</row>
    <row r="800" spans="1:28" ht="13.5" customHeight="1" x14ac:dyDescent="0.3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</row>
    <row r="801" spans="1:28" ht="13.5" customHeight="1" x14ac:dyDescent="0.3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</row>
    <row r="802" spans="1:28" ht="13.5" customHeight="1" x14ac:dyDescent="0.3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</row>
    <row r="803" spans="1:28" ht="13.5" customHeight="1" x14ac:dyDescent="0.3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</row>
    <row r="804" spans="1:28" ht="13.5" customHeight="1" x14ac:dyDescent="0.3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</row>
    <row r="805" spans="1:28" ht="13.5" customHeight="1" x14ac:dyDescent="0.3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</row>
    <row r="806" spans="1:28" ht="13.5" customHeight="1" x14ac:dyDescent="0.3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</row>
    <row r="807" spans="1:28" ht="13.5" customHeight="1" x14ac:dyDescent="0.3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</row>
    <row r="808" spans="1:28" ht="13.5" customHeight="1" x14ac:dyDescent="0.3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</row>
    <row r="809" spans="1:28" ht="13.5" customHeight="1" x14ac:dyDescent="0.3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</row>
    <row r="810" spans="1:28" ht="13.5" customHeight="1" x14ac:dyDescent="0.3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</row>
    <row r="811" spans="1:28" ht="13.5" customHeight="1" x14ac:dyDescent="0.3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</row>
    <row r="812" spans="1:28" ht="13.5" customHeight="1" x14ac:dyDescent="0.3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</row>
    <row r="813" spans="1:28" ht="13.5" customHeight="1" x14ac:dyDescent="0.3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</row>
    <row r="814" spans="1:28" ht="13.5" customHeight="1" x14ac:dyDescent="0.3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</row>
    <row r="815" spans="1:28" ht="13.5" customHeight="1" x14ac:dyDescent="0.3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</row>
    <row r="816" spans="1:28" ht="13.5" customHeight="1" x14ac:dyDescent="0.3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</row>
    <row r="817" spans="1:28" ht="13.5" customHeight="1" x14ac:dyDescent="0.3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</row>
    <row r="818" spans="1:28" ht="13.5" customHeight="1" x14ac:dyDescent="0.3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</row>
    <row r="819" spans="1:28" ht="13.5" customHeight="1" x14ac:dyDescent="0.3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</row>
    <row r="820" spans="1:28" ht="13.5" customHeight="1" x14ac:dyDescent="0.3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</row>
    <row r="821" spans="1:28" ht="13.5" customHeight="1" x14ac:dyDescent="0.3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</row>
    <row r="822" spans="1:28" ht="13.5" customHeight="1" x14ac:dyDescent="0.3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</row>
    <row r="823" spans="1:28" ht="13.5" customHeight="1" x14ac:dyDescent="0.3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</row>
    <row r="824" spans="1:28" ht="13.5" customHeight="1" x14ac:dyDescent="0.3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</row>
    <row r="825" spans="1:28" ht="13.5" customHeight="1" x14ac:dyDescent="0.3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</row>
    <row r="826" spans="1:28" ht="13.5" customHeight="1" x14ac:dyDescent="0.3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</row>
    <row r="827" spans="1:28" ht="13.5" customHeight="1" x14ac:dyDescent="0.3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</row>
    <row r="828" spans="1:28" ht="13.5" customHeight="1" x14ac:dyDescent="0.3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</row>
    <row r="829" spans="1:28" ht="13.5" customHeight="1" x14ac:dyDescent="0.3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</row>
    <row r="830" spans="1:28" ht="13.5" customHeight="1" x14ac:dyDescent="0.3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</row>
    <row r="831" spans="1:28" ht="13.5" customHeight="1" x14ac:dyDescent="0.3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</row>
    <row r="832" spans="1:28" ht="13.5" customHeight="1" x14ac:dyDescent="0.3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</row>
    <row r="833" spans="1:28" ht="13.5" customHeight="1" x14ac:dyDescent="0.3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</row>
    <row r="834" spans="1:28" ht="13.5" customHeight="1" x14ac:dyDescent="0.3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</row>
    <row r="835" spans="1:28" ht="13.5" customHeight="1" x14ac:dyDescent="0.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</row>
    <row r="836" spans="1:28" ht="13.5" customHeight="1" x14ac:dyDescent="0.3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</row>
    <row r="837" spans="1:28" ht="13.5" customHeight="1" x14ac:dyDescent="0.3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</row>
    <row r="838" spans="1:28" ht="13.5" customHeight="1" x14ac:dyDescent="0.3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</row>
    <row r="839" spans="1:28" ht="13.5" customHeight="1" x14ac:dyDescent="0.3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</row>
    <row r="840" spans="1:28" ht="13.5" customHeight="1" x14ac:dyDescent="0.3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</row>
    <row r="841" spans="1:28" ht="13.5" customHeight="1" x14ac:dyDescent="0.3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</row>
    <row r="842" spans="1:28" ht="13.5" customHeight="1" x14ac:dyDescent="0.3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</row>
    <row r="843" spans="1:28" ht="13.5" customHeight="1" x14ac:dyDescent="0.3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</row>
    <row r="844" spans="1:28" ht="13.5" customHeight="1" x14ac:dyDescent="0.3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</row>
    <row r="845" spans="1:28" ht="13.5" customHeight="1" x14ac:dyDescent="0.3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</row>
    <row r="846" spans="1:28" ht="13.5" customHeight="1" x14ac:dyDescent="0.3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</row>
    <row r="847" spans="1:28" ht="13.5" customHeight="1" x14ac:dyDescent="0.3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</row>
    <row r="848" spans="1:28" ht="13.5" customHeight="1" x14ac:dyDescent="0.3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</row>
    <row r="849" spans="1:28" ht="13.5" customHeight="1" x14ac:dyDescent="0.3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</row>
    <row r="850" spans="1:28" ht="13.5" customHeight="1" x14ac:dyDescent="0.3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</row>
    <row r="851" spans="1:28" ht="13.5" customHeight="1" x14ac:dyDescent="0.3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</row>
    <row r="852" spans="1:28" ht="13.5" customHeight="1" x14ac:dyDescent="0.3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</row>
    <row r="853" spans="1:28" ht="13.5" customHeight="1" x14ac:dyDescent="0.3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</row>
    <row r="854" spans="1:28" ht="13.5" customHeight="1" x14ac:dyDescent="0.3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</row>
    <row r="855" spans="1:28" ht="13.5" customHeight="1" x14ac:dyDescent="0.3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</row>
    <row r="856" spans="1:28" ht="13.5" customHeight="1" x14ac:dyDescent="0.3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</row>
    <row r="857" spans="1:28" ht="13.5" customHeight="1" x14ac:dyDescent="0.3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</row>
    <row r="858" spans="1:28" ht="13.5" customHeight="1" x14ac:dyDescent="0.3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</row>
    <row r="859" spans="1:28" ht="13.5" customHeight="1" x14ac:dyDescent="0.3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</row>
    <row r="860" spans="1:28" ht="13.5" customHeight="1" x14ac:dyDescent="0.3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</row>
    <row r="861" spans="1:28" ht="13.5" customHeight="1" x14ac:dyDescent="0.3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</row>
    <row r="862" spans="1:28" ht="13.5" customHeight="1" x14ac:dyDescent="0.3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</row>
    <row r="863" spans="1:28" ht="13.5" customHeight="1" x14ac:dyDescent="0.3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</row>
    <row r="864" spans="1:28" ht="13.5" customHeight="1" x14ac:dyDescent="0.3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</row>
    <row r="865" spans="1:28" ht="13.5" customHeight="1" x14ac:dyDescent="0.3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</row>
    <row r="866" spans="1:28" ht="13.5" customHeight="1" x14ac:dyDescent="0.3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</row>
    <row r="867" spans="1:28" ht="13.5" customHeight="1" x14ac:dyDescent="0.3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</row>
    <row r="868" spans="1:28" ht="13.5" customHeight="1" x14ac:dyDescent="0.3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</row>
    <row r="869" spans="1:28" ht="13.5" customHeight="1" x14ac:dyDescent="0.3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</row>
    <row r="870" spans="1:28" ht="13.5" customHeight="1" x14ac:dyDescent="0.3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</row>
    <row r="871" spans="1:28" ht="13.5" customHeight="1" x14ac:dyDescent="0.3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</row>
    <row r="872" spans="1:28" ht="13.5" customHeight="1" x14ac:dyDescent="0.3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</row>
    <row r="873" spans="1:28" ht="13.5" customHeight="1" x14ac:dyDescent="0.3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</row>
    <row r="874" spans="1:28" ht="13.5" customHeight="1" x14ac:dyDescent="0.3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</row>
    <row r="875" spans="1:28" ht="13.5" customHeight="1" x14ac:dyDescent="0.3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</row>
    <row r="876" spans="1:28" ht="13.5" customHeight="1" x14ac:dyDescent="0.3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</row>
    <row r="877" spans="1:28" ht="13.5" customHeight="1" x14ac:dyDescent="0.3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</row>
    <row r="878" spans="1:28" ht="13.5" customHeight="1" x14ac:dyDescent="0.3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</row>
    <row r="879" spans="1:28" ht="13.5" customHeight="1" x14ac:dyDescent="0.3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</row>
    <row r="880" spans="1:28" ht="13.5" customHeight="1" x14ac:dyDescent="0.3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</row>
    <row r="881" spans="1:28" ht="13.5" customHeight="1" x14ac:dyDescent="0.3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</row>
    <row r="882" spans="1:28" ht="13.5" customHeight="1" x14ac:dyDescent="0.3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</row>
    <row r="883" spans="1:28" ht="13.5" customHeight="1" x14ac:dyDescent="0.3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</row>
    <row r="884" spans="1:28" ht="13.5" customHeight="1" x14ac:dyDescent="0.3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</row>
    <row r="885" spans="1:28" ht="13.5" customHeight="1" x14ac:dyDescent="0.3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</row>
    <row r="886" spans="1:28" ht="13.5" customHeight="1" x14ac:dyDescent="0.3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</row>
    <row r="887" spans="1:28" ht="13.5" customHeight="1" x14ac:dyDescent="0.3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</row>
    <row r="888" spans="1:28" ht="13.5" customHeight="1" x14ac:dyDescent="0.3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</row>
    <row r="889" spans="1:28" ht="13.5" customHeight="1" x14ac:dyDescent="0.3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</row>
    <row r="890" spans="1:28" ht="13.5" customHeight="1" x14ac:dyDescent="0.3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</row>
    <row r="891" spans="1:28" ht="13.5" customHeight="1" x14ac:dyDescent="0.3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</row>
    <row r="892" spans="1:28" ht="13.5" customHeight="1" x14ac:dyDescent="0.3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</row>
    <row r="893" spans="1:28" ht="13.5" customHeight="1" x14ac:dyDescent="0.3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</row>
    <row r="894" spans="1:28" ht="13.5" customHeight="1" x14ac:dyDescent="0.3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</row>
    <row r="895" spans="1:28" ht="13.5" customHeight="1" x14ac:dyDescent="0.3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</row>
    <row r="896" spans="1:28" ht="13.5" customHeight="1" x14ac:dyDescent="0.3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</row>
    <row r="897" spans="1:28" ht="13.5" customHeight="1" x14ac:dyDescent="0.3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</row>
    <row r="898" spans="1:28" ht="13.5" customHeight="1" x14ac:dyDescent="0.3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</row>
    <row r="899" spans="1:28" ht="13.5" customHeight="1" x14ac:dyDescent="0.3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</row>
    <row r="900" spans="1:28" ht="13.5" customHeight="1" x14ac:dyDescent="0.3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</row>
    <row r="901" spans="1:28" ht="13.5" customHeight="1" x14ac:dyDescent="0.3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</row>
    <row r="902" spans="1:28" ht="13.5" customHeight="1" x14ac:dyDescent="0.3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</row>
    <row r="903" spans="1:28" ht="13.5" customHeight="1" x14ac:dyDescent="0.3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</row>
    <row r="904" spans="1:28" ht="13.5" customHeight="1" x14ac:dyDescent="0.3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</row>
    <row r="905" spans="1:28" ht="13.5" customHeight="1" x14ac:dyDescent="0.3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</row>
    <row r="906" spans="1:28" ht="13.5" customHeight="1" x14ac:dyDescent="0.3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</row>
    <row r="907" spans="1:28" ht="13.5" customHeight="1" x14ac:dyDescent="0.3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</row>
    <row r="908" spans="1:28" ht="13.5" customHeight="1" x14ac:dyDescent="0.3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</row>
    <row r="909" spans="1:28" ht="13.5" customHeight="1" x14ac:dyDescent="0.3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</row>
    <row r="910" spans="1:28" ht="13.5" customHeight="1" x14ac:dyDescent="0.3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</row>
    <row r="911" spans="1:28" ht="13.5" customHeight="1" x14ac:dyDescent="0.3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</row>
    <row r="912" spans="1:28" ht="13.5" customHeight="1" x14ac:dyDescent="0.3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</row>
    <row r="913" spans="1:28" ht="13.5" customHeight="1" x14ac:dyDescent="0.3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</row>
    <row r="914" spans="1:28" ht="13.5" customHeight="1" x14ac:dyDescent="0.3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</row>
    <row r="915" spans="1:28" ht="13.5" customHeight="1" x14ac:dyDescent="0.3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</row>
    <row r="916" spans="1:28" ht="13.5" customHeight="1" x14ac:dyDescent="0.3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</row>
    <row r="917" spans="1:28" ht="13.5" customHeight="1" x14ac:dyDescent="0.3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</row>
    <row r="918" spans="1:28" ht="13.5" customHeight="1" x14ac:dyDescent="0.3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</row>
    <row r="919" spans="1:28" ht="13.5" customHeight="1" x14ac:dyDescent="0.3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</row>
    <row r="920" spans="1:28" ht="13.5" customHeight="1" x14ac:dyDescent="0.3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</row>
    <row r="921" spans="1:28" ht="13.5" customHeight="1" x14ac:dyDescent="0.3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</row>
    <row r="922" spans="1:28" ht="13.5" customHeight="1" x14ac:dyDescent="0.3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</row>
    <row r="923" spans="1:28" ht="13.5" customHeight="1" x14ac:dyDescent="0.3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</row>
    <row r="924" spans="1:28" ht="13.5" customHeight="1" x14ac:dyDescent="0.3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</row>
    <row r="925" spans="1:28" ht="13.5" customHeight="1" x14ac:dyDescent="0.3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</row>
    <row r="926" spans="1:28" ht="13.5" customHeight="1" x14ac:dyDescent="0.3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</row>
    <row r="927" spans="1:28" ht="13.5" customHeight="1" x14ac:dyDescent="0.3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</row>
    <row r="928" spans="1:28" ht="13.5" customHeight="1" x14ac:dyDescent="0.3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</row>
    <row r="929" spans="1:28" ht="13.5" customHeight="1" x14ac:dyDescent="0.3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</row>
    <row r="930" spans="1:28" ht="13.5" customHeight="1" x14ac:dyDescent="0.3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</row>
    <row r="931" spans="1:28" ht="13.5" customHeight="1" x14ac:dyDescent="0.3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</row>
    <row r="932" spans="1:28" ht="13.5" customHeight="1" x14ac:dyDescent="0.3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</row>
    <row r="933" spans="1:28" ht="13.5" customHeight="1" x14ac:dyDescent="0.3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</row>
    <row r="934" spans="1:28" ht="13.5" customHeight="1" x14ac:dyDescent="0.3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</row>
    <row r="935" spans="1:28" ht="13.5" customHeight="1" x14ac:dyDescent="0.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</row>
    <row r="936" spans="1:28" ht="13.5" customHeight="1" x14ac:dyDescent="0.3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</row>
    <row r="937" spans="1:28" ht="13.5" customHeight="1" x14ac:dyDescent="0.3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</row>
    <row r="938" spans="1:28" ht="13.5" customHeight="1" x14ac:dyDescent="0.3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</row>
    <row r="939" spans="1:28" ht="13.5" customHeight="1" x14ac:dyDescent="0.3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</row>
    <row r="940" spans="1:28" ht="13.5" customHeight="1" x14ac:dyDescent="0.3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</row>
    <row r="941" spans="1:28" ht="13.5" customHeight="1" x14ac:dyDescent="0.3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</row>
    <row r="942" spans="1:28" ht="13.5" customHeight="1" x14ac:dyDescent="0.3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</row>
    <row r="943" spans="1:28" ht="13.5" customHeight="1" x14ac:dyDescent="0.3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</row>
    <row r="944" spans="1:28" ht="13.5" customHeight="1" x14ac:dyDescent="0.3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</row>
    <row r="945" spans="1:28" ht="13.5" customHeight="1" x14ac:dyDescent="0.3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</row>
    <row r="946" spans="1:28" ht="13.5" customHeight="1" x14ac:dyDescent="0.3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</row>
    <row r="947" spans="1:28" ht="13.5" customHeight="1" x14ac:dyDescent="0.3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</row>
    <row r="948" spans="1:28" ht="13.5" customHeight="1" x14ac:dyDescent="0.3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</row>
    <row r="949" spans="1:28" ht="13.5" customHeight="1" x14ac:dyDescent="0.3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</row>
    <row r="950" spans="1:28" ht="13.5" customHeight="1" x14ac:dyDescent="0.3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</row>
    <row r="951" spans="1:28" ht="13.5" customHeight="1" x14ac:dyDescent="0.3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</row>
    <row r="952" spans="1:28" ht="13.5" customHeight="1" x14ac:dyDescent="0.3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</row>
    <row r="953" spans="1:28" ht="13.5" customHeight="1" x14ac:dyDescent="0.3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</row>
    <row r="954" spans="1:28" ht="13.5" customHeight="1" x14ac:dyDescent="0.3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</row>
    <row r="955" spans="1:28" ht="13.5" customHeight="1" x14ac:dyDescent="0.3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</row>
    <row r="956" spans="1:28" ht="13.5" customHeight="1" x14ac:dyDescent="0.3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</row>
    <row r="957" spans="1:28" ht="13.5" customHeight="1" x14ac:dyDescent="0.3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</row>
    <row r="958" spans="1:28" ht="13.5" customHeight="1" x14ac:dyDescent="0.3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</row>
    <row r="959" spans="1:28" ht="13.5" customHeight="1" x14ac:dyDescent="0.3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</row>
    <row r="960" spans="1:28" ht="13.5" customHeight="1" x14ac:dyDescent="0.3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</row>
    <row r="961" spans="1:28" ht="13.5" customHeight="1" x14ac:dyDescent="0.3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</row>
    <row r="962" spans="1:28" ht="13.5" customHeight="1" x14ac:dyDescent="0.3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</row>
    <row r="963" spans="1:28" ht="13.5" customHeight="1" x14ac:dyDescent="0.3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</row>
    <row r="964" spans="1:28" ht="13.5" customHeight="1" x14ac:dyDescent="0.3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</row>
    <row r="965" spans="1:28" ht="13.5" customHeight="1" x14ac:dyDescent="0.3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</row>
    <row r="966" spans="1:28" ht="13.5" customHeight="1" x14ac:dyDescent="0.35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</row>
    <row r="967" spans="1:28" ht="13.5" customHeight="1" x14ac:dyDescent="0.35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</row>
    <row r="968" spans="1:28" ht="13.5" customHeight="1" x14ac:dyDescent="0.35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</row>
    <row r="969" spans="1:28" ht="13.5" customHeight="1" x14ac:dyDescent="0.35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</row>
    <row r="970" spans="1:28" ht="13.5" customHeight="1" x14ac:dyDescent="0.35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</row>
    <row r="971" spans="1:28" ht="13.5" customHeight="1" x14ac:dyDescent="0.35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</row>
    <row r="972" spans="1:28" ht="13.5" customHeight="1" x14ac:dyDescent="0.35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</row>
    <row r="973" spans="1:28" ht="13.5" customHeight="1" x14ac:dyDescent="0.35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</row>
    <row r="974" spans="1:28" ht="13.5" customHeight="1" x14ac:dyDescent="0.35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</row>
    <row r="975" spans="1:28" ht="13.5" customHeight="1" x14ac:dyDescent="0.3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</row>
    <row r="976" spans="1:28" ht="13.5" customHeight="1" x14ac:dyDescent="0.35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</row>
    <row r="977" spans="1:28" ht="13.5" customHeight="1" x14ac:dyDescent="0.35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</row>
    <row r="978" spans="1:28" ht="13.5" customHeight="1" x14ac:dyDescent="0.35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</row>
    <row r="979" spans="1:28" ht="13.5" customHeight="1" x14ac:dyDescent="0.35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</row>
    <row r="980" spans="1:28" ht="13.5" customHeight="1" x14ac:dyDescent="0.35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</row>
    <row r="981" spans="1:28" ht="13.5" customHeight="1" x14ac:dyDescent="0.35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</row>
    <row r="982" spans="1:28" ht="13.5" customHeight="1" x14ac:dyDescent="0.35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</row>
    <row r="983" spans="1:28" ht="13.5" customHeight="1" x14ac:dyDescent="0.35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</row>
    <row r="984" spans="1:28" ht="13.5" customHeight="1" x14ac:dyDescent="0.35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</row>
    <row r="985" spans="1:28" ht="13.5" customHeight="1" x14ac:dyDescent="0.3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</row>
    <row r="986" spans="1:28" ht="13.5" customHeight="1" x14ac:dyDescent="0.35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</row>
    <row r="987" spans="1:28" ht="13.5" customHeight="1" x14ac:dyDescent="0.35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</row>
    <row r="988" spans="1:28" ht="13.5" customHeight="1" x14ac:dyDescent="0.35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</row>
    <row r="989" spans="1:28" ht="13.5" customHeight="1" x14ac:dyDescent="0.35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</row>
    <row r="990" spans="1:28" ht="13.5" customHeight="1" x14ac:dyDescent="0.35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</row>
    <row r="991" spans="1:28" ht="13.5" customHeight="1" x14ac:dyDescent="0.35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</row>
    <row r="992" spans="1:28" ht="13.5" customHeight="1" x14ac:dyDescent="0.35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</row>
    <row r="993" spans="1:28" ht="13.5" customHeight="1" x14ac:dyDescent="0.35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</row>
    <row r="994" spans="1:28" ht="13.5" customHeight="1" x14ac:dyDescent="0.35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</row>
    <row r="995" spans="1:28" ht="13.5" customHeight="1" x14ac:dyDescent="0.3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</row>
    <row r="996" spans="1:28" ht="13.5" customHeight="1" x14ac:dyDescent="0.35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</row>
    <row r="997" spans="1:28" ht="13.5" customHeight="1" x14ac:dyDescent="0.35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</row>
    <row r="998" spans="1:28" ht="13.5" customHeight="1" x14ac:dyDescent="0.35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</row>
    <row r="999" spans="1:28" ht="13.5" customHeight="1" x14ac:dyDescent="0.35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</row>
    <row r="1000" spans="1:28" ht="13.5" customHeight="1" x14ac:dyDescent="0.35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</row>
    <row r="1001" spans="1:28" ht="13.5" customHeight="1" x14ac:dyDescent="0.35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</row>
    <row r="1002" spans="1:28" ht="13.5" customHeight="1" x14ac:dyDescent="0.35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</row>
    <row r="1003" spans="1:28" ht="13.5" customHeight="1" x14ac:dyDescent="0.35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</row>
    <row r="1004" spans="1:28" ht="13.5" customHeight="1" x14ac:dyDescent="0.35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</row>
    <row r="1005" spans="1:28" ht="13.5" customHeight="1" x14ac:dyDescent="0.35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</row>
    <row r="1006" spans="1:28" ht="13.5" customHeight="1" x14ac:dyDescent="0.35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</row>
    <row r="1007" spans="1:28" ht="13.5" customHeight="1" x14ac:dyDescent="0.35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</row>
    <row r="1008" spans="1:28" ht="13.5" customHeight="1" x14ac:dyDescent="0.35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</row>
    <row r="1009" spans="1:28" ht="13.5" customHeight="1" x14ac:dyDescent="0.35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</row>
    <row r="1010" spans="1:28" ht="13.5" customHeight="1" x14ac:dyDescent="0.35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</row>
    <row r="1011" spans="1:28" ht="13.5" customHeight="1" x14ac:dyDescent="0.35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</row>
  </sheetData>
  <mergeCells count="88">
    <mergeCell ref="P172:Q172"/>
    <mergeCell ref="P171:Q171"/>
    <mergeCell ref="P149:Q149"/>
    <mergeCell ref="P148:Q148"/>
    <mergeCell ref="P18:Q18"/>
    <mergeCell ref="P19:Q19"/>
    <mergeCell ref="P99:Q99"/>
    <mergeCell ref="P98:Q98"/>
    <mergeCell ref="P124:Q124"/>
    <mergeCell ref="P123:Q123"/>
    <mergeCell ref="P73:Q73"/>
    <mergeCell ref="P74:Q74"/>
    <mergeCell ref="P50:Q50"/>
    <mergeCell ref="P51:Q51"/>
    <mergeCell ref="A1:O1"/>
    <mergeCell ref="S2:T2"/>
    <mergeCell ref="Q2:R2"/>
    <mergeCell ref="G20:H20"/>
    <mergeCell ref="I20:J20"/>
    <mergeCell ref="M18:N18"/>
    <mergeCell ref="M19:N19"/>
    <mergeCell ref="G18:H18"/>
    <mergeCell ref="I18:J18"/>
    <mergeCell ref="K18:L18"/>
    <mergeCell ref="I19:J19"/>
    <mergeCell ref="G19:H19"/>
    <mergeCell ref="K19:L19"/>
    <mergeCell ref="A15:T15"/>
    <mergeCell ref="D14:E14"/>
    <mergeCell ref="A16:T16"/>
    <mergeCell ref="L13:N13"/>
    <mergeCell ref="A10:B10"/>
    <mergeCell ref="D124:F124"/>
    <mergeCell ref="A73:B73"/>
    <mergeCell ref="A99:B99"/>
    <mergeCell ref="D99:F99"/>
    <mergeCell ref="D73:F73"/>
    <mergeCell ref="D74:F74"/>
    <mergeCell ref="A74:B74"/>
    <mergeCell ref="D88:F88"/>
    <mergeCell ref="B65:F65"/>
    <mergeCell ref="B58:F58"/>
    <mergeCell ref="B64:F64"/>
    <mergeCell ref="B63:F63"/>
    <mergeCell ref="B59:F59"/>
    <mergeCell ref="B71:F71"/>
    <mergeCell ref="B146:F146"/>
    <mergeCell ref="B147:F147"/>
    <mergeCell ref="A172:B172"/>
    <mergeCell ref="A171:B171"/>
    <mergeCell ref="B89:F89"/>
    <mergeCell ref="B96:F96"/>
    <mergeCell ref="D148:F148"/>
    <mergeCell ref="B139:F139"/>
    <mergeCell ref="A123:B123"/>
    <mergeCell ref="A124:B124"/>
    <mergeCell ref="D172:F172"/>
    <mergeCell ref="D149:F149"/>
    <mergeCell ref="A148:B148"/>
    <mergeCell ref="A149:B149"/>
    <mergeCell ref="D171:F171"/>
    <mergeCell ref="B49:F49"/>
    <mergeCell ref="B39:F39"/>
    <mergeCell ref="D50:F50"/>
    <mergeCell ref="D123:F123"/>
    <mergeCell ref="B122:F122"/>
    <mergeCell ref="B97:F97"/>
    <mergeCell ref="A98:B98"/>
    <mergeCell ref="B110:F110"/>
    <mergeCell ref="B114:F114"/>
    <mergeCell ref="B121:F121"/>
    <mergeCell ref="B72:F72"/>
    <mergeCell ref="A51:B51"/>
    <mergeCell ref="D51:F51"/>
    <mergeCell ref="M20:N20"/>
    <mergeCell ref="R21:V21"/>
    <mergeCell ref="P20:Q20"/>
    <mergeCell ref="P21:Q21"/>
    <mergeCell ref="K20:L20"/>
    <mergeCell ref="A50:B50"/>
    <mergeCell ref="I21:J21"/>
    <mergeCell ref="K21:L21"/>
    <mergeCell ref="M21:N21"/>
    <mergeCell ref="G21:H21"/>
    <mergeCell ref="A20:F20"/>
    <mergeCell ref="A21:F21"/>
    <mergeCell ref="B48:F48"/>
    <mergeCell ref="B45:F45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5"/>
  <sheetViews>
    <sheetView topLeftCell="A162" workbookViewId="0">
      <selection activeCell="Q188" sqref="Q188"/>
    </sheetView>
  </sheetViews>
  <sheetFormatPr defaultColWidth="14.3984375" defaultRowHeight="15" customHeight="1" x14ac:dyDescent="0.35"/>
  <cols>
    <col min="1" max="1" width="17.1328125" customWidth="1"/>
    <col min="2" max="2" width="11.86328125" customWidth="1"/>
    <col min="3" max="3" width="4.73046875" customWidth="1"/>
    <col min="4" max="4" width="11.3984375" customWidth="1"/>
    <col min="5" max="5" width="9.1328125" customWidth="1"/>
    <col min="6" max="6" width="5.265625" customWidth="1"/>
    <col min="7" max="7" width="10.86328125" hidden="1" customWidth="1"/>
    <col min="8" max="8" width="7.1328125" hidden="1" customWidth="1"/>
    <col min="9" max="9" width="10.1328125" hidden="1" customWidth="1"/>
    <col min="10" max="10" width="8.73046875" hidden="1" customWidth="1"/>
    <col min="11" max="11" width="10" hidden="1" customWidth="1"/>
    <col min="12" max="13" width="10.86328125" hidden="1" customWidth="1"/>
    <col min="14" max="14" width="7.1328125" hidden="1" customWidth="1"/>
    <col min="15" max="15" width="7.796875" hidden="1" customWidth="1"/>
    <col min="16" max="16" width="10.53125" customWidth="1"/>
    <col min="17" max="17" width="10.73046875" customWidth="1"/>
    <col min="18" max="19" width="11.265625" customWidth="1"/>
    <col min="20" max="20" width="11.73046875" customWidth="1"/>
    <col min="21" max="21" width="12.265625" customWidth="1"/>
    <col min="22" max="22" width="10" customWidth="1"/>
    <col min="23" max="23" width="14.3984375" customWidth="1"/>
  </cols>
  <sheetData>
    <row r="1" spans="1:23" ht="18" customHeight="1" x14ac:dyDescent="0.4">
      <c r="A1" s="740" t="s">
        <v>453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5"/>
      <c r="P1" s="2"/>
      <c r="Q1" s="457" t="s">
        <v>0</v>
      </c>
      <c r="R1" s="3">
        <v>7</v>
      </c>
      <c r="S1" s="457" t="s">
        <v>1</v>
      </c>
      <c r="T1" s="3">
        <v>4</v>
      </c>
      <c r="U1" s="4"/>
      <c r="V1" s="4"/>
      <c r="W1" s="4"/>
    </row>
    <row r="2" spans="1:23" ht="13.5" customHeight="1" x14ac:dyDescent="0.4">
      <c r="A2" s="5" t="str">
        <f>'US CBA'!A7</f>
        <v>Salaries</v>
      </c>
      <c r="B2" s="6"/>
      <c r="C2" s="6"/>
      <c r="D2" s="5" t="str">
        <f>'US CBA'!D7</f>
        <v>Friendlies</v>
      </c>
      <c r="E2" s="6"/>
      <c r="F2" s="7"/>
      <c r="G2" s="5" t="str">
        <f>'US CBA'!G7</f>
        <v>Tourneys</v>
      </c>
      <c r="H2" s="8"/>
      <c r="I2" s="8" t="str">
        <f>'US CBA'!I7</f>
        <v>SheB Cp</v>
      </c>
      <c r="J2" s="8" t="str">
        <f>'US CBA'!J7</f>
        <v>Others</v>
      </c>
      <c r="K2" s="9"/>
      <c r="L2" s="5" t="str">
        <f>'US CBA'!L7</f>
        <v>WCQ/OlyQ</v>
      </c>
      <c r="M2" s="10"/>
      <c r="N2" s="10" t="str">
        <f>'US CBA'!N7</f>
        <v>2nd rd</v>
      </c>
      <c r="O2" s="12"/>
      <c r="P2" s="5" t="str">
        <f>'US CBA'!P7</f>
        <v>Majors</v>
      </c>
      <c r="Q2" s="739" t="str">
        <f>'US CBA'!Q7</f>
        <v>World Cup</v>
      </c>
      <c r="R2" s="635"/>
      <c r="S2" s="739" t="str">
        <f>'US CBA'!S7</f>
        <v>Olympics</v>
      </c>
      <c r="T2" s="635"/>
      <c r="U2" s="15"/>
      <c r="V2" s="15"/>
      <c r="W2" s="15"/>
    </row>
    <row r="3" spans="1:23" ht="13.5" customHeight="1" x14ac:dyDescent="0.4">
      <c r="A3" s="17" t="str">
        <f>'US CBA'!A8</f>
        <v>Tier 1 (top 10)</v>
      </c>
      <c r="B3" s="6">
        <f>'US CBA'!B8</f>
        <v>100000</v>
      </c>
      <c r="C3" s="6"/>
      <c r="D3" s="17" t="str">
        <f>'US CBA'!D8</f>
        <v>W (T4/Can)</v>
      </c>
      <c r="E3" s="6">
        <f>'US CBA'!E8</f>
        <v>8500</v>
      </c>
      <c r="F3" s="7"/>
      <c r="G3" s="17" t="str">
        <f>'US CBA'!G8</f>
        <v>Quarters</v>
      </c>
      <c r="H3" s="6"/>
      <c r="I3" s="6"/>
      <c r="J3" s="6"/>
      <c r="K3" s="20"/>
      <c r="L3" s="17" t="str">
        <f>'US CBA'!L8</f>
        <v>Win</v>
      </c>
      <c r="M3" s="6"/>
      <c r="N3" s="6">
        <f>'US CBA'!N8</f>
        <v>3000</v>
      </c>
      <c r="O3" s="12"/>
      <c r="P3" s="17" t="str">
        <f>'US CBA'!P8</f>
        <v>Roster</v>
      </c>
      <c r="Q3" s="6">
        <f>'US CBA'!Q8</f>
        <v>37500</v>
      </c>
      <c r="R3" s="6"/>
      <c r="S3" s="6">
        <f>'US CBA'!S8</f>
        <v>25000</v>
      </c>
      <c r="T3" s="17"/>
      <c r="U3" s="15"/>
      <c r="V3" s="15"/>
      <c r="W3" s="15"/>
    </row>
    <row r="4" spans="1:23" ht="13.5" customHeight="1" x14ac:dyDescent="0.4">
      <c r="A4" s="17" t="str">
        <f>'US CBA'!A9</f>
        <v>Tier 2 (7-10)</v>
      </c>
      <c r="B4" s="6">
        <f>'US CBA'!B9</f>
        <v>100000</v>
      </c>
      <c r="C4" s="6"/>
      <c r="D4" s="17" t="str">
        <f>'US CBA'!D9</f>
        <v>W (5th-8th)</v>
      </c>
      <c r="E4" s="6">
        <f>'US CBA'!E9</f>
        <v>6500</v>
      </c>
      <c r="F4" s="7"/>
      <c r="G4" s="17" t="str">
        <f>'US CBA'!G9</f>
        <v>Fourth place</v>
      </c>
      <c r="H4" s="6"/>
      <c r="I4" s="6"/>
      <c r="J4" s="6"/>
      <c r="K4" s="20"/>
      <c r="L4" s="17" t="str">
        <f>'US CBA'!L9</f>
        <v>Draw</v>
      </c>
      <c r="M4" s="6"/>
      <c r="N4" s="6">
        <f>'US CBA'!N9</f>
        <v>500</v>
      </c>
      <c r="O4" s="12"/>
      <c r="P4" s="17"/>
      <c r="Q4" s="17" t="str">
        <f>'US CBA'!Q9</f>
        <v>Individual</v>
      </c>
      <c r="R4" s="17" t="str">
        <f>'US CBA'!R9</f>
        <v>Team x1m</v>
      </c>
      <c r="S4" s="17" t="str">
        <f>'US CBA'!S9</f>
        <v>Individual</v>
      </c>
      <c r="T4" s="17" t="str">
        <f>'US CBA'!T9</f>
        <v>Team x1m</v>
      </c>
      <c r="U4" s="15"/>
      <c r="V4" s="15"/>
      <c r="W4" s="15"/>
    </row>
    <row r="5" spans="1:23" ht="13.5" customHeight="1" x14ac:dyDescent="0.4">
      <c r="A5" s="17"/>
      <c r="B5" s="6"/>
      <c r="C5" s="6"/>
      <c r="D5" s="17" t="str">
        <f>'US CBA'!D10</f>
        <v>W (9th+)</v>
      </c>
      <c r="E5" s="6">
        <f>'US CBA'!E10</f>
        <v>5250</v>
      </c>
      <c r="F5" s="7"/>
      <c r="G5" s="17" t="str">
        <f>'US CBA'!G10</f>
        <v>Third place</v>
      </c>
      <c r="H5" s="6"/>
      <c r="I5" s="6"/>
      <c r="J5" s="6"/>
      <c r="K5" s="20"/>
      <c r="L5" s="17" t="str">
        <f>'US CBA'!L10</f>
        <v>Loss</v>
      </c>
      <c r="M5" s="6"/>
      <c r="N5" s="6">
        <f>'US CBA'!N10</f>
        <v>0</v>
      </c>
      <c r="O5" s="12"/>
      <c r="P5" s="17" t="str">
        <f>'US CBA'!P10</f>
        <v>Point/grp</v>
      </c>
      <c r="Q5" s="6">
        <f>'US CBA'!Q10</f>
        <v>0</v>
      </c>
      <c r="R5" s="32">
        <f>'US CBA'!R10</f>
        <v>0</v>
      </c>
      <c r="S5" s="6">
        <f>'US CBA'!S10</f>
        <v>0</v>
      </c>
      <c r="T5" s="32">
        <f>'US CBA'!T10</f>
        <v>0</v>
      </c>
      <c r="U5" s="15"/>
      <c r="V5" s="15"/>
      <c r="W5" s="15"/>
    </row>
    <row r="6" spans="1:23" ht="13.5" customHeight="1" x14ac:dyDescent="0.4">
      <c r="A6" s="17"/>
      <c r="B6" s="6"/>
      <c r="C6" s="6"/>
      <c r="D6" s="17" t="str">
        <f>'US CBA'!D11</f>
        <v>D (T4/Can)</v>
      </c>
      <c r="E6" s="6">
        <f>'US CBA'!E11</f>
        <v>1750</v>
      </c>
      <c r="F6" s="7"/>
      <c r="G6" s="17" t="str">
        <f>'US CBA'!G11</f>
        <v>Runner-up</v>
      </c>
      <c r="H6" s="6"/>
      <c r="I6" s="6"/>
      <c r="J6" s="6"/>
      <c r="K6" s="20"/>
      <c r="L6" s="17"/>
      <c r="M6" s="6"/>
      <c r="N6" s="6"/>
      <c r="O6" s="12"/>
      <c r="P6" s="17" t="str">
        <f>'US CBA'!P11</f>
        <v>Knockout rd</v>
      </c>
      <c r="Q6" s="6">
        <f>'US CBA'!Q11</f>
        <v>0</v>
      </c>
      <c r="R6" s="32">
        <f>'US CBA'!R11</f>
        <v>0</v>
      </c>
      <c r="S6" s="6" t="str">
        <f>'US CBA'!S11</f>
        <v>na</v>
      </c>
      <c r="T6" s="32" t="str">
        <f>'US CBA'!T11</f>
        <v>na</v>
      </c>
      <c r="U6" s="15"/>
      <c r="V6" s="15"/>
      <c r="W6" s="15"/>
    </row>
    <row r="7" spans="1:23" ht="13.5" customHeight="1" x14ac:dyDescent="0.4">
      <c r="A7" s="5" t="str">
        <f>'US CBA'!A12</f>
        <v>Non-salaried</v>
      </c>
      <c r="B7" s="6"/>
      <c r="C7" s="6"/>
      <c r="D7" s="17" t="str">
        <f>'US CBA'!D12</f>
        <v>D (5th-8th)</v>
      </c>
      <c r="E7" s="6">
        <f>'US CBA'!E12</f>
        <v>1250</v>
      </c>
      <c r="F7" s="7"/>
      <c r="G7" s="17" t="str">
        <f>'US CBA'!G12</f>
        <v>Champion</v>
      </c>
      <c r="H7" s="6"/>
      <c r="I7" s="6">
        <f>'US CBA'!I12</f>
        <v>5000</v>
      </c>
      <c r="J7" s="6">
        <f>'US CBA'!J12</f>
        <v>5000</v>
      </c>
      <c r="K7" s="20"/>
      <c r="L7" s="5" t="str">
        <f>'US CBA'!L12</f>
        <v>Qual bonus</v>
      </c>
      <c r="M7" s="10" t="str">
        <f>'US CBA'!M12</f>
        <v>per player</v>
      </c>
      <c r="N7" s="10" t="str">
        <f>'US CBA'!N12</f>
        <v># players</v>
      </c>
      <c r="O7" s="12"/>
      <c r="P7" s="17" t="str">
        <f>'US CBA'!P12</f>
        <v>Quarters</v>
      </c>
      <c r="Q7" s="6">
        <f>'US CBA'!Q12</f>
        <v>0</v>
      </c>
      <c r="R7" s="32">
        <f>'US CBA'!R12</f>
        <v>0</v>
      </c>
      <c r="S7" s="6">
        <f>'US CBA'!S12</f>
        <v>0</v>
      </c>
      <c r="T7" s="32">
        <f>'US CBA'!T12</f>
        <v>0</v>
      </c>
      <c r="U7" s="15"/>
      <c r="V7" s="15"/>
      <c r="W7" s="15"/>
    </row>
    <row r="8" spans="1:23" ht="13.5" customHeight="1" x14ac:dyDescent="0.4">
      <c r="A8" s="17" t="str">
        <f>'US CBA'!A13</f>
        <v>First camp &lt;11 days</v>
      </c>
      <c r="B8" s="6">
        <f>'US CBA'!B13</f>
        <v>1500</v>
      </c>
      <c r="C8" s="6"/>
      <c r="D8" s="17" t="str">
        <f>'US CBA'!D13</f>
        <v>D (9th+)</v>
      </c>
      <c r="E8" s="6">
        <f>'US CBA'!E13</f>
        <v>0</v>
      </c>
      <c r="F8" s="7"/>
      <c r="G8" s="17"/>
      <c r="H8" s="17"/>
      <c r="I8" s="17"/>
      <c r="J8" s="17"/>
      <c r="K8" s="20"/>
      <c r="L8" s="17" t="str">
        <f>'US CBA'!L13</f>
        <v>World Cup</v>
      </c>
      <c r="M8" s="6">
        <f>'US CBA'!M13</f>
        <v>37500</v>
      </c>
      <c r="N8" s="42">
        <f>'US CBA'!N13</f>
        <v>20</v>
      </c>
      <c r="O8" s="12"/>
      <c r="P8" s="17" t="str">
        <f>'US CBA'!P13</f>
        <v>Semifinals</v>
      </c>
      <c r="Q8" s="6">
        <f>'US CBA'!Q13</f>
        <v>0</v>
      </c>
      <c r="R8" s="32">
        <f>'US CBA'!R13</f>
        <v>0</v>
      </c>
      <c r="S8" s="6">
        <f>'US CBA'!S13</f>
        <v>0</v>
      </c>
      <c r="T8" s="32">
        <f>'US CBA'!T13</f>
        <v>0</v>
      </c>
      <c r="U8" s="15"/>
      <c r="V8" s="15"/>
      <c r="W8" s="15"/>
    </row>
    <row r="9" spans="1:23" ht="13.5" customHeight="1" x14ac:dyDescent="0.4">
      <c r="A9" s="17" t="str">
        <f>'US CBA'!A14</f>
        <v>First camp &gt;10 days</v>
      </c>
      <c r="B9" s="6">
        <f>'US CBA'!B14</f>
        <v>2000</v>
      </c>
      <c r="C9" s="6"/>
      <c r="D9" s="17" t="str">
        <f>'US CBA'!D14</f>
        <v>Loss</v>
      </c>
      <c r="E9" s="6">
        <f>'US CBA'!E14</f>
        <v>0</v>
      </c>
      <c r="F9" s="7"/>
      <c r="G9" s="17"/>
      <c r="H9" s="6"/>
      <c r="I9" s="6"/>
      <c r="J9" s="6"/>
      <c r="K9" s="20"/>
      <c r="L9" s="17" t="str">
        <f>'US CBA'!L14</f>
        <v>Olympics</v>
      </c>
      <c r="M9" s="6">
        <f>'US CBA'!M14</f>
        <v>25000</v>
      </c>
      <c r="N9" s="42">
        <f>'US CBA'!N14</f>
        <v>20</v>
      </c>
      <c r="O9" s="12"/>
      <c r="P9" s="17" t="str">
        <f>'US CBA'!P14</f>
        <v>Third place</v>
      </c>
      <c r="Q9" s="6">
        <f>'US CBA'!Q14</f>
        <v>25000</v>
      </c>
      <c r="R9" s="32">
        <f>'US CBA'!R14</f>
        <v>0.57499999999999996</v>
      </c>
      <c r="S9" s="6">
        <f>'US CBA'!S14</f>
        <v>25000</v>
      </c>
      <c r="T9" s="32">
        <f>'US CBA'!T14</f>
        <v>0.45</v>
      </c>
      <c r="U9" s="15"/>
      <c r="V9" s="15"/>
      <c r="W9" s="15"/>
    </row>
    <row r="10" spans="1:23" ht="13.5" customHeight="1" x14ac:dyDescent="0.4">
      <c r="A10" s="17" t="str">
        <f>'US CBA'!A15</f>
        <v>Future camps &lt;11 d</v>
      </c>
      <c r="B10" s="6">
        <f>'US CBA'!B15</f>
        <v>2500</v>
      </c>
      <c r="C10" s="6"/>
      <c r="D10" s="52"/>
      <c r="E10" s="6"/>
      <c r="F10" s="7"/>
      <c r="G10" s="53"/>
      <c r="H10" s="20"/>
      <c r="I10" s="20"/>
      <c r="J10" s="20"/>
      <c r="K10" s="20"/>
      <c r="L10" s="53"/>
      <c r="M10" s="20"/>
      <c r="N10" s="20"/>
      <c r="O10" s="12"/>
      <c r="P10" s="17" t="str">
        <f>'US CBA'!P15</f>
        <v>Runner-up</v>
      </c>
      <c r="Q10" s="6">
        <f>'US CBA'!Q15</f>
        <v>50000</v>
      </c>
      <c r="R10" s="32">
        <f>'US CBA'!R15</f>
        <v>1.1499999999999999</v>
      </c>
      <c r="S10" s="6">
        <f>'US CBA'!S15</f>
        <v>55500</v>
      </c>
      <c r="T10" s="32">
        <f>'US CBA'!T15</f>
        <v>0.999</v>
      </c>
      <c r="U10" s="15"/>
      <c r="V10" s="15"/>
      <c r="W10" s="15"/>
    </row>
    <row r="11" spans="1:23" ht="13.5" customHeight="1" x14ac:dyDescent="0.4">
      <c r="A11" s="17" t="str">
        <f>'US CBA'!A16</f>
        <v>Future camps &gt;10 d</v>
      </c>
      <c r="B11" s="6">
        <f>'US CBA'!B16</f>
        <v>3000</v>
      </c>
      <c r="C11" s="6"/>
      <c r="D11" s="5" t="str">
        <f>'US CBA'!D16</f>
        <v>Pool pay</v>
      </c>
      <c r="E11" s="6"/>
      <c r="F11" s="7"/>
      <c r="G11" s="17"/>
      <c r="H11" s="5" t="str">
        <f>'US CBA'!H16</f>
        <v>Tour</v>
      </c>
      <c r="I11" s="10" t="str">
        <f>'US CBA'!I16</f>
        <v>Wrld Cup</v>
      </c>
      <c r="J11" s="10" t="str">
        <f>'US CBA'!J16</f>
        <v>Team x1m</v>
      </c>
      <c r="K11" s="10"/>
      <c r="L11" s="10" t="str">
        <f>'US CBA'!L16</f>
        <v>Olympics</v>
      </c>
      <c r="M11" s="10" t="str">
        <f>'US CBA'!M16</f>
        <v>Team x1m</v>
      </c>
      <c r="N11" s="10"/>
      <c r="O11" s="12"/>
      <c r="P11" s="17" t="str">
        <f>'US CBA'!P16</f>
        <v>Champion</v>
      </c>
      <c r="Q11" s="6">
        <f>'US CBA'!Q16</f>
        <v>110000</v>
      </c>
      <c r="R11" s="32">
        <f>'US CBA'!R16</f>
        <v>2.5299999999999998</v>
      </c>
      <c r="S11" s="6">
        <f>'US CBA'!S16</f>
        <v>100000</v>
      </c>
      <c r="T11" s="32">
        <f>'US CBA'!T16</f>
        <v>1.8</v>
      </c>
      <c r="U11" s="15"/>
      <c r="V11" s="15"/>
      <c r="W11" s="15"/>
    </row>
    <row r="12" spans="1:23" ht="13.5" customHeight="1" x14ac:dyDescent="0.4">
      <c r="A12" s="17" t="str">
        <f>'US CBA'!A17</f>
        <v>Game roster &lt;8th</v>
      </c>
      <c r="B12" s="6">
        <f>'US CBA'!B17</f>
        <v>3250</v>
      </c>
      <c r="C12" s="6"/>
      <c r="D12" s="17" t="str">
        <f>'US CBA'!D17</f>
        <v>Likenesses</v>
      </c>
      <c r="E12" s="6">
        <f>'US CBA'!E17</f>
        <v>350000</v>
      </c>
      <c r="F12" s="7"/>
      <c r="G12" s="61"/>
      <c r="H12" s="52" t="str">
        <f>'US CBA'!H17</f>
        <v>Gold</v>
      </c>
      <c r="I12" s="6">
        <f>'US CBA'!I17</f>
        <v>60869.565217391304</v>
      </c>
      <c r="J12" s="32">
        <f>'US CBA'!J17</f>
        <v>1.4</v>
      </c>
      <c r="K12" s="6"/>
      <c r="L12" s="6">
        <f>'US CBA'!L17</f>
        <v>66666.666666666672</v>
      </c>
      <c r="M12" s="32">
        <f>'US CBA'!M17</f>
        <v>1.2</v>
      </c>
      <c r="N12" s="6"/>
      <c r="O12" s="12"/>
      <c r="P12" s="17" t="str">
        <f>'US CBA'!P17</f>
        <v>Per game*</v>
      </c>
      <c r="Q12" s="6">
        <f>'US CBA'!Q17</f>
        <v>4500</v>
      </c>
      <c r="R12" s="32">
        <f>'US CBA'!R17</f>
        <v>0</v>
      </c>
      <c r="S12" s="6">
        <f>'US CBA'!S17</f>
        <v>0</v>
      </c>
      <c r="T12" s="32">
        <f>'US CBA'!T17</f>
        <v>0</v>
      </c>
      <c r="U12" s="15"/>
      <c r="V12" s="15"/>
      <c r="W12" s="15"/>
    </row>
    <row r="13" spans="1:23" ht="13.5" customHeight="1" x14ac:dyDescent="0.4">
      <c r="A13" s="17" t="str">
        <f>'US CBA'!A18</f>
        <v>Game roster 8th+</v>
      </c>
      <c r="B13" s="6">
        <f>'US CBA'!B18</f>
        <v>3750</v>
      </c>
      <c r="C13" s="6"/>
      <c r="D13" s="17" t="str">
        <f>'US CBA'!D18</f>
        <v>Attendance</v>
      </c>
      <c r="E13" s="66">
        <f>'US CBA'!E18</f>
        <v>1.5</v>
      </c>
      <c r="F13" s="7"/>
      <c r="G13" s="61"/>
      <c r="H13" s="52" t="str">
        <f>'US CBA'!H18</f>
        <v>Silver</v>
      </c>
      <c r="I13" s="6">
        <f>'US CBA'!I18</f>
        <v>52173.913043478264</v>
      </c>
      <c r="J13" s="32">
        <f>'US CBA'!J18</f>
        <v>1.2</v>
      </c>
      <c r="K13" s="6"/>
      <c r="L13" s="6">
        <f>'US CBA'!L18</f>
        <v>55555.555555555555</v>
      </c>
      <c r="M13" s="32">
        <f>'US CBA'!M18</f>
        <v>1</v>
      </c>
      <c r="N13" s="6"/>
      <c r="O13" s="12"/>
      <c r="P13" s="52" t="str">
        <f>'US CBA'!P18</f>
        <v>Max/actual</v>
      </c>
      <c r="Q13" s="6">
        <f>'US CBA'!Q18</f>
        <v>141500</v>
      </c>
      <c r="R13" s="32">
        <f>'US CBA'!R18</f>
        <v>2.5299999999999998</v>
      </c>
      <c r="S13" s="6">
        <f>'US CBA'!S18</f>
        <v>100000</v>
      </c>
      <c r="T13" s="32">
        <f>'US CBA'!T18</f>
        <v>1.8</v>
      </c>
      <c r="U13" s="15"/>
      <c r="V13" s="15"/>
      <c r="W13" s="15"/>
    </row>
    <row r="14" spans="1:23" ht="13.5" customHeight="1" x14ac:dyDescent="0.4">
      <c r="A14" s="17" t="str">
        <f>'US CBA'!A19</f>
        <v>WCup roster per/gm</v>
      </c>
      <c r="B14" s="6">
        <f>'US CBA'!B19</f>
        <v>4500</v>
      </c>
      <c r="C14" s="6"/>
      <c r="D14" s="730" t="str">
        <f>'US CBA'!D19</f>
        <v>per ticket / home games</v>
      </c>
      <c r="E14" s="635"/>
      <c r="F14" s="7"/>
      <c r="G14" s="17"/>
      <c r="H14" s="52" t="str">
        <f>'US CBA'!H19</f>
        <v>Bronze</v>
      </c>
      <c r="I14" s="6">
        <f>'US CBA'!I19</f>
        <v>43478.260869565216</v>
      </c>
      <c r="J14" s="32">
        <f>'US CBA'!J19</f>
        <v>1</v>
      </c>
      <c r="K14" s="6"/>
      <c r="L14" s="6">
        <f>'US CBA'!L19</f>
        <v>44444.444444444445</v>
      </c>
      <c r="M14" s="32">
        <f>'US CBA'!M19</f>
        <v>0.8</v>
      </c>
      <c r="N14" s="6"/>
      <c r="O14" s="12"/>
      <c r="P14" s="17" t="str">
        <f>'US CBA'!P19</f>
        <v>*if not salaried</v>
      </c>
      <c r="Q14" s="17"/>
      <c r="R14" s="17"/>
      <c r="S14" s="17"/>
      <c r="T14" s="17"/>
      <c r="U14" s="15"/>
      <c r="V14" s="15"/>
      <c r="W14" s="15"/>
    </row>
    <row r="15" spans="1:23" ht="13.5" customHeight="1" x14ac:dyDescent="0.35">
      <c r="A15" s="741" t="s">
        <v>55</v>
      </c>
      <c r="B15" s="639"/>
      <c r="C15" s="639"/>
      <c r="D15" s="639"/>
      <c r="E15" s="639"/>
      <c r="F15" s="639"/>
      <c r="G15" s="639"/>
      <c r="H15" s="639"/>
      <c r="I15" s="639"/>
      <c r="J15" s="639"/>
      <c r="K15" s="639"/>
      <c r="L15" s="639"/>
      <c r="M15" s="639"/>
      <c r="N15" s="639"/>
      <c r="O15" s="639"/>
      <c r="P15" s="639"/>
      <c r="Q15" s="639"/>
      <c r="R15" s="639"/>
      <c r="S15" s="639"/>
      <c r="T15" s="639"/>
      <c r="U15" s="60"/>
      <c r="V15" s="60"/>
      <c r="W15" s="60"/>
    </row>
    <row r="16" spans="1:23" ht="13.5" customHeight="1" x14ac:dyDescent="0.4">
      <c r="A16" s="741" t="s">
        <v>58</v>
      </c>
      <c r="B16" s="639"/>
      <c r="C16" s="639"/>
      <c r="D16" s="639"/>
      <c r="E16" s="639"/>
      <c r="F16" s="639"/>
      <c r="G16" s="639"/>
      <c r="H16" s="639"/>
      <c r="I16" s="639"/>
      <c r="J16" s="639"/>
      <c r="K16" s="639"/>
      <c r="L16" s="639"/>
      <c r="M16" s="639"/>
      <c r="N16" s="639"/>
      <c r="O16" s="639"/>
      <c r="P16" s="639"/>
      <c r="Q16" s="639"/>
      <c r="R16" s="639"/>
      <c r="S16" s="639"/>
      <c r="T16" s="639"/>
      <c r="U16" s="15"/>
      <c r="V16" s="15"/>
      <c r="W16" s="15"/>
    </row>
    <row r="17" spans="1:28" ht="13.5" customHeight="1" x14ac:dyDescent="0.4">
      <c r="A17" s="79"/>
      <c r="B17" s="80"/>
      <c r="C17" s="80"/>
      <c r="D17" s="79"/>
      <c r="E17" s="80"/>
      <c r="F17" s="80"/>
      <c r="G17" s="81"/>
      <c r="H17" s="80"/>
      <c r="I17" s="80"/>
      <c r="J17" s="80"/>
      <c r="K17" s="80"/>
      <c r="L17" s="80"/>
      <c r="M17" s="80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8" ht="13.5" customHeight="1" x14ac:dyDescent="0.4">
      <c r="A18" s="79"/>
      <c r="B18" s="79"/>
      <c r="D18" s="83"/>
      <c r="E18" s="84"/>
      <c r="F18" s="80"/>
      <c r="G18" s="719" t="s">
        <v>62</v>
      </c>
      <c r="H18" s="639"/>
      <c r="I18" s="718" t="s">
        <v>63</v>
      </c>
      <c r="J18" s="639"/>
      <c r="K18" s="718" t="s">
        <v>65</v>
      </c>
      <c r="L18" s="639"/>
      <c r="M18" s="718" t="s">
        <v>66</v>
      </c>
      <c r="N18" s="639"/>
      <c r="O18" s="480" t="s">
        <v>143</v>
      </c>
      <c r="P18" s="725" t="s">
        <v>67</v>
      </c>
      <c r="Q18" s="639"/>
      <c r="R18" s="80"/>
      <c r="S18" s="80"/>
      <c r="T18" s="80"/>
      <c r="U18" s="60"/>
      <c r="V18" s="15"/>
      <c r="W18" s="88" t="s">
        <v>70</v>
      </c>
    </row>
    <row r="19" spans="1:28" ht="13.5" customHeight="1" x14ac:dyDescent="0.4">
      <c r="A19" s="481"/>
      <c r="B19" s="481"/>
      <c r="C19" s="465"/>
      <c r="D19" s="482"/>
      <c r="E19" s="483"/>
      <c r="F19" s="484"/>
      <c r="G19" s="731" t="s">
        <v>71</v>
      </c>
      <c r="H19" s="674"/>
      <c r="I19" s="738" t="s">
        <v>73</v>
      </c>
      <c r="J19" s="674"/>
      <c r="K19" s="738" t="s">
        <v>34</v>
      </c>
      <c r="L19" s="674"/>
      <c r="M19" s="738" t="s">
        <v>34</v>
      </c>
      <c r="N19" s="674"/>
      <c r="O19" s="485"/>
      <c r="P19" s="693" t="s">
        <v>75</v>
      </c>
      <c r="Q19" s="639"/>
      <c r="R19" s="80"/>
      <c r="S19" s="80"/>
      <c r="T19" s="80"/>
      <c r="U19" s="60"/>
      <c r="V19" s="15"/>
      <c r="W19" s="93" t="s">
        <v>76</v>
      </c>
    </row>
    <row r="20" spans="1:28" ht="13.5" customHeight="1" x14ac:dyDescent="0.4">
      <c r="A20" s="732" t="s">
        <v>77</v>
      </c>
      <c r="B20" s="674"/>
      <c r="C20" s="674"/>
      <c r="D20" s="674"/>
      <c r="E20" s="674"/>
      <c r="F20" s="674"/>
      <c r="G20" s="731" t="s">
        <v>78</v>
      </c>
      <c r="H20" s="674"/>
      <c r="I20" s="738" t="s">
        <v>79</v>
      </c>
      <c r="J20" s="674"/>
      <c r="K20" s="738" t="s">
        <v>80</v>
      </c>
      <c r="L20" s="674"/>
      <c r="M20" s="738" t="s">
        <v>81</v>
      </c>
      <c r="N20" s="674"/>
      <c r="O20" s="486" t="s">
        <v>145</v>
      </c>
      <c r="P20" s="693" t="s">
        <v>82</v>
      </c>
      <c r="Q20" s="639"/>
      <c r="R20" s="80"/>
      <c r="S20" s="80"/>
      <c r="T20" s="80"/>
      <c r="U20" s="60"/>
      <c r="V20" s="15"/>
      <c r="W20" s="60"/>
    </row>
    <row r="21" spans="1:28" ht="13.5" customHeight="1" x14ac:dyDescent="0.4">
      <c r="A21" s="732" t="s">
        <v>84</v>
      </c>
      <c r="B21" s="674"/>
      <c r="C21" s="674"/>
      <c r="D21" s="674"/>
      <c r="E21" s="674"/>
      <c r="F21" s="674"/>
      <c r="G21" s="731" t="s">
        <v>85</v>
      </c>
      <c r="H21" s="674"/>
      <c r="I21" s="738" t="s">
        <v>87</v>
      </c>
      <c r="J21" s="674"/>
      <c r="K21" s="738" t="s">
        <v>89</v>
      </c>
      <c r="L21" s="674"/>
      <c r="M21" s="738" t="s">
        <v>91</v>
      </c>
      <c r="N21" s="674"/>
      <c r="O21" s="486" t="s">
        <v>152</v>
      </c>
      <c r="P21" s="693" t="s">
        <v>92</v>
      </c>
      <c r="Q21" s="639"/>
      <c r="R21" s="692" t="s">
        <v>93</v>
      </c>
      <c r="S21" s="639"/>
      <c r="T21" s="639"/>
      <c r="U21" s="639"/>
      <c r="V21" s="639"/>
      <c r="W21" s="60"/>
    </row>
    <row r="22" spans="1:28" ht="13.5" customHeight="1" x14ac:dyDescent="0.4">
      <c r="A22" s="96" t="s">
        <v>94</v>
      </c>
      <c r="B22" s="98" t="s">
        <v>96</v>
      </c>
      <c r="C22" s="98" t="s">
        <v>99</v>
      </c>
      <c r="D22" s="96" t="s">
        <v>100</v>
      </c>
      <c r="E22" s="100" t="s">
        <v>101</v>
      </c>
      <c r="F22" s="98" t="s">
        <v>108</v>
      </c>
      <c r="G22" s="81" t="s">
        <v>109</v>
      </c>
      <c r="H22" s="103" t="s">
        <v>110</v>
      </c>
      <c r="I22" s="80" t="s">
        <v>109</v>
      </c>
      <c r="J22" s="103" t="s">
        <v>110</v>
      </c>
      <c r="K22" s="80" t="s">
        <v>109</v>
      </c>
      <c r="L22" s="103" t="s">
        <v>110</v>
      </c>
      <c r="M22" s="80" t="s">
        <v>109</v>
      </c>
      <c r="N22" s="103" t="s">
        <v>110</v>
      </c>
      <c r="O22" s="15" t="s">
        <v>109</v>
      </c>
      <c r="P22" s="103" t="s">
        <v>111</v>
      </c>
      <c r="Q22" s="103" t="s">
        <v>112</v>
      </c>
      <c r="R22" s="103" t="s">
        <v>113</v>
      </c>
      <c r="S22" s="103" t="s">
        <v>114</v>
      </c>
      <c r="T22" s="103" t="s">
        <v>115</v>
      </c>
      <c r="U22" s="104" t="s">
        <v>116</v>
      </c>
      <c r="V22" s="103" t="s">
        <v>117</v>
      </c>
      <c r="W22" s="60"/>
    </row>
    <row r="23" spans="1:28" ht="13.5" customHeight="1" x14ac:dyDescent="0.35">
      <c r="A23" s="106">
        <v>41314</v>
      </c>
      <c r="B23" s="108" t="s">
        <v>118</v>
      </c>
      <c r="C23" s="109" t="s">
        <v>120</v>
      </c>
      <c r="D23" s="111" t="s">
        <v>122</v>
      </c>
      <c r="E23" s="112">
        <v>18656</v>
      </c>
      <c r="F23" s="114"/>
      <c r="G23" s="115">
        <f t="shared" ref="G23:G39" si="0">R23+V23</f>
        <v>6466.695652173913</v>
      </c>
      <c r="H23" s="116">
        <v>10</v>
      </c>
      <c r="I23" s="118">
        <f t="shared" ref="I23:I39" si="1">S23+V23</f>
        <v>6466.695652173913</v>
      </c>
      <c r="J23" s="116">
        <v>8</v>
      </c>
      <c r="K23" s="115">
        <f t="shared" ref="K23:K39" si="2">T23+V23</f>
        <v>10216.695652173912</v>
      </c>
      <c r="L23" s="116">
        <v>3</v>
      </c>
      <c r="M23" s="118">
        <f t="shared" ref="M23:M39" si="3">U23+V23</f>
        <v>9716.6956521739121</v>
      </c>
      <c r="N23" s="116">
        <v>2</v>
      </c>
      <c r="O23" s="60"/>
      <c r="P23" s="116">
        <f t="shared" ref="P23:P39" si="4">H23+J23+L23+N23</f>
        <v>23</v>
      </c>
      <c r="Q23" s="119">
        <v>23</v>
      </c>
      <c r="R23" s="118">
        <f t="shared" ref="R23:R26" si="5">IF($B$3&gt;0,$E$5,($B$13+$E$5))</f>
        <v>5250</v>
      </c>
      <c r="S23" s="118">
        <f t="shared" ref="S23:S26" si="6">IF($B$4&gt;0,$E$5,($B$13+$E$5))</f>
        <v>5250</v>
      </c>
      <c r="T23" s="118">
        <f t="shared" ref="T23:T26" si="7">$B$13+$E$5</f>
        <v>9000</v>
      </c>
      <c r="U23" s="118">
        <f t="shared" ref="U23:U26" si="8">$B$12+$E$5</f>
        <v>8500</v>
      </c>
      <c r="V23" s="118">
        <f t="shared" ref="V23:V39" si="9">($E23*($E$13/$Q23))</f>
        <v>1216.695652173913</v>
      </c>
      <c r="W23" s="115">
        <f t="shared" ref="W23:W39" si="10">(G23*H23)+(I23*J23)+(K23*L23)+(M23*N23)</f>
        <v>166484</v>
      </c>
      <c r="X23" s="60"/>
      <c r="Y23" s="60"/>
      <c r="Z23" s="60"/>
      <c r="AA23" s="60"/>
      <c r="AB23" s="60"/>
    </row>
    <row r="24" spans="1:28" ht="13.5" customHeight="1" x14ac:dyDescent="0.35">
      <c r="A24" s="106">
        <v>41318</v>
      </c>
      <c r="B24" s="124" t="s">
        <v>118</v>
      </c>
      <c r="C24" s="109" t="s">
        <v>120</v>
      </c>
      <c r="D24" s="111" t="s">
        <v>122</v>
      </c>
      <c r="E24" s="112">
        <v>14224</v>
      </c>
      <c r="F24" s="114"/>
      <c r="G24" s="115">
        <f t="shared" si="0"/>
        <v>6177.652173913044</v>
      </c>
      <c r="H24" s="116">
        <v>10</v>
      </c>
      <c r="I24" s="118">
        <f t="shared" si="1"/>
        <v>6177.652173913044</v>
      </c>
      <c r="J24" s="116">
        <v>8</v>
      </c>
      <c r="K24" s="115">
        <f t="shared" si="2"/>
        <v>9927.652173913044</v>
      </c>
      <c r="L24" s="116">
        <v>3</v>
      </c>
      <c r="M24" s="118">
        <f t="shared" si="3"/>
        <v>9427.652173913044</v>
      </c>
      <c r="N24" s="116">
        <v>2</v>
      </c>
      <c r="O24" s="60"/>
      <c r="P24" s="116">
        <f t="shared" si="4"/>
        <v>23</v>
      </c>
      <c r="Q24" s="119">
        <v>23</v>
      </c>
      <c r="R24" s="118">
        <f t="shared" si="5"/>
        <v>5250</v>
      </c>
      <c r="S24" s="118">
        <f t="shared" si="6"/>
        <v>5250</v>
      </c>
      <c r="T24" s="118">
        <f t="shared" si="7"/>
        <v>9000</v>
      </c>
      <c r="U24" s="118">
        <f t="shared" si="8"/>
        <v>8500</v>
      </c>
      <c r="V24" s="118">
        <f t="shared" si="9"/>
        <v>927.6521739130435</v>
      </c>
      <c r="W24" s="115">
        <f t="shared" si="10"/>
        <v>159836</v>
      </c>
      <c r="X24" s="60"/>
      <c r="Y24" s="60"/>
      <c r="Z24" s="60"/>
      <c r="AA24" s="60"/>
      <c r="AB24" s="60"/>
    </row>
    <row r="25" spans="1:28" ht="13.5" customHeight="1" x14ac:dyDescent="0.35">
      <c r="A25" s="127">
        <v>41339</v>
      </c>
      <c r="B25" s="129" t="s">
        <v>133</v>
      </c>
      <c r="C25" s="131" t="s">
        <v>120</v>
      </c>
      <c r="D25" s="132" t="s">
        <v>135</v>
      </c>
      <c r="E25" s="135"/>
      <c r="F25" s="136"/>
      <c r="G25" s="138">
        <f t="shared" si="0"/>
        <v>5250</v>
      </c>
      <c r="H25" s="139">
        <v>10</v>
      </c>
      <c r="I25" s="143">
        <f t="shared" si="1"/>
        <v>5250</v>
      </c>
      <c r="J25" s="139">
        <v>8</v>
      </c>
      <c r="K25" s="138">
        <f t="shared" si="2"/>
        <v>9000</v>
      </c>
      <c r="L25" s="139">
        <v>3</v>
      </c>
      <c r="M25" s="143">
        <f t="shared" si="3"/>
        <v>8500</v>
      </c>
      <c r="N25" s="139">
        <v>2</v>
      </c>
      <c r="O25" s="144"/>
      <c r="P25" s="139">
        <f t="shared" si="4"/>
        <v>23</v>
      </c>
      <c r="Q25" s="146">
        <v>23</v>
      </c>
      <c r="R25" s="143">
        <f t="shared" si="5"/>
        <v>5250</v>
      </c>
      <c r="S25" s="143">
        <f t="shared" si="6"/>
        <v>5250</v>
      </c>
      <c r="T25" s="143">
        <f t="shared" si="7"/>
        <v>9000</v>
      </c>
      <c r="U25" s="143">
        <f t="shared" si="8"/>
        <v>8500</v>
      </c>
      <c r="V25" s="143">
        <f t="shared" si="9"/>
        <v>0</v>
      </c>
      <c r="W25" s="138">
        <f t="shared" si="10"/>
        <v>138500</v>
      </c>
      <c r="X25" s="144"/>
      <c r="Y25" s="144"/>
      <c r="Z25" s="144"/>
      <c r="AA25" s="144"/>
      <c r="AB25" s="144"/>
    </row>
    <row r="26" spans="1:28" ht="13.5" customHeight="1" x14ac:dyDescent="0.35">
      <c r="A26" s="127">
        <v>41341</v>
      </c>
      <c r="B26" s="129" t="s">
        <v>149</v>
      </c>
      <c r="C26" s="131" t="s">
        <v>120</v>
      </c>
      <c r="D26" s="132" t="s">
        <v>135</v>
      </c>
      <c r="E26" s="135"/>
      <c r="F26" s="136"/>
      <c r="G26" s="138">
        <f t="shared" si="0"/>
        <v>5250</v>
      </c>
      <c r="H26" s="139">
        <v>10</v>
      </c>
      <c r="I26" s="143">
        <f t="shared" si="1"/>
        <v>5250</v>
      </c>
      <c r="J26" s="139">
        <v>8</v>
      </c>
      <c r="K26" s="138">
        <f t="shared" si="2"/>
        <v>9000</v>
      </c>
      <c r="L26" s="139">
        <v>3</v>
      </c>
      <c r="M26" s="143">
        <f t="shared" si="3"/>
        <v>8500</v>
      </c>
      <c r="N26" s="139">
        <v>2</v>
      </c>
      <c r="O26" s="144"/>
      <c r="P26" s="139">
        <f t="shared" si="4"/>
        <v>23</v>
      </c>
      <c r="Q26" s="139">
        <v>23</v>
      </c>
      <c r="R26" s="143">
        <f t="shared" si="5"/>
        <v>5250</v>
      </c>
      <c r="S26" s="143">
        <f t="shared" si="6"/>
        <v>5250</v>
      </c>
      <c r="T26" s="143">
        <f t="shared" si="7"/>
        <v>9000</v>
      </c>
      <c r="U26" s="143">
        <f t="shared" si="8"/>
        <v>8500</v>
      </c>
      <c r="V26" s="143">
        <f t="shared" si="9"/>
        <v>0</v>
      </c>
      <c r="W26" s="138">
        <f t="shared" si="10"/>
        <v>138500</v>
      </c>
      <c r="X26" s="144"/>
      <c r="Y26" s="144"/>
      <c r="Z26" s="144"/>
      <c r="AA26" s="144"/>
      <c r="AB26" s="144"/>
    </row>
    <row r="27" spans="1:28" ht="13.5" customHeight="1" x14ac:dyDescent="0.35">
      <c r="A27" s="127">
        <v>41344</v>
      </c>
      <c r="B27" s="148" t="s">
        <v>151</v>
      </c>
      <c r="C27" s="131" t="s">
        <v>155</v>
      </c>
      <c r="D27" s="132" t="s">
        <v>135</v>
      </c>
      <c r="E27" s="135"/>
      <c r="F27" s="136"/>
      <c r="G27" s="138">
        <f t="shared" si="0"/>
        <v>0</v>
      </c>
      <c r="H27" s="139">
        <v>10</v>
      </c>
      <c r="I27" s="143">
        <f t="shared" si="1"/>
        <v>0</v>
      </c>
      <c r="J27" s="139">
        <v>8</v>
      </c>
      <c r="K27" s="138">
        <f t="shared" si="2"/>
        <v>3750</v>
      </c>
      <c r="L27" s="139">
        <v>3</v>
      </c>
      <c r="M27" s="143">
        <f t="shared" si="3"/>
        <v>3250</v>
      </c>
      <c r="N27" s="139">
        <v>2</v>
      </c>
      <c r="O27" s="144"/>
      <c r="P27" s="139">
        <f t="shared" si="4"/>
        <v>23</v>
      </c>
      <c r="Q27" s="139">
        <v>23</v>
      </c>
      <c r="R27" s="143">
        <f>IF($B$3&gt;0,$E$8,($B$13+$E$8))</f>
        <v>0</v>
      </c>
      <c r="S27" s="143">
        <f>IF($B$4&gt;0,$E$8,($B$13+$E$8))</f>
        <v>0</v>
      </c>
      <c r="T27" s="143">
        <f>$B$13+$E$8</f>
        <v>3750</v>
      </c>
      <c r="U27" s="143">
        <f>$B$12+$E$8</f>
        <v>3250</v>
      </c>
      <c r="V27" s="143">
        <f t="shared" si="9"/>
        <v>0</v>
      </c>
      <c r="W27" s="138">
        <f t="shared" si="10"/>
        <v>17750</v>
      </c>
      <c r="X27" s="144"/>
      <c r="Y27" s="144"/>
      <c r="Z27" s="144"/>
      <c r="AA27" s="144"/>
      <c r="AB27" s="144"/>
    </row>
    <row r="28" spans="1:28" ht="13.5" customHeight="1" x14ac:dyDescent="0.35">
      <c r="A28" s="127">
        <v>41346</v>
      </c>
      <c r="B28" s="148" t="s">
        <v>156</v>
      </c>
      <c r="C28" s="131" t="s">
        <v>120</v>
      </c>
      <c r="D28" s="132" t="s">
        <v>135</v>
      </c>
      <c r="E28" s="135"/>
      <c r="F28" s="154" t="s">
        <v>157</v>
      </c>
      <c r="G28" s="138">
        <f t="shared" si="0"/>
        <v>8500</v>
      </c>
      <c r="H28" s="139">
        <v>10</v>
      </c>
      <c r="I28" s="143">
        <f t="shared" si="1"/>
        <v>8500</v>
      </c>
      <c r="J28" s="139">
        <v>8</v>
      </c>
      <c r="K28" s="138">
        <f t="shared" si="2"/>
        <v>12250</v>
      </c>
      <c r="L28" s="139">
        <v>3</v>
      </c>
      <c r="M28" s="143">
        <f t="shared" si="3"/>
        <v>11750</v>
      </c>
      <c r="N28" s="139">
        <v>2</v>
      </c>
      <c r="O28" s="144"/>
      <c r="P28" s="139">
        <f t="shared" si="4"/>
        <v>23</v>
      </c>
      <c r="Q28" s="139">
        <v>23</v>
      </c>
      <c r="R28" s="143">
        <f>IF($B$3&gt;0,$E$3,($B$13+$E$3))</f>
        <v>8500</v>
      </c>
      <c r="S28" s="143">
        <f>IF($B$4&gt;0,$E$3,($B$13+$E$3))</f>
        <v>8500</v>
      </c>
      <c r="T28" s="143">
        <f>$B$13+$E$3</f>
        <v>12250</v>
      </c>
      <c r="U28" s="143">
        <f>$B$12+$E$3</f>
        <v>11750</v>
      </c>
      <c r="V28" s="143">
        <f t="shared" si="9"/>
        <v>0</v>
      </c>
      <c r="W28" s="138">
        <f t="shared" si="10"/>
        <v>213250</v>
      </c>
      <c r="X28" s="144"/>
      <c r="Y28" s="144"/>
      <c r="Z28" s="144"/>
      <c r="AA28" s="144"/>
      <c r="AB28" s="144"/>
    </row>
    <row r="29" spans="1:28" ht="13.5" customHeight="1" x14ac:dyDescent="0.35">
      <c r="A29" s="127"/>
      <c r="B29" s="733" t="s">
        <v>160</v>
      </c>
      <c r="C29" s="637"/>
      <c r="D29" s="637"/>
      <c r="E29" s="637"/>
      <c r="F29" s="635"/>
      <c r="G29" s="138">
        <f t="shared" si="0"/>
        <v>5000</v>
      </c>
      <c r="H29" s="139">
        <v>10</v>
      </c>
      <c r="I29" s="143">
        <f t="shared" si="1"/>
        <v>5000</v>
      </c>
      <c r="J29" s="139">
        <v>8</v>
      </c>
      <c r="K29" s="138">
        <f t="shared" si="2"/>
        <v>5000</v>
      </c>
      <c r="L29" s="139">
        <v>3</v>
      </c>
      <c r="M29" s="143">
        <f t="shared" si="3"/>
        <v>5000</v>
      </c>
      <c r="N29" s="139">
        <v>2</v>
      </c>
      <c r="O29" s="144"/>
      <c r="P29" s="139">
        <f t="shared" si="4"/>
        <v>23</v>
      </c>
      <c r="Q29" s="139">
        <v>23</v>
      </c>
      <c r="R29" s="143">
        <f t="shared" ref="R29:U29" si="11">$J$7</f>
        <v>5000</v>
      </c>
      <c r="S29" s="143">
        <f t="shared" si="11"/>
        <v>5000</v>
      </c>
      <c r="T29" s="143">
        <f t="shared" si="11"/>
        <v>5000</v>
      </c>
      <c r="U29" s="143">
        <f t="shared" si="11"/>
        <v>5000</v>
      </c>
      <c r="V29" s="143">
        <f t="shared" si="9"/>
        <v>0</v>
      </c>
      <c r="W29" s="138">
        <f t="shared" si="10"/>
        <v>115000</v>
      </c>
      <c r="X29" s="144"/>
      <c r="Y29" s="144"/>
      <c r="Z29" s="144"/>
      <c r="AA29" s="144"/>
      <c r="AB29" s="144"/>
    </row>
    <row r="30" spans="1:28" ht="13.5" customHeight="1" x14ac:dyDescent="0.35">
      <c r="A30" s="106">
        <v>41369</v>
      </c>
      <c r="B30" s="108" t="s">
        <v>156</v>
      </c>
      <c r="C30" s="109" t="s">
        <v>155</v>
      </c>
      <c r="D30" s="111" t="s">
        <v>135</v>
      </c>
      <c r="E30" s="158"/>
      <c r="F30" s="114" t="s">
        <v>157</v>
      </c>
      <c r="G30" s="115">
        <f t="shared" si="0"/>
        <v>1750</v>
      </c>
      <c r="H30" s="116">
        <v>10</v>
      </c>
      <c r="I30" s="118">
        <f t="shared" si="1"/>
        <v>1750</v>
      </c>
      <c r="J30" s="116">
        <v>7</v>
      </c>
      <c r="K30" s="115">
        <f t="shared" si="2"/>
        <v>5500</v>
      </c>
      <c r="L30" s="116">
        <v>2</v>
      </c>
      <c r="M30" s="118">
        <f t="shared" si="3"/>
        <v>5000</v>
      </c>
      <c r="N30" s="116">
        <v>1</v>
      </c>
      <c r="O30" s="104"/>
      <c r="P30" s="116">
        <f t="shared" si="4"/>
        <v>20</v>
      </c>
      <c r="Q30" s="116">
        <v>20</v>
      </c>
      <c r="R30" s="118">
        <f>IF($B$3&gt;0,$E$6,($B$13+$E$6))</f>
        <v>1750</v>
      </c>
      <c r="S30" s="118">
        <f>IF($B$4&gt;0,$E$6,($B$13+$E$6))</f>
        <v>1750</v>
      </c>
      <c r="T30" s="118">
        <f>$B$13+$E$6</f>
        <v>5500</v>
      </c>
      <c r="U30" s="118">
        <f>$B$12+$E$6</f>
        <v>5000</v>
      </c>
      <c r="V30" s="118">
        <f t="shared" si="9"/>
        <v>0</v>
      </c>
      <c r="W30" s="115">
        <f t="shared" si="10"/>
        <v>45750</v>
      </c>
      <c r="X30" s="60"/>
      <c r="Y30" s="60"/>
      <c r="Z30" s="60"/>
      <c r="AA30" s="60"/>
      <c r="AB30" s="60"/>
    </row>
    <row r="31" spans="1:28" ht="13.5" customHeight="1" x14ac:dyDescent="0.35">
      <c r="A31" s="106">
        <v>41373</v>
      </c>
      <c r="B31" s="108" t="s">
        <v>163</v>
      </c>
      <c r="C31" s="109" t="s">
        <v>120</v>
      </c>
      <c r="D31" s="111" t="s">
        <v>135</v>
      </c>
      <c r="E31" s="158"/>
      <c r="F31" s="114" t="s">
        <v>164</v>
      </c>
      <c r="G31" s="115">
        <f t="shared" si="0"/>
        <v>6500</v>
      </c>
      <c r="H31" s="116">
        <v>10</v>
      </c>
      <c r="I31" s="118">
        <f t="shared" si="1"/>
        <v>6500</v>
      </c>
      <c r="J31" s="116">
        <v>7</v>
      </c>
      <c r="K31" s="115">
        <f t="shared" si="2"/>
        <v>10250</v>
      </c>
      <c r="L31" s="116">
        <v>2</v>
      </c>
      <c r="M31" s="118">
        <f t="shared" si="3"/>
        <v>9750</v>
      </c>
      <c r="N31" s="116">
        <v>1</v>
      </c>
      <c r="O31" s="60"/>
      <c r="P31" s="116">
        <f t="shared" si="4"/>
        <v>20</v>
      </c>
      <c r="Q31" s="119">
        <v>20</v>
      </c>
      <c r="R31" s="118">
        <f>IF($B$3&gt;0,$E$4,($B$13+$E$4))</f>
        <v>6500</v>
      </c>
      <c r="S31" s="118">
        <f>IF($B$4&gt;0,$E$4,($B$13+$E$4))</f>
        <v>6500</v>
      </c>
      <c r="T31" s="118">
        <f>$B$13+$E$4</f>
        <v>10250</v>
      </c>
      <c r="U31" s="118">
        <f>$B$12+$E$4</f>
        <v>9750</v>
      </c>
      <c r="V31" s="118">
        <f t="shared" si="9"/>
        <v>0</v>
      </c>
      <c r="W31" s="115">
        <f t="shared" si="10"/>
        <v>140750</v>
      </c>
      <c r="X31" s="60"/>
      <c r="Y31" s="60"/>
      <c r="Z31" s="60"/>
      <c r="AA31" s="60"/>
      <c r="AB31" s="60"/>
    </row>
    <row r="32" spans="1:28" ht="13.5" customHeight="1" x14ac:dyDescent="0.35">
      <c r="A32" s="106">
        <v>41427</v>
      </c>
      <c r="B32" s="108" t="s">
        <v>158</v>
      </c>
      <c r="C32" s="109" t="s">
        <v>120</v>
      </c>
      <c r="D32" s="111" t="s">
        <v>135</v>
      </c>
      <c r="E32" s="158"/>
      <c r="F32" s="114" t="s">
        <v>157</v>
      </c>
      <c r="G32" s="115">
        <f t="shared" si="0"/>
        <v>8500</v>
      </c>
      <c r="H32" s="116">
        <v>10</v>
      </c>
      <c r="I32" s="118">
        <f t="shared" si="1"/>
        <v>8500</v>
      </c>
      <c r="J32" s="116">
        <v>7</v>
      </c>
      <c r="K32" s="115">
        <f t="shared" si="2"/>
        <v>12250</v>
      </c>
      <c r="L32" s="116">
        <v>2</v>
      </c>
      <c r="M32" s="118">
        <f t="shared" si="3"/>
        <v>11750</v>
      </c>
      <c r="N32" s="116">
        <v>1</v>
      </c>
      <c r="O32" s="60"/>
      <c r="P32" s="116">
        <f t="shared" si="4"/>
        <v>20</v>
      </c>
      <c r="Q32" s="119">
        <v>20</v>
      </c>
      <c r="R32" s="118">
        <f>IF($B$3&gt;0,$E$3,($B$13+$E$3))</f>
        <v>8500</v>
      </c>
      <c r="S32" s="118">
        <f>IF($B$4&gt;0,$E$3,($B$13+$E$3))</f>
        <v>8500</v>
      </c>
      <c r="T32" s="118">
        <f>$B$13+$E$3</f>
        <v>12250</v>
      </c>
      <c r="U32" s="118">
        <f>$B$12+$E$3</f>
        <v>11750</v>
      </c>
      <c r="V32" s="118">
        <f t="shared" si="9"/>
        <v>0</v>
      </c>
      <c r="W32" s="115">
        <f t="shared" si="10"/>
        <v>180750</v>
      </c>
      <c r="X32" s="60"/>
      <c r="Y32" s="60"/>
      <c r="Z32" s="60"/>
      <c r="AA32" s="60"/>
      <c r="AB32" s="60"/>
    </row>
    <row r="33" spans="1:28" ht="13.5" customHeight="1" x14ac:dyDescent="0.35">
      <c r="A33" s="106">
        <v>41440</v>
      </c>
      <c r="B33" s="108" t="s">
        <v>168</v>
      </c>
      <c r="C33" s="109" t="s">
        <v>120</v>
      </c>
      <c r="D33" s="111" t="s">
        <v>122</v>
      </c>
      <c r="E33" s="158">
        <v>13035</v>
      </c>
      <c r="F33" s="166"/>
      <c r="G33" s="115">
        <f t="shared" si="0"/>
        <v>6336.25</v>
      </c>
      <c r="H33" s="116">
        <v>10</v>
      </c>
      <c r="I33" s="118">
        <f t="shared" si="1"/>
        <v>6336.25</v>
      </c>
      <c r="J33" s="116">
        <v>5</v>
      </c>
      <c r="K33" s="115">
        <f t="shared" si="2"/>
        <v>10086.25</v>
      </c>
      <c r="L33" s="116">
        <v>1</v>
      </c>
      <c r="M33" s="118">
        <f t="shared" si="3"/>
        <v>9586.25</v>
      </c>
      <c r="N33" s="116">
        <v>2</v>
      </c>
      <c r="O33" s="60"/>
      <c r="P33" s="116">
        <f t="shared" si="4"/>
        <v>18</v>
      </c>
      <c r="Q33" s="119">
        <v>18</v>
      </c>
      <c r="R33" s="118">
        <f t="shared" ref="R33:R35" si="12">IF($B$3&gt;0,$E$5,($B$13+$E$5))</f>
        <v>5250</v>
      </c>
      <c r="S33" s="118">
        <f t="shared" ref="S33:S35" si="13">IF($B$4&gt;0,$E$5,($B$13+$E$5))</f>
        <v>5250</v>
      </c>
      <c r="T33" s="118">
        <f t="shared" ref="T33:T35" si="14">$B$13+$E$5</f>
        <v>9000</v>
      </c>
      <c r="U33" s="118">
        <f t="shared" ref="U33:U35" si="15">$B$12+$E$5</f>
        <v>8500</v>
      </c>
      <c r="V33" s="118">
        <f t="shared" si="9"/>
        <v>1086.25</v>
      </c>
      <c r="W33" s="115">
        <f t="shared" si="10"/>
        <v>124302.5</v>
      </c>
      <c r="X33" s="60"/>
      <c r="Y33" s="60"/>
      <c r="Z33" s="60"/>
      <c r="AA33" s="60"/>
      <c r="AB33" s="60"/>
    </row>
    <row r="34" spans="1:28" ht="13.5" customHeight="1" x14ac:dyDescent="0.35">
      <c r="A34" s="106">
        <v>41445</v>
      </c>
      <c r="B34" s="108" t="s">
        <v>168</v>
      </c>
      <c r="C34" s="109" t="s">
        <v>120</v>
      </c>
      <c r="D34" s="111" t="s">
        <v>122</v>
      </c>
      <c r="E34" s="158">
        <v>18961</v>
      </c>
      <c r="F34" s="166"/>
      <c r="G34" s="115">
        <f t="shared" si="0"/>
        <v>6830.083333333333</v>
      </c>
      <c r="H34" s="116">
        <v>10</v>
      </c>
      <c r="I34" s="118">
        <f t="shared" si="1"/>
        <v>6830.083333333333</v>
      </c>
      <c r="J34" s="116">
        <v>5</v>
      </c>
      <c r="K34" s="115">
        <f t="shared" si="2"/>
        <v>10580.083333333334</v>
      </c>
      <c r="L34" s="116">
        <v>1</v>
      </c>
      <c r="M34" s="118">
        <f t="shared" si="3"/>
        <v>10080.083333333334</v>
      </c>
      <c r="N34" s="116">
        <v>2</v>
      </c>
      <c r="O34" s="60"/>
      <c r="P34" s="116">
        <f t="shared" si="4"/>
        <v>18</v>
      </c>
      <c r="Q34" s="119">
        <v>18</v>
      </c>
      <c r="R34" s="118">
        <f t="shared" si="12"/>
        <v>5250</v>
      </c>
      <c r="S34" s="118">
        <f t="shared" si="13"/>
        <v>5250</v>
      </c>
      <c r="T34" s="118">
        <f t="shared" si="14"/>
        <v>9000</v>
      </c>
      <c r="U34" s="118">
        <f t="shared" si="15"/>
        <v>8500</v>
      </c>
      <c r="V34" s="118">
        <f t="shared" si="9"/>
        <v>1580.0833333333333</v>
      </c>
      <c r="W34" s="115">
        <f t="shared" si="10"/>
        <v>133191.5</v>
      </c>
      <c r="X34" s="60"/>
      <c r="Y34" s="60"/>
      <c r="Z34" s="60"/>
      <c r="AA34" s="60"/>
      <c r="AB34" s="60"/>
    </row>
    <row r="35" spans="1:28" ht="13.5" customHeight="1" x14ac:dyDescent="0.35">
      <c r="A35" s="106">
        <v>41520</v>
      </c>
      <c r="B35" s="108" t="s">
        <v>170</v>
      </c>
      <c r="C35" s="109" t="s">
        <v>120</v>
      </c>
      <c r="D35" s="111" t="s">
        <v>122</v>
      </c>
      <c r="E35" s="158">
        <v>12594</v>
      </c>
      <c r="F35" s="114"/>
      <c r="G35" s="115">
        <f t="shared" si="0"/>
        <v>6299.5</v>
      </c>
      <c r="H35" s="116">
        <v>10</v>
      </c>
      <c r="I35" s="118">
        <f t="shared" si="1"/>
        <v>6299.5</v>
      </c>
      <c r="J35" s="116">
        <v>5</v>
      </c>
      <c r="K35" s="115">
        <f t="shared" si="2"/>
        <v>10049.5</v>
      </c>
      <c r="L35" s="116">
        <v>1</v>
      </c>
      <c r="M35" s="118">
        <f t="shared" si="3"/>
        <v>9549.5</v>
      </c>
      <c r="N35" s="116">
        <v>2</v>
      </c>
      <c r="O35" s="60"/>
      <c r="P35" s="116">
        <f t="shared" si="4"/>
        <v>18</v>
      </c>
      <c r="Q35" s="119">
        <v>18</v>
      </c>
      <c r="R35" s="118">
        <f t="shared" si="12"/>
        <v>5250</v>
      </c>
      <c r="S35" s="118">
        <f t="shared" si="13"/>
        <v>5250</v>
      </c>
      <c r="T35" s="118">
        <f t="shared" si="14"/>
        <v>9000</v>
      </c>
      <c r="U35" s="118">
        <f t="shared" si="15"/>
        <v>8500</v>
      </c>
      <c r="V35" s="118">
        <f t="shared" si="9"/>
        <v>1049.5</v>
      </c>
      <c r="W35" s="115">
        <f t="shared" si="10"/>
        <v>123641</v>
      </c>
      <c r="X35" s="60"/>
      <c r="Y35" s="60"/>
      <c r="Z35" s="60"/>
      <c r="AA35" s="60"/>
      <c r="AB35" s="60"/>
    </row>
    <row r="36" spans="1:28" ht="13.5" customHeight="1" x14ac:dyDescent="0.35">
      <c r="A36" s="106">
        <v>41567</v>
      </c>
      <c r="B36" s="108" t="s">
        <v>173</v>
      </c>
      <c r="C36" s="109" t="s">
        <v>120</v>
      </c>
      <c r="D36" s="111" t="s">
        <v>122</v>
      </c>
      <c r="E36" s="158">
        <v>19109</v>
      </c>
      <c r="F36" s="175" t="s">
        <v>164</v>
      </c>
      <c r="G36" s="115">
        <f t="shared" si="0"/>
        <v>8092.4166666666661</v>
      </c>
      <c r="H36" s="116">
        <v>10</v>
      </c>
      <c r="I36" s="118">
        <f t="shared" si="1"/>
        <v>8092.4166666666661</v>
      </c>
      <c r="J36" s="116">
        <v>5</v>
      </c>
      <c r="K36" s="115">
        <f t="shared" si="2"/>
        <v>11842.416666666666</v>
      </c>
      <c r="L36" s="116">
        <v>1</v>
      </c>
      <c r="M36" s="118">
        <f t="shared" si="3"/>
        <v>11342.416666666666</v>
      </c>
      <c r="N36" s="116">
        <v>2</v>
      </c>
      <c r="O36" s="60"/>
      <c r="P36" s="116">
        <f t="shared" si="4"/>
        <v>18</v>
      </c>
      <c r="Q36" s="119">
        <v>18</v>
      </c>
      <c r="R36" s="118">
        <f>IF($B$3&gt;0,$E$4,($B$13+$E$4))</f>
        <v>6500</v>
      </c>
      <c r="S36" s="118">
        <f>IF($B$4&gt;0,$E$4,($B$13+$E$4))</f>
        <v>6500</v>
      </c>
      <c r="T36" s="118">
        <f>$B$13+$E$4</f>
        <v>10250</v>
      </c>
      <c r="U36" s="118">
        <f>$B$12+$E$4</f>
        <v>9750</v>
      </c>
      <c r="V36" s="118">
        <f t="shared" si="9"/>
        <v>1592.4166666666665</v>
      </c>
      <c r="W36" s="115">
        <f t="shared" si="10"/>
        <v>155913.5</v>
      </c>
      <c r="X36" s="60"/>
      <c r="Y36" s="60"/>
      <c r="Z36" s="60"/>
      <c r="AA36" s="60"/>
      <c r="AB36" s="60"/>
    </row>
    <row r="37" spans="1:28" ht="13.5" customHeight="1" x14ac:dyDescent="0.35">
      <c r="A37" s="106">
        <v>41574</v>
      </c>
      <c r="B37" s="108" t="s">
        <v>174</v>
      </c>
      <c r="C37" s="109" t="s">
        <v>120</v>
      </c>
      <c r="D37" s="111" t="s">
        <v>122</v>
      </c>
      <c r="E37" s="158">
        <v>16315</v>
      </c>
      <c r="F37" s="175"/>
      <c r="G37" s="115">
        <f t="shared" si="0"/>
        <v>6609.583333333333</v>
      </c>
      <c r="H37" s="116">
        <v>10</v>
      </c>
      <c r="I37" s="118">
        <f t="shared" si="1"/>
        <v>6609.583333333333</v>
      </c>
      <c r="J37" s="116">
        <v>5</v>
      </c>
      <c r="K37" s="115">
        <f t="shared" si="2"/>
        <v>10359.583333333334</v>
      </c>
      <c r="L37" s="116">
        <v>1</v>
      </c>
      <c r="M37" s="118">
        <f t="shared" si="3"/>
        <v>9859.5833333333339</v>
      </c>
      <c r="N37" s="116">
        <v>2</v>
      </c>
      <c r="O37" s="60"/>
      <c r="P37" s="116">
        <f t="shared" si="4"/>
        <v>18</v>
      </c>
      <c r="Q37" s="119">
        <v>18</v>
      </c>
      <c r="R37" s="118">
        <f>IF($B$3&gt;0,$E$5,($B$13+$E$5))</f>
        <v>5250</v>
      </c>
      <c r="S37" s="118">
        <f>IF($B$4&gt;0,$E$5,($B$13+$E$5))</f>
        <v>5250</v>
      </c>
      <c r="T37" s="118">
        <f>$B$13+$E$5</f>
        <v>9000</v>
      </c>
      <c r="U37" s="118">
        <f>$B$12+$E$5</f>
        <v>8500</v>
      </c>
      <c r="V37" s="118">
        <f t="shared" si="9"/>
        <v>1359.5833333333333</v>
      </c>
      <c r="W37" s="115">
        <f t="shared" si="10"/>
        <v>129222.5</v>
      </c>
      <c r="X37" s="60"/>
      <c r="Y37" s="60"/>
      <c r="Z37" s="60"/>
      <c r="AA37" s="60"/>
      <c r="AB37" s="60"/>
    </row>
    <row r="38" spans="1:28" ht="13.5" customHeight="1" x14ac:dyDescent="0.35">
      <c r="A38" s="106">
        <v>41577</v>
      </c>
      <c r="B38" s="108" t="s">
        <v>174</v>
      </c>
      <c r="C38" s="109" t="s">
        <v>155</v>
      </c>
      <c r="D38" s="111" t="s">
        <v>122</v>
      </c>
      <c r="E38" s="158">
        <v>15139</v>
      </c>
      <c r="F38" s="114"/>
      <c r="G38" s="115">
        <f t="shared" si="0"/>
        <v>1261.5833333333333</v>
      </c>
      <c r="H38" s="116">
        <v>10</v>
      </c>
      <c r="I38" s="118">
        <f t="shared" si="1"/>
        <v>1261.5833333333333</v>
      </c>
      <c r="J38" s="116">
        <v>5</v>
      </c>
      <c r="K38" s="115">
        <f t="shared" si="2"/>
        <v>5011.583333333333</v>
      </c>
      <c r="L38" s="116">
        <v>1</v>
      </c>
      <c r="M38" s="118">
        <f t="shared" si="3"/>
        <v>4511.583333333333</v>
      </c>
      <c r="N38" s="116">
        <v>2</v>
      </c>
      <c r="O38" s="60"/>
      <c r="P38" s="116">
        <f t="shared" si="4"/>
        <v>18</v>
      </c>
      <c r="Q38" s="119">
        <v>18</v>
      </c>
      <c r="R38" s="118">
        <f>IF($B$3&gt;0,$E$8,($B$13+$E$8))</f>
        <v>0</v>
      </c>
      <c r="S38" s="118">
        <f>IF($B$4&gt;0,$E$8,($B$13+$E$8))</f>
        <v>0</v>
      </c>
      <c r="T38" s="118">
        <f>$B$13+$E$8</f>
        <v>3750</v>
      </c>
      <c r="U38" s="118">
        <f>$B$12+$E$8</f>
        <v>3250</v>
      </c>
      <c r="V38" s="118">
        <f t="shared" si="9"/>
        <v>1261.5833333333333</v>
      </c>
      <c r="W38" s="115">
        <f t="shared" si="10"/>
        <v>32958.5</v>
      </c>
      <c r="X38" s="60"/>
      <c r="Y38" s="60"/>
      <c r="Z38" s="60"/>
      <c r="AA38" s="60"/>
      <c r="AB38" s="60"/>
    </row>
    <row r="39" spans="1:28" ht="13.5" customHeight="1" x14ac:dyDescent="0.35">
      <c r="A39" s="106">
        <v>41588</v>
      </c>
      <c r="B39" s="108" t="s">
        <v>179</v>
      </c>
      <c r="C39" s="109" t="s">
        <v>120</v>
      </c>
      <c r="D39" s="111" t="s">
        <v>122</v>
      </c>
      <c r="E39" s="178">
        <v>20274</v>
      </c>
      <c r="F39" s="114"/>
      <c r="G39" s="115">
        <f t="shared" si="0"/>
        <v>6939.5</v>
      </c>
      <c r="H39" s="116">
        <v>10</v>
      </c>
      <c r="I39" s="118">
        <f t="shared" si="1"/>
        <v>6939.5</v>
      </c>
      <c r="J39" s="116">
        <v>5</v>
      </c>
      <c r="K39" s="115">
        <f t="shared" si="2"/>
        <v>10689.5</v>
      </c>
      <c r="L39" s="116">
        <v>2</v>
      </c>
      <c r="M39" s="118">
        <f t="shared" si="3"/>
        <v>10189.5</v>
      </c>
      <c r="N39" s="116">
        <v>1</v>
      </c>
      <c r="O39" s="104"/>
      <c r="P39" s="116">
        <f t="shared" si="4"/>
        <v>18</v>
      </c>
      <c r="Q39" s="119">
        <v>18</v>
      </c>
      <c r="R39" s="118">
        <f>IF($B$3&gt;0,$E$5,($B$13+$E$5))</f>
        <v>5250</v>
      </c>
      <c r="S39" s="118">
        <f>IF($B$4&gt;0,$E$5,($B$13+$E$5))</f>
        <v>5250</v>
      </c>
      <c r="T39" s="118">
        <f>$B$13+$E$5</f>
        <v>9000</v>
      </c>
      <c r="U39" s="118">
        <f>$B$12+$E$5</f>
        <v>8500</v>
      </c>
      <c r="V39" s="118">
        <f t="shared" si="9"/>
        <v>1689.5</v>
      </c>
      <c r="W39" s="115">
        <f t="shared" si="10"/>
        <v>135661</v>
      </c>
      <c r="X39" s="104"/>
      <c r="Y39" s="104"/>
      <c r="Z39" s="104"/>
      <c r="AA39" s="104"/>
      <c r="AB39" s="104"/>
    </row>
    <row r="40" spans="1:28" ht="13.5" customHeight="1" x14ac:dyDescent="0.35">
      <c r="A40" s="179"/>
      <c r="B40" s="180" t="s">
        <v>184</v>
      </c>
      <c r="C40" s="181"/>
      <c r="D40" s="182"/>
      <c r="E40" s="183"/>
      <c r="F40" s="184"/>
      <c r="G40" s="161">
        <f>$B$3</f>
        <v>100000</v>
      </c>
      <c r="H40" s="187">
        <v>10</v>
      </c>
      <c r="I40" s="161">
        <f>$B$4</f>
        <v>100000</v>
      </c>
      <c r="J40" s="187">
        <v>10</v>
      </c>
      <c r="K40" s="188"/>
      <c r="L40" s="187"/>
      <c r="M40" s="161"/>
      <c r="N40" s="187"/>
      <c r="O40" s="188">
        <f>$B$8</f>
        <v>1500</v>
      </c>
      <c r="P40" s="116"/>
      <c r="Q40" s="116">
        <v>6</v>
      </c>
      <c r="R40" s="118"/>
      <c r="S40" s="118"/>
      <c r="T40" s="118"/>
      <c r="U40" s="118"/>
      <c r="V40" s="118"/>
      <c r="W40" s="115">
        <f>(G40*H40)+(I40*J40)+(O40*Q40)</f>
        <v>2009000</v>
      </c>
      <c r="X40" s="189"/>
      <c r="Y40" s="189"/>
      <c r="Z40" s="189"/>
      <c r="AA40" s="189"/>
      <c r="AB40" s="189"/>
    </row>
    <row r="41" spans="1:28" ht="13.5" customHeight="1" x14ac:dyDescent="0.35">
      <c r="A41" s="179"/>
      <c r="B41" s="180" t="s">
        <v>192</v>
      </c>
      <c r="C41" s="181"/>
      <c r="D41" s="182"/>
      <c r="E41" s="183"/>
      <c r="F41" s="184"/>
      <c r="G41" s="161">
        <f>$E$12/($H42+$J42+$L42)</f>
        <v>14583.333333333334</v>
      </c>
      <c r="H41" s="187">
        <v>10</v>
      </c>
      <c r="I41" s="161">
        <f>$E$12/($H42+$J42+$L42)</f>
        <v>14583.333333333334</v>
      </c>
      <c r="J41" s="187">
        <v>10</v>
      </c>
      <c r="K41" s="188">
        <f>$E$12/($H42+$J42+$L42)</f>
        <v>14583.333333333334</v>
      </c>
      <c r="L41" s="187">
        <v>4</v>
      </c>
      <c r="M41" s="161"/>
      <c r="N41" s="187"/>
      <c r="O41" s="188"/>
      <c r="P41" s="116"/>
      <c r="Q41" s="116"/>
      <c r="R41" s="118"/>
      <c r="S41" s="118"/>
      <c r="T41" s="118"/>
      <c r="U41" s="118"/>
      <c r="V41" s="118"/>
      <c r="W41" s="115">
        <f>(G41*H41)+(I41*J41)+(K41*L41)+(M41*N41)</f>
        <v>350000</v>
      </c>
      <c r="X41" s="189"/>
      <c r="Y41" s="189"/>
      <c r="Z41" s="189"/>
      <c r="AA41" s="189"/>
      <c r="AB41" s="189"/>
    </row>
    <row r="42" spans="1:28" ht="13.5" customHeight="1" x14ac:dyDescent="0.4">
      <c r="A42" s="689" t="s">
        <v>194</v>
      </c>
      <c r="B42" s="635"/>
      <c r="C42" s="192"/>
      <c r="D42" s="690" t="s">
        <v>197</v>
      </c>
      <c r="E42" s="637"/>
      <c r="F42" s="635"/>
      <c r="G42" s="193">
        <f>SUMPRODUCT(G23:G41,H23:H41)</f>
        <v>2103465.9782608696</v>
      </c>
      <c r="H42" s="178">
        <v>10</v>
      </c>
      <c r="I42" s="193">
        <f>SUMPRODUCT(I23:I41,J23:J41)</f>
        <v>1768082.6992753621</v>
      </c>
      <c r="J42" s="178">
        <v>10</v>
      </c>
      <c r="K42" s="193">
        <f>SUMPRODUCT(K23:K41,L23:L41)</f>
        <v>371074.79347826086</v>
      </c>
      <c r="L42" s="178">
        <v>4</v>
      </c>
      <c r="M42" s="193">
        <f>SUMPRODUCT(M23:M41,N23:N41)</f>
        <v>258837.02898550723</v>
      </c>
      <c r="N42" s="178">
        <v>5</v>
      </c>
      <c r="O42" s="194">
        <f>O40*Q40</f>
        <v>9000</v>
      </c>
      <c r="P42" s="728" t="s">
        <v>201</v>
      </c>
      <c r="Q42" s="635"/>
      <c r="R42" s="178">
        <f>H42+J42+L42+N42</f>
        <v>29</v>
      </c>
      <c r="S42" s="193"/>
      <c r="T42" s="193"/>
      <c r="U42" s="193"/>
      <c r="V42" s="193"/>
      <c r="W42" s="195"/>
      <c r="X42" s="156"/>
      <c r="Y42" s="156"/>
      <c r="Z42" s="156"/>
      <c r="AA42" s="196"/>
      <c r="AB42" s="196"/>
    </row>
    <row r="43" spans="1:28" ht="13.5" customHeight="1" x14ac:dyDescent="0.4">
      <c r="A43" s="689" t="s">
        <v>203</v>
      </c>
      <c r="B43" s="635"/>
      <c r="C43" s="192"/>
      <c r="D43" s="690" t="s">
        <v>204</v>
      </c>
      <c r="E43" s="637"/>
      <c r="F43" s="635"/>
      <c r="G43" s="197">
        <f>G42/H42</f>
        <v>210346.59782608697</v>
      </c>
      <c r="H43" s="198">
        <f>(SUM(H23:H28)+SUM(H30:H39))/H42</f>
        <v>16</v>
      </c>
      <c r="I43" s="197">
        <f>I42/J42</f>
        <v>176808.2699275362</v>
      </c>
      <c r="J43" s="198">
        <f>(SUM(J23:J28)+SUM(J30:J39))/J42</f>
        <v>10.4</v>
      </c>
      <c r="K43" s="197">
        <f>K42/L42</f>
        <v>92768.698369565216</v>
      </c>
      <c r="L43" s="198">
        <f>(SUM(L23:L28)+SUM(L30:L39))/L42</f>
        <v>8</v>
      </c>
      <c r="M43" s="197">
        <f>M42/N42</f>
        <v>51767.405797101448</v>
      </c>
      <c r="N43" s="198">
        <f>(SUM(N23:N28)+SUM(N30:N39))/N42</f>
        <v>5.6</v>
      </c>
      <c r="O43" s="199"/>
      <c r="P43" s="729" t="s">
        <v>206</v>
      </c>
      <c r="Q43" s="635"/>
      <c r="R43" s="197">
        <f>SUM(G42,I42,K42,M42,O42)</f>
        <v>4510460.4999999991</v>
      </c>
      <c r="S43" s="193"/>
      <c r="T43" s="193"/>
      <c r="U43" s="193"/>
      <c r="V43" s="193"/>
      <c r="W43" s="201">
        <f>SUM(W23:W41)</f>
        <v>4510460.5</v>
      </c>
      <c r="X43" s="156"/>
      <c r="Y43" s="156"/>
      <c r="Z43" s="156"/>
      <c r="AA43" s="196"/>
      <c r="AB43" s="196"/>
    </row>
    <row r="44" spans="1:28" ht="13.5" customHeight="1" x14ac:dyDescent="0.35">
      <c r="A44" s="202">
        <v>41670</v>
      </c>
      <c r="B44" s="203" t="s">
        <v>158</v>
      </c>
      <c r="C44" s="203" t="s">
        <v>120</v>
      </c>
      <c r="D44" s="204" t="s">
        <v>207</v>
      </c>
      <c r="E44" s="205">
        <v>20862</v>
      </c>
      <c r="F44" s="206" t="s">
        <v>157</v>
      </c>
      <c r="G44" s="118">
        <f t="shared" ref="G44:G68" si="16">R44+V44</f>
        <v>10064.65</v>
      </c>
      <c r="H44" s="116">
        <v>10</v>
      </c>
      <c r="I44" s="118">
        <f t="shared" ref="I44:I68" si="17">S44+V44</f>
        <v>10064.65</v>
      </c>
      <c r="J44" s="116">
        <v>6</v>
      </c>
      <c r="K44" s="115">
        <f t="shared" ref="K44:K68" si="18">T44+V44</f>
        <v>13814.65</v>
      </c>
      <c r="L44" s="116">
        <v>2</v>
      </c>
      <c r="M44" s="118">
        <f t="shared" ref="M44:M68" si="19">U44+V44</f>
        <v>13314.65</v>
      </c>
      <c r="N44" s="116">
        <v>2</v>
      </c>
      <c r="P44" s="116">
        <f t="shared" ref="P44:P68" si="20">H44+J44+L44+N44</f>
        <v>20</v>
      </c>
      <c r="Q44" s="119">
        <v>20</v>
      </c>
      <c r="R44" s="118">
        <f>IF($B$3&gt;0,$E$3,($B$13+$E$3))</f>
        <v>8500</v>
      </c>
      <c r="S44" s="118">
        <f>IF($B$4&gt;0,$E$3,($B$13+$E$3))</f>
        <v>8500</v>
      </c>
      <c r="T44" s="118">
        <f>$B$13+$E$3</f>
        <v>12250</v>
      </c>
      <c r="U44" s="118">
        <f>$B$12+$E$3</f>
        <v>11750</v>
      </c>
      <c r="V44" s="118">
        <f t="shared" ref="V44:V68" si="21">($E44*($E$13/$Q44))</f>
        <v>1564.6499999999999</v>
      </c>
      <c r="W44" s="115">
        <f t="shared" ref="W44:W68" si="22">(G44*H44)+(I44*J44)+(K44*L44)+(M44*N44)</f>
        <v>215292.99999999997</v>
      </c>
    </row>
    <row r="45" spans="1:28" ht="13.5" customHeight="1" x14ac:dyDescent="0.35">
      <c r="A45" s="202">
        <v>41678</v>
      </c>
      <c r="B45" s="203" t="s">
        <v>209</v>
      </c>
      <c r="C45" s="207" t="s">
        <v>120</v>
      </c>
      <c r="D45" s="204" t="s">
        <v>207</v>
      </c>
      <c r="E45" s="205">
        <v>8857</v>
      </c>
      <c r="F45" s="206"/>
      <c r="G45" s="118">
        <f t="shared" si="16"/>
        <v>5914.2749999999996</v>
      </c>
      <c r="H45" s="116">
        <v>10</v>
      </c>
      <c r="I45" s="118">
        <f t="shared" si="17"/>
        <v>5914.2749999999996</v>
      </c>
      <c r="J45" s="116">
        <v>6</v>
      </c>
      <c r="K45" s="115">
        <f t="shared" si="18"/>
        <v>9664.2749999999996</v>
      </c>
      <c r="L45" s="116">
        <v>2</v>
      </c>
      <c r="M45" s="118">
        <f t="shared" si="19"/>
        <v>9164.2749999999996</v>
      </c>
      <c r="N45" s="116">
        <v>2</v>
      </c>
      <c r="P45" s="116">
        <f t="shared" si="20"/>
        <v>20</v>
      </c>
      <c r="Q45" s="119">
        <v>20</v>
      </c>
      <c r="R45" s="118">
        <f t="shared" ref="R45:R46" si="23">IF($B$3&gt;0,$E$5,($B$13+$E$5))</f>
        <v>5250</v>
      </c>
      <c r="S45" s="118">
        <f t="shared" ref="S45:S46" si="24">IF($B$4&gt;0,$E$5,($B$13+$E$5))</f>
        <v>5250</v>
      </c>
      <c r="T45" s="118">
        <f t="shared" ref="T45:T46" si="25">$B$13+$E$5</f>
        <v>9000</v>
      </c>
      <c r="U45" s="118">
        <f t="shared" ref="U45:U46" si="26">$B$12+$E$5</f>
        <v>8500</v>
      </c>
      <c r="V45" s="118">
        <f t="shared" si="21"/>
        <v>664.27499999999998</v>
      </c>
      <c r="W45" s="115">
        <f t="shared" si="22"/>
        <v>132285.5</v>
      </c>
    </row>
    <row r="46" spans="1:28" ht="13.5" customHeight="1" x14ac:dyDescent="0.35">
      <c r="A46" s="202">
        <v>41683</v>
      </c>
      <c r="B46" s="209" t="s">
        <v>209</v>
      </c>
      <c r="C46" s="209" t="s">
        <v>120</v>
      </c>
      <c r="D46" s="210" t="s">
        <v>207</v>
      </c>
      <c r="E46" s="205">
        <v>16133</v>
      </c>
      <c r="F46" s="211"/>
      <c r="G46" s="118">
        <f t="shared" si="16"/>
        <v>6459.9750000000004</v>
      </c>
      <c r="H46" s="116">
        <v>10</v>
      </c>
      <c r="I46" s="118">
        <f t="shared" si="17"/>
        <v>6459.9750000000004</v>
      </c>
      <c r="J46" s="116">
        <v>6</v>
      </c>
      <c r="K46" s="115">
        <f t="shared" si="18"/>
        <v>10209.975</v>
      </c>
      <c r="L46" s="116">
        <v>2</v>
      </c>
      <c r="M46" s="118">
        <f t="shared" si="19"/>
        <v>9709.9750000000004</v>
      </c>
      <c r="N46" s="116">
        <v>2</v>
      </c>
      <c r="O46" s="60"/>
      <c r="P46" s="116">
        <f t="shared" si="20"/>
        <v>20</v>
      </c>
      <c r="Q46" s="119">
        <v>20</v>
      </c>
      <c r="R46" s="118">
        <f t="shared" si="23"/>
        <v>5250</v>
      </c>
      <c r="S46" s="118">
        <f t="shared" si="24"/>
        <v>5250</v>
      </c>
      <c r="T46" s="118">
        <f t="shared" si="25"/>
        <v>9000</v>
      </c>
      <c r="U46" s="118">
        <f t="shared" si="26"/>
        <v>8500</v>
      </c>
      <c r="V46" s="118">
        <f t="shared" si="21"/>
        <v>1209.9749999999999</v>
      </c>
      <c r="W46" s="115">
        <f t="shared" si="22"/>
        <v>143199.5</v>
      </c>
      <c r="X46" s="60"/>
      <c r="Y46" s="60"/>
      <c r="Z46" s="60"/>
      <c r="AA46" s="60"/>
      <c r="AB46" s="60"/>
    </row>
    <row r="47" spans="1:28" ht="13.5" customHeight="1" x14ac:dyDescent="0.35">
      <c r="A47" s="202">
        <v>41703</v>
      </c>
      <c r="B47" s="209" t="s">
        <v>210</v>
      </c>
      <c r="C47" s="209" t="s">
        <v>155</v>
      </c>
      <c r="D47" s="210" t="s">
        <v>211</v>
      </c>
      <c r="E47" s="211"/>
      <c r="F47" s="211" t="s">
        <v>164</v>
      </c>
      <c r="G47" s="118">
        <f t="shared" si="16"/>
        <v>1250</v>
      </c>
      <c r="H47" s="116">
        <v>10</v>
      </c>
      <c r="I47" s="118">
        <f t="shared" si="17"/>
        <v>1250</v>
      </c>
      <c r="J47" s="116">
        <v>8</v>
      </c>
      <c r="K47" s="115">
        <f t="shared" si="18"/>
        <v>5000</v>
      </c>
      <c r="L47" s="116">
        <v>2</v>
      </c>
      <c r="M47" s="118">
        <f t="shared" si="19"/>
        <v>4500</v>
      </c>
      <c r="N47" s="116">
        <v>0</v>
      </c>
      <c r="O47" s="104"/>
      <c r="P47" s="116">
        <f t="shared" si="20"/>
        <v>20</v>
      </c>
      <c r="Q47" s="116">
        <v>20</v>
      </c>
      <c r="R47" s="118">
        <f>IF($B$3&gt;0,$E$7,($B$13+$E$7))</f>
        <v>1250</v>
      </c>
      <c r="S47" s="118">
        <f>IF($B$4&gt;0,$E$7,($B$13+$E$7))</f>
        <v>1250</v>
      </c>
      <c r="T47" s="118">
        <f>$B$13+$E$7</f>
        <v>5000</v>
      </c>
      <c r="U47" s="118">
        <f>$B$12+$E$7</f>
        <v>4500</v>
      </c>
      <c r="V47" s="118">
        <f t="shared" si="21"/>
        <v>0</v>
      </c>
      <c r="W47" s="115">
        <f t="shared" si="22"/>
        <v>32500</v>
      </c>
      <c r="X47" s="60"/>
      <c r="Y47" s="60"/>
      <c r="Z47" s="60"/>
      <c r="AA47" s="60"/>
      <c r="AB47" s="60"/>
    </row>
    <row r="48" spans="1:28" ht="13.5" customHeight="1" x14ac:dyDescent="0.35">
      <c r="A48" s="202">
        <v>41705</v>
      </c>
      <c r="B48" s="209" t="s">
        <v>151</v>
      </c>
      <c r="C48" s="203" t="s">
        <v>166</v>
      </c>
      <c r="D48" s="210" t="s">
        <v>211</v>
      </c>
      <c r="E48" s="213"/>
      <c r="F48" s="211"/>
      <c r="G48" s="118">
        <f t="shared" si="16"/>
        <v>0</v>
      </c>
      <c r="H48" s="116">
        <v>10</v>
      </c>
      <c r="I48" s="118">
        <f t="shared" si="17"/>
        <v>0</v>
      </c>
      <c r="J48" s="116">
        <v>8</v>
      </c>
      <c r="K48" s="115">
        <f t="shared" si="18"/>
        <v>3750</v>
      </c>
      <c r="L48" s="116">
        <v>2</v>
      </c>
      <c r="M48" s="118">
        <f t="shared" si="19"/>
        <v>3250</v>
      </c>
      <c r="N48" s="116">
        <v>0</v>
      </c>
      <c r="O48" s="104"/>
      <c r="P48" s="116">
        <f t="shared" si="20"/>
        <v>20</v>
      </c>
      <c r="Q48" s="116">
        <v>20</v>
      </c>
      <c r="R48" s="118">
        <f t="shared" ref="R48:R49" si="27">IF($B$3&gt;0,$E$9,($B$13+$E$9))</f>
        <v>0</v>
      </c>
      <c r="S48" s="118">
        <f t="shared" ref="S48:S49" si="28">IF($B$4&gt;0,$E$9,($B$13+$E$9))</f>
        <v>0</v>
      </c>
      <c r="T48" s="118">
        <f t="shared" ref="T48:T49" si="29">$B$13+$E$9</f>
        <v>3750</v>
      </c>
      <c r="U48" s="118">
        <f t="shared" ref="U48:U49" si="30">$B$12+$E$9</f>
        <v>3250</v>
      </c>
      <c r="V48" s="118">
        <f t="shared" si="21"/>
        <v>0</v>
      </c>
      <c r="W48" s="115">
        <f t="shared" si="22"/>
        <v>7500</v>
      </c>
      <c r="X48" s="60"/>
      <c r="Y48" s="60"/>
      <c r="Z48" s="60"/>
      <c r="AA48" s="60"/>
      <c r="AB48" s="60"/>
    </row>
    <row r="49" spans="1:28" ht="13.5" customHeight="1" x14ac:dyDescent="0.35">
      <c r="A49" s="202">
        <v>41708</v>
      </c>
      <c r="B49" s="203" t="s">
        <v>212</v>
      </c>
      <c r="C49" s="203" t="s">
        <v>166</v>
      </c>
      <c r="D49" s="204" t="s">
        <v>211</v>
      </c>
      <c r="E49" s="206"/>
      <c r="F49" s="213"/>
      <c r="G49" s="118">
        <f t="shared" si="16"/>
        <v>0</v>
      </c>
      <c r="H49" s="116">
        <v>10</v>
      </c>
      <c r="I49" s="118">
        <f t="shared" si="17"/>
        <v>0</v>
      </c>
      <c r="J49" s="116">
        <v>8</v>
      </c>
      <c r="K49" s="115">
        <f t="shared" si="18"/>
        <v>3750</v>
      </c>
      <c r="L49" s="116">
        <v>2</v>
      </c>
      <c r="M49" s="118">
        <f t="shared" si="19"/>
        <v>3250</v>
      </c>
      <c r="N49" s="116">
        <v>0</v>
      </c>
      <c r="O49" s="104"/>
      <c r="P49" s="116">
        <f t="shared" si="20"/>
        <v>20</v>
      </c>
      <c r="Q49" s="116">
        <v>20</v>
      </c>
      <c r="R49" s="118">
        <f t="shared" si="27"/>
        <v>0</v>
      </c>
      <c r="S49" s="118">
        <f t="shared" si="28"/>
        <v>0</v>
      </c>
      <c r="T49" s="118">
        <f t="shared" si="29"/>
        <v>3750</v>
      </c>
      <c r="U49" s="118">
        <f t="shared" si="30"/>
        <v>3250</v>
      </c>
      <c r="V49" s="118">
        <f t="shared" si="21"/>
        <v>0</v>
      </c>
      <c r="W49" s="115">
        <f t="shared" si="22"/>
        <v>7500</v>
      </c>
      <c r="X49" s="60"/>
      <c r="Y49" s="60"/>
      <c r="Z49" s="60"/>
      <c r="AA49" s="60"/>
      <c r="AB49" s="60"/>
    </row>
    <row r="50" spans="1:28" ht="13.5" customHeight="1" x14ac:dyDescent="0.35">
      <c r="A50" s="202">
        <v>41710</v>
      </c>
      <c r="B50" s="203" t="s">
        <v>213</v>
      </c>
      <c r="C50" s="203" t="s">
        <v>120</v>
      </c>
      <c r="D50" s="204" t="s">
        <v>211</v>
      </c>
      <c r="E50" s="206"/>
      <c r="F50" s="206"/>
      <c r="G50" s="118">
        <f t="shared" si="16"/>
        <v>5250</v>
      </c>
      <c r="H50" s="116">
        <v>10</v>
      </c>
      <c r="I50" s="118">
        <f t="shared" si="17"/>
        <v>5250</v>
      </c>
      <c r="J50" s="116">
        <v>8</v>
      </c>
      <c r="K50" s="115">
        <f t="shared" si="18"/>
        <v>9000</v>
      </c>
      <c r="L50" s="116">
        <v>2</v>
      </c>
      <c r="M50" s="118">
        <f t="shared" si="19"/>
        <v>8500</v>
      </c>
      <c r="N50" s="116">
        <v>0</v>
      </c>
      <c r="O50" s="104"/>
      <c r="P50" s="116">
        <f t="shared" si="20"/>
        <v>20</v>
      </c>
      <c r="Q50" s="116">
        <v>20</v>
      </c>
      <c r="R50" s="118">
        <f t="shared" ref="R50:R52" si="31">IF($B$3&gt;0,$E$5,($B$13+$E$5))</f>
        <v>5250</v>
      </c>
      <c r="S50" s="118">
        <f t="shared" ref="S50:S52" si="32">IF($B$4&gt;0,$E$5,($B$13+$E$5))</f>
        <v>5250</v>
      </c>
      <c r="T50" s="118">
        <f t="shared" ref="T50:T52" si="33">$B$13+$E$5</f>
        <v>9000</v>
      </c>
      <c r="U50" s="118">
        <f t="shared" ref="U50:U52" si="34">$B$12+$E$5</f>
        <v>8500</v>
      </c>
      <c r="V50" s="118">
        <f t="shared" si="21"/>
        <v>0</v>
      </c>
      <c r="W50" s="115">
        <f t="shared" si="22"/>
        <v>112500</v>
      </c>
      <c r="X50" s="60"/>
      <c r="Y50" s="60"/>
      <c r="Z50" s="60"/>
      <c r="AA50" s="60"/>
      <c r="AB50" s="60"/>
    </row>
    <row r="51" spans="1:28" ht="13.5" customHeight="1" x14ac:dyDescent="0.35">
      <c r="A51" s="202">
        <v>41735</v>
      </c>
      <c r="B51" s="203" t="s">
        <v>149</v>
      </c>
      <c r="C51" s="203" t="s">
        <v>120</v>
      </c>
      <c r="D51" s="204" t="s">
        <v>207</v>
      </c>
      <c r="E51" s="205">
        <v>14903</v>
      </c>
      <c r="F51" s="206"/>
      <c r="G51" s="118">
        <f t="shared" si="16"/>
        <v>6491.9166666666661</v>
      </c>
      <c r="H51" s="116">
        <v>10</v>
      </c>
      <c r="I51" s="118">
        <f t="shared" si="17"/>
        <v>6491.9166666666661</v>
      </c>
      <c r="J51" s="116">
        <v>6</v>
      </c>
      <c r="K51" s="115">
        <f t="shared" si="18"/>
        <v>10241.916666666666</v>
      </c>
      <c r="L51" s="116">
        <v>1</v>
      </c>
      <c r="M51" s="118">
        <f t="shared" si="19"/>
        <v>9741.9166666666661</v>
      </c>
      <c r="N51" s="116">
        <v>1</v>
      </c>
      <c r="O51" s="60"/>
      <c r="P51" s="116">
        <f t="shared" si="20"/>
        <v>18</v>
      </c>
      <c r="Q51" s="119">
        <v>18</v>
      </c>
      <c r="R51" s="118">
        <f t="shared" si="31"/>
        <v>5250</v>
      </c>
      <c r="S51" s="118">
        <f t="shared" si="32"/>
        <v>5250</v>
      </c>
      <c r="T51" s="118">
        <f t="shared" si="33"/>
        <v>9000</v>
      </c>
      <c r="U51" s="118">
        <f t="shared" si="34"/>
        <v>8500</v>
      </c>
      <c r="V51" s="118">
        <f t="shared" si="21"/>
        <v>1241.9166666666665</v>
      </c>
      <c r="W51" s="115">
        <f t="shared" si="22"/>
        <v>123854.5</v>
      </c>
      <c r="X51" s="60"/>
      <c r="Y51" s="60"/>
      <c r="Z51" s="60"/>
      <c r="AA51" s="60"/>
      <c r="AB51" s="60"/>
    </row>
    <row r="52" spans="1:28" ht="13.5" customHeight="1" x14ac:dyDescent="0.35">
      <c r="A52" s="202">
        <v>41739</v>
      </c>
      <c r="B52" s="209" t="s">
        <v>149</v>
      </c>
      <c r="C52" s="203" t="s">
        <v>120</v>
      </c>
      <c r="D52" s="210" t="s">
        <v>207</v>
      </c>
      <c r="E52" s="205">
        <v>12857</v>
      </c>
      <c r="F52" s="206"/>
      <c r="G52" s="118">
        <f t="shared" si="16"/>
        <v>6321.4166666666661</v>
      </c>
      <c r="H52" s="116">
        <v>10</v>
      </c>
      <c r="I52" s="118">
        <f t="shared" si="17"/>
        <v>6321.4166666666661</v>
      </c>
      <c r="J52" s="116">
        <v>6</v>
      </c>
      <c r="K52" s="115">
        <f t="shared" si="18"/>
        <v>10071.416666666666</v>
      </c>
      <c r="L52" s="116">
        <v>1</v>
      </c>
      <c r="M52" s="118">
        <f t="shared" si="19"/>
        <v>9571.4166666666661</v>
      </c>
      <c r="N52" s="116">
        <v>1</v>
      </c>
      <c r="P52" s="116">
        <f t="shared" si="20"/>
        <v>18</v>
      </c>
      <c r="Q52" s="119">
        <v>18</v>
      </c>
      <c r="R52" s="118">
        <f t="shared" si="31"/>
        <v>5250</v>
      </c>
      <c r="S52" s="118">
        <f t="shared" si="32"/>
        <v>5250</v>
      </c>
      <c r="T52" s="118">
        <f t="shared" si="33"/>
        <v>9000</v>
      </c>
      <c r="U52" s="118">
        <f t="shared" si="34"/>
        <v>8500</v>
      </c>
      <c r="V52" s="118">
        <f t="shared" si="21"/>
        <v>1071.4166666666665</v>
      </c>
      <c r="W52" s="115">
        <f t="shared" si="22"/>
        <v>120785.5</v>
      </c>
    </row>
    <row r="53" spans="1:28" ht="13.5" customHeight="1" x14ac:dyDescent="0.35">
      <c r="A53" s="202">
        <v>41767</v>
      </c>
      <c r="B53" s="203" t="s">
        <v>158</v>
      </c>
      <c r="C53" s="203" t="s">
        <v>155</v>
      </c>
      <c r="D53" s="204" t="s">
        <v>211</v>
      </c>
      <c r="E53" s="213"/>
      <c r="F53" s="211" t="s">
        <v>157</v>
      </c>
      <c r="G53" s="118">
        <f t="shared" si="16"/>
        <v>1750</v>
      </c>
      <c r="H53" s="116">
        <v>10</v>
      </c>
      <c r="I53" s="118">
        <f t="shared" si="17"/>
        <v>1750</v>
      </c>
      <c r="J53" s="116">
        <v>8</v>
      </c>
      <c r="K53" s="115">
        <f t="shared" si="18"/>
        <v>5500</v>
      </c>
      <c r="L53" s="116">
        <v>1</v>
      </c>
      <c r="M53" s="118">
        <f t="shared" si="19"/>
        <v>5000</v>
      </c>
      <c r="N53" s="116">
        <v>1</v>
      </c>
      <c r="P53" s="116">
        <f t="shared" si="20"/>
        <v>20</v>
      </c>
      <c r="Q53" s="116">
        <v>20</v>
      </c>
      <c r="R53" s="118">
        <f>IF($B$3&gt;0,$E$6,($B$13+$E$6))</f>
        <v>1750</v>
      </c>
      <c r="S53" s="118">
        <f>IF($B$4&gt;0,$E$6,($B$13+$E$6))</f>
        <v>1750</v>
      </c>
      <c r="T53" s="118">
        <f>$B$13+$E$6</f>
        <v>5500</v>
      </c>
      <c r="U53" s="118">
        <f>$B$12+$E$6</f>
        <v>5000</v>
      </c>
      <c r="V53" s="118">
        <f t="shared" si="21"/>
        <v>0</v>
      </c>
      <c r="W53" s="115">
        <f t="shared" si="22"/>
        <v>42000</v>
      </c>
    </row>
    <row r="54" spans="1:28" ht="13.5" customHeight="1" x14ac:dyDescent="0.35">
      <c r="A54" s="202">
        <v>41804</v>
      </c>
      <c r="B54" s="203" t="s">
        <v>214</v>
      </c>
      <c r="C54" s="203" t="s">
        <v>120</v>
      </c>
      <c r="D54" s="204" t="s">
        <v>207</v>
      </c>
      <c r="E54" s="205">
        <v>9799</v>
      </c>
      <c r="F54" s="211" t="s">
        <v>157</v>
      </c>
      <c r="G54" s="118">
        <f t="shared" si="16"/>
        <v>9234.9249999999993</v>
      </c>
      <c r="H54" s="116">
        <v>10</v>
      </c>
      <c r="I54" s="118">
        <f t="shared" si="17"/>
        <v>9234.9249999999993</v>
      </c>
      <c r="J54" s="116">
        <v>8</v>
      </c>
      <c r="K54" s="115">
        <f t="shared" si="18"/>
        <v>12984.924999999999</v>
      </c>
      <c r="L54" s="116">
        <v>2</v>
      </c>
      <c r="M54" s="118">
        <f t="shared" si="19"/>
        <v>12484.924999999999</v>
      </c>
      <c r="N54" s="116">
        <v>0</v>
      </c>
      <c r="P54" s="116">
        <f t="shared" si="20"/>
        <v>20</v>
      </c>
      <c r="Q54" s="119">
        <v>20</v>
      </c>
      <c r="R54" s="118">
        <f>IF($B$3&gt;0,$E$3,($B$13+$E$3))</f>
        <v>8500</v>
      </c>
      <c r="S54" s="118">
        <f>IF($B$4&gt;0,$E$3,($B$13+$E$3))</f>
        <v>8500</v>
      </c>
      <c r="T54" s="118">
        <f>$B$13+$E$3</f>
        <v>12250</v>
      </c>
      <c r="U54" s="118">
        <f>$B$12+$E$3</f>
        <v>11750</v>
      </c>
      <c r="V54" s="118">
        <f t="shared" si="21"/>
        <v>734.92499999999995</v>
      </c>
      <c r="W54" s="115">
        <f t="shared" si="22"/>
        <v>192198.5</v>
      </c>
    </row>
    <row r="55" spans="1:28" ht="13.5" customHeight="1" x14ac:dyDescent="0.35">
      <c r="A55" s="202">
        <v>41809</v>
      </c>
      <c r="B55" s="203" t="s">
        <v>214</v>
      </c>
      <c r="C55" s="203" t="s">
        <v>155</v>
      </c>
      <c r="D55" s="204" t="s">
        <v>207</v>
      </c>
      <c r="E55" s="205">
        <v>14695</v>
      </c>
      <c r="F55" s="206" t="s">
        <v>157</v>
      </c>
      <c r="G55" s="118">
        <f t="shared" si="16"/>
        <v>2852.125</v>
      </c>
      <c r="H55" s="116">
        <v>10</v>
      </c>
      <c r="I55" s="118">
        <f t="shared" si="17"/>
        <v>2852.125</v>
      </c>
      <c r="J55" s="116">
        <v>8</v>
      </c>
      <c r="K55" s="115">
        <f t="shared" si="18"/>
        <v>6602.125</v>
      </c>
      <c r="L55" s="116">
        <v>2</v>
      </c>
      <c r="M55" s="118">
        <f t="shared" si="19"/>
        <v>6102.125</v>
      </c>
      <c r="N55" s="116">
        <v>0</v>
      </c>
      <c r="P55" s="116">
        <f t="shared" si="20"/>
        <v>20</v>
      </c>
      <c r="Q55" s="119">
        <v>20</v>
      </c>
      <c r="R55" s="118">
        <f>IF($B$3&gt;0,$E$6,($B$13+$E$6))</f>
        <v>1750</v>
      </c>
      <c r="S55" s="118">
        <f>IF($B$4&gt;0,$E$6,($B$13+$E$6))</f>
        <v>1750</v>
      </c>
      <c r="T55" s="118">
        <f>$B$13+$E$6</f>
        <v>5500</v>
      </c>
      <c r="U55" s="118">
        <f>$B$12+$E$6</f>
        <v>5000</v>
      </c>
      <c r="V55" s="118">
        <f t="shared" si="21"/>
        <v>1102.125</v>
      </c>
      <c r="W55" s="115">
        <f t="shared" si="22"/>
        <v>64542.5</v>
      </c>
    </row>
    <row r="56" spans="1:28" ht="13.5" customHeight="1" x14ac:dyDescent="0.35">
      <c r="A56" s="202">
        <v>41871</v>
      </c>
      <c r="B56" s="203" t="s">
        <v>216</v>
      </c>
      <c r="C56" s="203" t="s">
        <v>120</v>
      </c>
      <c r="D56" s="204" t="s">
        <v>207</v>
      </c>
      <c r="E56" s="205">
        <v>9992</v>
      </c>
      <c r="F56" s="213"/>
      <c r="G56" s="118">
        <f t="shared" si="16"/>
        <v>6082.666666666667</v>
      </c>
      <c r="H56" s="116">
        <v>10</v>
      </c>
      <c r="I56" s="118">
        <f t="shared" si="17"/>
        <v>6082.666666666667</v>
      </c>
      <c r="J56" s="116">
        <v>6</v>
      </c>
      <c r="K56" s="115">
        <f t="shared" si="18"/>
        <v>9832.6666666666661</v>
      </c>
      <c r="L56" s="116">
        <v>1</v>
      </c>
      <c r="M56" s="118">
        <f t="shared" si="19"/>
        <v>9332.6666666666661</v>
      </c>
      <c r="N56" s="116">
        <v>1</v>
      </c>
      <c r="P56" s="116">
        <f t="shared" si="20"/>
        <v>18</v>
      </c>
      <c r="Q56" s="119">
        <v>18</v>
      </c>
      <c r="R56" s="118">
        <f t="shared" ref="R56:R58" si="35">IF($B$3&gt;0,$E$5,($B$13+$E$5))</f>
        <v>5250</v>
      </c>
      <c r="S56" s="118">
        <f t="shared" ref="S56:S58" si="36">IF($B$4&gt;0,$E$5,($B$13+$E$5))</f>
        <v>5250</v>
      </c>
      <c r="T56" s="118">
        <f t="shared" ref="T56:T58" si="37">$B$13+$E$5</f>
        <v>9000</v>
      </c>
      <c r="U56" s="118">
        <f t="shared" ref="U56:U58" si="38">$B$12+$E$5</f>
        <v>8500</v>
      </c>
      <c r="V56" s="118">
        <f t="shared" si="21"/>
        <v>832.66666666666663</v>
      </c>
      <c r="W56" s="115">
        <f t="shared" si="22"/>
        <v>116488.00000000001</v>
      </c>
    </row>
    <row r="57" spans="1:28" ht="13.5" customHeight="1" x14ac:dyDescent="0.35">
      <c r="A57" s="202">
        <v>41895</v>
      </c>
      <c r="B57" s="203" t="s">
        <v>170</v>
      </c>
      <c r="C57" s="203" t="s">
        <v>120</v>
      </c>
      <c r="D57" s="204" t="s">
        <v>207</v>
      </c>
      <c r="E57" s="205">
        <v>8849</v>
      </c>
      <c r="F57" s="213"/>
      <c r="G57" s="118">
        <f t="shared" si="16"/>
        <v>5913.6750000000002</v>
      </c>
      <c r="H57" s="116">
        <v>10</v>
      </c>
      <c r="I57" s="118">
        <f t="shared" si="17"/>
        <v>5913.6750000000002</v>
      </c>
      <c r="J57" s="116">
        <v>8</v>
      </c>
      <c r="K57" s="115">
        <f t="shared" si="18"/>
        <v>9663.6749999999993</v>
      </c>
      <c r="L57" s="116">
        <v>2</v>
      </c>
      <c r="M57" s="118">
        <f t="shared" si="19"/>
        <v>9163.6749999999993</v>
      </c>
      <c r="N57" s="116">
        <v>0</v>
      </c>
      <c r="P57" s="116">
        <f t="shared" si="20"/>
        <v>20</v>
      </c>
      <c r="Q57" s="119">
        <v>20</v>
      </c>
      <c r="R57" s="118">
        <f t="shared" si="35"/>
        <v>5250</v>
      </c>
      <c r="S57" s="118">
        <f t="shared" si="36"/>
        <v>5250</v>
      </c>
      <c r="T57" s="118">
        <f t="shared" si="37"/>
        <v>9000</v>
      </c>
      <c r="U57" s="118">
        <f t="shared" si="38"/>
        <v>8500</v>
      </c>
      <c r="V57" s="118">
        <f t="shared" si="21"/>
        <v>663.67499999999995</v>
      </c>
      <c r="W57" s="115">
        <f t="shared" si="22"/>
        <v>125773.5</v>
      </c>
    </row>
    <row r="58" spans="1:28" ht="13.5" customHeight="1" x14ac:dyDescent="0.35">
      <c r="A58" s="202">
        <v>41900</v>
      </c>
      <c r="B58" s="203" t="s">
        <v>170</v>
      </c>
      <c r="C58" s="203" t="s">
        <v>120</v>
      </c>
      <c r="D58" s="204" t="s">
        <v>207</v>
      </c>
      <c r="E58" s="205">
        <v>5680</v>
      </c>
      <c r="F58" s="206"/>
      <c r="G58" s="118">
        <f t="shared" si="16"/>
        <v>5676</v>
      </c>
      <c r="H58" s="116">
        <v>10</v>
      </c>
      <c r="I58" s="118">
        <f t="shared" si="17"/>
        <v>5676</v>
      </c>
      <c r="J58" s="116">
        <v>8</v>
      </c>
      <c r="K58" s="115">
        <f t="shared" si="18"/>
        <v>9426</v>
      </c>
      <c r="L58" s="116">
        <v>2</v>
      </c>
      <c r="M58" s="118">
        <f t="shared" si="19"/>
        <v>8926</v>
      </c>
      <c r="N58" s="116">
        <v>0</v>
      </c>
      <c r="P58" s="116">
        <f t="shared" si="20"/>
        <v>20</v>
      </c>
      <c r="Q58" s="119">
        <v>20</v>
      </c>
      <c r="R58" s="118">
        <f t="shared" si="35"/>
        <v>5250</v>
      </c>
      <c r="S58" s="118">
        <f t="shared" si="36"/>
        <v>5250</v>
      </c>
      <c r="T58" s="118">
        <f t="shared" si="37"/>
        <v>9000</v>
      </c>
      <c r="U58" s="118">
        <f t="shared" si="38"/>
        <v>8500</v>
      </c>
      <c r="V58" s="118">
        <f t="shared" si="21"/>
        <v>426</v>
      </c>
      <c r="W58" s="115">
        <f t="shared" si="22"/>
        <v>121020</v>
      </c>
    </row>
    <row r="59" spans="1:28" ht="13.5" customHeight="1" x14ac:dyDescent="0.35">
      <c r="A59" s="219">
        <v>41927</v>
      </c>
      <c r="B59" s="220" t="s">
        <v>219</v>
      </c>
      <c r="C59" s="220" t="s">
        <v>120</v>
      </c>
      <c r="D59" s="221" t="s">
        <v>220</v>
      </c>
      <c r="E59" s="222">
        <v>3621</v>
      </c>
      <c r="F59" s="223"/>
      <c r="G59" s="168">
        <f t="shared" si="16"/>
        <v>3271.5749999999998</v>
      </c>
      <c r="H59" s="170">
        <v>10</v>
      </c>
      <c r="I59" s="168">
        <f t="shared" si="17"/>
        <v>3271.5749999999998</v>
      </c>
      <c r="J59" s="170">
        <v>8</v>
      </c>
      <c r="K59" s="224">
        <f t="shared" si="18"/>
        <v>7021.5749999999998</v>
      </c>
      <c r="L59" s="170">
        <v>2</v>
      </c>
      <c r="M59" s="168">
        <f t="shared" si="19"/>
        <v>6521.5749999999998</v>
      </c>
      <c r="N59" s="170">
        <v>0</v>
      </c>
      <c r="O59" s="171"/>
      <c r="P59" s="170">
        <f t="shared" si="20"/>
        <v>20</v>
      </c>
      <c r="Q59" s="172">
        <v>20</v>
      </c>
      <c r="R59" s="168">
        <f t="shared" ref="R59:R63" si="39">IF($B$3&gt;0,$N$3,($B$13+$N$3))</f>
        <v>3000</v>
      </c>
      <c r="S59" s="168">
        <f t="shared" ref="S59:S63" si="40">IF($B$4&gt;0,$N$3,($B$13+$N$3))</f>
        <v>3000</v>
      </c>
      <c r="T59" s="168">
        <f t="shared" ref="T59:T63" si="41">$B$13+$N$3</f>
        <v>6750</v>
      </c>
      <c r="U59" s="168">
        <f t="shared" ref="U59:U63" si="42">$B$12+$N$3</f>
        <v>6250</v>
      </c>
      <c r="V59" s="168">
        <f t="shared" si="21"/>
        <v>271.57499999999999</v>
      </c>
      <c r="W59" s="224">
        <f t="shared" si="22"/>
        <v>72931.5</v>
      </c>
      <c r="X59" s="171"/>
      <c r="Y59" s="171"/>
      <c r="Z59" s="171"/>
      <c r="AA59" s="171"/>
      <c r="AB59" s="171"/>
    </row>
    <row r="60" spans="1:28" ht="13.5" customHeight="1" x14ac:dyDescent="0.35">
      <c r="A60" s="219">
        <v>41929</v>
      </c>
      <c r="B60" s="220" t="s">
        <v>187</v>
      </c>
      <c r="C60" s="220" t="s">
        <v>120</v>
      </c>
      <c r="D60" s="221" t="s">
        <v>220</v>
      </c>
      <c r="E60" s="222">
        <v>6796</v>
      </c>
      <c r="F60" s="223"/>
      <c r="G60" s="168">
        <f t="shared" si="16"/>
        <v>3509.7</v>
      </c>
      <c r="H60" s="170">
        <v>10</v>
      </c>
      <c r="I60" s="168">
        <f t="shared" si="17"/>
        <v>3509.7</v>
      </c>
      <c r="J60" s="170">
        <v>8</v>
      </c>
      <c r="K60" s="224">
        <f t="shared" si="18"/>
        <v>7259.7</v>
      </c>
      <c r="L60" s="170">
        <v>2</v>
      </c>
      <c r="M60" s="168">
        <f t="shared" si="19"/>
        <v>6759.7</v>
      </c>
      <c r="N60" s="170">
        <v>0</v>
      </c>
      <c r="O60" s="171"/>
      <c r="P60" s="170">
        <f t="shared" si="20"/>
        <v>20</v>
      </c>
      <c r="Q60" s="172">
        <v>20</v>
      </c>
      <c r="R60" s="168">
        <f t="shared" si="39"/>
        <v>3000</v>
      </c>
      <c r="S60" s="168">
        <f t="shared" si="40"/>
        <v>3000</v>
      </c>
      <c r="T60" s="168">
        <f t="shared" si="41"/>
        <v>6750</v>
      </c>
      <c r="U60" s="168">
        <f t="shared" si="42"/>
        <v>6250</v>
      </c>
      <c r="V60" s="168">
        <f t="shared" si="21"/>
        <v>509.7</v>
      </c>
      <c r="W60" s="224">
        <f t="shared" si="22"/>
        <v>77694</v>
      </c>
      <c r="X60" s="171"/>
      <c r="Y60" s="171"/>
      <c r="Z60" s="171"/>
      <c r="AA60" s="171"/>
      <c r="AB60" s="171"/>
    </row>
    <row r="61" spans="1:28" ht="13.5" customHeight="1" x14ac:dyDescent="0.35">
      <c r="A61" s="219">
        <v>41932</v>
      </c>
      <c r="B61" s="220" t="s">
        <v>223</v>
      </c>
      <c r="C61" s="220" t="s">
        <v>120</v>
      </c>
      <c r="D61" s="221" t="s">
        <v>220</v>
      </c>
      <c r="E61" s="222">
        <v>6421</v>
      </c>
      <c r="F61" s="223"/>
      <c r="G61" s="168">
        <f t="shared" si="16"/>
        <v>3481.5749999999998</v>
      </c>
      <c r="H61" s="170">
        <v>10</v>
      </c>
      <c r="I61" s="168">
        <f t="shared" si="17"/>
        <v>3481.5749999999998</v>
      </c>
      <c r="J61" s="170">
        <v>8</v>
      </c>
      <c r="K61" s="224">
        <f t="shared" si="18"/>
        <v>7231.5749999999998</v>
      </c>
      <c r="L61" s="170">
        <v>2</v>
      </c>
      <c r="M61" s="168">
        <f t="shared" si="19"/>
        <v>6731.5749999999998</v>
      </c>
      <c r="N61" s="170">
        <v>0</v>
      </c>
      <c r="O61" s="171"/>
      <c r="P61" s="170">
        <f t="shared" si="20"/>
        <v>20</v>
      </c>
      <c r="Q61" s="172">
        <v>20</v>
      </c>
      <c r="R61" s="168">
        <f t="shared" si="39"/>
        <v>3000</v>
      </c>
      <c r="S61" s="168">
        <f t="shared" si="40"/>
        <v>3000</v>
      </c>
      <c r="T61" s="168">
        <f t="shared" si="41"/>
        <v>6750</v>
      </c>
      <c r="U61" s="168">
        <f t="shared" si="42"/>
        <v>6250</v>
      </c>
      <c r="V61" s="168">
        <f t="shared" si="21"/>
        <v>481.57499999999999</v>
      </c>
      <c r="W61" s="224">
        <f t="shared" si="22"/>
        <v>77131.5</v>
      </c>
      <c r="X61" s="171"/>
      <c r="Y61" s="171"/>
      <c r="Z61" s="171"/>
      <c r="AA61" s="171"/>
      <c r="AB61" s="171"/>
    </row>
    <row r="62" spans="1:28" ht="13.5" customHeight="1" x14ac:dyDescent="0.35">
      <c r="A62" s="219">
        <v>41936</v>
      </c>
      <c r="B62" s="220" t="s">
        <v>170</v>
      </c>
      <c r="C62" s="220" t="s">
        <v>120</v>
      </c>
      <c r="D62" s="221" t="s">
        <v>220</v>
      </c>
      <c r="E62" s="222">
        <v>8773</v>
      </c>
      <c r="F62" s="223"/>
      <c r="G62" s="168">
        <f t="shared" si="16"/>
        <v>3657.9749999999999</v>
      </c>
      <c r="H62" s="170">
        <v>10</v>
      </c>
      <c r="I62" s="168">
        <f t="shared" si="17"/>
        <v>3657.9749999999999</v>
      </c>
      <c r="J62" s="170">
        <v>8</v>
      </c>
      <c r="K62" s="224">
        <f t="shared" si="18"/>
        <v>7407.9750000000004</v>
      </c>
      <c r="L62" s="170">
        <v>2</v>
      </c>
      <c r="M62" s="168">
        <f t="shared" si="19"/>
        <v>6907.9750000000004</v>
      </c>
      <c r="N62" s="170">
        <v>0</v>
      </c>
      <c r="O62" s="171"/>
      <c r="P62" s="170">
        <f t="shared" si="20"/>
        <v>20</v>
      </c>
      <c r="Q62" s="172">
        <v>20</v>
      </c>
      <c r="R62" s="168">
        <f t="shared" si="39"/>
        <v>3000</v>
      </c>
      <c r="S62" s="168">
        <f t="shared" si="40"/>
        <v>3000</v>
      </c>
      <c r="T62" s="168">
        <f t="shared" si="41"/>
        <v>6750</v>
      </c>
      <c r="U62" s="168">
        <f t="shared" si="42"/>
        <v>6250</v>
      </c>
      <c r="V62" s="168">
        <f t="shared" si="21"/>
        <v>657.97500000000002</v>
      </c>
      <c r="W62" s="224">
        <f t="shared" si="22"/>
        <v>80659.5</v>
      </c>
      <c r="X62" s="171"/>
      <c r="Y62" s="171"/>
      <c r="Z62" s="171"/>
      <c r="AA62" s="171"/>
      <c r="AB62" s="171"/>
    </row>
    <row r="63" spans="1:28" ht="13.5" customHeight="1" x14ac:dyDescent="0.35">
      <c r="A63" s="219">
        <v>41938</v>
      </c>
      <c r="B63" s="227" t="s">
        <v>171</v>
      </c>
      <c r="C63" s="220" t="s">
        <v>120</v>
      </c>
      <c r="D63" s="228" t="s">
        <v>220</v>
      </c>
      <c r="E63" s="222">
        <v>11625</v>
      </c>
      <c r="F63" s="223"/>
      <c r="G63" s="168">
        <f t="shared" si="16"/>
        <v>3871.875</v>
      </c>
      <c r="H63" s="170">
        <v>10</v>
      </c>
      <c r="I63" s="168">
        <f t="shared" si="17"/>
        <v>3871.875</v>
      </c>
      <c r="J63" s="170">
        <v>8</v>
      </c>
      <c r="K63" s="224">
        <f t="shared" si="18"/>
        <v>7621.875</v>
      </c>
      <c r="L63" s="170">
        <v>2</v>
      </c>
      <c r="M63" s="168">
        <f t="shared" si="19"/>
        <v>7121.875</v>
      </c>
      <c r="N63" s="170">
        <v>0</v>
      </c>
      <c r="O63" s="171"/>
      <c r="P63" s="170">
        <f t="shared" si="20"/>
        <v>20</v>
      </c>
      <c r="Q63" s="172">
        <v>20</v>
      </c>
      <c r="R63" s="168">
        <f t="shared" si="39"/>
        <v>3000</v>
      </c>
      <c r="S63" s="168">
        <f t="shared" si="40"/>
        <v>3000</v>
      </c>
      <c r="T63" s="168">
        <f t="shared" si="41"/>
        <v>6750</v>
      </c>
      <c r="U63" s="168">
        <f t="shared" si="42"/>
        <v>6250</v>
      </c>
      <c r="V63" s="168">
        <f t="shared" si="21"/>
        <v>871.875</v>
      </c>
      <c r="W63" s="224">
        <f t="shared" si="22"/>
        <v>84937.5</v>
      </c>
      <c r="X63" s="171"/>
      <c r="Y63" s="171"/>
      <c r="Z63" s="171"/>
      <c r="AA63" s="171"/>
      <c r="AB63" s="171"/>
    </row>
    <row r="64" spans="1:28" ht="13.5" customHeight="1" x14ac:dyDescent="0.35">
      <c r="A64" s="219"/>
      <c r="B64" s="227" t="s">
        <v>224</v>
      </c>
      <c r="C64" s="220"/>
      <c r="D64" s="228"/>
      <c r="E64" s="222"/>
      <c r="F64" s="223"/>
      <c r="G64" s="168">
        <f t="shared" si="16"/>
        <v>37500</v>
      </c>
      <c r="H64" s="170">
        <v>10</v>
      </c>
      <c r="I64" s="168">
        <f t="shared" si="17"/>
        <v>37500</v>
      </c>
      <c r="J64" s="170">
        <v>8</v>
      </c>
      <c r="K64" s="224">
        <f t="shared" si="18"/>
        <v>37500</v>
      </c>
      <c r="L64" s="170">
        <v>2</v>
      </c>
      <c r="M64" s="168">
        <f t="shared" si="19"/>
        <v>37500</v>
      </c>
      <c r="N64" s="170">
        <v>0</v>
      </c>
      <c r="O64" s="171"/>
      <c r="P64" s="170">
        <f t="shared" si="20"/>
        <v>20</v>
      </c>
      <c r="Q64" s="172">
        <v>20</v>
      </c>
      <c r="R64" s="168">
        <f t="shared" ref="R64:U64" si="43">$M$8</f>
        <v>37500</v>
      </c>
      <c r="S64" s="168">
        <f t="shared" si="43"/>
        <v>37500</v>
      </c>
      <c r="T64" s="168">
        <f t="shared" si="43"/>
        <v>37500</v>
      </c>
      <c r="U64" s="168">
        <f t="shared" si="43"/>
        <v>37500</v>
      </c>
      <c r="V64" s="168">
        <f t="shared" si="21"/>
        <v>0</v>
      </c>
      <c r="W64" s="224">
        <f t="shared" si="22"/>
        <v>750000</v>
      </c>
      <c r="X64" s="171"/>
      <c r="Y64" s="171"/>
      <c r="Z64" s="171"/>
      <c r="AA64" s="171"/>
      <c r="AB64" s="171"/>
    </row>
    <row r="65" spans="1:28" ht="13.5" customHeight="1" x14ac:dyDescent="0.35">
      <c r="A65" s="202">
        <v>41983</v>
      </c>
      <c r="B65" s="203" t="s">
        <v>149</v>
      </c>
      <c r="C65" s="203" t="s">
        <v>155</v>
      </c>
      <c r="D65" s="204" t="s">
        <v>211</v>
      </c>
      <c r="E65" s="206"/>
      <c r="F65" s="211"/>
      <c r="G65" s="118">
        <f t="shared" si="16"/>
        <v>0</v>
      </c>
      <c r="H65" s="116">
        <v>10</v>
      </c>
      <c r="I65" s="118">
        <f t="shared" si="17"/>
        <v>0</v>
      </c>
      <c r="J65" s="116">
        <v>8</v>
      </c>
      <c r="K65" s="115">
        <f t="shared" si="18"/>
        <v>3750</v>
      </c>
      <c r="L65" s="116">
        <v>3</v>
      </c>
      <c r="M65" s="118">
        <f t="shared" si="19"/>
        <v>3250</v>
      </c>
      <c r="N65" s="116">
        <v>2</v>
      </c>
      <c r="P65" s="116">
        <f t="shared" si="20"/>
        <v>23</v>
      </c>
      <c r="Q65" s="116">
        <v>23</v>
      </c>
      <c r="R65" s="118">
        <f>IF($B$3&gt;0,$E$8,($B$13+$E$8))</f>
        <v>0</v>
      </c>
      <c r="S65" s="118">
        <f>IF($B$4&gt;0,$E$8,($B$13+$E$8))</f>
        <v>0</v>
      </c>
      <c r="T65" s="118">
        <f>$B$13+$E$8</f>
        <v>3750</v>
      </c>
      <c r="U65" s="118">
        <f>$B$12+$E$8</f>
        <v>3250</v>
      </c>
      <c r="V65" s="118">
        <f t="shared" si="21"/>
        <v>0</v>
      </c>
      <c r="W65" s="115">
        <f t="shared" si="22"/>
        <v>17750</v>
      </c>
    </row>
    <row r="66" spans="1:28" ht="13.5" customHeight="1" x14ac:dyDescent="0.35">
      <c r="A66" s="202">
        <v>41987</v>
      </c>
      <c r="B66" s="203" t="s">
        <v>179</v>
      </c>
      <c r="C66" s="203" t="s">
        <v>166</v>
      </c>
      <c r="D66" s="204" t="s">
        <v>211</v>
      </c>
      <c r="E66" s="206"/>
      <c r="F66" s="213"/>
      <c r="G66" s="118">
        <f t="shared" si="16"/>
        <v>0</v>
      </c>
      <c r="H66" s="116">
        <v>10</v>
      </c>
      <c r="I66" s="118">
        <f t="shared" si="17"/>
        <v>0</v>
      </c>
      <c r="J66" s="116">
        <v>8</v>
      </c>
      <c r="K66" s="115">
        <f t="shared" si="18"/>
        <v>3750</v>
      </c>
      <c r="L66" s="116">
        <v>3</v>
      </c>
      <c r="M66" s="118">
        <f t="shared" si="19"/>
        <v>3250</v>
      </c>
      <c r="N66" s="116">
        <v>2</v>
      </c>
      <c r="P66" s="116">
        <f t="shared" si="20"/>
        <v>23</v>
      </c>
      <c r="Q66" s="116">
        <v>23</v>
      </c>
      <c r="R66" s="118">
        <f>IF($B$3&gt;0,$E$9,($B$13+$E$9))</f>
        <v>0</v>
      </c>
      <c r="S66" s="118">
        <f>IF($B$4&gt;0,$E$9,($B$13+$E$9))</f>
        <v>0</v>
      </c>
      <c r="T66" s="118">
        <f>$B$13+$E$9</f>
        <v>3750</v>
      </c>
      <c r="U66" s="118">
        <f>$B$12+$E$9</f>
        <v>3250</v>
      </c>
      <c r="V66" s="118">
        <f t="shared" si="21"/>
        <v>0</v>
      </c>
      <c r="W66" s="115">
        <f t="shared" si="22"/>
        <v>17750</v>
      </c>
    </row>
    <row r="67" spans="1:28" ht="13.5" customHeight="1" x14ac:dyDescent="0.35">
      <c r="A67" s="202">
        <v>41991</v>
      </c>
      <c r="B67" s="209" t="s">
        <v>227</v>
      </c>
      <c r="C67" s="209" t="s">
        <v>120</v>
      </c>
      <c r="D67" s="210" t="s">
        <v>211</v>
      </c>
      <c r="E67" s="211"/>
      <c r="F67" s="213"/>
      <c r="G67" s="118">
        <f t="shared" si="16"/>
        <v>5250</v>
      </c>
      <c r="H67" s="116">
        <v>10</v>
      </c>
      <c r="I67" s="118">
        <f t="shared" si="17"/>
        <v>5250</v>
      </c>
      <c r="J67" s="116">
        <v>8</v>
      </c>
      <c r="K67" s="115">
        <f t="shared" si="18"/>
        <v>9000</v>
      </c>
      <c r="L67" s="116">
        <v>3</v>
      </c>
      <c r="M67" s="118">
        <f t="shared" si="19"/>
        <v>8500</v>
      </c>
      <c r="N67" s="116">
        <v>2</v>
      </c>
      <c r="P67" s="116">
        <f t="shared" si="20"/>
        <v>23</v>
      </c>
      <c r="Q67" s="116">
        <v>23</v>
      </c>
      <c r="R67" s="118">
        <f>IF($B$3&gt;0,$E$5,($B$13+$E$5))</f>
        <v>5250</v>
      </c>
      <c r="S67" s="118">
        <f>IF($B$4&gt;0,$E$5,($B$13+$E$5))</f>
        <v>5250</v>
      </c>
      <c r="T67" s="118">
        <f>$B$13+$E$5</f>
        <v>9000</v>
      </c>
      <c r="U67" s="118">
        <f>$B$12+$E$5</f>
        <v>8500</v>
      </c>
      <c r="V67" s="118">
        <f t="shared" si="21"/>
        <v>0</v>
      </c>
      <c r="W67" s="115">
        <f t="shared" si="22"/>
        <v>138500</v>
      </c>
    </row>
    <row r="68" spans="1:28" ht="13.5" customHeight="1" x14ac:dyDescent="0.35">
      <c r="A68" s="202">
        <v>41994</v>
      </c>
      <c r="B68" s="209" t="s">
        <v>179</v>
      </c>
      <c r="C68" s="203" t="s">
        <v>155</v>
      </c>
      <c r="D68" s="210" t="s">
        <v>211</v>
      </c>
      <c r="E68" s="206"/>
      <c r="F68" s="213"/>
      <c r="G68" s="118">
        <f t="shared" si="16"/>
        <v>0</v>
      </c>
      <c r="H68" s="116">
        <v>10</v>
      </c>
      <c r="I68" s="118">
        <f t="shared" si="17"/>
        <v>0</v>
      </c>
      <c r="J68" s="116">
        <v>8</v>
      </c>
      <c r="K68" s="115">
        <f t="shared" si="18"/>
        <v>3750</v>
      </c>
      <c r="L68" s="116">
        <v>3</v>
      </c>
      <c r="M68" s="118">
        <f t="shared" si="19"/>
        <v>3250</v>
      </c>
      <c r="N68" s="116">
        <v>2</v>
      </c>
      <c r="P68" s="116">
        <f t="shared" si="20"/>
        <v>23</v>
      </c>
      <c r="Q68" s="116">
        <v>23</v>
      </c>
      <c r="R68" s="118">
        <f>IF($B$3&gt;0,$E$8,($B$13+$E$8))</f>
        <v>0</v>
      </c>
      <c r="S68" s="118">
        <f>IF($B$4&gt;0,$E$8,($B$13+$E$8))</f>
        <v>0</v>
      </c>
      <c r="T68" s="118">
        <f>$B$13+$E$8</f>
        <v>3750</v>
      </c>
      <c r="U68" s="118">
        <f>$B$12+$E$8</f>
        <v>3250</v>
      </c>
      <c r="V68" s="118">
        <f t="shared" si="21"/>
        <v>0</v>
      </c>
      <c r="W68" s="115">
        <f t="shared" si="22"/>
        <v>17750</v>
      </c>
    </row>
    <row r="69" spans="1:28" ht="13.5" customHeight="1" x14ac:dyDescent="0.35">
      <c r="A69" s="235"/>
      <c r="B69" s="236" t="s">
        <v>184</v>
      </c>
      <c r="C69" s="237"/>
      <c r="D69" s="238"/>
      <c r="E69" s="240"/>
      <c r="F69" s="241"/>
      <c r="G69" s="161">
        <f>$B$3</f>
        <v>100000</v>
      </c>
      <c r="H69" s="187">
        <v>10</v>
      </c>
      <c r="I69" s="161">
        <f>$B$4</f>
        <v>100000</v>
      </c>
      <c r="J69" s="187">
        <v>10</v>
      </c>
      <c r="K69" s="188"/>
      <c r="L69" s="187"/>
      <c r="M69" s="161"/>
      <c r="N69" s="187"/>
      <c r="O69" s="188">
        <f>$B$8</f>
        <v>1500</v>
      </c>
      <c r="P69" s="116"/>
      <c r="Q69" s="116">
        <v>6</v>
      </c>
      <c r="R69" s="118"/>
      <c r="S69" s="118"/>
      <c r="T69" s="118"/>
      <c r="U69" s="118"/>
      <c r="V69" s="118"/>
      <c r="W69" s="115">
        <f>(G69*H69)+(I69*J69)+(O69*Q69)</f>
        <v>2009000</v>
      </c>
      <c r="X69" s="189"/>
      <c r="Y69" s="189"/>
      <c r="Z69" s="189"/>
      <c r="AA69" s="189"/>
      <c r="AB69" s="189"/>
    </row>
    <row r="70" spans="1:28" ht="13.5" customHeight="1" x14ac:dyDescent="0.35">
      <c r="A70" s="235"/>
      <c r="B70" s="236" t="s">
        <v>192</v>
      </c>
      <c r="C70" s="237"/>
      <c r="D70" s="238"/>
      <c r="E70" s="240"/>
      <c r="F70" s="241"/>
      <c r="G70" s="161">
        <f>$E$12/($H71+$J71+$L71)</f>
        <v>14583.333333333334</v>
      </c>
      <c r="H70" s="187">
        <v>10</v>
      </c>
      <c r="I70" s="161">
        <f>$E$12/($H71+$J71+$L71)</f>
        <v>14583.333333333334</v>
      </c>
      <c r="J70" s="187">
        <v>10</v>
      </c>
      <c r="K70" s="188">
        <f>$E$12/($H71+$J71+$L71)</f>
        <v>14583.333333333334</v>
      </c>
      <c r="L70" s="187">
        <v>4</v>
      </c>
      <c r="M70" s="161"/>
      <c r="N70" s="187"/>
      <c r="O70" s="188"/>
      <c r="P70" s="116"/>
      <c r="Q70" s="116"/>
      <c r="R70" s="118"/>
      <c r="S70" s="118"/>
      <c r="T70" s="118"/>
      <c r="U70" s="118"/>
      <c r="V70" s="118"/>
      <c r="W70" s="115">
        <f>(G70*H70)+(I70*J70)+(K70*L70)+(M70*N70)</f>
        <v>350000</v>
      </c>
      <c r="X70" s="189"/>
      <c r="Y70" s="189"/>
      <c r="Z70" s="189"/>
      <c r="AA70" s="189"/>
      <c r="AB70" s="189"/>
    </row>
    <row r="71" spans="1:28" ht="13.5" customHeight="1" x14ac:dyDescent="0.4">
      <c r="A71" s="737" t="s">
        <v>229</v>
      </c>
      <c r="B71" s="635"/>
      <c r="C71" s="242"/>
      <c r="D71" s="736" t="s">
        <v>197</v>
      </c>
      <c r="E71" s="637"/>
      <c r="F71" s="635"/>
      <c r="G71" s="243">
        <f>SUMPRODUCT(G44:G70,H44:H70)</f>
        <v>2483876.5833333335</v>
      </c>
      <c r="H71" s="205">
        <v>10</v>
      </c>
      <c r="I71" s="243">
        <f>SUMPRODUCT(I44:I70,J44:J70)</f>
        <v>2133598.1333333333</v>
      </c>
      <c r="J71" s="205">
        <v>10</v>
      </c>
      <c r="K71" s="243">
        <f>SUMPRODUCT(K44:K70,L44:L70)</f>
        <v>490545.98333333334</v>
      </c>
      <c r="L71" s="205">
        <v>4</v>
      </c>
      <c r="M71" s="243">
        <f>SUMPRODUCT(M44:M70,N44:N70)</f>
        <v>134523.80000000002</v>
      </c>
      <c r="N71" s="205">
        <v>6</v>
      </c>
      <c r="O71" s="244">
        <f>O69*Q69</f>
        <v>9000</v>
      </c>
      <c r="P71" s="750" t="s">
        <v>201</v>
      </c>
      <c r="Q71" s="635"/>
      <c r="R71" s="205">
        <f>H71+J71+L71+N71</f>
        <v>30</v>
      </c>
      <c r="S71" s="243"/>
      <c r="T71" s="243"/>
      <c r="U71" s="243"/>
      <c r="V71" s="243"/>
      <c r="W71" s="245"/>
      <c r="X71" s="60"/>
      <c r="Y71" s="60"/>
      <c r="Z71" s="60"/>
      <c r="AA71" s="60"/>
      <c r="AB71" s="60"/>
    </row>
    <row r="72" spans="1:28" ht="13.5" customHeight="1" x14ac:dyDescent="0.4">
      <c r="A72" s="737" t="s">
        <v>231</v>
      </c>
      <c r="B72" s="635"/>
      <c r="C72" s="242"/>
      <c r="D72" s="736" t="s">
        <v>204</v>
      </c>
      <c r="E72" s="637"/>
      <c r="F72" s="635"/>
      <c r="G72" s="246">
        <f>G71/H71</f>
        <v>248387.65833333335</v>
      </c>
      <c r="H72" s="247">
        <f>(SUM(H44:H63)+SUM(H65:H68))/H71</f>
        <v>24</v>
      </c>
      <c r="I72" s="246">
        <f>I71/J71</f>
        <v>213359.81333333332</v>
      </c>
      <c r="J72" s="247">
        <f>(SUM(J44:J63)+SUM(J65:J68))/J71</f>
        <v>18</v>
      </c>
      <c r="K72" s="246">
        <f>K71/L71</f>
        <v>122636.49583333333</v>
      </c>
      <c r="L72" s="247">
        <f>(SUM(L44:L63)+SUM(L65:L68))/L71</f>
        <v>12</v>
      </c>
      <c r="M72" s="246">
        <f>M71/N71</f>
        <v>22420.633333333335</v>
      </c>
      <c r="N72" s="247">
        <f>(SUM(N44:N63)+SUM(N65:N68))/N71</f>
        <v>3</v>
      </c>
      <c r="O72" s="209"/>
      <c r="P72" s="749" t="s">
        <v>206</v>
      </c>
      <c r="Q72" s="635"/>
      <c r="R72" s="246">
        <f>SUM(G71,I71,K71,M71,O71)</f>
        <v>5251544.5</v>
      </c>
      <c r="S72" s="243"/>
      <c r="T72" s="243"/>
      <c r="U72" s="243"/>
      <c r="V72" s="243"/>
      <c r="W72" s="248">
        <f>SUM(W44:W70)</f>
        <v>5251544.5</v>
      </c>
      <c r="X72" s="60"/>
      <c r="Y72" s="60"/>
      <c r="Z72" s="60"/>
      <c r="AA72" s="60"/>
      <c r="AB72" s="60"/>
    </row>
    <row r="73" spans="1:28" ht="13.5" customHeight="1" x14ac:dyDescent="0.35">
      <c r="A73" s="249">
        <v>42043</v>
      </c>
      <c r="B73" s="250" t="s">
        <v>214</v>
      </c>
      <c r="C73" s="250" t="s">
        <v>166</v>
      </c>
      <c r="D73" s="251" t="s">
        <v>211</v>
      </c>
      <c r="E73" s="252"/>
      <c r="F73" s="253" t="s">
        <v>157</v>
      </c>
      <c r="G73" s="118">
        <f t="shared" ref="G73:G103" si="44">R73+V73</f>
        <v>0</v>
      </c>
      <c r="H73" s="116">
        <v>10</v>
      </c>
      <c r="I73" s="118">
        <f t="shared" ref="I73:I103" si="45">S73+V73</f>
        <v>0</v>
      </c>
      <c r="J73" s="116">
        <v>7</v>
      </c>
      <c r="K73" s="115">
        <f t="shared" ref="K73:K103" si="46">T73+V73</f>
        <v>3750</v>
      </c>
      <c r="L73" s="116">
        <v>3</v>
      </c>
      <c r="M73" s="118">
        <f t="shared" ref="M73:M103" si="47">U73+V73</f>
        <v>3250</v>
      </c>
      <c r="N73" s="116">
        <v>3</v>
      </c>
      <c r="P73" s="116">
        <f t="shared" ref="P73:P103" si="48">H73+J73+L73+N73</f>
        <v>23</v>
      </c>
      <c r="Q73" s="119">
        <v>23</v>
      </c>
      <c r="R73" s="118">
        <f>IF($B$3&gt;0,$E$9,($B$13+$E$9))</f>
        <v>0</v>
      </c>
      <c r="S73" s="118">
        <f>IF($B$4&gt;0,$E$9,($B$13+$E$9))</f>
        <v>0</v>
      </c>
      <c r="T73" s="118">
        <f>$B$13+$E$9</f>
        <v>3750</v>
      </c>
      <c r="U73" s="118">
        <f>$B$12+$E$9</f>
        <v>3250</v>
      </c>
      <c r="V73" s="118">
        <f t="shared" ref="V73:V103" si="49">($E73*($E$13/$Q73))</f>
        <v>0</v>
      </c>
      <c r="W73" s="115">
        <f t="shared" ref="W73:W103" si="50">(G73*H73)+(I73*J73)+(K73*L73)+(M73*N73)</f>
        <v>21000</v>
      </c>
    </row>
    <row r="74" spans="1:28" ht="13.5" customHeight="1" x14ac:dyDescent="0.35">
      <c r="A74" s="249">
        <v>42048</v>
      </c>
      <c r="B74" s="250" t="s">
        <v>234</v>
      </c>
      <c r="C74" s="250" t="s">
        <v>120</v>
      </c>
      <c r="D74" s="251" t="s">
        <v>211</v>
      </c>
      <c r="E74" s="254"/>
      <c r="F74" s="253" t="s">
        <v>157</v>
      </c>
      <c r="G74" s="118">
        <f t="shared" si="44"/>
        <v>8500</v>
      </c>
      <c r="H74" s="116">
        <v>10</v>
      </c>
      <c r="I74" s="118">
        <f t="shared" si="45"/>
        <v>8500</v>
      </c>
      <c r="J74" s="116">
        <v>7</v>
      </c>
      <c r="K74" s="115">
        <f t="shared" si="46"/>
        <v>12250</v>
      </c>
      <c r="L74" s="116">
        <v>3</v>
      </c>
      <c r="M74" s="118">
        <f t="shared" si="47"/>
        <v>11750</v>
      </c>
      <c r="N74" s="116">
        <v>3</v>
      </c>
      <c r="P74" s="116">
        <f t="shared" si="48"/>
        <v>23</v>
      </c>
      <c r="Q74" s="119">
        <v>23</v>
      </c>
      <c r="R74" s="118">
        <f>IF($B$3&gt;0,$E$3,($B$13+$E$3))</f>
        <v>8500</v>
      </c>
      <c r="S74" s="118">
        <f>IF($B$4&gt;0,$E$3,($B$13+$E$3))</f>
        <v>8500</v>
      </c>
      <c r="T74" s="118">
        <f>$B$13+$E$3</f>
        <v>12250</v>
      </c>
      <c r="U74" s="118">
        <f>$B$12+$E$3</f>
        <v>11750</v>
      </c>
      <c r="V74" s="118">
        <f t="shared" si="49"/>
        <v>0</v>
      </c>
      <c r="W74" s="115">
        <f t="shared" si="50"/>
        <v>216500</v>
      </c>
    </row>
    <row r="75" spans="1:28" ht="13.5" customHeight="1" x14ac:dyDescent="0.35">
      <c r="A75" s="255">
        <v>42067</v>
      </c>
      <c r="B75" s="256" t="s">
        <v>236</v>
      </c>
      <c r="C75" s="256" t="s">
        <v>120</v>
      </c>
      <c r="D75" s="257" t="s">
        <v>211</v>
      </c>
      <c r="E75" s="258"/>
      <c r="F75" s="259"/>
      <c r="G75" s="143">
        <f t="shared" si="44"/>
        <v>5250</v>
      </c>
      <c r="H75" s="139">
        <v>10</v>
      </c>
      <c r="I75" s="143">
        <f t="shared" si="45"/>
        <v>5250</v>
      </c>
      <c r="J75" s="139">
        <v>7</v>
      </c>
      <c r="K75" s="138">
        <f t="shared" si="46"/>
        <v>9000</v>
      </c>
      <c r="L75" s="139">
        <v>3</v>
      </c>
      <c r="M75" s="143">
        <f t="shared" si="47"/>
        <v>8500</v>
      </c>
      <c r="N75" s="139">
        <v>3</v>
      </c>
      <c r="O75" s="144"/>
      <c r="P75" s="139">
        <f t="shared" si="48"/>
        <v>23</v>
      </c>
      <c r="Q75" s="146">
        <v>23</v>
      </c>
      <c r="R75" s="143">
        <f t="shared" ref="R75:R76" si="51">IF($B$3&gt;0,$E$5,($B$13+$E$5))</f>
        <v>5250</v>
      </c>
      <c r="S75" s="143">
        <f t="shared" ref="S75:S76" si="52">IF($B$4&gt;0,$E$5,($B$13+$E$5))</f>
        <v>5250</v>
      </c>
      <c r="T75" s="143">
        <f t="shared" ref="T75:T76" si="53">$B$13+$E$5</f>
        <v>9000</v>
      </c>
      <c r="U75" s="143">
        <f t="shared" ref="U75:U76" si="54">$B$12+$E$5</f>
        <v>8500</v>
      </c>
      <c r="V75" s="143">
        <f t="shared" si="49"/>
        <v>0</v>
      </c>
      <c r="W75" s="138">
        <f t="shared" si="50"/>
        <v>141750</v>
      </c>
      <c r="X75" s="144"/>
      <c r="Y75" s="144"/>
      <c r="Z75" s="144"/>
      <c r="AA75" s="144"/>
      <c r="AB75" s="144"/>
    </row>
    <row r="76" spans="1:28" ht="13.5" customHeight="1" x14ac:dyDescent="0.35">
      <c r="A76" s="255">
        <v>42069</v>
      </c>
      <c r="B76" s="256" t="s">
        <v>216</v>
      </c>
      <c r="C76" s="256" t="s">
        <v>120</v>
      </c>
      <c r="D76" s="257" t="s">
        <v>211</v>
      </c>
      <c r="E76" s="258"/>
      <c r="F76" s="260"/>
      <c r="G76" s="143">
        <f t="shared" si="44"/>
        <v>5250</v>
      </c>
      <c r="H76" s="139">
        <v>10</v>
      </c>
      <c r="I76" s="143">
        <f t="shared" si="45"/>
        <v>5250</v>
      </c>
      <c r="J76" s="139">
        <v>7</v>
      </c>
      <c r="K76" s="138">
        <f t="shared" si="46"/>
        <v>9000</v>
      </c>
      <c r="L76" s="139">
        <v>3</v>
      </c>
      <c r="M76" s="143">
        <f t="shared" si="47"/>
        <v>8500</v>
      </c>
      <c r="N76" s="139">
        <v>3</v>
      </c>
      <c r="O76" s="144"/>
      <c r="P76" s="139">
        <f t="shared" si="48"/>
        <v>23</v>
      </c>
      <c r="Q76" s="146">
        <v>23</v>
      </c>
      <c r="R76" s="143">
        <f t="shared" si="51"/>
        <v>5250</v>
      </c>
      <c r="S76" s="143">
        <f t="shared" si="52"/>
        <v>5250</v>
      </c>
      <c r="T76" s="143">
        <f t="shared" si="53"/>
        <v>9000</v>
      </c>
      <c r="U76" s="143">
        <f t="shared" si="54"/>
        <v>8500</v>
      </c>
      <c r="V76" s="143">
        <f t="shared" si="49"/>
        <v>0</v>
      </c>
      <c r="W76" s="138">
        <f t="shared" si="50"/>
        <v>141750</v>
      </c>
      <c r="X76" s="144"/>
      <c r="Y76" s="144"/>
      <c r="Z76" s="144"/>
      <c r="AA76" s="144"/>
      <c r="AB76" s="144"/>
    </row>
    <row r="77" spans="1:28" ht="13.5" customHeight="1" x14ac:dyDescent="0.35">
      <c r="A77" s="255">
        <v>42072</v>
      </c>
      <c r="B77" s="256" t="s">
        <v>133</v>
      </c>
      <c r="C77" s="256" t="s">
        <v>155</v>
      </c>
      <c r="D77" s="257" t="s">
        <v>211</v>
      </c>
      <c r="E77" s="260"/>
      <c r="F77" s="260"/>
      <c r="G77" s="143">
        <f t="shared" si="44"/>
        <v>0</v>
      </c>
      <c r="H77" s="139">
        <v>10</v>
      </c>
      <c r="I77" s="143">
        <f t="shared" si="45"/>
        <v>0</v>
      </c>
      <c r="J77" s="139">
        <v>7</v>
      </c>
      <c r="K77" s="138">
        <f t="shared" si="46"/>
        <v>3750</v>
      </c>
      <c r="L77" s="139">
        <v>3</v>
      </c>
      <c r="M77" s="143">
        <f t="shared" si="47"/>
        <v>3250</v>
      </c>
      <c r="N77" s="139">
        <v>3</v>
      </c>
      <c r="O77" s="144"/>
      <c r="P77" s="139">
        <f t="shared" si="48"/>
        <v>23</v>
      </c>
      <c r="Q77" s="146">
        <v>23</v>
      </c>
      <c r="R77" s="143">
        <f>IF($B$3&gt;0,$E$8,($B$13+$E$8))</f>
        <v>0</v>
      </c>
      <c r="S77" s="143">
        <f>IF($B$4&gt;0,$E$8,($B$13+$E$8))</f>
        <v>0</v>
      </c>
      <c r="T77" s="143">
        <f>$B$13+$E$8</f>
        <v>3750</v>
      </c>
      <c r="U77" s="143">
        <f>$B$12+$E$8</f>
        <v>3250</v>
      </c>
      <c r="V77" s="143">
        <f t="shared" si="49"/>
        <v>0</v>
      </c>
      <c r="W77" s="138">
        <f t="shared" si="50"/>
        <v>21000</v>
      </c>
      <c r="X77" s="144"/>
      <c r="Y77" s="144"/>
      <c r="Z77" s="144"/>
      <c r="AA77" s="144"/>
      <c r="AB77" s="144"/>
    </row>
    <row r="78" spans="1:28" ht="13.5" customHeight="1" x14ac:dyDescent="0.35">
      <c r="A78" s="255">
        <v>42074</v>
      </c>
      <c r="B78" s="256" t="s">
        <v>214</v>
      </c>
      <c r="C78" s="256" t="s">
        <v>120</v>
      </c>
      <c r="D78" s="261" t="s">
        <v>211</v>
      </c>
      <c r="E78" s="258"/>
      <c r="F78" s="258" t="s">
        <v>157</v>
      </c>
      <c r="G78" s="143">
        <f t="shared" si="44"/>
        <v>8500</v>
      </c>
      <c r="H78" s="139">
        <v>10</v>
      </c>
      <c r="I78" s="143">
        <f t="shared" si="45"/>
        <v>8500</v>
      </c>
      <c r="J78" s="139">
        <v>7</v>
      </c>
      <c r="K78" s="138">
        <f t="shared" si="46"/>
        <v>12250</v>
      </c>
      <c r="L78" s="139">
        <v>3</v>
      </c>
      <c r="M78" s="143">
        <f t="shared" si="47"/>
        <v>11750</v>
      </c>
      <c r="N78" s="139">
        <v>3</v>
      </c>
      <c r="O78" s="144"/>
      <c r="P78" s="139">
        <f t="shared" si="48"/>
        <v>23</v>
      </c>
      <c r="Q78" s="146">
        <v>23</v>
      </c>
      <c r="R78" s="143">
        <f>IF($B$3&gt;0,$E$3,($B$13+$E$3))</f>
        <v>8500</v>
      </c>
      <c r="S78" s="143">
        <f>IF($B$4&gt;0,$E$3,($B$13+$E$3))</f>
        <v>8500</v>
      </c>
      <c r="T78" s="143">
        <f>$B$13+$E$3</f>
        <v>12250</v>
      </c>
      <c r="U78" s="143">
        <f>$B$12+$E$3</f>
        <v>11750</v>
      </c>
      <c r="V78" s="143">
        <f t="shared" si="49"/>
        <v>0</v>
      </c>
      <c r="W78" s="138">
        <f t="shared" si="50"/>
        <v>216500</v>
      </c>
      <c r="X78" s="144"/>
      <c r="Y78" s="144"/>
      <c r="Z78" s="144"/>
      <c r="AA78" s="144"/>
      <c r="AB78" s="144"/>
    </row>
    <row r="79" spans="1:28" ht="13.5" customHeight="1" x14ac:dyDescent="0.35">
      <c r="A79" s="255"/>
      <c r="B79" s="734" t="s">
        <v>160</v>
      </c>
      <c r="C79" s="637"/>
      <c r="D79" s="635"/>
      <c r="E79" s="258"/>
      <c r="F79" s="258"/>
      <c r="G79" s="143">
        <f t="shared" si="44"/>
        <v>5000</v>
      </c>
      <c r="H79" s="139">
        <v>10</v>
      </c>
      <c r="I79" s="143">
        <f t="shared" si="45"/>
        <v>5000</v>
      </c>
      <c r="J79" s="139">
        <v>7</v>
      </c>
      <c r="K79" s="138">
        <f t="shared" si="46"/>
        <v>5000</v>
      </c>
      <c r="L79" s="139">
        <v>3</v>
      </c>
      <c r="M79" s="143">
        <f t="shared" si="47"/>
        <v>5000</v>
      </c>
      <c r="N79" s="139">
        <v>3</v>
      </c>
      <c r="O79" s="144"/>
      <c r="P79" s="139">
        <f t="shared" si="48"/>
        <v>23</v>
      </c>
      <c r="Q79" s="146">
        <v>23</v>
      </c>
      <c r="R79" s="143">
        <f t="shared" ref="R79:U79" si="55">$J$7</f>
        <v>5000</v>
      </c>
      <c r="S79" s="143">
        <f t="shared" si="55"/>
        <v>5000</v>
      </c>
      <c r="T79" s="143">
        <f t="shared" si="55"/>
        <v>5000</v>
      </c>
      <c r="U79" s="143">
        <f t="shared" si="55"/>
        <v>5000</v>
      </c>
      <c r="V79" s="143">
        <f t="shared" si="49"/>
        <v>0</v>
      </c>
      <c r="W79" s="138">
        <f t="shared" si="50"/>
        <v>115000</v>
      </c>
      <c r="X79" s="144"/>
      <c r="Y79" s="144"/>
      <c r="Z79" s="144"/>
      <c r="AA79" s="144"/>
      <c r="AB79" s="144"/>
    </row>
    <row r="80" spans="1:28" ht="13.5" customHeight="1" x14ac:dyDescent="0.35">
      <c r="A80" s="249">
        <v>42098</v>
      </c>
      <c r="B80" s="250" t="s">
        <v>174</v>
      </c>
      <c r="C80" s="250" t="s">
        <v>120</v>
      </c>
      <c r="D80" s="264" t="s">
        <v>207</v>
      </c>
      <c r="E80" s="265">
        <v>35817</v>
      </c>
      <c r="F80" s="252"/>
      <c r="G80" s="118">
        <f t="shared" si="44"/>
        <v>7936.2749999999996</v>
      </c>
      <c r="H80" s="116">
        <v>10</v>
      </c>
      <c r="I80" s="118">
        <f t="shared" si="45"/>
        <v>7936.2749999999996</v>
      </c>
      <c r="J80" s="116">
        <v>5</v>
      </c>
      <c r="K80" s="115">
        <f t="shared" si="46"/>
        <v>11686.275</v>
      </c>
      <c r="L80" s="116">
        <v>3</v>
      </c>
      <c r="M80" s="118">
        <f t="shared" si="47"/>
        <v>11186.275</v>
      </c>
      <c r="N80" s="116">
        <v>2</v>
      </c>
      <c r="P80" s="116">
        <f t="shared" si="48"/>
        <v>20</v>
      </c>
      <c r="Q80" s="119">
        <v>20</v>
      </c>
      <c r="R80" s="118">
        <f t="shared" ref="R80:R82" si="56">IF($B$3&gt;0,$E$5,($B$13+$E$5))</f>
        <v>5250</v>
      </c>
      <c r="S80" s="118">
        <f t="shared" ref="S80:S82" si="57">IF($B$4&gt;0,$E$5,($B$13+$E$5))</f>
        <v>5250</v>
      </c>
      <c r="T80" s="118">
        <f t="shared" ref="T80:T82" si="58">$B$13+$E$5</f>
        <v>9000</v>
      </c>
      <c r="U80" s="118">
        <f t="shared" ref="U80:U82" si="59">$B$12+$E$5</f>
        <v>8500</v>
      </c>
      <c r="V80" s="118">
        <f t="shared" si="49"/>
        <v>2686.2750000000001</v>
      </c>
      <c r="W80" s="115">
        <f t="shared" si="50"/>
        <v>176475.5</v>
      </c>
    </row>
    <row r="81" spans="1:28" ht="13.5" customHeight="1" x14ac:dyDescent="0.35">
      <c r="A81" s="249">
        <v>42134</v>
      </c>
      <c r="B81" s="250" t="s">
        <v>240</v>
      </c>
      <c r="C81" s="250" t="s">
        <v>120</v>
      </c>
      <c r="D81" s="264" t="s">
        <v>207</v>
      </c>
      <c r="E81" s="265">
        <v>18000</v>
      </c>
      <c r="F81" s="252"/>
      <c r="G81" s="118">
        <f t="shared" si="44"/>
        <v>6423.913043478261</v>
      </c>
      <c r="H81" s="116">
        <v>10</v>
      </c>
      <c r="I81" s="118">
        <f t="shared" si="45"/>
        <v>6423.913043478261</v>
      </c>
      <c r="J81" s="116">
        <v>8</v>
      </c>
      <c r="K81" s="115">
        <f t="shared" si="46"/>
        <v>10173.91304347826</v>
      </c>
      <c r="L81" s="116">
        <v>4</v>
      </c>
      <c r="M81" s="118">
        <f t="shared" si="47"/>
        <v>9673.9130434782601</v>
      </c>
      <c r="N81" s="116">
        <v>1</v>
      </c>
      <c r="O81" s="104"/>
      <c r="P81" s="116">
        <f t="shared" si="48"/>
        <v>23</v>
      </c>
      <c r="Q81" s="119">
        <v>23</v>
      </c>
      <c r="R81" s="118">
        <f t="shared" si="56"/>
        <v>5250</v>
      </c>
      <c r="S81" s="118">
        <f t="shared" si="57"/>
        <v>5250</v>
      </c>
      <c r="T81" s="118">
        <f t="shared" si="58"/>
        <v>9000</v>
      </c>
      <c r="U81" s="118">
        <f t="shared" si="59"/>
        <v>8500</v>
      </c>
      <c r="V81" s="118">
        <f t="shared" si="49"/>
        <v>1173.9130434782608</v>
      </c>
      <c r="W81" s="115">
        <f t="shared" si="50"/>
        <v>166000</v>
      </c>
      <c r="X81" s="60"/>
      <c r="Y81" s="60"/>
      <c r="Z81" s="60"/>
      <c r="AA81" s="60"/>
      <c r="AB81" s="60"/>
    </row>
    <row r="82" spans="1:28" ht="13.5" customHeight="1" x14ac:dyDescent="0.35">
      <c r="A82" s="249">
        <v>42141</v>
      </c>
      <c r="B82" s="250" t="s">
        <v>170</v>
      </c>
      <c r="C82" s="250" t="s">
        <v>120</v>
      </c>
      <c r="D82" s="251" t="s">
        <v>207</v>
      </c>
      <c r="E82" s="265">
        <v>27000</v>
      </c>
      <c r="F82" s="254"/>
      <c r="G82" s="118">
        <f t="shared" si="44"/>
        <v>7010.869565217391</v>
      </c>
      <c r="H82" s="116">
        <v>10</v>
      </c>
      <c r="I82" s="118">
        <f t="shared" si="45"/>
        <v>7010.869565217391</v>
      </c>
      <c r="J82" s="116">
        <v>8</v>
      </c>
      <c r="K82" s="115">
        <f t="shared" si="46"/>
        <v>10760.869565217392</v>
      </c>
      <c r="L82" s="116">
        <v>4</v>
      </c>
      <c r="M82" s="118">
        <f t="shared" si="47"/>
        <v>10260.869565217392</v>
      </c>
      <c r="N82" s="116">
        <v>1</v>
      </c>
      <c r="O82" s="104"/>
      <c r="P82" s="116">
        <f t="shared" si="48"/>
        <v>23</v>
      </c>
      <c r="Q82" s="119">
        <v>23</v>
      </c>
      <c r="R82" s="118">
        <f t="shared" si="56"/>
        <v>5250</v>
      </c>
      <c r="S82" s="118">
        <f t="shared" si="57"/>
        <v>5250</v>
      </c>
      <c r="T82" s="118">
        <f t="shared" si="58"/>
        <v>9000</v>
      </c>
      <c r="U82" s="118">
        <f t="shared" si="59"/>
        <v>8500</v>
      </c>
      <c r="V82" s="118">
        <f t="shared" si="49"/>
        <v>1760.8695652173913</v>
      </c>
      <c r="W82" s="115">
        <f t="shared" si="50"/>
        <v>179500</v>
      </c>
      <c r="X82" s="60"/>
      <c r="Y82" s="60"/>
      <c r="Z82" s="60"/>
      <c r="AA82" s="60"/>
      <c r="AB82" s="60"/>
    </row>
    <row r="83" spans="1:28" ht="13.5" customHeight="1" x14ac:dyDescent="0.35">
      <c r="A83" s="249">
        <v>42154</v>
      </c>
      <c r="B83" s="250" t="s">
        <v>168</v>
      </c>
      <c r="C83" s="250" t="s">
        <v>155</v>
      </c>
      <c r="D83" s="251" t="s">
        <v>207</v>
      </c>
      <c r="E83" s="265">
        <v>26467</v>
      </c>
      <c r="F83" s="253"/>
      <c r="G83" s="118">
        <f t="shared" si="44"/>
        <v>1726.1086956521738</v>
      </c>
      <c r="H83" s="116">
        <v>10</v>
      </c>
      <c r="I83" s="118">
        <f t="shared" si="45"/>
        <v>1726.1086956521738</v>
      </c>
      <c r="J83" s="116">
        <v>8</v>
      </c>
      <c r="K83" s="115">
        <f t="shared" si="46"/>
        <v>5476.108695652174</v>
      </c>
      <c r="L83" s="116">
        <v>4</v>
      </c>
      <c r="M83" s="118">
        <f t="shared" si="47"/>
        <v>4976.108695652174</v>
      </c>
      <c r="N83" s="116">
        <v>1</v>
      </c>
      <c r="O83" s="104"/>
      <c r="P83" s="116">
        <f t="shared" si="48"/>
        <v>23</v>
      </c>
      <c r="Q83" s="119">
        <v>23</v>
      </c>
      <c r="R83" s="118">
        <f>IF($B$3&gt;0,$E$8,($B$13+$E$8))</f>
        <v>0</v>
      </c>
      <c r="S83" s="118">
        <f>IF($B$4&gt;0,$E$8,($B$13+$E$8))</f>
        <v>0</v>
      </c>
      <c r="T83" s="118">
        <f>$B$13+$E$8</f>
        <v>3750</v>
      </c>
      <c r="U83" s="118">
        <f>$B$12+$E$8</f>
        <v>3250</v>
      </c>
      <c r="V83" s="118">
        <f t="shared" si="49"/>
        <v>1726.1086956521738</v>
      </c>
      <c r="W83" s="115">
        <f t="shared" si="50"/>
        <v>57950.5</v>
      </c>
      <c r="X83" s="60"/>
      <c r="Y83" s="60"/>
      <c r="Z83" s="60"/>
      <c r="AA83" s="60"/>
      <c r="AB83" s="60"/>
    </row>
    <row r="84" spans="1:28" ht="13.5" customHeight="1" x14ac:dyDescent="0.35">
      <c r="A84" s="269"/>
      <c r="B84" s="735" t="s">
        <v>222</v>
      </c>
      <c r="C84" s="637"/>
      <c r="D84" s="637"/>
      <c r="E84" s="637"/>
      <c r="F84" s="635"/>
      <c r="G84" s="168">
        <f t="shared" si="44"/>
        <v>37500</v>
      </c>
      <c r="H84" s="171">
        <f t="shared" ref="H84:H85" si="60">IF($Q$1&lt;&gt;"NQ",10,0)</f>
        <v>10</v>
      </c>
      <c r="I84" s="168">
        <f t="shared" si="45"/>
        <v>37500</v>
      </c>
      <c r="J84" s="171">
        <f t="shared" ref="J84:J85" si="61">IF($Q$1&lt;&gt;"NQ",8,0)</f>
        <v>8</v>
      </c>
      <c r="K84" s="224">
        <f t="shared" si="46"/>
        <v>51000</v>
      </c>
      <c r="L84" s="171">
        <f t="shared" ref="L84:L85" si="62">IF($Q$1&lt;&gt;"NQ",4,0)</f>
        <v>4</v>
      </c>
      <c r="M84" s="168">
        <f t="shared" si="47"/>
        <v>51000</v>
      </c>
      <c r="N84" s="171">
        <f t="shared" ref="N84:N85" si="63">IF($Q$1&lt;&gt;"NQ",1,0)</f>
        <v>1</v>
      </c>
      <c r="O84" s="171"/>
      <c r="P84" s="172">
        <f t="shared" si="48"/>
        <v>23</v>
      </c>
      <c r="Q84" s="171">
        <v>23</v>
      </c>
      <c r="R84" s="173">
        <f>IF(AND($Q$1&lt;&gt;"NQ",$B$3&gt;0),$Q$3,IF(AND($Q$1&lt;&gt;"NQ",$B$3=0),$Q$3+($Q$12*3),0))</f>
        <v>37500</v>
      </c>
      <c r="S84" s="173">
        <f>IF(AND($Q$1&lt;&gt;"NQ",$B$4&gt;0),$Q$3,IF(AND($Q$1&lt;&gt;"NQ",$B$4=0),$Q$3+($Q$12*3),0))</f>
        <v>37500</v>
      </c>
      <c r="T84" s="173">
        <f t="shared" ref="T84:U84" si="64">IF($Q$1&lt;&gt;"NQ",$Q$3+($Q$12*3),0)</f>
        <v>51000</v>
      </c>
      <c r="U84" s="173">
        <f t="shared" si="64"/>
        <v>51000</v>
      </c>
      <c r="V84" s="275">
        <f t="shared" si="49"/>
        <v>0</v>
      </c>
      <c r="W84" s="224">
        <f t="shared" si="50"/>
        <v>930000</v>
      </c>
      <c r="X84" s="171"/>
      <c r="Y84" s="171"/>
      <c r="Z84" s="171"/>
      <c r="AA84" s="171"/>
      <c r="AB84" s="171"/>
    </row>
    <row r="85" spans="1:28" ht="13.5" customHeight="1" x14ac:dyDescent="0.35">
      <c r="A85" s="269"/>
      <c r="B85" s="735" t="s">
        <v>225</v>
      </c>
      <c r="C85" s="637"/>
      <c r="D85" s="637"/>
      <c r="E85" s="637"/>
      <c r="F85" s="635"/>
      <c r="G85" s="168">
        <f t="shared" si="44"/>
        <v>0</v>
      </c>
      <c r="H85" s="171">
        <f t="shared" si="60"/>
        <v>10</v>
      </c>
      <c r="I85" s="168">
        <f t="shared" si="45"/>
        <v>0</v>
      </c>
      <c r="J85" s="171">
        <f t="shared" si="61"/>
        <v>8</v>
      </c>
      <c r="K85" s="224">
        <f t="shared" si="46"/>
        <v>0</v>
      </c>
      <c r="L85" s="171">
        <f t="shared" si="62"/>
        <v>4</v>
      </c>
      <c r="M85" s="168">
        <f t="shared" si="47"/>
        <v>0</v>
      </c>
      <c r="N85" s="171">
        <f t="shared" si="63"/>
        <v>1</v>
      </c>
      <c r="O85" s="171"/>
      <c r="P85" s="172">
        <f t="shared" si="48"/>
        <v>23</v>
      </c>
      <c r="Q85" s="171">
        <v>23</v>
      </c>
      <c r="R85" s="173">
        <f t="shared" ref="R85:U85" si="65">IF($Q$1&lt;&gt;"NQ",$Q$5*$R$1,0)</f>
        <v>0</v>
      </c>
      <c r="S85" s="173">
        <f t="shared" si="65"/>
        <v>0</v>
      </c>
      <c r="T85" s="173">
        <f t="shared" si="65"/>
        <v>0</v>
      </c>
      <c r="U85" s="173">
        <f t="shared" si="65"/>
        <v>0</v>
      </c>
      <c r="V85" s="275">
        <f t="shared" si="49"/>
        <v>0</v>
      </c>
      <c r="W85" s="224">
        <f t="shared" si="50"/>
        <v>0</v>
      </c>
      <c r="X85" s="171"/>
      <c r="Y85" s="171"/>
      <c r="Z85" s="171"/>
      <c r="AA85" s="171"/>
      <c r="AB85" s="171"/>
    </row>
    <row r="86" spans="1:28" ht="13.5" customHeight="1" x14ac:dyDescent="0.35">
      <c r="A86" s="269"/>
      <c r="B86" s="748" t="s">
        <v>226</v>
      </c>
      <c r="C86" s="637"/>
      <c r="D86" s="637"/>
      <c r="E86" s="637"/>
      <c r="F86" s="635"/>
      <c r="G86" s="168">
        <f t="shared" si="44"/>
        <v>0</v>
      </c>
      <c r="H86" s="171">
        <f>IF(OR($Q$1="KO",$Q$1="QF",$Q$1="SF",$Q$1="3rd",$Q$1="2nd",$Q$1="1st",),H$85,0)</f>
        <v>10</v>
      </c>
      <c r="I86" s="168">
        <f t="shared" si="45"/>
        <v>0</v>
      </c>
      <c r="J86" s="171">
        <f>IF(OR($Q$1="KO",$Q$1="QF",$Q$1="SF",$Q$1="3rd",$Q$1="2nd",$Q$1="1st",),J$85,0)</f>
        <v>8</v>
      </c>
      <c r="K86" s="224">
        <f t="shared" si="46"/>
        <v>0</v>
      </c>
      <c r="L86" s="171">
        <f>IF(OR($Q$1="KO",$Q$1="QF",$Q$1="SF",$Q$1="3rd",$Q$1="2nd",$Q$1="1st",),L$85,0)</f>
        <v>4</v>
      </c>
      <c r="M86" s="168">
        <f t="shared" si="47"/>
        <v>0</v>
      </c>
      <c r="N86" s="171">
        <f>IF(OR($Q$1="KO",$Q$1="QF",$Q$1="SF",$Q$1="3rd",$Q$1="2nd",$Q$1="1st",),N$85,0)</f>
        <v>1</v>
      </c>
      <c r="O86" s="171"/>
      <c r="P86" s="172">
        <f t="shared" si="48"/>
        <v>23</v>
      </c>
      <c r="Q86" s="171">
        <v>23</v>
      </c>
      <c r="R86" s="173">
        <f>IF(AND($Q$1="KO",$B$3&gt;0),$Q$6,IF(AND($Q$1="KO",$B$3=0),$Q$6+$Q$12,0))</f>
        <v>0</v>
      </c>
      <c r="S86" s="173">
        <f>IF(AND($Q$1="KO",$B$4&gt;0),$Q$6,IF(AND($Q$1="KO",$B$4=0),$Q$6+$Q$12,0))</f>
        <v>0</v>
      </c>
      <c r="T86" s="173">
        <f t="shared" ref="T86:U86" si="66">IF($Q$1="KO",$Q$6+$Q$12,0)</f>
        <v>0</v>
      </c>
      <c r="U86" s="173">
        <f t="shared" si="66"/>
        <v>0</v>
      </c>
      <c r="V86" s="275">
        <f t="shared" si="49"/>
        <v>0</v>
      </c>
      <c r="W86" s="224">
        <f t="shared" si="50"/>
        <v>0</v>
      </c>
      <c r="X86" s="171"/>
      <c r="Y86" s="171"/>
      <c r="Z86" s="171"/>
      <c r="AA86" s="171"/>
      <c r="AB86" s="171"/>
    </row>
    <row r="87" spans="1:28" ht="13.5" customHeight="1" x14ac:dyDescent="0.35">
      <c r="A87" s="269"/>
      <c r="B87" s="748" t="s">
        <v>228</v>
      </c>
      <c r="C87" s="637"/>
      <c r="D87" s="637"/>
      <c r="E87" s="637"/>
      <c r="F87" s="635"/>
      <c r="G87" s="168">
        <f t="shared" si="44"/>
        <v>0</v>
      </c>
      <c r="H87" s="171">
        <f>IF(OR($Q$1="QF",$Q$1="SF",$Q$1="3rd",$Q$1="2nd",$Q$1="1st",),H$85,0)</f>
        <v>10</v>
      </c>
      <c r="I87" s="168">
        <f t="shared" si="45"/>
        <v>0</v>
      </c>
      <c r="J87" s="171">
        <f>IF(OR($Q$1="QF",$Q$1="SF",$Q$1="3rd",$Q$1="2nd",$Q$1="1st",),J$85,0)</f>
        <v>8</v>
      </c>
      <c r="K87" s="224">
        <f t="shared" si="46"/>
        <v>0</v>
      </c>
      <c r="L87" s="171">
        <f>IF(OR($Q$1="QF",$Q$1="SF",$Q$1="3rd",$Q$1="2nd",$Q$1="1st",),L$85,0)</f>
        <v>4</v>
      </c>
      <c r="M87" s="168">
        <f t="shared" si="47"/>
        <v>0</v>
      </c>
      <c r="N87" s="171">
        <f>IF(OR($Q$1="QF",$Q$1="SF",$Q$1="3rd",$Q$1="2nd",$Q$1="1st",),N$85,0)</f>
        <v>1</v>
      </c>
      <c r="O87" s="171"/>
      <c r="P87" s="172">
        <f t="shared" si="48"/>
        <v>23</v>
      </c>
      <c r="Q87" s="171">
        <v>23</v>
      </c>
      <c r="R87" s="173">
        <f>IF(AND($Q$1="QF",$B$3&gt;0),$Q$6+$Q$7,IF(AND($Q$1="QF",$B$3=0),$Q$6+$Q$7+(2*Q$12),0))</f>
        <v>0</v>
      </c>
      <c r="S87" s="173">
        <f>IF(AND($Q$1="QF",$B$4&gt;0),$Q$6+$Q$7,IF(AND($Q$1="QF",$B$4=0),$Q$6+$Q$7+(2*Q$12),0))</f>
        <v>0</v>
      </c>
      <c r="T87" s="173">
        <f>IF($Q$1="QF",$Q$6+$Q$7+(2*Q$12),0)</f>
        <v>0</v>
      </c>
      <c r="U87" s="173">
        <f>IF($Q$1="QF",$Q$6+$Q$7+(2*Q$12),0)</f>
        <v>0</v>
      </c>
      <c r="V87" s="275">
        <f t="shared" si="49"/>
        <v>0</v>
      </c>
      <c r="W87" s="224">
        <f t="shared" si="50"/>
        <v>0</v>
      </c>
      <c r="X87" s="171"/>
      <c r="Y87" s="171"/>
      <c r="Z87" s="171"/>
      <c r="AA87" s="171"/>
      <c r="AB87" s="171"/>
    </row>
    <row r="88" spans="1:28" ht="13.5" customHeight="1" x14ac:dyDescent="0.35">
      <c r="A88" s="269"/>
      <c r="B88" s="748" t="s">
        <v>230</v>
      </c>
      <c r="C88" s="637"/>
      <c r="D88" s="637"/>
      <c r="E88" s="637"/>
      <c r="F88" s="635"/>
      <c r="G88" s="168">
        <f t="shared" si="44"/>
        <v>0</v>
      </c>
      <c r="H88" s="171">
        <f>IF(OR($Q$1="SF",$Q$1="3rd",$Q$1="2nd",$Q$1="1st",),H$85,0)</f>
        <v>10</v>
      </c>
      <c r="I88" s="168">
        <f t="shared" si="45"/>
        <v>0</v>
      </c>
      <c r="J88" s="171">
        <f>IF(OR($Q$1="SF",$Q$1="3rd",$Q$1="2nd",$Q$1="1st",),J$85,0)</f>
        <v>8</v>
      </c>
      <c r="K88" s="224">
        <f t="shared" si="46"/>
        <v>0</v>
      </c>
      <c r="L88" s="171">
        <f>IF(OR($Q$1="SF",$Q$1="3rd",$Q$1="2nd",$Q$1="1st",),L$85,0)</f>
        <v>4</v>
      </c>
      <c r="M88" s="168">
        <f t="shared" si="47"/>
        <v>0</v>
      </c>
      <c r="N88" s="171">
        <f>IF(OR($Q$1="SF",$Q$1="3rd",$Q$1="2nd",$Q$1="1st",),N$85,0)</f>
        <v>1</v>
      </c>
      <c r="O88" s="171"/>
      <c r="P88" s="172">
        <f t="shared" si="48"/>
        <v>23</v>
      </c>
      <c r="Q88" s="171">
        <v>23</v>
      </c>
      <c r="R88" s="173">
        <f>IF(AND($Q$1="SF",$B$3&gt;0),$Q$6+$Q$7+$Q$8,IF(AND($Q$1="SF",$B$3=0),$Q$6+$Q$7+$Q$8+(4*Q$12),0))</f>
        <v>0</v>
      </c>
      <c r="S88" s="173">
        <f>IF(AND($Q$1="SF",$B$4&gt;0),$Q$6+$Q$7+$Q$8,IF(AND($Q$1="SF",$B$4=0),$Q$6+$Q$7+$Q$8+(4*Q$12),0))</f>
        <v>0</v>
      </c>
      <c r="T88" s="173">
        <f>IF($Q$1="SF",$Q$6+$Q$7+$Q$8+(4*Q$12),0)</f>
        <v>0</v>
      </c>
      <c r="U88" s="173">
        <f>IF($Q$1="SF",$Q$6+$Q$7+$Q$8+(4*Q$12),0)</f>
        <v>0</v>
      </c>
      <c r="V88" s="275">
        <f t="shared" si="49"/>
        <v>0</v>
      </c>
      <c r="W88" s="224">
        <f t="shared" si="50"/>
        <v>0</v>
      </c>
      <c r="X88" s="171"/>
      <c r="Y88" s="171"/>
      <c r="Z88" s="171"/>
      <c r="AA88" s="171"/>
      <c r="AB88" s="171"/>
    </row>
    <row r="89" spans="1:28" ht="13.5" customHeight="1" x14ac:dyDescent="0.35">
      <c r="A89" s="269"/>
      <c r="B89" s="748" t="s">
        <v>232</v>
      </c>
      <c r="C89" s="637"/>
      <c r="D89" s="637"/>
      <c r="E89" s="637"/>
      <c r="F89" s="635"/>
      <c r="G89" s="168">
        <f t="shared" si="44"/>
        <v>0</v>
      </c>
      <c r="H89" s="171">
        <f>IF($Q$1="3rd",$H$85,0)</f>
        <v>0</v>
      </c>
      <c r="I89" s="168">
        <f t="shared" si="45"/>
        <v>0</v>
      </c>
      <c r="J89" s="171">
        <f>IF($Q$1="3rd",$J$85,0)</f>
        <v>0</v>
      </c>
      <c r="K89" s="224">
        <f t="shared" si="46"/>
        <v>0</v>
      </c>
      <c r="L89" s="171">
        <f>IF($Q$1="3rd",$L$85,0)</f>
        <v>0</v>
      </c>
      <c r="M89" s="168">
        <f t="shared" si="47"/>
        <v>0</v>
      </c>
      <c r="N89" s="171">
        <f>IF($Q$1="3rd",$N$85,0)</f>
        <v>0</v>
      </c>
      <c r="O89" s="171"/>
      <c r="P89" s="172">
        <f t="shared" si="48"/>
        <v>0</v>
      </c>
      <c r="Q89" s="171">
        <v>23</v>
      </c>
      <c r="R89" s="173">
        <f>IF(AND($Q$1="3rd",$B$3&gt;0),$Q$6+$Q$7+$Q$8+$Q$9,IF(AND($Q$1="3rd",$B$3=0),$Q$6+$Q$7+$Q$8+$Q$9+(4*Q$12),0))</f>
        <v>0</v>
      </c>
      <c r="S89" s="173">
        <f>IF(AND($Q$1="3rd",$B$4&gt;0),$Q$6+$Q$7+$Q$8+$Q$9,IF(AND($Q$1="3rd",$B$4=0),$Q$6+$Q$7+$Q$8+$Q$9+(4*Q$12),0))</f>
        <v>0</v>
      </c>
      <c r="T89" s="173">
        <f>IF($Q$1="3rd",$Q$6+$Q$7+$Q$8+$Q$9+(4*Q$12),0)</f>
        <v>0</v>
      </c>
      <c r="U89" s="173">
        <f>IF($Q$1="3rd",$Q$6+$Q$7+$Q$8+$Q$9+(4*Q$12),0)</f>
        <v>0</v>
      </c>
      <c r="V89" s="275">
        <f t="shared" si="49"/>
        <v>0</v>
      </c>
      <c r="W89" s="224">
        <f t="shared" si="50"/>
        <v>0</v>
      </c>
      <c r="X89" s="171"/>
      <c r="Y89" s="171"/>
      <c r="Z89" s="171"/>
      <c r="AA89" s="171"/>
      <c r="AB89" s="171"/>
    </row>
    <row r="90" spans="1:28" ht="13.5" customHeight="1" x14ac:dyDescent="0.35">
      <c r="A90" s="269"/>
      <c r="B90" s="748" t="s">
        <v>233</v>
      </c>
      <c r="C90" s="637"/>
      <c r="D90" s="637"/>
      <c r="E90" s="637"/>
      <c r="F90" s="635"/>
      <c r="G90" s="168">
        <f t="shared" si="44"/>
        <v>0</v>
      </c>
      <c r="H90" s="171">
        <f>IF($Q$1="2nd",$H$85,0)</f>
        <v>0</v>
      </c>
      <c r="I90" s="168">
        <f t="shared" si="45"/>
        <v>0</v>
      </c>
      <c r="J90" s="171">
        <f>IF($Q$1="2nd",$J$85,0)</f>
        <v>0</v>
      </c>
      <c r="K90" s="224">
        <f t="shared" si="46"/>
        <v>0</v>
      </c>
      <c r="L90" s="171">
        <f>IF($Q$1="2nd",$L$85,0)</f>
        <v>0</v>
      </c>
      <c r="M90" s="168">
        <f t="shared" si="47"/>
        <v>0</v>
      </c>
      <c r="N90" s="171">
        <f>IF($Q$1="2nd",$N$85,0)</f>
        <v>0</v>
      </c>
      <c r="O90" s="171"/>
      <c r="P90" s="172">
        <f t="shared" si="48"/>
        <v>0</v>
      </c>
      <c r="Q90" s="171">
        <v>23</v>
      </c>
      <c r="R90" s="173">
        <f>IF(AND($Q$1="2nd",$B$3&gt;0),$Q$6+$Q$7+$Q$8+$Q$10,IF(AND($Q$1="2nd",$B$3=0),$Q$6+$Q$7+$Q$8+$Q$10+(4*Q$12),0))</f>
        <v>0</v>
      </c>
      <c r="S90" s="173">
        <f>IF(AND($Q$1="2nd",$B$4&gt;0),$Q$6+$Q$7+$Q$8+$Q$10,IF(AND($Q$1="2nd",$B$4=0),$Q$6+$Q$7+$Q$8+$Q$10+(4*Q$12),0))</f>
        <v>0</v>
      </c>
      <c r="T90" s="173">
        <f>IF($Q$1="2nd",$Q$6+$Q$7+$Q$8+$Q$10+(4*Q$12),0)</f>
        <v>0</v>
      </c>
      <c r="U90" s="173">
        <f>IF($Q$1="2nd",$Q$6+$Q$7+$Q$8+$Q$10+(4*Q$12),0)</f>
        <v>0</v>
      </c>
      <c r="V90" s="275">
        <f t="shared" si="49"/>
        <v>0</v>
      </c>
      <c r="W90" s="224">
        <f t="shared" si="50"/>
        <v>0</v>
      </c>
      <c r="X90" s="171"/>
      <c r="Y90" s="171"/>
      <c r="Z90" s="171"/>
      <c r="AA90" s="171"/>
      <c r="AB90" s="171"/>
    </row>
    <row r="91" spans="1:28" ht="13.5" customHeight="1" x14ac:dyDescent="0.35">
      <c r="A91" s="269"/>
      <c r="B91" s="748" t="s">
        <v>235</v>
      </c>
      <c r="C91" s="637"/>
      <c r="D91" s="637"/>
      <c r="E91" s="637"/>
      <c r="F91" s="635"/>
      <c r="G91" s="168">
        <f t="shared" si="44"/>
        <v>110000</v>
      </c>
      <c r="H91" s="171">
        <f>IF($Q$1="1st",$H$85,0)</f>
        <v>10</v>
      </c>
      <c r="I91" s="168">
        <f t="shared" si="45"/>
        <v>110000</v>
      </c>
      <c r="J91" s="171">
        <f>IF($Q$1="1st",$J$85,0)</f>
        <v>8</v>
      </c>
      <c r="K91" s="224">
        <f t="shared" si="46"/>
        <v>128000</v>
      </c>
      <c r="L91" s="171">
        <f>IF($Q$1="1st",$L$85,0)</f>
        <v>4</v>
      </c>
      <c r="M91" s="168">
        <f t="shared" si="47"/>
        <v>128000</v>
      </c>
      <c r="N91" s="171">
        <f>IF($Q$1="1st",$N$85,0)</f>
        <v>1</v>
      </c>
      <c r="O91" s="171"/>
      <c r="P91" s="172">
        <f t="shared" si="48"/>
        <v>23</v>
      </c>
      <c r="Q91" s="171">
        <v>23</v>
      </c>
      <c r="R91" s="173">
        <f>IF(AND($Q$1="1st",$B$3&gt;0),$Q$6+$Q$7+$Q$8+$Q$11,IF(AND($Q$1="1st",$B$3=0),$Q$6+$Q$7+$Q$8+$Q$11+(4*Q$12),0))</f>
        <v>110000</v>
      </c>
      <c r="S91" s="173">
        <f>IF(AND($Q$1="1st",$B$4&gt;0),$Q$6+$Q$7+$Q$8+$Q$11,IF(AND($Q$1="1st",$B$4=0),$Q$6+$Q$7+$Q$8+$Q$11+(4*Q$12),0))</f>
        <v>110000</v>
      </c>
      <c r="T91" s="173">
        <f>IF($Q$1="1st",$Q$6+$Q$7+$Q$8+$Q$11+(4*Q$12),0)</f>
        <v>128000</v>
      </c>
      <c r="U91" s="173">
        <f>IF($Q$1="1st",$Q$6+$Q$7+$Q$8+$Q$11+(4*Q$12),0)</f>
        <v>128000</v>
      </c>
      <c r="V91" s="275">
        <f t="shared" si="49"/>
        <v>0</v>
      </c>
      <c r="W91" s="224">
        <f t="shared" si="50"/>
        <v>2620000</v>
      </c>
      <c r="X91" s="171"/>
      <c r="Y91" s="171"/>
      <c r="Z91" s="171"/>
      <c r="AA91" s="171"/>
      <c r="AB91" s="171"/>
    </row>
    <row r="92" spans="1:28" ht="13.5" customHeight="1" x14ac:dyDescent="0.35">
      <c r="A92" s="286"/>
      <c r="B92" s="744" t="s">
        <v>251</v>
      </c>
      <c r="C92" s="637"/>
      <c r="D92" s="637"/>
      <c r="E92" s="637"/>
      <c r="F92" s="635"/>
      <c r="G92" s="168">
        <f t="shared" si="44"/>
        <v>0</v>
      </c>
      <c r="H92" s="171">
        <f>IF($Q$1="3rd",$H$85,0)</f>
        <v>0</v>
      </c>
      <c r="I92" s="168">
        <f t="shared" si="45"/>
        <v>0</v>
      </c>
      <c r="J92" s="171">
        <f>IF($Q$1="3rd",$J$85,0)</f>
        <v>0</v>
      </c>
      <c r="K92" s="224">
        <f t="shared" si="46"/>
        <v>0</v>
      </c>
      <c r="L92" s="171">
        <f>IF($Q$1="3rd",$L$85,0)</f>
        <v>0</v>
      </c>
      <c r="M92" s="168">
        <f t="shared" si="47"/>
        <v>0</v>
      </c>
      <c r="N92" s="171">
        <f>IF($Q$1="3rd",$N$85,0)</f>
        <v>0</v>
      </c>
      <c r="O92" s="171"/>
      <c r="P92" s="170">
        <f t="shared" si="48"/>
        <v>0</v>
      </c>
      <c r="Q92" s="172">
        <v>23</v>
      </c>
      <c r="R92" s="168">
        <f t="shared" ref="R92:U92" si="67">IF($Q$1="3rd",$I14,0)</f>
        <v>0</v>
      </c>
      <c r="S92" s="168">
        <f t="shared" si="67"/>
        <v>0</v>
      </c>
      <c r="T92" s="168">
        <f t="shared" si="67"/>
        <v>0</v>
      </c>
      <c r="U92" s="168">
        <f t="shared" si="67"/>
        <v>0</v>
      </c>
      <c r="V92" s="168">
        <f t="shared" si="49"/>
        <v>0</v>
      </c>
      <c r="W92" s="224">
        <f t="shared" si="50"/>
        <v>0</v>
      </c>
      <c r="X92" s="171"/>
      <c r="Y92" s="171"/>
      <c r="Z92" s="171"/>
      <c r="AA92" s="171"/>
      <c r="AB92" s="171"/>
    </row>
    <row r="93" spans="1:28" ht="13.5" customHeight="1" x14ac:dyDescent="0.35">
      <c r="A93" s="286"/>
      <c r="B93" s="744" t="s">
        <v>253</v>
      </c>
      <c r="C93" s="637"/>
      <c r="D93" s="637"/>
      <c r="E93" s="637"/>
      <c r="F93" s="635"/>
      <c r="G93" s="168">
        <f t="shared" si="44"/>
        <v>0</v>
      </c>
      <c r="H93" s="171">
        <f>IF($Q$1="2nd",$H$85,0)</f>
        <v>0</v>
      </c>
      <c r="I93" s="168">
        <f t="shared" si="45"/>
        <v>0</v>
      </c>
      <c r="J93" s="171">
        <f>IF($Q$1="2nd",$J$85,0)</f>
        <v>0</v>
      </c>
      <c r="K93" s="224">
        <f t="shared" si="46"/>
        <v>0</v>
      </c>
      <c r="L93" s="171">
        <f>IF($Q$1="2nd",$L$85,0)</f>
        <v>0</v>
      </c>
      <c r="M93" s="168">
        <f t="shared" si="47"/>
        <v>0</v>
      </c>
      <c r="N93" s="171">
        <f>IF($Q$1="2nd",$N$85,0)</f>
        <v>0</v>
      </c>
      <c r="O93" s="171"/>
      <c r="P93" s="170">
        <f t="shared" si="48"/>
        <v>0</v>
      </c>
      <c r="Q93" s="172">
        <v>23</v>
      </c>
      <c r="R93" s="168">
        <f t="shared" ref="R93:U93" si="68">IF($Q$1="2nd",$I13,0)</f>
        <v>0</v>
      </c>
      <c r="S93" s="168">
        <f t="shared" si="68"/>
        <v>0</v>
      </c>
      <c r="T93" s="168">
        <f t="shared" si="68"/>
        <v>0</v>
      </c>
      <c r="U93" s="168">
        <f t="shared" si="68"/>
        <v>0</v>
      </c>
      <c r="V93" s="168">
        <f t="shared" si="49"/>
        <v>0</v>
      </c>
      <c r="W93" s="224">
        <f t="shared" si="50"/>
        <v>0</v>
      </c>
      <c r="X93" s="171"/>
      <c r="Y93" s="171"/>
      <c r="Z93" s="171"/>
      <c r="AA93" s="171"/>
      <c r="AB93" s="171"/>
    </row>
    <row r="94" spans="1:28" ht="13.5" customHeight="1" x14ac:dyDescent="0.35">
      <c r="A94" s="286"/>
      <c r="B94" s="744" t="s">
        <v>272</v>
      </c>
      <c r="C94" s="637"/>
      <c r="D94" s="637"/>
      <c r="E94" s="637"/>
      <c r="F94" s="635"/>
      <c r="G94" s="168">
        <f t="shared" si="44"/>
        <v>60869.565217391304</v>
      </c>
      <c r="H94" s="171">
        <f>IF($Q$1="1st",$H$85,0)</f>
        <v>10</v>
      </c>
      <c r="I94" s="168">
        <f t="shared" si="45"/>
        <v>60869.565217391304</v>
      </c>
      <c r="J94" s="171">
        <f>IF($Q$1="1st",$J$85,0)</f>
        <v>8</v>
      </c>
      <c r="K94" s="224">
        <f t="shared" si="46"/>
        <v>60869.565217391304</v>
      </c>
      <c r="L94" s="171">
        <f>IF($Q$1="1st",$L$85,0)</f>
        <v>4</v>
      </c>
      <c r="M94" s="168">
        <f t="shared" si="47"/>
        <v>60869.565217391304</v>
      </c>
      <c r="N94" s="171">
        <f>IF($Q$1="1st",$N$85,0)</f>
        <v>1</v>
      </c>
      <c r="O94" s="171"/>
      <c r="P94" s="170">
        <f t="shared" si="48"/>
        <v>23</v>
      </c>
      <c r="Q94" s="172">
        <v>23</v>
      </c>
      <c r="R94" s="168">
        <f t="shared" ref="R94:U94" si="69">IF($Q$1="1st",$I12,0)</f>
        <v>60869.565217391304</v>
      </c>
      <c r="S94" s="168">
        <f t="shared" si="69"/>
        <v>60869.565217391304</v>
      </c>
      <c r="T94" s="168">
        <f t="shared" si="69"/>
        <v>60869.565217391304</v>
      </c>
      <c r="U94" s="168">
        <f t="shared" si="69"/>
        <v>60869.565217391304</v>
      </c>
      <c r="V94" s="168">
        <f t="shared" si="49"/>
        <v>0</v>
      </c>
      <c r="W94" s="224">
        <f t="shared" si="50"/>
        <v>1400000</v>
      </c>
      <c r="X94" s="224"/>
      <c r="Y94" s="171"/>
      <c r="Z94" s="171"/>
      <c r="AA94" s="171"/>
      <c r="AB94" s="171"/>
    </row>
    <row r="95" spans="1:28" ht="13.5" customHeight="1" x14ac:dyDescent="0.35">
      <c r="A95" s="249">
        <v>42232</v>
      </c>
      <c r="B95" s="250" t="s">
        <v>171</v>
      </c>
      <c r="C95" s="250" t="s">
        <v>120</v>
      </c>
      <c r="D95" s="264" t="s">
        <v>207</v>
      </c>
      <c r="E95" s="265">
        <v>44028</v>
      </c>
      <c r="F95" s="252"/>
      <c r="G95" s="118">
        <f t="shared" si="44"/>
        <v>8121.391304347826</v>
      </c>
      <c r="H95" s="116">
        <v>10</v>
      </c>
      <c r="I95" s="118">
        <f t="shared" si="45"/>
        <v>8121.391304347826</v>
      </c>
      <c r="J95" s="116">
        <v>8</v>
      </c>
      <c r="K95" s="115">
        <f t="shared" si="46"/>
        <v>11871.391304347826</v>
      </c>
      <c r="L95" s="116">
        <v>4</v>
      </c>
      <c r="M95" s="118">
        <f t="shared" si="47"/>
        <v>11371.391304347826</v>
      </c>
      <c r="N95" s="116">
        <v>1</v>
      </c>
      <c r="P95" s="116">
        <f t="shared" si="48"/>
        <v>23</v>
      </c>
      <c r="Q95" s="119">
        <v>23</v>
      </c>
      <c r="R95" s="118">
        <f t="shared" ref="R95:R98" si="70">IF($B$3&gt;0,$E$5,($E$5))</f>
        <v>5250</v>
      </c>
      <c r="S95" s="118">
        <f t="shared" ref="S95:S98" si="71">IF($B$4&gt;0,$E$5,($E$5))</f>
        <v>5250</v>
      </c>
      <c r="T95" s="118">
        <f t="shared" ref="T95:T98" si="72">$B$13+$E$5</f>
        <v>9000</v>
      </c>
      <c r="U95" s="118">
        <f t="shared" ref="U95:U98" si="73">$B$12+$E$5</f>
        <v>8500</v>
      </c>
      <c r="V95" s="118">
        <f t="shared" si="49"/>
        <v>2871.391304347826</v>
      </c>
      <c r="W95" s="115">
        <f t="shared" si="50"/>
        <v>205042</v>
      </c>
    </row>
    <row r="96" spans="1:28" ht="13.5" customHeight="1" x14ac:dyDescent="0.35">
      <c r="A96" s="249">
        <v>42235</v>
      </c>
      <c r="B96" s="250" t="s">
        <v>171</v>
      </c>
      <c r="C96" s="290" t="s">
        <v>120</v>
      </c>
      <c r="D96" s="264" t="s">
        <v>207</v>
      </c>
      <c r="E96" s="265">
        <v>20535</v>
      </c>
      <c r="F96" s="254"/>
      <c r="G96" s="118">
        <f t="shared" si="44"/>
        <v>6589.2391304347821</v>
      </c>
      <c r="H96" s="116">
        <v>10</v>
      </c>
      <c r="I96" s="118">
        <f t="shared" si="45"/>
        <v>6589.2391304347821</v>
      </c>
      <c r="J96" s="116">
        <v>8</v>
      </c>
      <c r="K96" s="115">
        <f t="shared" si="46"/>
        <v>10339.239130434782</v>
      </c>
      <c r="L96" s="116">
        <v>4</v>
      </c>
      <c r="M96" s="118">
        <f t="shared" si="47"/>
        <v>9839.2391304347821</v>
      </c>
      <c r="N96" s="116">
        <v>1</v>
      </c>
      <c r="P96" s="116">
        <f t="shared" si="48"/>
        <v>23</v>
      </c>
      <c r="Q96" s="119">
        <v>23</v>
      </c>
      <c r="R96" s="118">
        <f t="shared" si="70"/>
        <v>5250</v>
      </c>
      <c r="S96" s="118">
        <f t="shared" si="71"/>
        <v>5250</v>
      </c>
      <c r="T96" s="118">
        <f t="shared" si="72"/>
        <v>9000</v>
      </c>
      <c r="U96" s="118">
        <f t="shared" si="73"/>
        <v>8500</v>
      </c>
      <c r="V96" s="118">
        <f t="shared" si="49"/>
        <v>1339.2391304347825</v>
      </c>
      <c r="W96" s="115">
        <f t="shared" si="50"/>
        <v>169802.5</v>
      </c>
    </row>
    <row r="97" spans="1:28" ht="13.5" customHeight="1" x14ac:dyDescent="0.35">
      <c r="A97" s="249">
        <v>42264</v>
      </c>
      <c r="B97" s="290" t="s">
        <v>223</v>
      </c>
      <c r="C97" s="290" t="s">
        <v>120</v>
      </c>
      <c r="D97" s="251" t="s">
        <v>207</v>
      </c>
      <c r="E97" s="265">
        <v>34538</v>
      </c>
      <c r="F97" s="253"/>
      <c r="G97" s="118">
        <f t="shared" si="44"/>
        <v>7502.478260869565</v>
      </c>
      <c r="H97" s="116">
        <v>10</v>
      </c>
      <c r="I97" s="118">
        <f t="shared" si="45"/>
        <v>7502.478260869565</v>
      </c>
      <c r="J97" s="116">
        <v>7</v>
      </c>
      <c r="K97" s="115">
        <f t="shared" si="46"/>
        <v>11252.478260869564</v>
      </c>
      <c r="L97" s="116">
        <v>4</v>
      </c>
      <c r="M97" s="118">
        <f t="shared" si="47"/>
        <v>10752.478260869564</v>
      </c>
      <c r="N97" s="116">
        <v>2</v>
      </c>
      <c r="P97" s="116">
        <f t="shared" si="48"/>
        <v>23</v>
      </c>
      <c r="Q97" s="119">
        <v>23</v>
      </c>
      <c r="R97" s="118">
        <f t="shared" si="70"/>
        <v>5250</v>
      </c>
      <c r="S97" s="118">
        <f t="shared" si="71"/>
        <v>5250</v>
      </c>
      <c r="T97" s="118">
        <f t="shared" si="72"/>
        <v>9000</v>
      </c>
      <c r="U97" s="118">
        <f t="shared" si="73"/>
        <v>8500</v>
      </c>
      <c r="V97" s="118">
        <f t="shared" si="49"/>
        <v>2252.478260869565</v>
      </c>
      <c r="W97" s="115">
        <f t="shared" si="50"/>
        <v>194057</v>
      </c>
    </row>
    <row r="98" spans="1:28" ht="13.5" customHeight="1" x14ac:dyDescent="0.35">
      <c r="A98" s="249">
        <v>42267</v>
      </c>
      <c r="B98" s="250" t="s">
        <v>223</v>
      </c>
      <c r="C98" s="250" t="s">
        <v>120</v>
      </c>
      <c r="D98" s="264" t="s">
        <v>207</v>
      </c>
      <c r="E98" s="265">
        <v>35753</v>
      </c>
      <c r="F98" s="252"/>
      <c r="G98" s="118">
        <f t="shared" si="44"/>
        <v>7581.717391304348</v>
      </c>
      <c r="H98" s="116">
        <v>10</v>
      </c>
      <c r="I98" s="118">
        <f t="shared" si="45"/>
        <v>7581.717391304348</v>
      </c>
      <c r="J98" s="116">
        <v>7</v>
      </c>
      <c r="K98" s="115">
        <f t="shared" si="46"/>
        <v>11331.717391304348</v>
      </c>
      <c r="L98" s="116">
        <v>4</v>
      </c>
      <c r="M98" s="118">
        <f t="shared" si="47"/>
        <v>10831.717391304348</v>
      </c>
      <c r="N98" s="116">
        <v>2</v>
      </c>
      <c r="P98" s="116">
        <f t="shared" si="48"/>
        <v>23</v>
      </c>
      <c r="Q98" s="119">
        <v>23</v>
      </c>
      <c r="R98" s="118">
        <f t="shared" si="70"/>
        <v>5250</v>
      </c>
      <c r="S98" s="118">
        <f t="shared" si="71"/>
        <v>5250</v>
      </c>
      <c r="T98" s="118">
        <f t="shared" si="72"/>
        <v>9000</v>
      </c>
      <c r="U98" s="118">
        <f t="shared" si="73"/>
        <v>8500</v>
      </c>
      <c r="V98" s="118">
        <f t="shared" si="49"/>
        <v>2331.717391304348</v>
      </c>
      <c r="W98" s="115">
        <f t="shared" si="50"/>
        <v>195879.5</v>
      </c>
    </row>
    <row r="99" spans="1:28" ht="13.5" customHeight="1" x14ac:dyDescent="0.35">
      <c r="A99" s="249">
        <v>42298</v>
      </c>
      <c r="B99" s="250" t="s">
        <v>179</v>
      </c>
      <c r="C99" s="250" t="s">
        <v>155</v>
      </c>
      <c r="D99" s="264" t="s">
        <v>207</v>
      </c>
      <c r="E99" s="265">
        <v>23603</v>
      </c>
      <c r="F99" s="254"/>
      <c r="G99" s="118">
        <f t="shared" si="44"/>
        <v>1416.1799999999998</v>
      </c>
      <c r="H99" s="116">
        <v>10</v>
      </c>
      <c r="I99" s="118">
        <f t="shared" si="45"/>
        <v>1416.1799999999998</v>
      </c>
      <c r="J99" s="116">
        <v>6</v>
      </c>
      <c r="K99" s="115">
        <f t="shared" si="46"/>
        <v>5166.18</v>
      </c>
      <c r="L99" s="116">
        <v>4</v>
      </c>
      <c r="M99" s="118">
        <f t="shared" si="47"/>
        <v>4666.18</v>
      </c>
      <c r="N99" s="116">
        <v>5</v>
      </c>
      <c r="P99" s="116">
        <f t="shared" si="48"/>
        <v>25</v>
      </c>
      <c r="Q99" s="119">
        <v>25</v>
      </c>
      <c r="R99" s="118">
        <f>IF($B$3&gt;0,$E$8,($B$13+$E$8))</f>
        <v>0</v>
      </c>
      <c r="S99" s="118">
        <f>IF($B$4&gt;0,$E$8,($B$13+$E$8))</f>
        <v>0</v>
      </c>
      <c r="T99" s="118">
        <f>$B$13+$E$8</f>
        <v>3750</v>
      </c>
      <c r="U99" s="118">
        <f>$B$12+$E$8</f>
        <v>3250</v>
      </c>
      <c r="V99" s="118">
        <f t="shared" si="49"/>
        <v>1416.1799999999998</v>
      </c>
      <c r="W99" s="115">
        <f t="shared" si="50"/>
        <v>66654.5</v>
      </c>
    </row>
    <row r="100" spans="1:28" ht="13.5" customHeight="1" x14ac:dyDescent="0.35">
      <c r="A100" s="249">
        <v>42302</v>
      </c>
      <c r="B100" s="250" t="s">
        <v>179</v>
      </c>
      <c r="C100" s="250" t="s">
        <v>120</v>
      </c>
      <c r="D100" s="264" t="s">
        <v>207</v>
      </c>
      <c r="E100" s="265">
        <v>32869</v>
      </c>
      <c r="F100" s="254"/>
      <c r="G100" s="118">
        <f t="shared" si="44"/>
        <v>7222.1399999999994</v>
      </c>
      <c r="H100" s="116">
        <v>10</v>
      </c>
      <c r="I100" s="118">
        <f t="shared" si="45"/>
        <v>7222.1399999999994</v>
      </c>
      <c r="J100" s="116">
        <v>6</v>
      </c>
      <c r="K100" s="115">
        <f t="shared" si="46"/>
        <v>10972.14</v>
      </c>
      <c r="L100" s="116">
        <v>4</v>
      </c>
      <c r="M100" s="118">
        <f t="shared" si="47"/>
        <v>10472.14</v>
      </c>
      <c r="N100" s="116">
        <v>5</v>
      </c>
      <c r="P100" s="116">
        <f t="shared" si="48"/>
        <v>25</v>
      </c>
      <c r="Q100" s="119">
        <v>25</v>
      </c>
      <c r="R100" s="118">
        <f t="shared" ref="R100:R102" si="74">IF($B$3&gt;0,$E$5,($B$13+$E$5))</f>
        <v>5250</v>
      </c>
      <c r="S100" s="118">
        <f t="shared" ref="S100:S102" si="75">IF($B$4&gt;0,$E$5,($B$13+$E$5))</f>
        <v>5250</v>
      </c>
      <c r="T100" s="118">
        <f t="shared" ref="T100:T102" si="76">$B$13+$E$5</f>
        <v>9000</v>
      </c>
      <c r="U100" s="118">
        <f t="shared" ref="U100:U102" si="77">$B$12+$E$5</f>
        <v>8500</v>
      </c>
      <c r="V100" s="118">
        <f t="shared" si="49"/>
        <v>1972.1399999999999</v>
      </c>
      <c r="W100" s="115">
        <f t="shared" si="50"/>
        <v>211803.5</v>
      </c>
    </row>
    <row r="101" spans="1:28" ht="13.5" customHeight="1" x14ac:dyDescent="0.35">
      <c r="A101" s="249">
        <v>42348</v>
      </c>
      <c r="B101" s="295" t="s">
        <v>219</v>
      </c>
      <c r="C101" s="250" t="s">
        <v>120</v>
      </c>
      <c r="D101" s="264" t="s">
        <v>207</v>
      </c>
      <c r="E101" s="265">
        <v>10690</v>
      </c>
      <c r="F101" s="252"/>
      <c r="G101" s="118">
        <f t="shared" si="44"/>
        <v>5891.4</v>
      </c>
      <c r="H101" s="116">
        <v>10</v>
      </c>
      <c r="I101" s="118">
        <f t="shared" si="45"/>
        <v>5891.4</v>
      </c>
      <c r="J101" s="116">
        <v>6</v>
      </c>
      <c r="K101" s="115">
        <f t="shared" si="46"/>
        <v>9641.4</v>
      </c>
      <c r="L101" s="116">
        <v>3</v>
      </c>
      <c r="M101" s="118">
        <f t="shared" si="47"/>
        <v>9141.4</v>
      </c>
      <c r="N101" s="116">
        <v>6</v>
      </c>
      <c r="P101" s="116">
        <f t="shared" si="48"/>
        <v>25</v>
      </c>
      <c r="Q101" s="119">
        <v>25</v>
      </c>
      <c r="R101" s="118">
        <f t="shared" si="74"/>
        <v>5250</v>
      </c>
      <c r="S101" s="118">
        <f t="shared" si="75"/>
        <v>5250</v>
      </c>
      <c r="T101" s="118">
        <f t="shared" si="76"/>
        <v>9000</v>
      </c>
      <c r="U101" s="118">
        <f t="shared" si="77"/>
        <v>8500</v>
      </c>
      <c r="V101" s="118">
        <f t="shared" si="49"/>
        <v>641.4</v>
      </c>
      <c r="W101" s="115">
        <f t="shared" si="50"/>
        <v>178035</v>
      </c>
    </row>
    <row r="102" spans="1:28" ht="13.5" customHeight="1" x14ac:dyDescent="0.35">
      <c r="A102" s="249">
        <v>42351</v>
      </c>
      <c r="B102" s="295" t="s">
        <v>149</v>
      </c>
      <c r="C102" s="295" t="s">
        <v>120</v>
      </c>
      <c r="D102" s="251" t="s">
        <v>207</v>
      </c>
      <c r="E102" s="265">
        <v>19066</v>
      </c>
      <c r="F102" s="253"/>
      <c r="G102" s="118">
        <f t="shared" si="44"/>
        <v>6393.96</v>
      </c>
      <c r="H102" s="116">
        <v>10</v>
      </c>
      <c r="I102" s="118">
        <f t="shared" si="45"/>
        <v>6393.96</v>
      </c>
      <c r="J102" s="116">
        <v>6</v>
      </c>
      <c r="K102" s="115">
        <f t="shared" si="46"/>
        <v>10143.959999999999</v>
      </c>
      <c r="L102" s="116">
        <v>3</v>
      </c>
      <c r="M102" s="118">
        <f t="shared" si="47"/>
        <v>9643.9599999999991</v>
      </c>
      <c r="N102" s="116">
        <v>6</v>
      </c>
      <c r="P102" s="116">
        <f t="shared" si="48"/>
        <v>25</v>
      </c>
      <c r="Q102" s="119">
        <v>25</v>
      </c>
      <c r="R102" s="118">
        <f t="shared" si="74"/>
        <v>5250</v>
      </c>
      <c r="S102" s="118">
        <f t="shared" si="75"/>
        <v>5250</v>
      </c>
      <c r="T102" s="118">
        <f t="shared" si="76"/>
        <v>9000</v>
      </c>
      <c r="U102" s="118">
        <f t="shared" si="77"/>
        <v>8500</v>
      </c>
      <c r="V102" s="118">
        <f t="shared" si="49"/>
        <v>1143.96</v>
      </c>
      <c r="W102" s="115">
        <f t="shared" si="50"/>
        <v>190599</v>
      </c>
    </row>
    <row r="103" spans="1:28" ht="13.5" customHeight="1" x14ac:dyDescent="0.35">
      <c r="A103" s="249">
        <v>42354</v>
      </c>
      <c r="B103" s="250" t="s">
        <v>149</v>
      </c>
      <c r="C103" s="250" t="s">
        <v>166</v>
      </c>
      <c r="D103" s="264" t="s">
        <v>207</v>
      </c>
      <c r="E103" s="265">
        <v>32950</v>
      </c>
      <c r="F103" s="252"/>
      <c r="G103" s="118">
        <f t="shared" si="44"/>
        <v>1977</v>
      </c>
      <c r="H103" s="116">
        <v>10</v>
      </c>
      <c r="I103" s="118">
        <f t="shared" si="45"/>
        <v>1977</v>
      </c>
      <c r="J103" s="116">
        <v>6</v>
      </c>
      <c r="K103" s="115">
        <f t="shared" si="46"/>
        <v>5727</v>
      </c>
      <c r="L103" s="116">
        <v>3</v>
      </c>
      <c r="M103" s="118">
        <f t="shared" si="47"/>
        <v>5227</v>
      </c>
      <c r="N103" s="116">
        <v>6</v>
      </c>
      <c r="P103" s="116">
        <f t="shared" si="48"/>
        <v>25</v>
      </c>
      <c r="Q103" s="119">
        <v>25</v>
      </c>
      <c r="R103" s="118">
        <f>IF($B$3&gt;0,$E$9,($B$13+$E$9))</f>
        <v>0</v>
      </c>
      <c r="S103" s="118">
        <f>IF($B$4&gt;0,$E$9,($B$13+$E$9))</f>
        <v>0</v>
      </c>
      <c r="T103" s="118">
        <f>$B$13+$E$9</f>
        <v>3750</v>
      </c>
      <c r="U103" s="118">
        <f>$B$12+$E$9</f>
        <v>3250</v>
      </c>
      <c r="V103" s="118">
        <f t="shared" si="49"/>
        <v>1977</v>
      </c>
      <c r="W103" s="115">
        <f t="shared" si="50"/>
        <v>80175</v>
      </c>
    </row>
    <row r="104" spans="1:28" ht="13.5" customHeight="1" x14ac:dyDescent="0.35">
      <c r="A104" s="291"/>
      <c r="B104" s="299" t="s">
        <v>184</v>
      </c>
      <c r="C104" s="300"/>
      <c r="D104" s="301"/>
      <c r="E104" s="303"/>
      <c r="F104" s="304"/>
      <c r="G104" s="161">
        <f>$B$3</f>
        <v>100000</v>
      </c>
      <c r="H104" s="187">
        <v>10</v>
      </c>
      <c r="I104" s="161">
        <f>$B$4</f>
        <v>100000</v>
      </c>
      <c r="J104" s="187">
        <v>9</v>
      </c>
      <c r="K104" s="188">
        <v>0</v>
      </c>
      <c r="L104" s="187">
        <v>0</v>
      </c>
      <c r="M104" s="161"/>
      <c r="N104" s="187"/>
      <c r="O104" s="188">
        <f>$B$8</f>
        <v>1500</v>
      </c>
      <c r="P104" s="116"/>
      <c r="Q104" s="116">
        <v>6</v>
      </c>
      <c r="R104" s="118"/>
      <c r="S104" s="118"/>
      <c r="T104" s="118"/>
      <c r="U104" s="118"/>
      <c r="V104" s="118"/>
      <c r="W104" s="115">
        <f>(G104*H104)+(I104*J104)+(O104*Q104)</f>
        <v>1909000</v>
      </c>
      <c r="X104" s="189"/>
      <c r="Y104" s="189"/>
      <c r="Z104" s="189"/>
      <c r="AA104" s="189"/>
      <c r="AB104" s="189"/>
    </row>
    <row r="105" spans="1:28" ht="13.5" customHeight="1" x14ac:dyDescent="0.35">
      <c r="A105" s="291"/>
      <c r="B105" s="299" t="s">
        <v>192</v>
      </c>
      <c r="C105" s="300"/>
      <c r="D105" s="301"/>
      <c r="E105" s="303"/>
      <c r="F105" s="304"/>
      <c r="G105" s="161">
        <f>$E$12/($H106+$J106+$L106)</f>
        <v>14000</v>
      </c>
      <c r="H105" s="187">
        <v>10</v>
      </c>
      <c r="I105" s="161">
        <f>$E$12/($H106+$J106+$L106)</f>
        <v>14000</v>
      </c>
      <c r="J105" s="187">
        <v>9</v>
      </c>
      <c r="K105" s="188">
        <f>$E$12/($H106+$J106+$L106)</f>
        <v>14000</v>
      </c>
      <c r="L105" s="187">
        <v>6</v>
      </c>
      <c r="M105" s="161"/>
      <c r="N105" s="187"/>
      <c r="O105" s="188"/>
      <c r="P105" s="116"/>
      <c r="Q105" s="116"/>
      <c r="R105" s="118"/>
      <c r="S105" s="118"/>
      <c r="T105" s="118"/>
      <c r="U105" s="118"/>
      <c r="V105" s="118"/>
      <c r="W105" s="115">
        <f>(G105*H105)+(I105*J105)+(K105*L105)+(M105*N105)</f>
        <v>350000</v>
      </c>
      <c r="X105" s="189"/>
      <c r="Y105" s="189"/>
      <c r="Z105" s="189"/>
      <c r="AA105" s="189"/>
      <c r="AB105" s="189"/>
    </row>
    <row r="106" spans="1:28" ht="13.5" customHeight="1" x14ac:dyDescent="0.4">
      <c r="A106" s="703" t="s">
        <v>331</v>
      </c>
      <c r="B106" s="635"/>
      <c r="C106" s="292"/>
      <c r="D106" s="293" t="s">
        <v>197</v>
      </c>
      <c r="E106" s="307"/>
      <c r="F106" s="281"/>
      <c r="G106" s="294">
        <f>SUMPRODUCT(G73:G105,H73:H105)</f>
        <v>4306622.3760869559</v>
      </c>
      <c r="H106" s="265">
        <v>10</v>
      </c>
      <c r="I106" s="294">
        <f>SUMPRODUCT(I73:I105,J73:J105)</f>
        <v>3442103.5202173907</v>
      </c>
      <c r="J106" s="265">
        <v>9</v>
      </c>
      <c r="K106" s="294">
        <f>SUMPRODUCT(K73:K105,L73:L105)</f>
        <v>1669450.3154347823</v>
      </c>
      <c r="L106" s="265">
        <v>6</v>
      </c>
      <c r="M106" s="294">
        <f>SUMPRODUCT(M73:M105,N73:N105)</f>
        <v>727297.78826086957</v>
      </c>
      <c r="N106" s="265">
        <v>8</v>
      </c>
      <c r="O106" s="296">
        <f>$O$69*Q104</f>
        <v>9000</v>
      </c>
      <c r="P106" s="722" t="s">
        <v>201</v>
      </c>
      <c r="Q106" s="635"/>
      <c r="R106" s="265">
        <f>H106+J106+L106+N106</f>
        <v>33</v>
      </c>
      <c r="S106" s="294"/>
      <c r="T106" s="294"/>
      <c r="U106" s="294"/>
      <c r="V106" s="294"/>
      <c r="W106" s="294"/>
      <c r="X106" s="281"/>
      <c r="Y106" s="281"/>
      <c r="Z106" s="281"/>
      <c r="AA106" s="298"/>
      <c r="AB106" s="298"/>
    </row>
    <row r="107" spans="1:28" ht="13.5" customHeight="1" x14ac:dyDescent="0.4">
      <c r="A107" s="703" t="s">
        <v>372</v>
      </c>
      <c r="B107" s="635"/>
      <c r="C107" s="292"/>
      <c r="D107" s="710" t="s">
        <v>204</v>
      </c>
      <c r="E107" s="637"/>
      <c r="F107" s="635"/>
      <c r="G107" s="302">
        <f>G106/H106</f>
        <v>430662.23760869558</v>
      </c>
      <c r="H107" s="305">
        <f>(SUM(H73:H78)+SUM(H80:H83)+(H84*3)+SUMIF(H86:H87,"&gt;0")+IF(H88&gt;0,H88*2,0)+SUM(H95:H103))/H106</f>
        <v>26</v>
      </c>
      <c r="I107" s="302">
        <f>I106/J106</f>
        <v>382455.94669082121</v>
      </c>
      <c r="J107" s="305">
        <f>(SUM(J73:J78)+SUM(J80:J83)+(J84*3)+SUMIF(J86:J87,"&gt;0")+IF(J88&gt;0,J88*2,0)+SUM(J95:J103))/J106</f>
        <v>20.777777777777779</v>
      </c>
      <c r="K107" s="302">
        <f>K106/L106</f>
        <v>278241.71923913038</v>
      </c>
      <c r="L107" s="305">
        <f>(SUM(L73:L78)+SUM(L80:L83)+(L84*3)+SUMIF(L86:L87,"&gt;0")+IF(L88&gt;0,L88*2,0)+SUM(L95:L103))/L106</f>
        <v>15.666666666666666</v>
      </c>
      <c r="M107" s="302">
        <f>M106/N106</f>
        <v>90912.223532608696</v>
      </c>
      <c r="N107" s="305">
        <f>(SUM(N73:N78)+SUM(N80:N83)+(N84*3)+SUMIF(N86:N87,"&gt;0")+IF(N88&gt;0,N88*2,0)+SUM(N95:N103))/N106</f>
        <v>8</v>
      </c>
      <c r="O107" s="295"/>
      <c r="P107" s="721" t="s">
        <v>206</v>
      </c>
      <c r="Q107" s="635"/>
      <c r="R107" s="302">
        <f>SUM(G106,I106,K106,M106,O106)</f>
        <v>10154473.999999998</v>
      </c>
      <c r="S107" s="294"/>
      <c r="T107" s="294"/>
      <c r="U107" s="294"/>
      <c r="V107" s="294"/>
      <c r="W107" s="308">
        <f>SUM(W73:W105)</f>
        <v>10154474</v>
      </c>
      <c r="X107" s="281"/>
      <c r="Y107" s="281"/>
      <c r="Z107" s="281"/>
      <c r="AA107" s="298"/>
      <c r="AB107" s="298"/>
    </row>
    <row r="108" spans="1:28" ht="13.5" customHeight="1" x14ac:dyDescent="0.35">
      <c r="A108" s="106">
        <v>42392</v>
      </c>
      <c r="B108" s="108" t="s">
        <v>240</v>
      </c>
      <c r="C108" s="108" t="s">
        <v>120</v>
      </c>
      <c r="D108" s="313" t="s">
        <v>207</v>
      </c>
      <c r="E108" s="178">
        <v>23309</v>
      </c>
      <c r="F108" s="166"/>
      <c r="G108" s="118">
        <f t="shared" ref="G108:G140" si="78">R108+V108</f>
        <v>6998.1750000000002</v>
      </c>
      <c r="H108" s="116">
        <v>10</v>
      </c>
      <c r="I108" s="118">
        <f t="shared" ref="I108:I140" si="79">S108+V108</f>
        <v>6998.1750000000002</v>
      </c>
      <c r="J108" s="116">
        <v>4</v>
      </c>
      <c r="K108" s="115">
        <f t="shared" ref="K108:K140" si="80">T108+V108</f>
        <v>10748.174999999999</v>
      </c>
      <c r="L108" s="116">
        <v>3</v>
      </c>
      <c r="M108" s="118">
        <f t="shared" ref="M108:M140" si="81">U108+V108</f>
        <v>10248.174999999999</v>
      </c>
      <c r="N108" s="116">
        <v>3</v>
      </c>
      <c r="P108" s="116">
        <f t="shared" ref="P108:P140" si="82">H108+J108+L108+N108</f>
        <v>20</v>
      </c>
      <c r="Q108" s="119">
        <v>20</v>
      </c>
      <c r="R108" s="118">
        <f>IF($B$3&gt;0,$E$5,($B$13+$E$5))</f>
        <v>5250</v>
      </c>
      <c r="S108" s="118">
        <f>IF($B$4&gt;0,$E$5,($B$13+$E$5))</f>
        <v>5250</v>
      </c>
      <c r="T108" s="118">
        <f>$B$13+$E$5</f>
        <v>9000</v>
      </c>
      <c r="U108" s="118">
        <f>$B$12+$E$5</f>
        <v>8500</v>
      </c>
      <c r="V108" s="118">
        <f t="shared" ref="V108:V140" si="83">($E108*($E$13/$Q108))</f>
        <v>1748.175</v>
      </c>
      <c r="W108" s="115">
        <f t="shared" ref="W108:W140" si="84">(G108*H108)+(I108*J108)+(K108*L108)+(M108*N108)</f>
        <v>160963.5</v>
      </c>
    </row>
    <row r="109" spans="1:28" ht="13.5" customHeight="1" x14ac:dyDescent="0.35">
      <c r="A109" s="316">
        <v>42410</v>
      </c>
      <c r="B109" s="317" t="s">
        <v>171</v>
      </c>
      <c r="C109" s="318" t="s">
        <v>120</v>
      </c>
      <c r="D109" s="319" t="s">
        <v>373</v>
      </c>
      <c r="E109" s="320">
        <v>8143</v>
      </c>
      <c r="F109" s="321"/>
      <c r="G109" s="322">
        <f t="shared" si="78"/>
        <v>3610.7249999999999</v>
      </c>
      <c r="H109" s="323">
        <v>10</v>
      </c>
      <c r="I109" s="322">
        <f t="shared" si="79"/>
        <v>3610.7249999999999</v>
      </c>
      <c r="J109" s="323">
        <v>7</v>
      </c>
      <c r="K109" s="324">
        <f t="shared" si="80"/>
        <v>7360.7250000000004</v>
      </c>
      <c r="L109" s="323">
        <v>3</v>
      </c>
      <c r="M109" s="322">
        <f t="shared" si="81"/>
        <v>6860.7250000000004</v>
      </c>
      <c r="N109" s="323">
        <v>0</v>
      </c>
      <c r="O109" s="325"/>
      <c r="P109" s="323">
        <f t="shared" si="82"/>
        <v>20</v>
      </c>
      <c r="Q109" s="326">
        <v>20</v>
      </c>
      <c r="R109" s="322">
        <f t="shared" ref="R109:R113" si="85">IF($B$3&gt;0,$N$3,($B$13+$N$3))</f>
        <v>3000</v>
      </c>
      <c r="S109" s="322">
        <f t="shared" ref="S109:S113" si="86">IF($B$4&gt;0,$N$3,($B$13+$N$3))</f>
        <v>3000</v>
      </c>
      <c r="T109" s="322">
        <f t="shared" ref="T109:T113" si="87">$B$13+$N$3</f>
        <v>6750</v>
      </c>
      <c r="U109" s="322">
        <f t="shared" ref="U109:U113" si="88">$B$12+$N$3</f>
        <v>6250</v>
      </c>
      <c r="V109" s="322">
        <f t="shared" si="83"/>
        <v>610.72500000000002</v>
      </c>
      <c r="W109" s="324">
        <f t="shared" si="84"/>
        <v>83464.5</v>
      </c>
      <c r="X109" s="325"/>
      <c r="Y109" s="325"/>
      <c r="Z109" s="325"/>
      <c r="AA109" s="325"/>
      <c r="AB109" s="325"/>
    </row>
    <row r="110" spans="1:28" ht="13.5" customHeight="1" x14ac:dyDescent="0.35">
      <c r="A110" s="316">
        <v>42413</v>
      </c>
      <c r="B110" s="317" t="s">
        <v>170</v>
      </c>
      <c r="C110" s="318" t="s">
        <v>120</v>
      </c>
      <c r="D110" s="319" t="s">
        <v>373</v>
      </c>
      <c r="E110" s="320">
        <v>15032</v>
      </c>
      <c r="F110" s="321"/>
      <c r="G110" s="322">
        <f t="shared" si="78"/>
        <v>4127.3999999999996</v>
      </c>
      <c r="H110" s="323">
        <v>10</v>
      </c>
      <c r="I110" s="322">
        <f t="shared" si="79"/>
        <v>4127.3999999999996</v>
      </c>
      <c r="J110" s="323">
        <v>7</v>
      </c>
      <c r="K110" s="324">
        <f t="shared" si="80"/>
        <v>7877.4</v>
      </c>
      <c r="L110" s="323">
        <v>3</v>
      </c>
      <c r="M110" s="322">
        <f t="shared" si="81"/>
        <v>7377.4</v>
      </c>
      <c r="N110" s="323">
        <v>0</v>
      </c>
      <c r="O110" s="325"/>
      <c r="P110" s="323">
        <f t="shared" si="82"/>
        <v>20</v>
      </c>
      <c r="Q110" s="326">
        <v>20</v>
      </c>
      <c r="R110" s="322">
        <f t="shared" si="85"/>
        <v>3000</v>
      </c>
      <c r="S110" s="322">
        <f t="shared" si="86"/>
        <v>3000</v>
      </c>
      <c r="T110" s="322">
        <f t="shared" si="87"/>
        <v>6750</v>
      </c>
      <c r="U110" s="322">
        <f t="shared" si="88"/>
        <v>6250</v>
      </c>
      <c r="V110" s="322">
        <f t="shared" si="83"/>
        <v>1127.3999999999999</v>
      </c>
      <c r="W110" s="324">
        <f t="shared" si="84"/>
        <v>93797.999999999985</v>
      </c>
      <c r="X110" s="325"/>
      <c r="Y110" s="325"/>
      <c r="Z110" s="325"/>
      <c r="AA110" s="325"/>
      <c r="AB110" s="325"/>
    </row>
    <row r="111" spans="1:28" ht="13.5" customHeight="1" x14ac:dyDescent="0.35">
      <c r="A111" s="316">
        <v>42415</v>
      </c>
      <c r="B111" s="317" t="s">
        <v>374</v>
      </c>
      <c r="C111" s="318" t="s">
        <v>120</v>
      </c>
      <c r="D111" s="319" t="s">
        <v>373</v>
      </c>
      <c r="E111" s="320">
        <v>7658</v>
      </c>
      <c r="F111" s="321"/>
      <c r="G111" s="322">
        <f t="shared" si="78"/>
        <v>3574.35</v>
      </c>
      <c r="H111" s="323">
        <v>10</v>
      </c>
      <c r="I111" s="322">
        <f t="shared" si="79"/>
        <v>3574.35</v>
      </c>
      <c r="J111" s="323">
        <v>7</v>
      </c>
      <c r="K111" s="324">
        <f t="shared" si="80"/>
        <v>7324.35</v>
      </c>
      <c r="L111" s="323">
        <v>3</v>
      </c>
      <c r="M111" s="322">
        <f t="shared" si="81"/>
        <v>6824.35</v>
      </c>
      <c r="N111" s="323">
        <v>0</v>
      </c>
      <c r="O111" s="325"/>
      <c r="P111" s="323">
        <f t="shared" si="82"/>
        <v>20</v>
      </c>
      <c r="Q111" s="326">
        <v>20</v>
      </c>
      <c r="R111" s="322">
        <f t="shared" si="85"/>
        <v>3000</v>
      </c>
      <c r="S111" s="322">
        <f t="shared" si="86"/>
        <v>3000</v>
      </c>
      <c r="T111" s="322">
        <f t="shared" si="87"/>
        <v>6750</v>
      </c>
      <c r="U111" s="322">
        <f t="shared" si="88"/>
        <v>6250</v>
      </c>
      <c r="V111" s="322">
        <f t="shared" si="83"/>
        <v>574.35</v>
      </c>
      <c r="W111" s="324">
        <f t="shared" si="84"/>
        <v>82737</v>
      </c>
      <c r="X111" s="325"/>
      <c r="Y111" s="325"/>
      <c r="Z111" s="325"/>
      <c r="AA111" s="325"/>
      <c r="AB111" s="325"/>
    </row>
    <row r="112" spans="1:28" ht="13.5" customHeight="1" x14ac:dyDescent="0.35">
      <c r="A112" s="316">
        <v>42419</v>
      </c>
      <c r="B112" s="318" t="s">
        <v>219</v>
      </c>
      <c r="C112" s="318" t="s">
        <v>120</v>
      </c>
      <c r="D112" s="319" t="s">
        <v>373</v>
      </c>
      <c r="E112" s="320">
        <v>5561</v>
      </c>
      <c r="F112" s="321"/>
      <c r="G112" s="322">
        <f t="shared" si="78"/>
        <v>3417.0749999999998</v>
      </c>
      <c r="H112" s="323">
        <v>10</v>
      </c>
      <c r="I112" s="322">
        <f t="shared" si="79"/>
        <v>3417.0749999999998</v>
      </c>
      <c r="J112" s="323">
        <v>7</v>
      </c>
      <c r="K112" s="324">
        <f t="shared" si="80"/>
        <v>7167.0749999999998</v>
      </c>
      <c r="L112" s="323">
        <v>3</v>
      </c>
      <c r="M112" s="322">
        <f t="shared" si="81"/>
        <v>6667.0749999999998</v>
      </c>
      <c r="N112" s="323">
        <v>0</v>
      </c>
      <c r="O112" s="325"/>
      <c r="P112" s="323">
        <f t="shared" si="82"/>
        <v>20</v>
      </c>
      <c r="Q112" s="326">
        <v>20</v>
      </c>
      <c r="R112" s="322">
        <f t="shared" si="85"/>
        <v>3000</v>
      </c>
      <c r="S112" s="322">
        <f t="shared" si="86"/>
        <v>3000</v>
      </c>
      <c r="T112" s="322">
        <f t="shared" si="87"/>
        <v>6750</v>
      </c>
      <c r="U112" s="322">
        <f t="shared" si="88"/>
        <v>6250</v>
      </c>
      <c r="V112" s="322">
        <f t="shared" si="83"/>
        <v>417.07499999999999</v>
      </c>
      <c r="W112" s="324">
        <f t="shared" si="84"/>
        <v>79591.5</v>
      </c>
      <c r="X112" s="325"/>
      <c r="Y112" s="325"/>
      <c r="Z112" s="325"/>
      <c r="AA112" s="325"/>
      <c r="AB112" s="325"/>
    </row>
    <row r="113" spans="1:28" ht="13.5" customHeight="1" x14ac:dyDescent="0.35">
      <c r="A113" s="316">
        <v>42421</v>
      </c>
      <c r="B113" s="318" t="s">
        <v>158</v>
      </c>
      <c r="C113" s="318" t="s">
        <v>120</v>
      </c>
      <c r="D113" s="319" t="s">
        <v>373</v>
      </c>
      <c r="E113" s="320">
        <v>10119</v>
      </c>
      <c r="F113" s="321"/>
      <c r="G113" s="322">
        <f t="shared" si="78"/>
        <v>3758.9250000000002</v>
      </c>
      <c r="H113" s="323">
        <v>10</v>
      </c>
      <c r="I113" s="322">
        <f t="shared" si="79"/>
        <v>3758.9250000000002</v>
      </c>
      <c r="J113" s="323">
        <v>7</v>
      </c>
      <c r="K113" s="324">
        <f t="shared" si="80"/>
        <v>7508.9250000000002</v>
      </c>
      <c r="L113" s="323">
        <v>3</v>
      </c>
      <c r="M113" s="322">
        <f t="shared" si="81"/>
        <v>7008.9250000000002</v>
      </c>
      <c r="N113" s="323">
        <v>0</v>
      </c>
      <c r="O113" s="325"/>
      <c r="P113" s="323">
        <f t="shared" si="82"/>
        <v>20</v>
      </c>
      <c r="Q113" s="326">
        <v>20</v>
      </c>
      <c r="R113" s="322">
        <f t="shared" si="85"/>
        <v>3000</v>
      </c>
      <c r="S113" s="322">
        <f t="shared" si="86"/>
        <v>3000</v>
      </c>
      <c r="T113" s="322">
        <f t="shared" si="87"/>
        <v>6750</v>
      </c>
      <c r="U113" s="322">
        <f t="shared" si="88"/>
        <v>6250</v>
      </c>
      <c r="V113" s="322">
        <f t="shared" si="83"/>
        <v>758.92499999999995</v>
      </c>
      <c r="W113" s="324">
        <f t="shared" si="84"/>
        <v>86428.5</v>
      </c>
      <c r="X113" s="325"/>
      <c r="Y113" s="325"/>
      <c r="Z113" s="325"/>
      <c r="AA113" s="325"/>
      <c r="AB113" s="325"/>
    </row>
    <row r="114" spans="1:28" ht="13.5" customHeight="1" x14ac:dyDescent="0.35">
      <c r="A114" s="316"/>
      <c r="B114" s="318" t="s">
        <v>377</v>
      </c>
      <c r="C114" s="318"/>
      <c r="D114" s="319"/>
      <c r="E114" s="320"/>
      <c r="F114" s="321"/>
      <c r="G114" s="322">
        <f t="shared" si="78"/>
        <v>25000</v>
      </c>
      <c r="H114" s="323">
        <v>10</v>
      </c>
      <c r="I114" s="322">
        <f t="shared" si="79"/>
        <v>25000</v>
      </c>
      <c r="J114" s="323">
        <v>7</v>
      </c>
      <c r="K114" s="324">
        <f t="shared" si="80"/>
        <v>25000</v>
      </c>
      <c r="L114" s="323">
        <v>3</v>
      </c>
      <c r="M114" s="322">
        <f t="shared" si="81"/>
        <v>25000</v>
      </c>
      <c r="N114" s="323">
        <v>0</v>
      </c>
      <c r="O114" s="325"/>
      <c r="P114" s="323">
        <f t="shared" si="82"/>
        <v>20</v>
      </c>
      <c r="Q114" s="326">
        <v>20</v>
      </c>
      <c r="R114" s="322">
        <f t="shared" ref="R114:U114" si="89">$M$9</f>
        <v>25000</v>
      </c>
      <c r="S114" s="322">
        <f t="shared" si="89"/>
        <v>25000</v>
      </c>
      <c r="T114" s="322">
        <f t="shared" si="89"/>
        <v>25000</v>
      </c>
      <c r="U114" s="322">
        <f t="shared" si="89"/>
        <v>25000</v>
      </c>
      <c r="V114" s="322">
        <f t="shared" si="83"/>
        <v>0</v>
      </c>
      <c r="W114" s="324">
        <f t="shared" si="84"/>
        <v>500000</v>
      </c>
      <c r="X114" s="325"/>
      <c r="Y114" s="325"/>
      <c r="Z114" s="325"/>
      <c r="AA114" s="325"/>
      <c r="AB114" s="325"/>
    </row>
    <row r="115" spans="1:28" ht="13.5" customHeight="1" x14ac:dyDescent="0.35">
      <c r="A115" s="127">
        <v>42432</v>
      </c>
      <c r="B115" s="129" t="s">
        <v>234</v>
      </c>
      <c r="C115" s="129" t="s">
        <v>120</v>
      </c>
      <c r="D115" s="331" t="s">
        <v>207</v>
      </c>
      <c r="E115" s="332">
        <v>13027</v>
      </c>
      <c r="F115" s="136" t="s">
        <v>157</v>
      </c>
      <c r="G115" s="143">
        <f t="shared" si="78"/>
        <v>9388.204545454546</v>
      </c>
      <c r="H115" s="139">
        <v>10</v>
      </c>
      <c r="I115" s="143">
        <f t="shared" si="79"/>
        <v>9388.204545454546</v>
      </c>
      <c r="J115" s="139">
        <v>6</v>
      </c>
      <c r="K115" s="138">
        <f t="shared" si="80"/>
        <v>13138.204545454546</v>
      </c>
      <c r="L115" s="139">
        <v>4</v>
      </c>
      <c r="M115" s="143">
        <f t="shared" si="81"/>
        <v>12638.204545454546</v>
      </c>
      <c r="N115" s="139">
        <v>2</v>
      </c>
      <c r="O115" s="144"/>
      <c r="P115" s="139">
        <f t="shared" si="82"/>
        <v>22</v>
      </c>
      <c r="Q115" s="146">
        <v>22</v>
      </c>
      <c r="R115" s="143">
        <f t="shared" ref="R115:R117" si="90">IF($B$3&gt;0,$E$3,($B$13+$E$3))</f>
        <v>8500</v>
      </c>
      <c r="S115" s="143">
        <f t="shared" ref="S115:S117" si="91">IF($B$4&gt;0,$E$3,($B$13+$E$3))</f>
        <v>8500</v>
      </c>
      <c r="T115" s="143">
        <f t="shared" ref="T115:T117" si="92">$B$13+$E$3</f>
        <v>12250</v>
      </c>
      <c r="U115" s="143">
        <f t="shared" ref="U115:U117" si="93">$B$12+$E$3</f>
        <v>11750</v>
      </c>
      <c r="V115" s="143">
        <f t="shared" si="83"/>
        <v>888.20454545454538</v>
      </c>
      <c r="W115" s="138">
        <f t="shared" si="84"/>
        <v>228040.5</v>
      </c>
      <c r="X115" s="144"/>
      <c r="Y115" s="144"/>
      <c r="Z115" s="144"/>
      <c r="AA115" s="144"/>
      <c r="AB115" s="144"/>
    </row>
    <row r="116" spans="1:28" ht="13.5" customHeight="1" x14ac:dyDescent="0.35">
      <c r="A116" s="127">
        <v>42435</v>
      </c>
      <c r="B116" s="129" t="s">
        <v>214</v>
      </c>
      <c r="C116" s="129" t="s">
        <v>120</v>
      </c>
      <c r="D116" s="331" t="s">
        <v>207</v>
      </c>
      <c r="E116" s="332">
        <v>25363</v>
      </c>
      <c r="F116" s="136" t="s">
        <v>157</v>
      </c>
      <c r="G116" s="143">
        <f t="shared" si="78"/>
        <v>10229.295454545454</v>
      </c>
      <c r="H116" s="139">
        <v>10</v>
      </c>
      <c r="I116" s="143">
        <f t="shared" si="79"/>
        <v>10229.295454545454</v>
      </c>
      <c r="J116" s="139">
        <v>6</v>
      </c>
      <c r="K116" s="138">
        <f t="shared" si="80"/>
        <v>13979.295454545454</v>
      </c>
      <c r="L116" s="139">
        <v>4</v>
      </c>
      <c r="M116" s="143">
        <f t="shared" si="81"/>
        <v>13479.295454545454</v>
      </c>
      <c r="N116" s="139">
        <v>2</v>
      </c>
      <c r="O116" s="144"/>
      <c r="P116" s="139">
        <f t="shared" si="82"/>
        <v>22</v>
      </c>
      <c r="Q116" s="146">
        <v>22</v>
      </c>
      <c r="R116" s="143">
        <f t="shared" si="90"/>
        <v>8500</v>
      </c>
      <c r="S116" s="143">
        <f t="shared" si="91"/>
        <v>8500</v>
      </c>
      <c r="T116" s="143">
        <f t="shared" si="92"/>
        <v>12250</v>
      </c>
      <c r="U116" s="143">
        <f t="shared" si="93"/>
        <v>11750</v>
      </c>
      <c r="V116" s="143">
        <f t="shared" si="83"/>
        <v>1729.2954545454545</v>
      </c>
      <c r="W116" s="138">
        <f t="shared" si="84"/>
        <v>246544.5</v>
      </c>
      <c r="X116" s="144"/>
      <c r="Y116" s="144"/>
      <c r="Z116" s="144"/>
      <c r="AA116" s="144"/>
      <c r="AB116" s="144"/>
    </row>
    <row r="117" spans="1:28" ht="13.5" customHeight="1" x14ac:dyDescent="0.35">
      <c r="A117" s="127">
        <v>42438</v>
      </c>
      <c r="B117" s="148" t="s">
        <v>156</v>
      </c>
      <c r="C117" s="129" t="s">
        <v>120</v>
      </c>
      <c r="D117" s="333" t="s">
        <v>207</v>
      </c>
      <c r="E117" s="332">
        <v>13501</v>
      </c>
      <c r="F117" s="154" t="s">
        <v>157</v>
      </c>
      <c r="G117" s="143">
        <f t="shared" si="78"/>
        <v>9420.5227272727279</v>
      </c>
      <c r="H117" s="139">
        <v>10</v>
      </c>
      <c r="I117" s="143">
        <f t="shared" si="79"/>
        <v>9420.5227272727279</v>
      </c>
      <c r="J117" s="139">
        <v>6</v>
      </c>
      <c r="K117" s="138">
        <f t="shared" si="80"/>
        <v>13170.522727272728</v>
      </c>
      <c r="L117" s="139">
        <v>4</v>
      </c>
      <c r="M117" s="143">
        <f t="shared" si="81"/>
        <v>12670.522727272728</v>
      </c>
      <c r="N117" s="139">
        <v>2</v>
      </c>
      <c r="O117" s="144"/>
      <c r="P117" s="139">
        <f t="shared" si="82"/>
        <v>22</v>
      </c>
      <c r="Q117" s="146">
        <v>22</v>
      </c>
      <c r="R117" s="143">
        <f t="shared" si="90"/>
        <v>8500</v>
      </c>
      <c r="S117" s="143">
        <f t="shared" si="91"/>
        <v>8500</v>
      </c>
      <c r="T117" s="143">
        <f t="shared" si="92"/>
        <v>12250</v>
      </c>
      <c r="U117" s="143">
        <f t="shared" si="93"/>
        <v>11750</v>
      </c>
      <c r="V117" s="143">
        <f t="shared" si="83"/>
        <v>920.52272727272725</v>
      </c>
      <c r="W117" s="138">
        <f t="shared" si="84"/>
        <v>228751.5</v>
      </c>
      <c r="X117" s="144"/>
      <c r="Y117" s="144"/>
      <c r="Z117" s="144"/>
      <c r="AA117" s="144"/>
      <c r="AB117" s="144"/>
    </row>
    <row r="118" spans="1:28" ht="13.5" customHeight="1" x14ac:dyDescent="0.35">
      <c r="A118" s="127"/>
      <c r="B118" s="699" t="s">
        <v>383</v>
      </c>
      <c r="C118" s="637"/>
      <c r="D118" s="637"/>
      <c r="E118" s="635"/>
      <c r="F118" s="136"/>
      <c r="G118" s="143">
        <f t="shared" si="78"/>
        <v>5000</v>
      </c>
      <c r="H118" s="139">
        <v>10</v>
      </c>
      <c r="I118" s="143">
        <f t="shared" si="79"/>
        <v>5000</v>
      </c>
      <c r="J118" s="139">
        <v>6</v>
      </c>
      <c r="K118" s="138">
        <f t="shared" si="80"/>
        <v>5000</v>
      </c>
      <c r="L118" s="139">
        <v>4</v>
      </c>
      <c r="M118" s="143">
        <f t="shared" si="81"/>
        <v>5000</v>
      </c>
      <c r="N118" s="139">
        <v>2</v>
      </c>
      <c r="O118" s="144"/>
      <c r="P118" s="139">
        <f t="shared" si="82"/>
        <v>22</v>
      </c>
      <c r="Q118" s="146">
        <v>22</v>
      </c>
      <c r="R118" s="143">
        <f t="shared" ref="R118:U118" si="94">$I$7</f>
        <v>5000</v>
      </c>
      <c r="S118" s="143">
        <f t="shared" si="94"/>
        <v>5000</v>
      </c>
      <c r="T118" s="143">
        <f t="shared" si="94"/>
        <v>5000</v>
      </c>
      <c r="U118" s="143">
        <f t="shared" si="94"/>
        <v>5000</v>
      </c>
      <c r="V118" s="143">
        <f t="shared" si="83"/>
        <v>0</v>
      </c>
      <c r="W118" s="138">
        <f t="shared" si="84"/>
        <v>110000</v>
      </c>
      <c r="X118" s="144"/>
      <c r="Y118" s="144"/>
      <c r="Z118" s="144"/>
      <c r="AA118" s="144"/>
      <c r="AB118" s="144"/>
    </row>
    <row r="119" spans="1:28" ht="13.5" customHeight="1" x14ac:dyDescent="0.35">
      <c r="A119" s="106">
        <v>42466</v>
      </c>
      <c r="B119" s="199" t="s">
        <v>239</v>
      </c>
      <c r="C119" s="199" t="s">
        <v>120</v>
      </c>
      <c r="D119" s="313" t="s">
        <v>207</v>
      </c>
      <c r="E119" s="178">
        <v>21792</v>
      </c>
      <c r="F119" s="166"/>
      <c r="G119" s="118">
        <f t="shared" si="78"/>
        <v>7066</v>
      </c>
      <c r="H119" s="116">
        <v>10</v>
      </c>
      <c r="I119" s="118">
        <f t="shared" si="79"/>
        <v>7066</v>
      </c>
      <c r="J119" s="116">
        <v>4</v>
      </c>
      <c r="K119" s="115">
        <f t="shared" si="80"/>
        <v>10816</v>
      </c>
      <c r="L119" s="116">
        <v>2</v>
      </c>
      <c r="M119" s="118">
        <f t="shared" si="81"/>
        <v>10316</v>
      </c>
      <c r="N119" s="116">
        <v>2</v>
      </c>
      <c r="P119" s="116">
        <f t="shared" si="82"/>
        <v>18</v>
      </c>
      <c r="Q119" s="119">
        <v>18</v>
      </c>
      <c r="R119" s="118">
        <f t="shared" ref="R119:R120" si="95">IF($B$3&gt;0,$E$5,($B$13+$E$5))</f>
        <v>5250</v>
      </c>
      <c r="S119" s="118">
        <f t="shared" ref="S119:S120" si="96">IF($B$4&gt;0,$E$5,($B$13+$E$5))</f>
        <v>5250</v>
      </c>
      <c r="T119" s="118">
        <f t="shared" ref="T119:T120" si="97">$B$13+$E$5</f>
        <v>9000</v>
      </c>
      <c r="U119" s="118">
        <f t="shared" ref="U119:U120" si="98">$B$12+$E$5</f>
        <v>8500</v>
      </c>
      <c r="V119" s="118">
        <f t="shared" si="83"/>
        <v>1816</v>
      </c>
      <c r="W119" s="115">
        <f t="shared" si="84"/>
        <v>141188</v>
      </c>
    </row>
    <row r="120" spans="1:28" ht="13.5" customHeight="1" x14ac:dyDescent="0.35">
      <c r="A120" s="106">
        <v>42470</v>
      </c>
      <c r="B120" s="199" t="s">
        <v>239</v>
      </c>
      <c r="C120" s="199" t="s">
        <v>120</v>
      </c>
      <c r="D120" s="313" t="s">
        <v>207</v>
      </c>
      <c r="E120" s="178">
        <v>17275</v>
      </c>
      <c r="F120" s="166"/>
      <c r="G120" s="118">
        <f t="shared" si="78"/>
        <v>6689.583333333333</v>
      </c>
      <c r="H120" s="116">
        <v>10</v>
      </c>
      <c r="I120" s="118">
        <f t="shared" si="79"/>
        <v>6689.583333333333</v>
      </c>
      <c r="J120" s="116">
        <v>4</v>
      </c>
      <c r="K120" s="115">
        <f t="shared" si="80"/>
        <v>10439.583333333334</v>
      </c>
      <c r="L120" s="116">
        <v>2</v>
      </c>
      <c r="M120" s="118">
        <f t="shared" si="81"/>
        <v>9939.5833333333339</v>
      </c>
      <c r="N120" s="116">
        <v>2</v>
      </c>
      <c r="P120" s="116">
        <f t="shared" si="82"/>
        <v>18</v>
      </c>
      <c r="Q120" s="119">
        <v>18</v>
      </c>
      <c r="R120" s="118">
        <f t="shared" si="95"/>
        <v>5250</v>
      </c>
      <c r="S120" s="118">
        <f t="shared" si="96"/>
        <v>5250</v>
      </c>
      <c r="T120" s="118">
        <f t="shared" si="97"/>
        <v>9000</v>
      </c>
      <c r="U120" s="118">
        <f t="shared" si="98"/>
        <v>8500</v>
      </c>
      <c r="V120" s="118">
        <f t="shared" si="83"/>
        <v>1439.5833333333333</v>
      </c>
      <c r="W120" s="115">
        <f t="shared" si="84"/>
        <v>134412.5</v>
      </c>
    </row>
    <row r="121" spans="1:28" ht="13.5" customHeight="1" x14ac:dyDescent="0.35">
      <c r="A121" s="106">
        <v>42523</v>
      </c>
      <c r="B121" s="108" t="s">
        <v>210</v>
      </c>
      <c r="C121" s="199" t="s">
        <v>155</v>
      </c>
      <c r="D121" s="111" t="s">
        <v>207</v>
      </c>
      <c r="E121" s="178">
        <v>18572</v>
      </c>
      <c r="F121" s="175" t="s">
        <v>164</v>
      </c>
      <c r="G121" s="118">
        <f t="shared" si="78"/>
        <v>2797.6666666666665</v>
      </c>
      <c r="H121" s="116">
        <v>10</v>
      </c>
      <c r="I121" s="118">
        <f t="shared" si="79"/>
        <v>2797.6666666666665</v>
      </c>
      <c r="J121" s="116">
        <v>4</v>
      </c>
      <c r="K121" s="115">
        <f t="shared" si="80"/>
        <v>6547.6666666666661</v>
      </c>
      <c r="L121" s="116">
        <v>3</v>
      </c>
      <c r="M121" s="118">
        <f t="shared" si="81"/>
        <v>6047.6666666666661</v>
      </c>
      <c r="N121" s="116">
        <v>1</v>
      </c>
      <c r="P121" s="116">
        <f t="shared" si="82"/>
        <v>18</v>
      </c>
      <c r="Q121" s="119">
        <v>18</v>
      </c>
      <c r="R121" s="118">
        <f>IF($B$3&gt;0,$E$7,($B$13+$E$7))</f>
        <v>1250</v>
      </c>
      <c r="S121" s="118">
        <f>IF($B$4&gt;0,$E$7,($B$13+$E$7))</f>
        <v>1250</v>
      </c>
      <c r="T121" s="118">
        <f>$B$13+$E$7</f>
        <v>5000</v>
      </c>
      <c r="U121" s="118">
        <f>$B$12+$E$7</f>
        <v>4500</v>
      </c>
      <c r="V121" s="118">
        <f t="shared" si="83"/>
        <v>1547.6666666666665</v>
      </c>
      <c r="W121" s="115">
        <f t="shared" si="84"/>
        <v>64857.999999999993</v>
      </c>
    </row>
    <row r="122" spans="1:28" ht="13.5" customHeight="1" x14ac:dyDescent="0.35">
      <c r="A122" s="106">
        <v>42526</v>
      </c>
      <c r="B122" s="108" t="s">
        <v>210</v>
      </c>
      <c r="C122" s="199" t="s">
        <v>120</v>
      </c>
      <c r="D122" s="111" t="s">
        <v>207</v>
      </c>
      <c r="E122" s="178">
        <v>23535</v>
      </c>
      <c r="F122" s="114" t="s">
        <v>164</v>
      </c>
      <c r="G122" s="118">
        <f t="shared" si="78"/>
        <v>8461.25</v>
      </c>
      <c r="H122" s="116">
        <v>10</v>
      </c>
      <c r="I122" s="118">
        <f t="shared" si="79"/>
        <v>8461.25</v>
      </c>
      <c r="J122" s="116">
        <v>4</v>
      </c>
      <c r="K122" s="115">
        <f t="shared" si="80"/>
        <v>12211.25</v>
      </c>
      <c r="L122" s="116">
        <v>3</v>
      </c>
      <c r="M122" s="118">
        <f t="shared" si="81"/>
        <v>11711.25</v>
      </c>
      <c r="N122" s="116">
        <v>1</v>
      </c>
      <c r="P122" s="116">
        <f t="shared" si="82"/>
        <v>18</v>
      </c>
      <c r="Q122" s="119">
        <v>18</v>
      </c>
      <c r="R122" s="118">
        <f>IF($B$3&gt;0,$E$4,($B$13+$E$4))</f>
        <v>6500</v>
      </c>
      <c r="S122" s="118">
        <f>IF($B$4&gt;0,$E$4,($B$13+$E$4))</f>
        <v>6500</v>
      </c>
      <c r="T122" s="118">
        <f>$B$13+$E$4</f>
        <v>10250</v>
      </c>
      <c r="U122" s="118">
        <f>$B$12+$E$4</f>
        <v>9750</v>
      </c>
      <c r="V122" s="118">
        <f t="shared" si="83"/>
        <v>1961.25</v>
      </c>
      <c r="W122" s="115">
        <f t="shared" si="84"/>
        <v>166802.5</v>
      </c>
    </row>
    <row r="123" spans="1:28" ht="13.5" customHeight="1" x14ac:dyDescent="0.35">
      <c r="A123" s="106">
        <v>42560</v>
      </c>
      <c r="B123" s="199" t="s">
        <v>385</v>
      </c>
      <c r="C123" s="199" t="s">
        <v>120</v>
      </c>
      <c r="D123" s="313" t="s">
        <v>207</v>
      </c>
      <c r="E123" s="178">
        <v>19272</v>
      </c>
      <c r="F123" s="166"/>
      <c r="G123" s="118">
        <f t="shared" si="78"/>
        <v>6856</v>
      </c>
      <c r="H123" s="116">
        <v>10</v>
      </c>
      <c r="I123" s="118">
        <f t="shared" si="79"/>
        <v>6856</v>
      </c>
      <c r="J123" s="334">
        <v>7</v>
      </c>
      <c r="K123" s="115">
        <f t="shared" si="80"/>
        <v>10606</v>
      </c>
      <c r="L123" s="334">
        <v>1</v>
      </c>
      <c r="M123" s="118">
        <f t="shared" si="81"/>
        <v>10106</v>
      </c>
      <c r="N123" s="116">
        <v>0</v>
      </c>
      <c r="P123" s="116">
        <f t="shared" si="82"/>
        <v>18</v>
      </c>
      <c r="Q123" s="119">
        <v>18</v>
      </c>
      <c r="R123" s="118">
        <f t="shared" ref="R123:R124" si="99">IF($B$3&gt;0,$E$5,($B$13+$E$5))</f>
        <v>5250</v>
      </c>
      <c r="S123" s="118">
        <f t="shared" ref="S123:S124" si="100">IF($B$4&gt;0,$E$5,($B$13+$E$5))</f>
        <v>5250</v>
      </c>
      <c r="T123" s="118">
        <f t="shared" ref="T123:T124" si="101">$B$13+$E$5</f>
        <v>9000</v>
      </c>
      <c r="U123" s="118">
        <f t="shared" ref="U123:U124" si="102">$B$12+$E$5</f>
        <v>8500</v>
      </c>
      <c r="V123" s="118">
        <f t="shared" si="83"/>
        <v>1606</v>
      </c>
      <c r="W123" s="115">
        <f t="shared" si="84"/>
        <v>127158</v>
      </c>
    </row>
    <row r="124" spans="1:28" ht="13.5" customHeight="1" x14ac:dyDescent="0.35">
      <c r="A124" s="106">
        <v>42573</v>
      </c>
      <c r="B124" s="199" t="s">
        <v>171</v>
      </c>
      <c r="C124" s="199" t="s">
        <v>120</v>
      </c>
      <c r="D124" s="313" t="s">
        <v>207</v>
      </c>
      <c r="E124" s="178">
        <v>12635</v>
      </c>
      <c r="F124" s="166"/>
      <c r="G124" s="118">
        <f t="shared" si="78"/>
        <v>6302.9166666666661</v>
      </c>
      <c r="H124" s="116">
        <v>10</v>
      </c>
      <c r="I124" s="118">
        <f t="shared" si="79"/>
        <v>6302.9166666666661</v>
      </c>
      <c r="J124" s="334">
        <v>7</v>
      </c>
      <c r="K124" s="115">
        <f t="shared" si="80"/>
        <v>10052.916666666666</v>
      </c>
      <c r="L124" s="334">
        <v>1</v>
      </c>
      <c r="M124" s="118">
        <f t="shared" si="81"/>
        <v>9552.9166666666661</v>
      </c>
      <c r="N124" s="116">
        <v>0</v>
      </c>
      <c r="P124" s="116">
        <f t="shared" si="82"/>
        <v>18</v>
      </c>
      <c r="Q124" s="119">
        <v>18</v>
      </c>
      <c r="R124" s="118">
        <f t="shared" si="99"/>
        <v>5250</v>
      </c>
      <c r="S124" s="118">
        <f t="shared" si="100"/>
        <v>5250</v>
      </c>
      <c r="T124" s="118">
        <f t="shared" si="101"/>
        <v>9000</v>
      </c>
      <c r="U124" s="118">
        <f t="shared" si="102"/>
        <v>8500</v>
      </c>
      <c r="V124" s="118">
        <f t="shared" si="83"/>
        <v>1052.9166666666665</v>
      </c>
      <c r="W124" s="115">
        <f t="shared" si="84"/>
        <v>117202.49999999999</v>
      </c>
    </row>
    <row r="125" spans="1:28" ht="13.5" customHeight="1" x14ac:dyDescent="0.35">
      <c r="A125" s="316"/>
      <c r="B125" s="336" t="s">
        <v>386</v>
      </c>
      <c r="C125" s="318"/>
      <c r="D125" s="319"/>
      <c r="E125" s="320"/>
      <c r="F125" s="321"/>
      <c r="G125" s="322">
        <f t="shared" si="78"/>
        <v>25000</v>
      </c>
      <c r="H125" s="323">
        <f t="shared" ref="H125:H126" si="103">IF($S$1&lt;&gt;"NQ",10,0)</f>
        <v>10</v>
      </c>
      <c r="I125" s="322">
        <f t="shared" si="79"/>
        <v>25000</v>
      </c>
      <c r="J125" s="323">
        <f t="shared" ref="J125:J126" si="104">IF($S$1&lt;&gt;"NQ",7,0)</f>
        <v>7</v>
      </c>
      <c r="K125" s="324">
        <f t="shared" si="80"/>
        <v>25000</v>
      </c>
      <c r="L125" s="323">
        <f t="shared" ref="L125:L126" si="105">IF($S$1&lt;&gt;"NQ",1,0)</f>
        <v>1</v>
      </c>
      <c r="M125" s="322">
        <f t="shared" si="81"/>
        <v>25000</v>
      </c>
      <c r="N125" s="323">
        <f t="shared" ref="N125:N126" si="106">IF($S$1&lt;&gt;"NQ",0,0)</f>
        <v>0</v>
      </c>
      <c r="O125" s="325"/>
      <c r="P125" s="323">
        <f t="shared" si="82"/>
        <v>18</v>
      </c>
      <c r="Q125" s="337">
        <v>18</v>
      </c>
      <c r="R125" s="322">
        <f>IF(AND($S$1&lt;&gt;"NQ",$B$3&gt;0),$S$3,IF(AND($S$1&lt;&gt;"NQ",$B$3=0),$S$3+($S$12*3),0))</f>
        <v>25000</v>
      </c>
      <c r="S125" s="322">
        <f>IF(AND($S$1&lt;&gt;"NQ",$B$4&gt;0),$S$3,IF(AND($S$1&lt;&gt;"NQ",$B$4=0),$S$3+($S$12*3),0))</f>
        <v>25000</v>
      </c>
      <c r="T125" s="322">
        <f t="shared" ref="T125:U125" si="107">IF($S$1&lt;&gt;"NQ",$S$3+($S$12*3),0)</f>
        <v>25000</v>
      </c>
      <c r="U125" s="322">
        <f t="shared" si="107"/>
        <v>25000</v>
      </c>
      <c r="V125" s="322">
        <f t="shared" si="83"/>
        <v>0</v>
      </c>
      <c r="W125" s="324">
        <f t="shared" si="84"/>
        <v>450000</v>
      </c>
      <c r="X125" s="325"/>
      <c r="Y125" s="325"/>
      <c r="Z125" s="325"/>
      <c r="AA125" s="325"/>
      <c r="AB125" s="325"/>
    </row>
    <row r="126" spans="1:28" ht="13.5" customHeight="1" x14ac:dyDescent="0.35">
      <c r="A126" s="316"/>
      <c r="B126" s="336" t="s">
        <v>387</v>
      </c>
      <c r="C126" s="318"/>
      <c r="D126" s="319"/>
      <c r="E126" s="338"/>
      <c r="F126" s="321"/>
      <c r="G126" s="322">
        <f t="shared" si="78"/>
        <v>0</v>
      </c>
      <c r="H126" s="323">
        <f t="shared" si="103"/>
        <v>10</v>
      </c>
      <c r="I126" s="322">
        <f t="shared" si="79"/>
        <v>0</v>
      </c>
      <c r="J126" s="323">
        <f t="shared" si="104"/>
        <v>7</v>
      </c>
      <c r="K126" s="324">
        <f t="shared" si="80"/>
        <v>0</v>
      </c>
      <c r="L126" s="323">
        <f t="shared" si="105"/>
        <v>1</v>
      </c>
      <c r="M126" s="322">
        <f t="shared" si="81"/>
        <v>0</v>
      </c>
      <c r="N126" s="323">
        <f t="shared" si="106"/>
        <v>0</v>
      </c>
      <c r="O126" s="325"/>
      <c r="P126" s="323">
        <f t="shared" si="82"/>
        <v>18</v>
      </c>
      <c r="Q126" s="337">
        <v>18</v>
      </c>
      <c r="R126" s="322">
        <f t="shared" ref="R126:U126" si="108">IF($T$1&lt;&gt;"NQ",$S$5*$T$1,0)</f>
        <v>0</v>
      </c>
      <c r="S126" s="322">
        <f t="shared" si="108"/>
        <v>0</v>
      </c>
      <c r="T126" s="322">
        <f t="shared" si="108"/>
        <v>0</v>
      </c>
      <c r="U126" s="322">
        <f t="shared" si="108"/>
        <v>0</v>
      </c>
      <c r="V126" s="322">
        <f t="shared" si="83"/>
        <v>0</v>
      </c>
      <c r="W126" s="324">
        <f t="shared" si="84"/>
        <v>0</v>
      </c>
      <c r="X126" s="325"/>
      <c r="Y126" s="325"/>
      <c r="Z126" s="325"/>
      <c r="AA126" s="325"/>
      <c r="AB126" s="325"/>
    </row>
    <row r="127" spans="1:28" ht="13.5" customHeight="1" x14ac:dyDescent="0.35">
      <c r="A127" s="316"/>
      <c r="B127" s="336" t="s">
        <v>389</v>
      </c>
      <c r="C127" s="318"/>
      <c r="D127" s="319"/>
      <c r="E127" s="338"/>
      <c r="F127" s="321"/>
      <c r="G127" s="322">
        <f t="shared" si="78"/>
        <v>0</v>
      </c>
      <c r="H127" s="323">
        <f>IF(OR($S$1="QF",$S$1="SF",$S$1="3rd",$S$1="2nd",$S$1="1st",),H$85,0)</f>
        <v>10</v>
      </c>
      <c r="I127" s="322">
        <f t="shared" si="79"/>
        <v>0</v>
      </c>
      <c r="J127" s="323">
        <f>IF(OR($S$1="QF",$S$1="SF",$S$1="3rd",$S$1="2nd",$S$1="1st",),J$75,0)</f>
        <v>7</v>
      </c>
      <c r="K127" s="324">
        <f t="shared" si="80"/>
        <v>0</v>
      </c>
      <c r="L127" s="323">
        <f>IF(OR($S$1="QF",$S$1="SF",$S$1="3rd",$S$1="2nd",$S$1="1st",),L$125,0)</f>
        <v>1</v>
      </c>
      <c r="M127" s="322">
        <f t="shared" si="81"/>
        <v>0</v>
      </c>
      <c r="N127" s="323">
        <f>IF(OR($S$1="QF",$S$1="SF",$S$1="3rd",$S$1="2nd",$S$1="1st",),N$125,0)</f>
        <v>0</v>
      </c>
      <c r="O127" s="325"/>
      <c r="P127" s="323">
        <f t="shared" si="82"/>
        <v>18</v>
      </c>
      <c r="Q127" s="337">
        <v>18</v>
      </c>
      <c r="R127" s="322">
        <f>IF(AND($S$1="QF",$B$3&gt;0),$S$7,IF(AND($S$1="QF",$B$3=0),$S$7+S$12,0))</f>
        <v>0</v>
      </c>
      <c r="S127" s="322">
        <f>IF(AND($S$1="QF",$B$4&gt;0),$S$7,IF(AND($S$1="QF",$B$4=0),$S$7+S$12,0))</f>
        <v>0</v>
      </c>
      <c r="T127" s="322">
        <f>IF($S$1="QF",$S$7+S$12,0)</f>
        <v>0</v>
      </c>
      <c r="U127" s="322">
        <f>IF($S$1="QF",$S$7+S$12,0)</f>
        <v>0</v>
      </c>
      <c r="V127" s="322">
        <f t="shared" si="83"/>
        <v>0</v>
      </c>
      <c r="W127" s="324">
        <f t="shared" si="84"/>
        <v>0</v>
      </c>
      <c r="X127" s="325"/>
      <c r="Y127" s="325"/>
      <c r="Z127" s="325"/>
      <c r="AA127" s="325"/>
      <c r="AB127" s="325"/>
    </row>
    <row r="128" spans="1:28" ht="13.5" customHeight="1" x14ac:dyDescent="0.35">
      <c r="A128" s="316"/>
      <c r="B128" s="343" t="s">
        <v>390</v>
      </c>
      <c r="C128" s="318"/>
      <c r="D128" s="345"/>
      <c r="E128" s="321"/>
      <c r="F128" s="338"/>
      <c r="G128" s="322">
        <f t="shared" si="78"/>
        <v>0</v>
      </c>
      <c r="H128" s="323">
        <f>IF(OR($S$1="SF",$S$1="3rd",$S$1="2nd",$S$1="1st",),H$85,0)</f>
        <v>0</v>
      </c>
      <c r="I128" s="322">
        <f t="shared" si="79"/>
        <v>0</v>
      </c>
      <c r="J128" s="323">
        <f>IF(OR($S$1="SF",$S$1="3rd",$S$1="2nd",$S$1="1st",),J$75,0)</f>
        <v>0</v>
      </c>
      <c r="K128" s="324">
        <f t="shared" si="80"/>
        <v>0</v>
      </c>
      <c r="L128" s="323">
        <f>IF(OR($S$1="SF",$S$1="3rd",$S$1="2nd",$S$1="1st",),L$125,0)</f>
        <v>0</v>
      </c>
      <c r="M128" s="322">
        <f t="shared" si="81"/>
        <v>0</v>
      </c>
      <c r="N128" s="323">
        <f>IF(OR($S$1="SF",$S$1="3rd",$S$1="2nd",$S$1="1st",),N$125,0)</f>
        <v>0</v>
      </c>
      <c r="O128" s="325"/>
      <c r="P128" s="323">
        <f t="shared" si="82"/>
        <v>0</v>
      </c>
      <c r="Q128" s="337">
        <v>18</v>
      </c>
      <c r="R128" s="322">
        <f>IF(AND($S$1="SF",$B$3&gt;0),$S$7+$S$8,IF(AND($S$1="SF",$B$3=0),$S$7+$S$8+(3*S$12),0))</f>
        <v>0</v>
      </c>
      <c r="S128" s="322">
        <f>IF(AND($S$1="SF",$B$4&gt;0),$S$7+$S$8,IF(AND($S$1="SF",$B$4=0),$S$7+$S$8+(3*S$12),0))</f>
        <v>0</v>
      </c>
      <c r="T128" s="322">
        <f>IF($S$1="SF",$S$7+$S$8+(3*S$12),0)</f>
        <v>0</v>
      </c>
      <c r="U128" s="322">
        <f>IF($S$1="SF",$S$7+$S$8+(3*S$12),0)</f>
        <v>0</v>
      </c>
      <c r="V128" s="322">
        <f t="shared" si="83"/>
        <v>0</v>
      </c>
      <c r="W128" s="324">
        <f t="shared" si="84"/>
        <v>0</v>
      </c>
      <c r="X128" s="325"/>
      <c r="Y128" s="325"/>
      <c r="Z128" s="325"/>
      <c r="AA128" s="325"/>
      <c r="AB128" s="325"/>
    </row>
    <row r="129" spans="1:28" ht="13.5" customHeight="1" x14ac:dyDescent="0.35">
      <c r="A129" s="316"/>
      <c r="B129" s="753" t="s">
        <v>392</v>
      </c>
      <c r="C129" s="637"/>
      <c r="D129" s="637"/>
      <c r="E129" s="637"/>
      <c r="F129" s="635"/>
      <c r="G129" s="322">
        <f t="shared" si="78"/>
        <v>0</v>
      </c>
      <c r="H129" s="323">
        <f>IF($S$1="3rd",$H$85,0)</f>
        <v>0</v>
      </c>
      <c r="I129" s="322">
        <f t="shared" si="79"/>
        <v>0</v>
      </c>
      <c r="J129" s="323">
        <f>IF($S$1="3rd",$J$75,0)</f>
        <v>0</v>
      </c>
      <c r="K129" s="324">
        <f t="shared" si="80"/>
        <v>0</v>
      </c>
      <c r="L129" s="323">
        <f>IF($S$1="3rd",$L$125,0)</f>
        <v>0</v>
      </c>
      <c r="M129" s="322">
        <f t="shared" si="81"/>
        <v>0</v>
      </c>
      <c r="N129" s="323">
        <f>IF($S$1="3rd",$N$125,0)</f>
        <v>0</v>
      </c>
      <c r="O129" s="325"/>
      <c r="P129" s="323">
        <f t="shared" si="82"/>
        <v>0</v>
      </c>
      <c r="Q129" s="337">
        <v>18</v>
      </c>
      <c r="R129" s="322">
        <f>IF(AND($S$1="3rd",$B$3&gt;0),$S$7+$S$8+$S$9,IF(AND($S$1="3rd",$B$3=0),$S$7+$S$8+$S$9+(4*S$12),0))</f>
        <v>0</v>
      </c>
      <c r="S129" s="322">
        <f>IF(AND($S$1="3rd",$B$4&gt;0),$S$7+$S$8+$S$9,IF(AND($S$1="3rd",$B$4=0),$S$7+$S$8+$S$9+(4*S$12),0))</f>
        <v>0</v>
      </c>
      <c r="T129" s="322">
        <f>IF($S$1="3rd",$S$7+$S$8+$S$9+(4*S$12),0)</f>
        <v>0</v>
      </c>
      <c r="U129" s="322">
        <f>IF($S$1="3rd",$S$7+$S$8+$S$9+(4*S$12),0)</f>
        <v>0</v>
      </c>
      <c r="V129" s="322">
        <f t="shared" si="83"/>
        <v>0</v>
      </c>
      <c r="W129" s="324">
        <f t="shared" si="84"/>
        <v>0</v>
      </c>
      <c r="X129" s="325"/>
      <c r="Y129" s="325"/>
      <c r="Z129" s="325"/>
      <c r="AA129" s="325"/>
      <c r="AB129" s="325"/>
    </row>
    <row r="130" spans="1:28" ht="13.5" customHeight="1" x14ac:dyDescent="0.35">
      <c r="A130" s="316"/>
      <c r="B130" s="753" t="s">
        <v>394</v>
      </c>
      <c r="C130" s="637"/>
      <c r="D130" s="637"/>
      <c r="E130" s="637"/>
      <c r="F130" s="635"/>
      <c r="G130" s="322">
        <f t="shared" si="78"/>
        <v>0</v>
      </c>
      <c r="H130" s="323">
        <f>IF($S$1="2nd",$H$85,0)</f>
        <v>0</v>
      </c>
      <c r="I130" s="322">
        <f t="shared" si="79"/>
        <v>0</v>
      </c>
      <c r="J130" s="323">
        <f>IF($S$1="2nd",$J$75,0)</f>
        <v>0</v>
      </c>
      <c r="K130" s="324">
        <f t="shared" si="80"/>
        <v>0</v>
      </c>
      <c r="L130" s="323">
        <f>IF($S$1="2nd",$L$125,0)</f>
        <v>0</v>
      </c>
      <c r="M130" s="322">
        <f t="shared" si="81"/>
        <v>0</v>
      </c>
      <c r="N130" s="323">
        <f>IF($S$1="2nd",$N$125,0)</f>
        <v>0</v>
      </c>
      <c r="O130" s="325"/>
      <c r="P130" s="323">
        <f t="shared" si="82"/>
        <v>0</v>
      </c>
      <c r="Q130" s="337">
        <v>18</v>
      </c>
      <c r="R130" s="322">
        <f>IF(AND($S$1="2nd",$B$3&gt;0),$S$7+$S$8+$S$10,IF(AND($S$1="2nd",$B$3=0),$S$7+$S$8+$S$10+(4*S$12),0))</f>
        <v>0</v>
      </c>
      <c r="S130" s="322">
        <f>IF(AND($S$1="2nd",$B$4&gt;0),$S$7+$S$8+$S$10,IF(AND($S$1="2nd",$B$4=0),$S$7+$S$8+$S$10+(4*S$12),0))</f>
        <v>0</v>
      </c>
      <c r="T130" s="322">
        <f>IF($S$1="2nd",$S$7+$S$8+$S$10+(4*S$12),0)</f>
        <v>0</v>
      </c>
      <c r="U130" s="322">
        <f>IF($S$1="2nd",$S$7+$S$8+$S$10+(4*S$12),0)</f>
        <v>0</v>
      </c>
      <c r="V130" s="322">
        <f t="shared" si="83"/>
        <v>0</v>
      </c>
      <c r="W130" s="324">
        <f t="shared" si="84"/>
        <v>0</v>
      </c>
      <c r="X130" s="325"/>
      <c r="Y130" s="325"/>
      <c r="Z130" s="325"/>
      <c r="AA130" s="325"/>
      <c r="AB130" s="325"/>
    </row>
    <row r="131" spans="1:28" ht="13.5" customHeight="1" x14ac:dyDescent="0.35">
      <c r="A131" s="316"/>
      <c r="B131" s="753" t="s">
        <v>395</v>
      </c>
      <c r="C131" s="637"/>
      <c r="D131" s="637"/>
      <c r="E131" s="637"/>
      <c r="F131" s="635"/>
      <c r="G131" s="322">
        <f t="shared" si="78"/>
        <v>0</v>
      </c>
      <c r="H131" s="323">
        <f>IF($S$1="1st",$H$85,0)</f>
        <v>0</v>
      </c>
      <c r="I131" s="322">
        <f t="shared" si="79"/>
        <v>0</v>
      </c>
      <c r="J131" s="323">
        <f>IF($S$1="1st",$J$75,0)</f>
        <v>0</v>
      </c>
      <c r="K131" s="324">
        <f t="shared" si="80"/>
        <v>0</v>
      </c>
      <c r="L131" s="323">
        <f>IF($S$1="1st",$L$125,0)</f>
        <v>0</v>
      </c>
      <c r="M131" s="322">
        <f t="shared" si="81"/>
        <v>0</v>
      </c>
      <c r="N131" s="323">
        <f>IF($S$1="1st",$N$125,0)</f>
        <v>0</v>
      </c>
      <c r="O131" s="325"/>
      <c r="P131" s="323">
        <f t="shared" si="82"/>
        <v>0</v>
      </c>
      <c r="Q131" s="337">
        <v>18</v>
      </c>
      <c r="R131" s="322">
        <f>IF(AND($S$1="1st",$B$3&gt;0),$S$7+$S$8+$S$11,IF(AND($S$1="1st",$B$3=0),$S$7+$S$8+$S$11+(4*S$12),0))</f>
        <v>0</v>
      </c>
      <c r="S131" s="322">
        <f>IF(AND($S$1="1st",$B$4&gt;0),$S$7+$S$8+$S$11,IF(AND($S$1="1st",$B$4=0),$S$7+$S$8+$S$11+(4*S$12),0))</f>
        <v>0</v>
      </c>
      <c r="T131" s="322">
        <f>IF($S$1="1st",$S$7+$S$8+$S$11+(4*S$12),0)</f>
        <v>0</v>
      </c>
      <c r="U131" s="322">
        <f>IF($S$1="1st",$S$7+$S$8+$S$11+(4*S$12),0)</f>
        <v>0</v>
      </c>
      <c r="V131" s="322">
        <f t="shared" si="83"/>
        <v>0</v>
      </c>
      <c r="W131" s="324">
        <f t="shared" si="84"/>
        <v>0</v>
      </c>
      <c r="X131" s="325"/>
      <c r="Y131" s="325"/>
      <c r="Z131" s="325"/>
      <c r="AA131" s="325"/>
      <c r="AB131" s="325"/>
    </row>
    <row r="132" spans="1:28" ht="13.5" customHeight="1" x14ac:dyDescent="0.35">
      <c r="A132" s="316"/>
      <c r="B132" s="336" t="s">
        <v>397</v>
      </c>
      <c r="C132" s="336"/>
      <c r="D132" s="336"/>
      <c r="E132" s="336"/>
      <c r="F132" s="336"/>
      <c r="G132" s="322">
        <f t="shared" si="78"/>
        <v>0</v>
      </c>
      <c r="H132" s="323">
        <f>IF($S$1="3rd",$H$85,0)</f>
        <v>0</v>
      </c>
      <c r="I132" s="322">
        <f t="shared" si="79"/>
        <v>0</v>
      </c>
      <c r="J132" s="323">
        <f>IF($S$1="3rd",$J$75,0)</f>
        <v>0</v>
      </c>
      <c r="K132" s="324">
        <f t="shared" si="80"/>
        <v>0</v>
      </c>
      <c r="L132" s="323">
        <f>IF($S$1="3rd",$L$125,0)</f>
        <v>0</v>
      </c>
      <c r="M132" s="322">
        <f t="shared" si="81"/>
        <v>0</v>
      </c>
      <c r="N132" s="323">
        <f>IF($S$1="3rd",$N$125,0)</f>
        <v>0</v>
      </c>
      <c r="O132" s="325"/>
      <c r="P132" s="323">
        <f t="shared" si="82"/>
        <v>0</v>
      </c>
      <c r="Q132" s="337">
        <v>18</v>
      </c>
      <c r="R132" s="322">
        <f t="shared" ref="R132:U132" si="109">IF($S$1="3rd",$L14,0)</f>
        <v>0</v>
      </c>
      <c r="S132" s="322">
        <f t="shared" si="109"/>
        <v>0</v>
      </c>
      <c r="T132" s="322">
        <f t="shared" si="109"/>
        <v>0</v>
      </c>
      <c r="U132" s="322">
        <f t="shared" si="109"/>
        <v>0</v>
      </c>
      <c r="V132" s="322">
        <f t="shared" si="83"/>
        <v>0</v>
      </c>
      <c r="W132" s="324">
        <f t="shared" si="84"/>
        <v>0</v>
      </c>
      <c r="X132" s="325"/>
      <c r="Y132" s="325"/>
      <c r="Z132" s="325"/>
      <c r="AA132" s="325"/>
      <c r="AB132" s="325"/>
    </row>
    <row r="133" spans="1:28" ht="13.5" customHeight="1" x14ac:dyDescent="0.35">
      <c r="A133" s="316"/>
      <c r="B133" s="336" t="s">
        <v>398</v>
      </c>
      <c r="C133" s="336"/>
      <c r="D133" s="336"/>
      <c r="E133" s="336"/>
      <c r="F133" s="336"/>
      <c r="G133" s="322">
        <f t="shared" si="78"/>
        <v>0</v>
      </c>
      <c r="H133" s="323">
        <f>IF($S$1="2nd",$H$85,0)</f>
        <v>0</v>
      </c>
      <c r="I133" s="322">
        <f t="shared" si="79"/>
        <v>0</v>
      </c>
      <c r="J133" s="323">
        <f>IF($S$1="2nd",$J$75,0)</f>
        <v>0</v>
      </c>
      <c r="K133" s="324">
        <f t="shared" si="80"/>
        <v>0</v>
      </c>
      <c r="L133" s="323">
        <f>IF($S$1="2nd",$L$125,0)</f>
        <v>0</v>
      </c>
      <c r="M133" s="322">
        <f t="shared" si="81"/>
        <v>0</v>
      </c>
      <c r="N133" s="323">
        <f>IF($S$1="2nd",$N$125,0)</f>
        <v>0</v>
      </c>
      <c r="O133" s="325"/>
      <c r="P133" s="323">
        <f t="shared" si="82"/>
        <v>0</v>
      </c>
      <c r="Q133" s="337">
        <v>18</v>
      </c>
      <c r="R133" s="322">
        <f t="shared" ref="R133:U133" si="110">IF($S$1="2nd",$L13,0)</f>
        <v>0</v>
      </c>
      <c r="S133" s="322">
        <f t="shared" si="110"/>
        <v>0</v>
      </c>
      <c r="T133" s="322">
        <f t="shared" si="110"/>
        <v>0</v>
      </c>
      <c r="U133" s="322">
        <f t="shared" si="110"/>
        <v>0</v>
      </c>
      <c r="V133" s="322">
        <f t="shared" si="83"/>
        <v>0</v>
      </c>
      <c r="W133" s="324">
        <f t="shared" si="84"/>
        <v>0</v>
      </c>
      <c r="X133" s="325"/>
      <c r="Y133" s="325"/>
      <c r="Z133" s="325"/>
      <c r="AA133" s="325"/>
      <c r="AB133" s="325"/>
    </row>
    <row r="134" spans="1:28" ht="13.5" customHeight="1" x14ac:dyDescent="0.35">
      <c r="A134" s="316"/>
      <c r="B134" s="336" t="s">
        <v>400</v>
      </c>
      <c r="C134" s="336"/>
      <c r="D134" s="336"/>
      <c r="E134" s="336"/>
      <c r="F134" s="336"/>
      <c r="G134" s="322">
        <f t="shared" si="78"/>
        <v>0</v>
      </c>
      <c r="H134" s="323">
        <f>IF($S$1="1st",$H$85,0)</f>
        <v>0</v>
      </c>
      <c r="I134" s="322">
        <f t="shared" si="79"/>
        <v>0</v>
      </c>
      <c r="J134" s="323">
        <f>IF($S$1="1st",$J$75,0)</f>
        <v>0</v>
      </c>
      <c r="K134" s="324">
        <f t="shared" si="80"/>
        <v>0</v>
      </c>
      <c r="L134" s="323">
        <f>IF($S$1="1st",$L$125,0)</f>
        <v>0</v>
      </c>
      <c r="M134" s="322">
        <f t="shared" si="81"/>
        <v>0</v>
      </c>
      <c r="N134" s="323">
        <f>IF($S$1="1st",$N$125,0)</f>
        <v>0</v>
      </c>
      <c r="O134" s="325"/>
      <c r="P134" s="323">
        <f t="shared" si="82"/>
        <v>0</v>
      </c>
      <c r="Q134" s="337">
        <v>18</v>
      </c>
      <c r="R134" s="322">
        <f t="shared" ref="R134:U134" si="111">IF($S$1="1st",$L12,0)</f>
        <v>0</v>
      </c>
      <c r="S134" s="322">
        <f t="shared" si="111"/>
        <v>0</v>
      </c>
      <c r="T134" s="322">
        <f t="shared" si="111"/>
        <v>0</v>
      </c>
      <c r="U134" s="322">
        <f t="shared" si="111"/>
        <v>0</v>
      </c>
      <c r="V134" s="322">
        <f t="shared" si="83"/>
        <v>0</v>
      </c>
      <c r="W134" s="324">
        <f t="shared" si="84"/>
        <v>0</v>
      </c>
      <c r="X134" s="325"/>
      <c r="Y134" s="325"/>
      <c r="Z134" s="325"/>
      <c r="AA134" s="325"/>
      <c r="AB134" s="325"/>
    </row>
    <row r="135" spans="1:28" ht="13.5" customHeight="1" x14ac:dyDescent="0.35">
      <c r="A135" s="106">
        <v>42628</v>
      </c>
      <c r="B135" s="108" t="s">
        <v>401</v>
      </c>
      <c r="C135" s="199" t="s">
        <v>120</v>
      </c>
      <c r="D135" s="111" t="s">
        <v>207</v>
      </c>
      <c r="E135" s="178">
        <v>10490</v>
      </c>
      <c r="F135" s="114"/>
      <c r="G135" s="118">
        <f t="shared" si="78"/>
        <v>5934.130434782609</v>
      </c>
      <c r="H135" s="116">
        <v>10</v>
      </c>
      <c r="I135" s="118">
        <f t="shared" si="79"/>
        <v>5934.130434782609</v>
      </c>
      <c r="J135" s="116">
        <v>7</v>
      </c>
      <c r="K135" s="115">
        <f t="shared" si="80"/>
        <v>9684.1304347826081</v>
      </c>
      <c r="L135" s="334">
        <v>4</v>
      </c>
      <c r="M135" s="118">
        <f t="shared" si="81"/>
        <v>9184.1304347826081</v>
      </c>
      <c r="N135" s="334">
        <v>2</v>
      </c>
      <c r="P135" s="116">
        <f t="shared" si="82"/>
        <v>23</v>
      </c>
      <c r="Q135" s="356">
        <v>23</v>
      </c>
      <c r="R135" s="118">
        <f>IF($B$3&gt;0,$E$5,($B$13+$E$5))</f>
        <v>5250</v>
      </c>
      <c r="S135" s="118">
        <f>IF($B$4&gt;0,$E$5,($B$13+$E$5))</f>
        <v>5250</v>
      </c>
      <c r="T135" s="118">
        <f>$B$13+$E$5</f>
        <v>9000</v>
      </c>
      <c r="U135" s="118">
        <f>$B$12+$E$5</f>
        <v>8500</v>
      </c>
      <c r="V135" s="118">
        <f t="shared" si="83"/>
        <v>684.13043478260863</v>
      </c>
      <c r="W135" s="115">
        <f t="shared" si="84"/>
        <v>157985</v>
      </c>
    </row>
    <row r="136" spans="1:28" ht="13.5" customHeight="1" x14ac:dyDescent="0.35">
      <c r="A136" s="106">
        <v>42631</v>
      </c>
      <c r="B136" s="108" t="s">
        <v>163</v>
      </c>
      <c r="C136" s="199" t="s">
        <v>120</v>
      </c>
      <c r="D136" s="111" t="s">
        <v>207</v>
      </c>
      <c r="E136" s="178">
        <v>15652</v>
      </c>
      <c r="F136" s="175" t="s">
        <v>164</v>
      </c>
      <c r="G136" s="118">
        <f t="shared" si="78"/>
        <v>7520.782608695652</v>
      </c>
      <c r="H136" s="116">
        <v>10</v>
      </c>
      <c r="I136" s="118">
        <f t="shared" si="79"/>
        <v>7520.782608695652</v>
      </c>
      <c r="J136" s="116">
        <v>7</v>
      </c>
      <c r="K136" s="115">
        <f t="shared" si="80"/>
        <v>11270.782608695652</v>
      </c>
      <c r="L136" s="334">
        <v>4</v>
      </c>
      <c r="M136" s="118">
        <f t="shared" si="81"/>
        <v>10770.782608695652</v>
      </c>
      <c r="N136" s="334">
        <v>2</v>
      </c>
      <c r="P136" s="116">
        <f t="shared" si="82"/>
        <v>23</v>
      </c>
      <c r="Q136" s="356">
        <v>23</v>
      </c>
      <c r="R136" s="118">
        <f>IF($B$3&gt;0,$E$4,($B$13+$E$4))</f>
        <v>6500</v>
      </c>
      <c r="S136" s="118">
        <f>IF($B$4&gt;0,$E$4,($B$13+$E$4))</f>
        <v>6500</v>
      </c>
      <c r="T136" s="118">
        <f>$B$13+$E$4</f>
        <v>10250</v>
      </c>
      <c r="U136" s="118">
        <f>$B$12+$E$4</f>
        <v>9750</v>
      </c>
      <c r="V136" s="118">
        <f t="shared" si="83"/>
        <v>1020.7826086956521</v>
      </c>
      <c r="W136" s="115">
        <f t="shared" si="84"/>
        <v>194478</v>
      </c>
    </row>
    <row r="137" spans="1:28" ht="13.5" customHeight="1" x14ac:dyDescent="0.35">
      <c r="A137" s="106">
        <v>42662</v>
      </c>
      <c r="B137" s="108" t="s">
        <v>216</v>
      </c>
      <c r="C137" s="199" t="s">
        <v>120</v>
      </c>
      <c r="D137" s="111" t="s">
        <v>207</v>
      </c>
      <c r="E137" s="178">
        <v>14336</v>
      </c>
      <c r="F137" s="114"/>
      <c r="G137" s="118">
        <f t="shared" si="78"/>
        <v>6184.95652173913</v>
      </c>
      <c r="H137" s="116">
        <v>10</v>
      </c>
      <c r="I137" s="118">
        <f t="shared" si="79"/>
        <v>6184.95652173913</v>
      </c>
      <c r="J137" s="116">
        <v>6</v>
      </c>
      <c r="K137" s="115">
        <f t="shared" si="80"/>
        <v>9934.95652173913</v>
      </c>
      <c r="L137" s="334">
        <v>4</v>
      </c>
      <c r="M137" s="118">
        <f t="shared" si="81"/>
        <v>9434.95652173913</v>
      </c>
      <c r="N137" s="334">
        <v>3</v>
      </c>
      <c r="P137" s="116">
        <f t="shared" si="82"/>
        <v>23</v>
      </c>
      <c r="Q137" s="356">
        <v>23</v>
      </c>
      <c r="R137" s="118">
        <f t="shared" ref="R137:R140" si="112">IF($B$3&gt;0,$E$5,($B$13+$E$5))</f>
        <v>5250</v>
      </c>
      <c r="S137" s="118">
        <f t="shared" ref="S137:S140" si="113">IF($B$4&gt;0,$E$5,($B$13+$E$5))</f>
        <v>5250</v>
      </c>
      <c r="T137" s="118">
        <f t="shared" ref="T137:T140" si="114">$B$13+$E$5</f>
        <v>9000</v>
      </c>
      <c r="U137" s="118">
        <f t="shared" ref="U137:U140" si="115">$B$12+$E$5</f>
        <v>8500</v>
      </c>
      <c r="V137" s="118">
        <f t="shared" si="83"/>
        <v>934.95652173913038</v>
      </c>
      <c r="W137" s="115">
        <f t="shared" si="84"/>
        <v>167004</v>
      </c>
    </row>
    <row r="138" spans="1:28" ht="13.5" customHeight="1" x14ac:dyDescent="0.35">
      <c r="A138" s="106">
        <v>42666</v>
      </c>
      <c r="B138" s="108" t="s">
        <v>216</v>
      </c>
      <c r="C138" s="199" t="s">
        <v>120</v>
      </c>
      <c r="D138" s="111" t="s">
        <v>207</v>
      </c>
      <c r="E138" s="178">
        <v>23400</v>
      </c>
      <c r="F138" s="175"/>
      <c r="G138" s="118">
        <f t="shared" si="78"/>
        <v>6776.086956521739</v>
      </c>
      <c r="H138" s="116">
        <v>10</v>
      </c>
      <c r="I138" s="118">
        <f t="shared" si="79"/>
        <v>6776.086956521739</v>
      </c>
      <c r="J138" s="116">
        <v>6</v>
      </c>
      <c r="K138" s="115">
        <f t="shared" si="80"/>
        <v>10526.08695652174</v>
      </c>
      <c r="L138" s="334">
        <v>4</v>
      </c>
      <c r="M138" s="118">
        <f t="shared" si="81"/>
        <v>10026.08695652174</v>
      </c>
      <c r="N138" s="334">
        <v>3</v>
      </c>
      <c r="P138" s="116">
        <f t="shared" si="82"/>
        <v>23</v>
      </c>
      <c r="Q138" s="356">
        <v>23</v>
      </c>
      <c r="R138" s="118">
        <f t="shared" si="112"/>
        <v>5250</v>
      </c>
      <c r="S138" s="118">
        <f t="shared" si="113"/>
        <v>5250</v>
      </c>
      <c r="T138" s="118">
        <f t="shared" si="114"/>
        <v>9000</v>
      </c>
      <c r="U138" s="118">
        <f t="shared" si="115"/>
        <v>8500</v>
      </c>
      <c r="V138" s="118">
        <f t="shared" si="83"/>
        <v>1526.086956521739</v>
      </c>
      <c r="W138" s="115">
        <f t="shared" si="84"/>
        <v>180600</v>
      </c>
    </row>
    <row r="139" spans="1:28" ht="13.5" customHeight="1" x14ac:dyDescent="0.35">
      <c r="A139" s="106">
        <v>42684</v>
      </c>
      <c r="B139" s="199" t="s">
        <v>405</v>
      </c>
      <c r="C139" s="199" t="s">
        <v>120</v>
      </c>
      <c r="D139" s="313" t="s">
        <v>207</v>
      </c>
      <c r="E139" s="178">
        <v>16425</v>
      </c>
      <c r="F139" s="175"/>
      <c r="G139" s="118">
        <f t="shared" si="78"/>
        <v>6321.195652173913</v>
      </c>
      <c r="H139" s="116">
        <v>10</v>
      </c>
      <c r="I139" s="118">
        <f t="shared" si="79"/>
        <v>6321.195652173913</v>
      </c>
      <c r="J139" s="116">
        <v>5</v>
      </c>
      <c r="K139" s="115">
        <f t="shared" si="80"/>
        <v>10071.195652173912</v>
      </c>
      <c r="L139" s="334">
        <v>4</v>
      </c>
      <c r="M139" s="118">
        <f t="shared" si="81"/>
        <v>9571.1956521739121</v>
      </c>
      <c r="N139" s="334">
        <v>4</v>
      </c>
      <c r="P139" s="116">
        <f t="shared" si="82"/>
        <v>23</v>
      </c>
      <c r="Q139" s="356">
        <v>23</v>
      </c>
      <c r="R139" s="118">
        <f t="shared" si="112"/>
        <v>5250</v>
      </c>
      <c r="S139" s="118">
        <f t="shared" si="113"/>
        <v>5250</v>
      </c>
      <c r="T139" s="118">
        <f t="shared" si="114"/>
        <v>9000</v>
      </c>
      <c r="U139" s="118">
        <f t="shared" si="115"/>
        <v>8500</v>
      </c>
      <c r="V139" s="118">
        <f t="shared" si="83"/>
        <v>1071.195652173913</v>
      </c>
      <c r="W139" s="115">
        <f t="shared" si="84"/>
        <v>173387.49999999997</v>
      </c>
    </row>
    <row r="140" spans="1:28" ht="13.5" customHeight="1" x14ac:dyDescent="0.35">
      <c r="A140" s="106">
        <v>42687</v>
      </c>
      <c r="B140" s="199" t="s">
        <v>405</v>
      </c>
      <c r="C140" s="199" t="s">
        <v>120</v>
      </c>
      <c r="D140" s="313" t="s">
        <v>207</v>
      </c>
      <c r="E140" s="178">
        <v>20336</v>
      </c>
      <c r="F140" s="166"/>
      <c r="G140" s="118">
        <f t="shared" si="78"/>
        <v>6576.260869565217</v>
      </c>
      <c r="H140" s="116">
        <v>10</v>
      </c>
      <c r="I140" s="118">
        <f t="shared" si="79"/>
        <v>6576.260869565217</v>
      </c>
      <c r="J140" s="116">
        <v>5</v>
      </c>
      <c r="K140" s="115">
        <f t="shared" si="80"/>
        <v>10326.260869565218</v>
      </c>
      <c r="L140" s="334">
        <v>4</v>
      </c>
      <c r="M140" s="118">
        <f t="shared" si="81"/>
        <v>9826.2608695652179</v>
      </c>
      <c r="N140" s="334">
        <v>4</v>
      </c>
      <c r="P140" s="116">
        <f t="shared" si="82"/>
        <v>23</v>
      </c>
      <c r="Q140" s="356">
        <v>23</v>
      </c>
      <c r="R140" s="118">
        <f t="shared" si="112"/>
        <v>5250</v>
      </c>
      <c r="S140" s="118">
        <f t="shared" si="113"/>
        <v>5250</v>
      </c>
      <c r="T140" s="118">
        <f t="shared" si="114"/>
        <v>9000</v>
      </c>
      <c r="U140" s="118">
        <f t="shared" si="115"/>
        <v>8500</v>
      </c>
      <c r="V140" s="118">
        <f t="shared" si="83"/>
        <v>1326.2608695652173</v>
      </c>
      <c r="W140" s="115">
        <f t="shared" si="84"/>
        <v>179254</v>
      </c>
    </row>
    <row r="141" spans="1:28" ht="13.5" customHeight="1" x14ac:dyDescent="0.35">
      <c r="A141" s="179"/>
      <c r="B141" s="180" t="s">
        <v>184</v>
      </c>
      <c r="C141" s="181"/>
      <c r="D141" s="182"/>
      <c r="E141" s="183"/>
      <c r="F141" s="184"/>
      <c r="G141" s="161">
        <f>$B$3</f>
        <v>100000</v>
      </c>
      <c r="H141" s="187">
        <v>10</v>
      </c>
      <c r="I141" s="161">
        <f>$B$4</f>
        <v>100000</v>
      </c>
      <c r="J141" s="187">
        <v>8</v>
      </c>
      <c r="K141" s="188"/>
      <c r="L141" s="187"/>
      <c r="M141" s="161"/>
      <c r="N141" s="187"/>
      <c r="O141" s="188">
        <f>$B$8</f>
        <v>1500</v>
      </c>
      <c r="P141" s="116"/>
      <c r="Q141" s="116">
        <v>6</v>
      </c>
      <c r="R141" s="118"/>
      <c r="S141" s="118"/>
      <c r="T141" s="118"/>
      <c r="U141" s="118"/>
      <c r="V141" s="118"/>
      <c r="W141" s="115">
        <f>(G141*H141)+(I141*J141)+(O141*Q141)</f>
        <v>1809000</v>
      </c>
      <c r="X141" s="189"/>
      <c r="Y141" s="189"/>
      <c r="Z141" s="189"/>
      <c r="AA141" s="189"/>
      <c r="AB141" s="189"/>
    </row>
    <row r="142" spans="1:28" ht="13.5" customHeight="1" x14ac:dyDescent="0.35">
      <c r="A142" s="179"/>
      <c r="B142" s="180" t="s">
        <v>192</v>
      </c>
      <c r="C142" s="181"/>
      <c r="D142" s="182"/>
      <c r="E142" s="183"/>
      <c r="F142" s="184"/>
      <c r="G142" s="161">
        <f>$E$12/($H143+$J143+$L143)</f>
        <v>15909.09090909091</v>
      </c>
      <c r="H142" s="187">
        <v>10</v>
      </c>
      <c r="I142" s="161">
        <f>$E$12/($H143+$J143+$L143)</f>
        <v>15909.09090909091</v>
      </c>
      <c r="J142" s="187">
        <v>8</v>
      </c>
      <c r="K142" s="188">
        <f>$E$12/($H143+$J143+$L143)</f>
        <v>15909.09090909091</v>
      </c>
      <c r="L142" s="187">
        <v>4</v>
      </c>
      <c r="M142" s="161"/>
      <c r="N142" s="187"/>
      <c r="O142" s="188"/>
      <c r="P142" s="116"/>
      <c r="Q142" s="116"/>
      <c r="R142" s="118"/>
      <c r="S142" s="118"/>
      <c r="T142" s="118"/>
      <c r="U142" s="118"/>
      <c r="V142" s="118"/>
      <c r="W142" s="115">
        <f>(G142*H142)+(I142*J142)+(K142*L142)+(M142*N142)</f>
        <v>350000</v>
      </c>
      <c r="X142" s="189"/>
      <c r="Y142" s="189"/>
      <c r="Z142" s="189"/>
      <c r="AA142" s="189"/>
      <c r="AB142" s="189"/>
    </row>
    <row r="143" spans="1:28" ht="13.5" customHeight="1" x14ac:dyDescent="0.4">
      <c r="A143" s="689" t="s">
        <v>388</v>
      </c>
      <c r="B143" s="635"/>
      <c r="C143" s="192"/>
      <c r="D143" s="690" t="s">
        <v>197</v>
      </c>
      <c r="E143" s="637"/>
      <c r="F143" s="635"/>
      <c r="G143" s="193">
        <f>SUMPRODUCT(G108:G142,H108:H142)</f>
        <v>3029205.9334650859</v>
      </c>
      <c r="H143" s="178">
        <v>10</v>
      </c>
      <c r="I143" s="193">
        <f>SUMPRODUCT(I108:I142,J108:J142)</f>
        <v>2067521.2400856391</v>
      </c>
      <c r="J143" s="178">
        <v>8</v>
      </c>
      <c r="K143" s="193">
        <f>SUMPRODUCT(K108:K142,L108:L142)</f>
        <v>855448.89005270088</v>
      </c>
      <c r="L143" s="178">
        <v>4</v>
      </c>
      <c r="M143" s="193">
        <f>SUMPRODUCT(M108:M142,N108:N142)</f>
        <v>352473.43639657437</v>
      </c>
      <c r="N143" s="178">
        <v>6</v>
      </c>
      <c r="O143" s="194">
        <f>$O$69*Q141</f>
        <v>9000</v>
      </c>
      <c r="P143" s="728" t="s">
        <v>201</v>
      </c>
      <c r="Q143" s="635"/>
      <c r="R143" s="178">
        <f>H143+J143+L143+N143</f>
        <v>28</v>
      </c>
      <c r="S143" s="193"/>
      <c r="T143" s="193"/>
      <c r="U143" s="193"/>
      <c r="V143" s="193"/>
      <c r="W143" s="193"/>
      <c r="X143" s="156"/>
      <c r="Y143" s="156"/>
      <c r="Z143" s="156"/>
      <c r="AA143" s="196"/>
      <c r="AB143" s="196"/>
    </row>
    <row r="144" spans="1:28" ht="13.5" customHeight="1" x14ac:dyDescent="0.4">
      <c r="A144" s="689" t="s">
        <v>391</v>
      </c>
      <c r="B144" s="635"/>
      <c r="C144" s="192"/>
      <c r="D144" s="690" t="s">
        <v>204</v>
      </c>
      <c r="E144" s="637"/>
      <c r="F144" s="635"/>
      <c r="G144" s="197">
        <f>G143/H143</f>
        <v>302920.59334650857</v>
      </c>
      <c r="H144" s="198">
        <f>(SUM(H108:H113)+SUM(H115:H117)+SUM(H119:H124)+(H125*3)+H127+IF(H128&gt;0,H128*2,0)+SUM(H135:H140))/H143</f>
        <v>25</v>
      </c>
      <c r="I144" s="197">
        <f>I143/J143</f>
        <v>258440.15501070488</v>
      </c>
      <c r="J144" s="198">
        <f>(SUM(J108:J113)+SUM(J115:J117)+SUM(J119:J124)+(J125*3)+SUM(J127:J131)+SUM(J135:J140))/J143</f>
        <v>18.875</v>
      </c>
      <c r="K144" s="197">
        <f>K143/L143</f>
        <v>213862.22251317522</v>
      </c>
      <c r="L144" s="198">
        <f>(SUM(L108:L113)+SUM(L115:L117)+SUM(L119:L124)+(L125*3)+SUM(L127:L131)+SUM(L135:L140))/L143</f>
        <v>17.5</v>
      </c>
      <c r="M144" s="197">
        <f>M143/N143</f>
        <v>58745.572732762397</v>
      </c>
      <c r="N144" s="198">
        <f>(SUM(N108:N113)+SUM(N115:N117)+SUM(N119:N124)+(N125*3)+SUM(N127:N131)+SUM(N135:N140))/N143</f>
        <v>5.5</v>
      </c>
      <c r="O144" s="199"/>
      <c r="P144" s="729" t="s">
        <v>206</v>
      </c>
      <c r="Q144" s="635"/>
      <c r="R144" s="197">
        <f>SUM(G143,I143,K143,M143,O143)</f>
        <v>6313649.5</v>
      </c>
      <c r="S144" s="193"/>
      <c r="T144" s="193"/>
      <c r="U144" s="193"/>
      <c r="V144" s="193"/>
      <c r="W144" s="201">
        <f>SUM(W108:W142)</f>
        <v>6313649.5</v>
      </c>
      <c r="X144" s="156"/>
      <c r="Y144" s="156"/>
      <c r="Z144" s="156"/>
      <c r="AA144" s="196"/>
      <c r="AB144" s="196"/>
    </row>
    <row r="145" spans="1:28" ht="13.5" customHeight="1" x14ac:dyDescent="0.35">
      <c r="A145" s="358">
        <v>42795</v>
      </c>
      <c r="B145" s="359" t="s">
        <v>156</v>
      </c>
      <c r="C145" s="359" t="s">
        <v>120</v>
      </c>
      <c r="D145" s="360" t="s">
        <v>207</v>
      </c>
      <c r="E145" s="361">
        <v>16318</v>
      </c>
      <c r="F145" s="362" t="s">
        <v>157</v>
      </c>
      <c r="G145" s="363">
        <f t="shared" ref="G145:G160" si="116">R145+V145</f>
        <v>9564.217391304348</v>
      </c>
      <c r="H145" s="364">
        <v>10</v>
      </c>
      <c r="I145" s="363">
        <f t="shared" ref="I145:I160" si="117">S145+V145</f>
        <v>9564.217391304348</v>
      </c>
      <c r="J145" s="364">
        <v>6</v>
      </c>
      <c r="K145" s="365">
        <f t="shared" ref="K145:K160" si="118">T145+V145</f>
        <v>13314.217391304348</v>
      </c>
      <c r="L145" s="364">
        <v>3</v>
      </c>
      <c r="M145" s="363">
        <f t="shared" ref="M145:M160" si="119">U145+V145</f>
        <v>12814.217391304348</v>
      </c>
      <c r="N145" s="364">
        <v>4</v>
      </c>
      <c r="O145" s="366"/>
      <c r="P145" s="364">
        <f t="shared" ref="P145:P160" si="120">H145+J145+L145+N145</f>
        <v>23</v>
      </c>
      <c r="Q145" s="367">
        <v>23</v>
      </c>
      <c r="R145" s="363">
        <f>IF($B$3&gt;0,$E$3,($B$13+$E$3))</f>
        <v>8500</v>
      </c>
      <c r="S145" s="363">
        <f>IF($B$4&gt;0,$E$3,($B$13+$E$3))</f>
        <v>8500</v>
      </c>
      <c r="T145" s="363">
        <f>$B$13+$E$3</f>
        <v>12250</v>
      </c>
      <c r="U145" s="363">
        <f>$B$12+$E$3</f>
        <v>11750</v>
      </c>
      <c r="V145" s="363">
        <f t="shared" ref="V145:V160" si="121">($E145*($E$13/$Q145))</f>
        <v>1064.2173913043478</v>
      </c>
      <c r="W145" s="365">
        <f t="shared" ref="W145:W160" si="122">(G145*H145)+(I145*J145)+(K145*L145)+(M145*N145)</f>
        <v>244227</v>
      </c>
      <c r="X145" s="366"/>
      <c r="Y145" s="366"/>
      <c r="Z145" s="366"/>
      <c r="AA145" s="366"/>
      <c r="AB145" s="366"/>
    </row>
    <row r="146" spans="1:28" ht="13.5" customHeight="1" x14ac:dyDescent="0.35">
      <c r="A146" s="358">
        <v>42798</v>
      </c>
      <c r="B146" s="359" t="s">
        <v>234</v>
      </c>
      <c r="C146" s="359" t="s">
        <v>166</v>
      </c>
      <c r="D146" s="360" t="s">
        <v>207</v>
      </c>
      <c r="E146" s="361">
        <v>26500</v>
      </c>
      <c r="F146" s="362" t="s">
        <v>157</v>
      </c>
      <c r="G146" s="363">
        <f t="shared" si="116"/>
        <v>1728.2608695652173</v>
      </c>
      <c r="H146" s="364">
        <v>10</v>
      </c>
      <c r="I146" s="363">
        <f t="shared" si="117"/>
        <v>1728.2608695652173</v>
      </c>
      <c r="J146" s="364">
        <v>6</v>
      </c>
      <c r="K146" s="365">
        <f t="shared" si="118"/>
        <v>5478.260869565217</v>
      </c>
      <c r="L146" s="364">
        <v>3</v>
      </c>
      <c r="M146" s="363">
        <f t="shared" si="119"/>
        <v>4978.260869565217</v>
      </c>
      <c r="N146" s="364">
        <v>4</v>
      </c>
      <c r="O146" s="366"/>
      <c r="P146" s="364">
        <f t="shared" si="120"/>
        <v>23</v>
      </c>
      <c r="Q146" s="367">
        <v>23</v>
      </c>
      <c r="R146" s="363">
        <f t="shared" ref="R146:R147" si="123">IF($B$3&gt;0,$E$9,($B$13+$E$9))</f>
        <v>0</v>
      </c>
      <c r="S146" s="363">
        <f t="shared" ref="S146:S147" si="124">IF($B$4&gt;0,$E$9,($B$13+$E$9))</f>
        <v>0</v>
      </c>
      <c r="T146" s="363">
        <f t="shared" ref="T146:T147" si="125">$B$13+$E$9</f>
        <v>3750</v>
      </c>
      <c r="U146" s="363">
        <f t="shared" ref="U146:U147" si="126">$B$12+$E$9</f>
        <v>3250</v>
      </c>
      <c r="V146" s="363">
        <f t="shared" si="121"/>
        <v>1728.2608695652173</v>
      </c>
      <c r="W146" s="365">
        <f t="shared" si="122"/>
        <v>64000</v>
      </c>
      <c r="X146" s="366"/>
      <c r="Y146" s="366"/>
      <c r="Z146" s="366"/>
      <c r="AA146" s="366"/>
      <c r="AB146" s="366"/>
    </row>
    <row r="147" spans="1:28" ht="13.5" customHeight="1" x14ac:dyDescent="0.35">
      <c r="A147" s="358">
        <v>42801</v>
      </c>
      <c r="B147" s="368" t="s">
        <v>214</v>
      </c>
      <c r="C147" s="359" t="s">
        <v>166</v>
      </c>
      <c r="D147" s="369" t="s">
        <v>207</v>
      </c>
      <c r="E147" s="361">
        <v>21638</v>
      </c>
      <c r="F147" s="370" t="s">
        <v>157</v>
      </c>
      <c r="G147" s="363">
        <f t="shared" si="116"/>
        <v>1411.1739130434783</v>
      </c>
      <c r="H147" s="364">
        <v>10</v>
      </c>
      <c r="I147" s="363">
        <f t="shared" si="117"/>
        <v>1411.1739130434783</v>
      </c>
      <c r="J147" s="364">
        <v>6</v>
      </c>
      <c r="K147" s="365">
        <f t="shared" si="118"/>
        <v>5161.173913043478</v>
      </c>
      <c r="L147" s="364">
        <v>3</v>
      </c>
      <c r="M147" s="363">
        <f t="shared" si="119"/>
        <v>4661.173913043478</v>
      </c>
      <c r="N147" s="364">
        <v>4</v>
      </c>
      <c r="O147" s="366"/>
      <c r="P147" s="364">
        <f t="shared" si="120"/>
        <v>23</v>
      </c>
      <c r="Q147" s="367">
        <v>23</v>
      </c>
      <c r="R147" s="363">
        <f t="shared" si="123"/>
        <v>0</v>
      </c>
      <c r="S147" s="363">
        <f t="shared" si="124"/>
        <v>0</v>
      </c>
      <c r="T147" s="363">
        <f t="shared" si="125"/>
        <v>3750</v>
      </c>
      <c r="U147" s="363">
        <f t="shared" si="126"/>
        <v>3250</v>
      </c>
      <c r="V147" s="363">
        <f t="shared" si="121"/>
        <v>1411.1739130434783</v>
      </c>
      <c r="W147" s="365">
        <f t="shared" si="122"/>
        <v>56707</v>
      </c>
      <c r="X147" s="366"/>
      <c r="Y147" s="366"/>
      <c r="Z147" s="366"/>
      <c r="AA147" s="366"/>
      <c r="AB147" s="366"/>
    </row>
    <row r="148" spans="1:28" ht="13.5" customHeight="1" x14ac:dyDescent="0.35">
      <c r="A148" s="357">
        <v>42831</v>
      </c>
      <c r="B148" s="278" t="s">
        <v>209</v>
      </c>
      <c r="C148" s="278" t="s">
        <v>120</v>
      </c>
      <c r="D148" s="371" t="s">
        <v>207</v>
      </c>
      <c r="E148" s="268">
        <v>15191</v>
      </c>
      <c r="F148" s="372"/>
      <c r="G148" s="118">
        <f t="shared" si="116"/>
        <v>6515.9166666666661</v>
      </c>
      <c r="H148" s="116">
        <v>10</v>
      </c>
      <c r="I148" s="118">
        <f t="shared" si="117"/>
        <v>6515.9166666666661</v>
      </c>
      <c r="J148" s="116">
        <v>5</v>
      </c>
      <c r="K148" s="115">
        <f t="shared" si="118"/>
        <v>10265.916666666666</v>
      </c>
      <c r="L148" s="116">
        <v>3</v>
      </c>
      <c r="M148" s="118">
        <f t="shared" si="119"/>
        <v>9765.9166666666661</v>
      </c>
      <c r="N148" s="116">
        <v>0</v>
      </c>
      <c r="P148" s="116">
        <f t="shared" si="120"/>
        <v>18</v>
      </c>
      <c r="Q148" s="119">
        <v>18</v>
      </c>
      <c r="R148" s="118">
        <f t="shared" ref="R148:R151" si="127">IF($B$3&gt;0,$E$5,($B$13+$E$5))</f>
        <v>5250</v>
      </c>
      <c r="S148" s="118">
        <f t="shared" ref="S148:S151" si="128">IF($B$4&gt;0,$E$5,($B$13+$E$5))</f>
        <v>5250</v>
      </c>
      <c r="T148" s="118">
        <f t="shared" ref="T148:T151" si="129">$B$13+$E$5</f>
        <v>9000</v>
      </c>
      <c r="U148" s="118">
        <f t="shared" ref="U148:U151" si="130">$B$12+$E$5</f>
        <v>8500</v>
      </c>
      <c r="V148" s="118">
        <f t="shared" si="121"/>
        <v>1265.9166666666665</v>
      </c>
      <c r="W148" s="115">
        <f t="shared" si="122"/>
        <v>128536.49999999999</v>
      </c>
    </row>
    <row r="149" spans="1:28" ht="13.5" customHeight="1" x14ac:dyDescent="0.35">
      <c r="A149" s="357">
        <v>42834</v>
      </c>
      <c r="B149" s="278" t="s">
        <v>209</v>
      </c>
      <c r="C149" s="278" t="s">
        <v>120</v>
      </c>
      <c r="D149" s="371" t="s">
        <v>207</v>
      </c>
      <c r="E149" s="268">
        <v>11347</v>
      </c>
      <c r="F149" s="373"/>
      <c r="G149" s="118">
        <f t="shared" si="116"/>
        <v>6195.583333333333</v>
      </c>
      <c r="H149" s="116">
        <v>10</v>
      </c>
      <c r="I149" s="118">
        <f t="shared" si="117"/>
        <v>6195.583333333333</v>
      </c>
      <c r="J149" s="116">
        <v>5</v>
      </c>
      <c r="K149" s="115">
        <f t="shared" si="118"/>
        <v>9945.5833333333339</v>
      </c>
      <c r="L149" s="116">
        <v>3</v>
      </c>
      <c r="M149" s="118">
        <f t="shared" si="119"/>
        <v>9445.5833333333339</v>
      </c>
      <c r="N149" s="116">
        <v>0</v>
      </c>
      <c r="P149" s="116">
        <f t="shared" si="120"/>
        <v>18</v>
      </c>
      <c r="Q149" s="119">
        <v>18</v>
      </c>
      <c r="R149" s="118">
        <f t="shared" si="127"/>
        <v>5250</v>
      </c>
      <c r="S149" s="118">
        <f t="shared" si="128"/>
        <v>5250</v>
      </c>
      <c r="T149" s="118">
        <f t="shared" si="129"/>
        <v>9000</v>
      </c>
      <c r="U149" s="118">
        <f t="shared" si="130"/>
        <v>8500</v>
      </c>
      <c r="V149" s="118">
        <f t="shared" si="121"/>
        <v>945.58333333333326</v>
      </c>
      <c r="W149" s="115">
        <f t="shared" si="122"/>
        <v>122770.5</v>
      </c>
    </row>
    <row r="150" spans="1:28" ht="13.5" customHeight="1" x14ac:dyDescent="0.35">
      <c r="A150" s="357">
        <v>42894</v>
      </c>
      <c r="B150" s="278" t="s">
        <v>151</v>
      </c>
      <c r="C150" s="278" t="s">
        <v>120</v>
      </c>
      <c r="D150" s="371" t="s">
        <v>211</v>
      </c>
      <c r="E150" s="372"/>
      <c r="F150" s="372"/>
      <c r="G150" s="118">
        <f t="shared" si="116"/>
        <v>5250</v>
      </c>
      <c r="H150" s="116">
        <v>10</v>
      </c>
      <c r="I150" s="118">
        <f t="shared" si="117"/>
        <v>5250</v>
      </c>
      <c r="J150" s="116">
        <v>5</v>
      </c>
      <c r="K150" s="115">
        <f t="shared" si="118"/>
        <v>9000</v>
      </c>
      <c r="L150" s="116">
        <v>3</v>
      </c>
      <c r="M150" s="118">
        <f t="shared" si="119"/>
        <v>8500</v>
      </c>
      <c r="N150" s="116">
        <v>0</v>
      </c>
      <c r="P150" s="116">
        <f t="shared" si="120"/>
        <v>18</v>
      </c>
      <c r="Q150" s="119">
        <v>18</v>
      </c>
      <c r="R150" s="118">
        <f t="shared" si="127"/>
        <v>5250</v>
      </c>
      <c r="S150" s="118">
        <f t="shared" si="128"/>
        <v>5250</v>
      </c>
      <c r="T150" s="118">
        <f t="shared" si="129"/>
        <v>9000</v>
      </c>
      <c r="U150" s="118">
        <f t="shared" si="130"/>
        <v>8500</v>
      </c>
      <c r="V150" s="118">
        <f t="shared" si="121"/>
        <v>0</v>
      </c>
      <c r="W150" s="115">
        <f t="shared" si="122"/>
        <v>105750</v>
      </c>
    </row>
    <row r="151" spans="1:28" ht="13.5" customHeight="1" x14ac:dyDescent="0.35">
      <c r="A151" s="357">
        <v>42897</v>
      </c>
      <c r="B151" s="374" t="s">
        <v>236</v>
      </c>
      <c r="C151" s="278" t="s">
        <v>120</v>
      </c>
      <c r="D151" s="375" t="s">
        <v>211</v>
      </c>
      <c r="E151" s="373"/>
      <c r="F151" s="376"/>
      <c r="G151" s="118">
        <f t="shared" si="116"/>
        <v>5250</v>
      </c>
      <c r="H151" s="116">
        <v>10</v>
      </c>
      <c r="I151" s="118">
        <f t="shared" si="117"/>
        <v>5250</v>
      </c>
      <c r="J151" s="116">
        <v>5</v>
      </c>
      <c r="K151" s="115">
        <f t="shared" si="118"/>
        <v>9000</v>
      </c>
      <c r="L151" s="116">
        <v>3</v>
      </c>
      <c r="M151" s="118">
        <f t="shared" si="119"/>
        <v>8500</v>
      </c>
      <c r="N151" s="116">
        <v>0</v>
      </c>
      <c r="P151" s="116">
        <f t="shared" si="120"/>
        <v>18</v>
      </c>
      <c r="Q151" s="119">
        <v>18</v>
      </c>
      <c r="R151" s="118">
        <f t="shared" si="127"/>
        <v>5250</v>
      </c>
      <c r="S151" s="118">
        <f t="shared" si="128"/>
        <v>5250</v>
      </c>
      <c r="T151" s="118">
        <f t="shared" si="129"/>
        <v>9000</v>
      </c>
      <c r="U151" s="118">
        <f t="shared" si="130"/>
        <v>8500</v>
      </c>
      <c r="V151" s="118">
        <f t="shared" si="121"/>
        <v>0</v>
      </c>
      <c r="W151" s="115">
        <f t="shared" si="122"/>
        <v>105750</v>
      </c>
    </row>
    <row r="152" spans="1:28" ht="13.5" customHeight="1" x14ac:dyDescent="0.35">
      <c r="A152" s="377">
        <v>42943</v>
      </c>
      <c r="B152" s="378" t="s">
        <v>173</v>
      </c>
      <c r="C152" s="378" t="s">
        <v>166</v>
      </c>
      <c r="D152" s="379" t="s">
        <v>207</v>
      </c>
      <c r="E152" s="380">
        <v>15748</v>
      </c>
      <c r="F152" s="381" t="s">
        <v>164</v>
      </c>
      <c r="G152" s="382">
        <f t="shared" si="116"/>
        <v>1027.0434782608695</v>
      </c>
      <c r="H152" s="383">
        <v>10</v>
      </c>
      <c r="I152" s="382">
        <f t="shared" si="117"/>
        <v>1027.0434782608695</v>
      </c>
      <c r="J152" s="383">
        <v>6</v>
      </c>
      <c r="K152" s="384">
        <f t="shared" si="118"/>
        <v>4777.04347826087</v>
      </c>
      <c r="L152" s="383">
        <v>3</v>
      </c>
      <c r="M152" s="382">
        <f t="shared" si="119"/>
        <v>4277.04347826087</v>
      </c>
      <c r="N152" s="383">
        <v>4</v>
      </c>
      <c r="O152" s="385"/>
      <c r="P152" s="383">
        <f t="shared" si="120"/>
        <v>23</v>
      </c>
      <c r="Q152" s="386">
        <v>23</v>
      </c>
      <c r="R152" s="382">
        <f>IF($B$3&gt;0,$E$9,($B$13+$E$9))</f>
        <v>0</v>
      </c>
      <c r="S152" s="382">
        <f>IF($B$4&gt;0,$E$9,($B$13+$E$9))</f>
        <v>0</v>
      </c>
      <c r="T152" s="382">
        <f>$B$13+$E$9</f>
        <v>3750</v>
      </c>
      <c r="U152" s="382">
        <f>$B$12+$E$9</f>
        <v>3250</v>
      </c>
      <c r="V152" s="382">
        <f t="shared" si="121"/>
        <v>1027.0434782608695</v>
      </c>
      <c r="W152" s="384">
        <f t="shared" si="122"/>
        <v>47872</v>
      </c>
      <c r="X152" s="385"/>
      <c r="Y152" s="385"/>
      <c r="Z152" s="385"/>
      <c r="AA152" s="385"/>
      <c r="AB152" s="385"/>
    </row>
    <row r="153" spans="1:28" ht="13.5" customHeight="1" x14ac:dyDescent="0.35">
      <c r="A153" s="377">
        <v>42946</v>
      </c>
      <c r="B153" s="387" t="s">
        <v>179</v>
      </c>
      <c r="C153" s="378" t="s">
        <v>120</v>
      </c>
      <c r="D153" s="388" t="s">
        <v>207</v>
      </c>
      <c r="E153" s="380">
        <v>21096</v>
      </c>
      <c r="F153" s="389"/>
      <c r="G153" s="382">
        <f t="shared" si="116"/>
        <v>6625.826086956522</v>
      </c>
      <c r="H153" s="383">
        <v>10</v>
      </c>
      <c r="I153" s="382">
        <f t="shared" si="117"/>
        <v>6625.826086956522</v>
      </c>
      <c r="J153" s="383">
        <v>6</v>
      </c>
      <c r="K153" s="384">
        <f t="shared" si="118"/>
        <v>10375.826086956522</v>
      </c>
      <c r="L153" s="383">
        <v>3</v>
      </c>
      <c r="M153" s="382">
        <f t="shared" si="119"/>
        <v>9875.826086956522</v>
      </c>
      <c r="N153" s="383">
        <v>4</v>
      </c>
      <c r="O153" s="385"/>
      <c r="P153" s="383">
        <f t="shared" si="120"/>
        <v>23</v>
      </c>
      <c r="Q153" s="386">
        <v>23</v>
      </c>
      <c r="R153" s="382">
        <f>IF($B$3&gt;0,$E$5,($B$13+$E$5))</f>
        <v>5250</v>
      </c>
      <c r="S153" s="382">
        <f>IF($B$4&gt;0,$E$5,($B$13+$E$5))</f>
        <v>5250</v>
      </c>
      <c r="T153" s="382">
        <f>$B$13+$E$5</f>
        <v>9000</v>
      </c>
      <c r="U153" s="382">
        <f>$B$12+$E$5</f>
        <v>8500</v>
      </c>
      <c r="V153" s="382">
        <f t="shared" si="121"/>
        <v>1375.8260869565217</v>
      </c>
      <c r="W153" s="384">
        <f t="shared" si="122"/>
        <v>176644</v>
      </c>
      <c r="X153" s="385"/>
      <c r="Y153" s="385"/>
      <c r="Z153" s="385"/>
      <c r="AA153" s="385"/>
      <c r="AB153" s="385"/>
    </row>
    <row r="154" spans="1:28" ht="13.5" customHeight="1" x14ac:dyDescent="0.35">
      <c r="A154" s="377">
        <v>42950</v>
      </c>
      <c r="B154" s="387" t="s">
        <v>210</v>
      </c>
      <c r="C154" s="378" t="s">
        <v>120</v>
      </c>
      <c r="D154" s="388" t="s">
        <v>207</v>
      </c>
      <c r="E154" s="380">
        <v>23161</v>
      </c>
      <c r="F154" s="390" t="s">
        <v>164</v>
      </c>
      <c r="G154" s="382">
        <f t="shared" si="116"/>
        <v>8010.5</v>
      </c>
      <c r="H154" s="383">
        <v>10</v>
      </c>
      <c r="I154" s="382">
        <f t="shared" si="117"/>
        <v>8010.5</v>
      </c>
      <c r="J154" s="383">
        <v>6</v>
      </c>
      <c r="K154" s="384">
        <f t="shared" si="118"/>
        <v>11760.5</v>
      </c>
      <c r="L154" s="383">
        <v>3</v>
      </c>
      <c r="M154" s="382">
        <f t="shared" si="119"/>
        <v>11260.5</v>
      </c>
      <c r="N154" s="383">
        <v>4</v>
      </c>
      <c r="O154" s="385"/>
      <c r="P154" s="383">
        <f t="shared" si="120"/>
        <v>23</v>
      </c>
      <c r="Q154" s="386">
        <v>23</v>
      </c>
      <c r="R154" s="382">
        <f>IF($B$3&gt;0,$E$4,($B$13+$E$4))</f>
        <v>6500</v>
      </c>
      <c r="S154" s="382">
        <f>IF($B$4&gt;0,$E$4,($B$13+$E$4))</f>
        <v>6500</v>
      </c>
      <c r="T154" s="382">
        <f>$B$13+$E$4</f>
        <v>10250</v>
      </c>
      <c r="U154" s="382">
        <f>$B$12+$E$4</f>
        <v>9750</v>
      </c>
      <c r="V154" s="382">
        <f t="shared" si="121"/>
        <v>1510.5</v>
      </c>
      <c r="W154" s="384">
        <f t="shared" si="122"/>
        <v>208491.5</v>
      </c>
      <c r="X154" s="385"/>
      <c r="Y154" s="385"/>
      <c r="Z154" s="385"/>
      <c r="AA154" s="385"/>
      <c r="AB154" s="385"/>
    </row>
    <row r="155" spans="1:28" ht="13.5" customHeight="1" x14ac:dyDescent="0.35">
      <c r="A155" s="357">
        <v>42993</v>
      </c>
      <c r="B155" s="374" t="s">
        <v>174</v>
      </c>
      <c r="C155" s="278" t="s">
        <v>120</v>
      </c>
      <c r="D155" s="375" t="s">
        <v>207</v>
      </c>
      <c r="E155" s="268">
        <v>17301</v>
      </c>
      <c r="F155" s="373"/>
      <c r="G155" s="118">
        <f t="shared" si="116"/>
        <v>6691.75</v>
      </c>
      <c r="H155" s="116">
        <v>10</v>
      </c>
      <c r="I155" s="118">
        <f t="shared" si="117"/>
        <v>6691.75</v>
      </c>
      <c r="J155" s="116">
        <v>5</v>
      </c>
      <c r="K155" s="115">
        <f t="shared" si="118"/>
        <v>10441.75</v>
      </c>
      <c r="L155" s="116">
        <v>3</v>
      </c>
      <c r="M155" s="118">
        <f t="shared" si="119"/>
        <v>9941.75</v>
      </c>
      <c r="N155" s="116">
        <v>0</v>
      </c>
      <c r="P155" s="116">
        <f t="shared" si="120"/>
        <v>18</v>
      </c>
      <c r="Q155" s="119">
        <v>18</v>
      </c>
      <c r="R155" s="118">
        <f t="shared" ref="R155:R158" si="131">IF($B$3&gt;0,$E$5,($B$13+$E$5))</f>
        <v>5250</v>
      </c>
      <c r="S155" s="118">
        <f t="shared" ref="S155:S158" si="132">IF($B$4&gt;0,$E$5,($B$13+$E$5))</f>
        <v>5250</v>
      </c>
      <c r="T155" s="118">
        <f t="shared" ref="T155:T158" si="133">$B$13+$E$5</f>
        <v>9000</v>
      </c>
      <c r="U155" s="118">
        <f t="shared" ref="U155:U158" si="134">$B$12+$E$5</f>
        <v>8500</v>
      </c>
      <c r="V155" s="118">
        <f t="shared" si="121"/>
        <v>1441.75</v>
      </c>
      <c r="W155" s="115">
        <f t="shared" si="122"/>
        <v>131701.5</v>
      </c>
    </row>
    <row r="156" spans="1:28" ht="13.5" customHeight="1" x14ac:dyDescent="0.35">
      <c r="A156" s="357">
        <v>42997</v>
      </c>
      <c r="B156" s="374" t="s">
        <v>174</v>
      </c>
      <c r="C156" s="278" t="s">
        <v>120</v>
      </c>
      <c r="D156" s="375" t="s">
        <v>207</v>
      </c>
      <c r="E156" s="268">
        <v>30596</v>
      </c>
      <c r="F156" s="376"/>
      <c r="G156" s="118">
        <f t="shared" si="116"/>
        <v>7799.6666666666661</v>
      </c>
      <c r="H156" s="116">
        <v>10</v>
      </c>
      <c r="I156" s="118">
        <f t="shared" si="117"/>
        <v>7799.6666666666661</v>
      </c>
      <c r="J156" s="116">
        <v>5</v>
      </c>
      <c r="K156" s="115">
        <f t="shared" si="118"/>
        <v>11549.666666666666</v>
      </c>
      <c r="L156" s="116">
        <v>3</v>
      </c>
      <c r="M156" s="118">
        <f t="shared" si="119"/>
        <v>11049.666666666666</v>
      </c>
      <c r="N156" s="116">
        <v>0</v>
      </c>
      <c r="P156" s="116">
        <f t="shared" si="120"/>
        <v>18</v>
      </c>
      <c r="Q156" s="119">
        <v>18</v>
      </c>
      <c r="R156" s="118">
        <f t="shared" si="131"/>
        <v>5250</v>
      </c>
      <c r="S156" s="118">
        <f t="shared" si="132"/>
        <v>5250</v>
      </c>
      <c r="T156" s="118">
        <f t="shared" si="133"/>
        <v>9000</v>
      </c>
      <c r="U156" s="118">
        <f t="shared" si="134"/>
        <v>8500</v>
      </c>
      <c r="V156" s="118">
        <f t="shared" si="121"/>
        <v>2549.6666666666665</v>
      </c>
      <c r="W156" s="115">
        <f t="shared" si="122"/>
        <v>151644</v>
      </c>
    </row>
    <row r="157" spans="1:28" ht="13.5" customHeight="1" x14ac:dyDescent="0.35">
      <c r="A157" s="357">
        <v>43027</v>
      </c>
      <c r="B157" s="278" t="s">
        <v>168</v>
      </c>
      <c r="C157" s="278" t="s">
        <v>120</v>
      </c>
      <c r="D157" s="371" t="s">
        <v>207</v>
      </c>
      <c r="E157" s="268">
        <v>9371</v>
      </c>
      <c r="F157" s="373"/>
      <c r="G157" s="118">
        <f t="shared" si="116"/>
        <v>5952.8249999999998</v>
      </c>
      <c r="H157" s="116">
        <v>10</v>
      </c>
      <c r="I157" s="118">
        <f t="shared" si="117"/>
        <v>5952.8249999999998</v>
      </c>
      <c r="J157" s="116">
        <v>5</v>
      </c>
      <c r="K157" s="115">
        <f t="shared" si="118"/>
        <v>9702.8250000000007</v>
      </c>
      <c r="L157" s="116">
        <v>3</v>
      </c>
      <c r="M157" s="118">
        <f t="shared" si="119"/>
        <v>9202.8250000000007</v>
      </c>
      <c r="N157" s="116">
        <v>2</v>
      </c>
      <c r="P157" s="116">
        <f t="shared" si="120"/>
        <v>20</v>
      </c>
      <c r="Q157" s="119">
        <v>20</v>
      </c>
      <c r="R157" s="118">
        <f t="shared" si="131"/>
        <v>5250</v>
      </c>
      <c r="S157" s="118">
        <f t="shared" si="132"/>
        <v>5250</v>
      </c>
      <c r="T157" s="118">
        <f t="shared" si="133"/>
        <v>9000</v>
      </c>
      <c r="U157" s="118">
        <f t="shared" si="134"/>
        <v>8500</v>
      </c>
      <c r="V157" s="118">
        <f t="shared" si="121"/>
        <v>702.82499999999993</v>
      </c>
      <c r="W157" s="115">
        <f t="shared" si="122"/>
        <v>136806.5</v>
      </c>
    </row>
    <row r="158" spans="1:28" ht="13.5" customHeight="1" x14ac:dyDescent="0.35">
      <c r="A158" s="357">
        <v>43030</v>
      </c>
      <c r="B158" s="278" t="s">
        <v>168</v>
      </c>
      <c r="C158" s="278" t="s">
        <v>120</v>
      </c>
      <c r="D158" s="371" t="s">
        <v>207</v>
      </c>
      <c r="E158" s="268">
        <v>9727</v>
      </c>
      <c r="F158" s="372"/>
      <c r="G158" s="118">
        <f t="shared" si="116"/>
        <v>5979.5249999999996</v>
      </c>
      <c r="H158" s="116">
        <v>10</v>
      </c>
      <c r="I158" s="118">
        <f t="shared" si="117"/>
        <v>5979.5249999999996</v>
      </c>
      <c r="J158" s="116">
        <v>5</v>
      </c>
      <c r="K158" s="115">
        <f t="shared" si="118"/>
        <v>9729.5249999999996</v>
      </c>
      <c r="L158" s="116">
        <v>3</v>
      </c>
      <c r="M158" s="118">
        <f t="shared" si="119"/>
        <v>9229.5249999999996</v>
      </c>
      <c r="N158" s="116">
        <v>2</v>
      </c>
      <c r="P158" s="116">
        <f t="shared" si="120"/>
        <v>20</v>
      </c>
      <c r="Q158" s="119">
        <v>20</v>
      </c>
      <c r="R158" s="118">
        <f t="shared" si="131"/>
        <v>5250</v>
      </c>
      <c r="S158" s="118">
        <f t="shared" si="132"/>
        <v>5250</v>
      </c>
      <c r="T158" s="118">
        <f t="shared" si="133"/>
        <v>9000</v>
      </c>
      <c r="U158" s="118">
        <f t="shared" si="134"/>
        <v>8500</v>
      </c>
      <c r="V158" s="118">
        <f t="shared" si="121"/>
        <v>729.52499999999998</v>
      </c>
      <c r="W158" s="115">
        <f t="shared" si="122"/>
        <v>137340.5</v>
      </c>
    </row>
    <row r="159" spans="1:28" ht="13.5" customHeight="1" x14ac:dyDescent="0.35">
      <c r="A159" s="357">
        <v>43048</v>
      </c>
      <c r="B159" s="278" t="s">
        <v>158</v>
      </c>
      <c r="C159" s="278" t="s">
        <v>155</v>
      </c>
      <c r="D159" s="371" t="s">
        <v>211</v>
      </c>
      <c r="E159" s="372"/>
      <c r="F159" s="372" t="s">
        <v>157</v>
      </c>
      <c r="G159" s="118">
        <f t="shared" si="116"/>
        <v>1750</v>
      </c>
      <c r="H159" s="116">
        <v>10</v>
      </c>
      <c r="I159" s="118">
        <f t="shared" si="117"/>
        <v>1750</v>
      </c>
      <c r="J159" s="116">
        <v>5</v>
      </c>
      <c r="K159" s="115">
        <f t="shared" si="118"/>
        <v>5500</v>
      </c>
      <c r="L159" s="116">
        <v>3</v>
      </c>
      <c r="M159" s="118">
        <f t="shared" si="119"/>
        <v>5000</v>
      </c>
      <c r="N159" s="116">
        <v>0</v>
      </c>
      <c r="P159" s="116">
        <f t="shared" si="120"/>
        <v>18</v>
      </c>
      <c r="Q159" s="119">
        <v>18</v>
      </c>
      <c r="R159" s="118">
        <f>IF($B$3&gt;0,$E$6,($B$13+$E$6))</f>
        <v>1750</v>
      </c>
      <c r="S159" s="118">
        <f>IF($B$4&gt;0,$E$6,($B$13+$E$6))</f>
        <v>1750</v>
      </c>
      <c r="T159" s="118">
        <f>$B$13+$E$6</f>
        <v>5500</v>
      </c>
      <c r="U159" s="118">
        <f>$B$12+$E$6</f>
        <v>5000</v>
      </c>
      <c r="V159" s="118">
        <f t="shared" si="121"/>
        <v>0</v>
      </c>
      <c r="W159" s="115">
        <f t="shared" si="122"/>
        <v>42750</v>
      </c>
    </row>
    <row r="160" spans="1:28" ht="13.5" customHeight="1" x14ac:dyDescent="0.35">
      <c r="A160" s="357">
        <v>43051</v>
      </c>
      <c r="B160" s="374" t="s">
        <v>158</v>
      </c>
      <c r="C160" s="278" t="s">
        <v>120</v>
      </c>
      <c r="D160" s="375" t="s">
        <v>207</v>
      </c>
      <c r="E160" s="268">
        <v>17960</v>
      </c>
      <c r="F160" s="372" t="s">
        <v>157</v>
      </c>
      <c r="G160" s="118">
        <f t="shared" si="116"/>
        <v>9996.6666666666661</v>
      </c>
      <c r="H160" s="116">
        <v>10</v>
      </c>
      <c r="I160" s="118">
        <f t="shared" si="117"/>
        <v>9996.6666666666661</v>
      </c>
      <c r="J160" s="116">
        <v>5</v>
      </c>
      <c r="K160" s="115">
        <f t="shared" si="118"/>
        <v>13746.666666666666</v>
      </c>
      <c r="L160" s="116">
        <v>3</v>
      </c>
      <c r="M160" s="118">
        <f t="shared" si="119"/>
        <v>13246.666666666666</v>
      </c>
      <c r="N160" s="116">
        <v>0</v>
      </c>
      <c r="P160" s="116">
        <f t="shared" si="120"/>
        <v>18</v>
      </c>
      <c r="Q160" s="119">
        <v>18</v>
      </c>
      <c r="R160" s="118">
        <f>IF($B$3&gt;0,$E$3,($B$13+$E$3))</f>
        <v>8500</v>
      </c>
      <c r="S160" s="118">
        <f>IF($B$4&gt;0,$E$3,($B$13+$E$3))</f>
        <v>8500</v>
      </c>
      <c r="T160" s="118">
        <f>$B$13+$E$3</f>
        <v>12250</v>
      </c>
      <c r="U160" s="118">
        <f>$B$12+$E$3</f>
        <v>11750</v>
      </c>
      <c r="V160" s="118">
        <f t="shared" si="121"/>
        <v>1496.6666666666665</v>
      </c>
      <c r="W160" s="115">
        <f t="shared" si="122"/>
        <v>191190</v>
      </c>
    </row>
    <row r="161" spans="1:28" ht="13.5" customHeight="1" x14ac:dyDescent="0.35">
      <c r="A161" s="262"/>
      <c r="B161" s="391" t="s">
        <v>184</v>
      </c>
      <c r="C161" s="392"/>
      <c r="D161" s="393"/>
      <c r="E161" s="394"/>
      <c r="F161" s="395"/>
      <c r="G161" s="161">
        <f>$B$3</f>
        <v>100000</v>
      </c>
      <c r="H161" s="187">
        <v>10</v>
      </c>
      <c r="I161" s="161">
        <f>$B$4</f>
        <v>100000</v>
      </c>
      <c r="J161" s="187">
        <v>7</v>
      </c>
      <c r="K161" s="188"/>
      <c r="L161" s="187"/>
      <c r="M161" s="161"/>
      <c r="N161" s="187"/>
      <c r="O161" s="188">
        <f>$B$8</f>
        <v>1500</v>
      </c>
      <c r="P161" s="116"/>
      <c r="Q161" s="116">
        <v>6</v>
      </c>
      <c r="R161" s="118"/>
      <c r="S161" s="118"/>
      <c r="T161" s="118"/>
      <c r="U161" s="118"/>
      <c r="V161" s="118"/>
      <c r="W161" s="115">
        <f>(G161*H161)+(I161*J161)+(O161*Q161)</f>
        <v>1709000</v>
      </c>
      <c r="X161" s="189"/>
      <c r="Y161" s="189"/>
      <c r="Z161" s="189"/>
      <c r="AA161" s="189"/>
      <c r="AB161" s="189"/>
    </row>
    <row r="162" spans="1:28" ht="13.5" customHeight="1" x14ac:dyDescent="0.35">
      <c r="A162" s="262"/>
      <c r="B162" s="391" t="s">
        <v>192</v>
      </c>
      <c r="C162" s="392"/>
      <c r="D162" s="393"/>
      <c r="E162" s="394"/>
      <c r="F162" s="395"/>
      <c r="G162" s="161">
        <f>$E$12/($H163+$J163+$L163)</f>
        <v>15217.391304347826</v>
      </c>
      <c r="H162" s="187">
        <v>10</v>
      </c>
      <c r="I162" s="161">
        <f>$E$12/($H163+$J163+$L163)</f>
        <v>15217.391304347826</v>
      </c>
      <c r="J162" s="187">
        <v>7</v>
      </c>
      <c r="K162" s="188">
        <f>$E$12/($H163+$J163+$L163)</f>
        <v>15217.391304347826</v>
      </c>
      <c r="L162" s="187">
        <v>6</v>
      </c>
      <c r="M162" s="161"/>
      <c r="N162" s="187"/>
      <c r="O162" s="188"/>
      <c r="P162" s="116"/>
      <c r="Q162" s="116"/>
      <c r="R162" s="118"/>
      <c r="S162" s="118"/>
      <c r="T162" s="118"/>
      <c r="U162" s="118"/>
      <c r="V162" s="118"/>
      <c r="W162" s="115">
        <f>(G162*H162)+(I162*J162)+(K162*L162)+(M162*N162)</f>
        <v>350000</v>
      </c>
      <c r="X162" s="189"/>
      <c r="Y162" s="189"/>
      <c r="Z162" s="189"/>
      <c r="AA162" s="189"/>
      <c r="AB162" s="189"/>
    </row>
    <row r="163" spans="1:28" ht="13.5" customHeight="1" x14ac:dyDescent="0.4">
      <c r="A163" s="711" t="s">
        <v>407</v>
      </c>
      <c r="B163" s="635"/>
      <c r="C163" s="266"/>
      <c r="D163" s="707" t="s">
        <v>197</v>
      </c>
      <c r="E163" s="637"/>
      <c r="F163" s="635"/>
      <c r="G163" s="267">
        <f>SUMPRODUCT(G145:G162,H145:H162)</f>
        <v>2049663.463768116</v>
      </c>
      <c r="H163" s="268">
        <v>10</v>
      </c>
      <c r="I163" s="267">
        <f>SUMPRODUCT(I145:I162,J145:J162)</f>
        <v>1283633.536231884</v>
      </c>
      <c r="J163" s="268">
        <v>7</v>
      </c>
      <c r="K163" s="267">
        <f>SUMPRODUCT(K145:K162,L145:L162)</f>
        <v>540551.21304347832</v>
      </c>
      <c r="L163" s="268">
        <v>6</v>
      </c>
      <c r="M163" s="267">
        <f>SUMPRODUCT(M145:M162,N145:N162)</f>
        <v>228332.78695652171</v>
      </c>
      <c r="N163" s="268">
        <v>7</v>
      </c>
      <c r="O163" s="271">
        <f>$O$69*Q161</f>
        <v>9000</v>
      </c>
      <c r="P163" s="724" t="s">
        <v>201</v>
      </c>
      <c r="Q163" s="635"/>
      <c r="R163" s="268">
        <f>H163+J163+L163+N163</f>
        <v>30</v>
      </c>
      <c r="S163" s="267"/>
      <c r="T163" s="267"/>
      <c r="U163" s="267"/>
      <c r="V163" s="267"/>
      <c r="W163" s="267"/>
      <c r="X163" s="216"/>
      <c r="Y163" s="216"/>
      <c r="Z163" s="216"/>
      <c r="AA163" s="274"/>
      <c r="AB163" s="274"/>
    </row>
    <row r="164" spans="1:28" ht="13.5" customHeight="1" x14ac:dyDescent="0.4">
      <c r="A164" s="711" t="s">
        <v>408</v>
      </c>
      <c r="B164" s="635"/>
      <c r="C164" s="266"/>
      <c r="D164" s="707" t="s">
        <v>204</v>
      </c>
      <c r="E164" s="637"/>
      <c r="F164" s="635"/>
      <c r="G164" s="276">
        <f>G163/H163</f>
        <v>204966.34637681159</v>
      </c>
      <c r="H164" s="277">
        <f>SUM(H145:H160)/H163</f>
        <v>16</v>
      </c>
      <c r="I164" s="276">
        <f>I163/J163</f>
        <v>183376.21946169771</v>
      </c>
      <c r="J164" s="277">
        <f>SUM(J145:J160)/J163</f>
        <v>12.285714285714286</v>
      </c>
      <c r="K164" s="276">
        <f>K163/L163</f>
        <v>90091.868840579715</v>
      </c>
      <c r="L164" s="277">
        <f>SUM(L145:L160)/L163</f>
        <v>8</v>
      </c>
      <c r="M164" s="276">
        <f>M163/N163</f>
        <v>32618.969565217387</v>
      </c>
      <c r="N164" s="277">
        <f>SUM(N145:N160)/N163</f>
        <v>4</v>
      </c>
      <c r="O164" s="278"/>
      <c r="P164" s="723" t="s">
        <v>206</v>
      </c>
      <c r="Q164" s="635"/>
      <c r="R164" s="276">
        <f>SUM(G163,I163,K163,M163,O163)</f>
        <v>4111181</v>
      </c>
      <c r="S164" s="267"/>
      <c r="T164" s="267"/>
      <c r="U164" s="267"/>
      <c r="V164" s="267"/>
      <c r="W164" s="279">
        <f>SUM(W145:W162)</f>
        <v>4111181</v>
      </c>
      <c r="X164" s="216"/>
      <c r="Y164" s="216"/>
      <c r="Z164" s="216"/>
      <c r="AA164" s="274"/>
      <c r="AB164" s="274"/>
    </row>
    <row r="165" spans="1:28" ht="13.5" customHeight="1" x14ac:dyDescent="0.35">
      <c r="A165" s="280">
        <v>43121</v>
      </c>
      <c r="B165" s="281" t="s">
        <v>212</v>
      </c>
      <c r="C165" s="396" t="s">
        <v>120</v>
      </c>
      <c r="D165" s="397" t="s">
        <v>122</v>
      </c>
      <c r="E165" s="282">
        <v>17526</v>
      </c>
      <c r="F165" s="281"/>
      <c r="G165" s="118">
        <f t="shared" ref="G165:G187" si="135">R165+V165</f>
        <v>6710.5</v>
      </c>
      <c r="H165" s="116">
        <v>10</v>
      </c>
      <c r="I165" s="118">
        <f t="shared" ref="I165:I187" si="136">S165+V165</f>
        <v>6710.5</v>
      </c>
      <c r="J165" s="116">
        <v>4</v>
      </c>
      <c r="K165" s="115">
        <f t="shared" ref="K165:K187" si="137">T165+V165</f>
        <v>10460.5</v>
      </c>
      <c r="L165" s="116">
        <v>3</v>
      </c>
      <c r="M165" s="118">
        <f t="shared" ref="M165:M187" si="138">U165+V165</f>
        <v>9960.5</v>
      </c>
      <c r="N165" s="116">
        <v>1</v>
      </c>
      <c r="O165" s="60"/>
      <c r="P165" s="116">
        <f t="shared" ref="P165:P187" si="139">H165+J165+L165+N165</f>
        <v>18</v>
      </c>
      <c r="Q165" s="119">
        <v>18</v>
      </c>
      <c r="R165" s="118">
        <f>IF($B$3&gt;0,$E$5,($B$13+$E$5))</f>
        <v>5250</v>
      </c>
      <c r="S165" s="118">
        <f>IF($B$4&gt;0,$E$5,($B$13+$E$5))</f>
        <v>5250</v>
      </c>
      <c r="T165" s="118">
        <f>$B$13+$E$5</f>
        <v>9000</v>
      </c>
      <c r="U165" s="118">
        <f>$B$12+$E$5</f>
        <v>8500</v>
      </c>
      <c r="V165" s="118">
        <f t="shared" ref="V165:V184" si="140">($E165*($E$13/$Q165))</f>
        <v>1460.5</v>
      </c>
      <c r="W165" s="115">
        <f t="shared" ref="W165:W187" si="141">(G165*H165)+(I165*J165)+(K165*L165)+(M165*N165)</f>
        <v>135289</v>
      </c>
      <c r="X165" s="60"/>
      <c r="Y165" s="60"/>
      <c r="Z165" s="60"/>
      <c r="AA165" s="60"/>
      <c r="AB165" s="60"/>
    </row>
    <row r="166" spans="1:28" ht="13.5" customHeight="1" x14ac:dyDescent="0.35">
      <c r="A166" s="255">
        <v>43160</v>
      </c>
      <c r="B166" s="283" t="s">
        <v>156</v>
      </c>
      <c r="C166" s="257" t="s">
        <v>120</v>
      </c>
      <c r="D166" s="398" t="s">
        <v>122</v>
      </c>
      <c r="E166" s="284">
        <v>14591</v>
      </c>
      <c r="F166" s="260" t="s">
        <v>157</v>
      </c>
      <c r="G166" s="143">
        <f t="shared" si="135"/>
        <v>9451.5869565217399</v>
      </c>
      <c r="H166" s="139">
        <v>10</v>
      </c>
      <c r="I166" s="143">
        <f t="shared" si="136"/>
        <v>9451.5869565217399</v>
      </c>
      <c r="J166" s="139">
        <v>6</v>
      </c>
      <c r="K166" s="138">
        <f t="shared" si="137"/>
        <v>13201.58695652174</v>
      </c>
      <c r="L166" s="139">
        <v>3</v>
      </c>
      <c r="M166" s="143">
        <f t="shared" si="138"/>
        <v>12701.58695652174</v>
      </c>
      <c r="N166" s="139">
        <v>4</v>
      </c>
      <c r="O166" s="144"/>
      <c r="P166" s="139">
        <f t="shared" si="139"/>
        <v>23</v>
      </c>
      <c r="Q166" s="146">
        <v>23</v>
      </c>
      <c r="R166" s="143">
        <f>IF($B$3&gt;0,$E$3,($B$13+$E$3))</f>
        <v>8500</v>
      </c>
      <c r="S166" s="143">
        <f>IF($B$4&gt;0,$E$3,($B$13+$E$3))</f>
        <v>8500</v>
      </c>
      <c r="T166" s="143">
        <f>$B$13+$E$3</f>
        <v>12250</v>
      </c>
      <c r="U166" s="143">
        <f>$B$12+$E$3</f>
        <v>11750</v>
      </c>
      <c r="V166" s="143">
        <f t="shared" si="140"/>
        <v>951.58695652173913</v>
      </c>
      <c r="W166" s="138">
        <f t="shared" si="141"/>
        <v>241636.5</v>
      </c>
      <c r="X166" s="144"/>
      <c r="Y166" s="144"/>
      <c r="Z166" s="144"/>
      <c r="AA166" s="144"/>
      <c r="AB166" s="144"/>
    </row>
    <row r="167" spans="1:28" ht="13.5" customHeight="1" x14ac:dyDescent="0.35">
      <c r="A167" s="255">
        <v>43163</v>
      </c>
      <c r="B167" s="283" t="s">
        <v>214</v>
      </c>
      <c r="C167" s="257" t="s">
        <v>155</v>
      </c>
      <c r="D167" s="398" t="s">
        <v>122</v>
      </c>
      <c r="E167" s="284">
        <v>25706</v>
      </c>
      <c r="F167" s="260" t="s">
        <v>157</v>
      </c>
      <c r="G167" s="143">
        <f t="shared" si="135"/>
        <v>3426.478260869565</v>
      </c>
      <c r="H167" s="139">
        <v>10</v>
      </c>
      <c r="I167" s="143">
        <f t="shared" si="136"/>
        <v>3426.478260869565</v>
      </c>
      <c r="J167" s="139">
        <v>6</v>
      </c>
      <c r="K167" s="138">
        <f t="shared" si="137"/>
        <v>7176.478260869565</v>
      </c>
      <c r="L167" s="139">
        <v>3</v>
      </c>
      <c r="M167" s="143">
        <f t="shared" si="138"/>
        <v>6676.478260869565</v>
      </c>
      <c r="N167" s="139">
        <v>4</v>
      </c>
      <c r="O167" s="144"/>
      <c r="P167" s="139">
        <f t="shared" si="139"/>
        <v>23</v>
      </c>
      <c r="Q167" s="146">
        <v>23</v>
      </c>
      <c r="R167" s="143">
        <f>IF($B$3&gt;0,$E$6,($B$13+$E$6))</f>
        <v>1750</v>
      </c>
      <c r="S167" s="143">
        <f>IF($B$4&gt;0,$E$6,($B$13+$E$6))</f>
        <v>1750</v>
      </c>
      <c r="T167" s="143">
        <f>$B$13+$E$6</f>
        <v>5500</v>
      </c>
      <c r="U167" s="143">
        <f>$B$12+$E$6</f>
        <v>5000</v>
      </c>
      <c r="V167" s="143">
        <f t="shared" si="140"/>
        <v>1676.4782608695652</v>
      </c>
      <c r="W167" s="138">
        <f t="shared" si="141"/>
        <v>103058.99999999999</v>
      </c>
      <c r="X167" s="144"/>
      <c r="Y167" s="144"/>
      <c r="Z167" s="144"/>
      <c r="AA167" s="144"/>
      <c r="AB167" s="144"/>
    </row>
    <row r="168" spans="1:28" ht="13.5" customHeight="1" x14ac:dyDescent="0.35">
      <c r="A168" s="255">
        <v>43166</v>
      </c>
      <c r="B168" s="283" t="s">
        <v>234</v>
      </c>
      <c r="C168" s="257" t="s">
        <v>120</v>
      </c>
      <c r="D168" s="398" t="s">
        <v>122</v>
      </c>
      <c r="E168" s="284">
        <v>12351</v>
      </c>
      <c r="F168" s="260" t="s">
        <v>157</v>
      </c>
      <c r="G168" s="143">
        <f t="shared" si="135"/>
        <v>9305.5</v>
      </c>
      <c r="H168" s="139">
        <v>10</v>
      </c>
      <c r="I168" s="143">
        <f t="shared" si="136"/>
        <v>9305.5</v>
      </c>
      <c r="J168" s="139">
        <v>6</v>
      </c>
      <c r="K168" s="138">
        <f t="shared" si="137"/>
        <v>13055.5</v>
      </c>
      <c r="L168" s="139">
        <v>3</v>
      </c>
      <c r="M168" s="143">
        <f t="shared" si="138"/>
        <v>12555.5</v>
      </c>
      <c r="N168" s="139">
        <v>4</v>
      </c>
      <c r="O168" s="144"/>
      <c r="P168" s="139">
        <f t="shared" si="139"/>
        <v>23</v>
      </c>
      <c r="Q168" s="146">
        <v>23</v>
      </c>
      <c r="R168" s="143">
        <f>IF($B$3&gt;0,$E$3,($B$13+$E$3))</f>
        <v>8500</v>
      </c>
      <c r="S168" s="143">
        <f>IF($B$4&gt;0,$E$3,($B$13+$E$3))</f>
        <v>8500</v>
      </c>
      <c r="T168" s="143">
        <f>$B$13+$E$3</f>
        <v>12250</v>
      </c>
      <c r="U168" s="143">
        <f>$B$12+$E$3</f>
        <v>11750</v>
      </c>
      <c r="V168" s="143">
        <f t="shared" si="140"/>
        <v>805.5</v>
      </c>
      <c r="W168" s="138">
        <f t="shared" si="141"/>
        <v>238276.5</v>
      </c>
      <c r="X168" s="144"/>
      <c r="Y168" s="144"/>
      <c r="Z168" s="144"/>
      <c r="AA168" s="144"/>
      <c r="AB168" s="144"/>
    </row>
    <row r="169" spans="1:28" ht="13.5" customHeight="1" x14ac:dyDescent="0.35">
      <c r="A169" s="255"/>
      <c r="B169" s="706" t="s">
        <v>383</v>
      </c>
      <c r="C169" s="637"/>
      <c r="D169" s="637"/>
      <c r="E169" s="637"/>
      <c r="F169" s="635"/>
      <c r="G169" s="143">
        <f t="shared" si="135"/>
        <v>5000</v>
      </c>
      <c r="H169" s="139">
        <v>10</v>
      </c>
      <c r="I169" s="143">
        <f t="shared" si="136"/>
        <v>5000</v>
      </c>
      <c r="J169" s="139">
        <v>6</v>
      </c>
      <c r="K169" s="138">
        <f t="shared" si="137"/>
        <v>5000</v>
      </c>
      <c r="L169" s="139">
        <v>3</v>
      </c>
      <c r="M169" s="143">
        <f t="shared" si="138"/>
        <v>5000</v>
      </c>
      <c r="N169" s="139">
        <v>4</v>
      </c>
      <c r="O169" s="144"/>
      <c r="P169" s="139">
        <f t="shared" si="139"/>
        <v>23</v>
      </c>
      <c r="Q169" s="146">
        <v>23</v>
      </c>
      <c r="R169" s="143">
        <f t="shared" ref="R169:U169" si="142">$I$7</f>
        <v>5000</v>
      </c>
      <c r="S169" s="143">
        <f t="shared" si="142"/>
        <v>5000</v>
      </c>
      <c r="T169" s="143">
        <f t="shared" si="142"/>
        <v>5000</v>
      </c>
      <c r="U169" s="143">
        <f t="shared" si="142"/>
        <v>5000</v>
      </c>
      <c r="V169" s="143">
        <f t="shared" si="140"/>
        <v>0</v>
      </c>
      <c r="W169" s="138">
        <f t="shared" si="141"/>
        <v>115000</v>
      </c>
      <c r="X169" s="144"/>
      <c r="Y169" s="144"/>
      <c r="Z169" s="144"/>
      <c r="AA169" s="144"/>
      <c r="AB169" s="144"/>
    </row>
    <row r="170" spans="1:28" ht="13.5" customHeight="1" x14ac:dyDescent="0.35">
      <c r="A170" s="280">
        <v>43195</v>
      </c>
      <c r="B170" s="281" t="s">
        <v>170</v>
      </c>
      <c r="C170" s="396" t="s">
        <v>120</v>
      </c>
      <c r="D170" s="397" t="s">
        <v>122</v>
      </c>
      <c r="E170" s="282">
        <v>14360</v>
      </c>
      <c r="F170" s="281"/>
      <c r="G170" s="118">
        <f t="shared" si="135"/>
        <v>6186.521739130435</v>
      </c>
      <c r="H170" s="116">
        <v>10</v>
      </c>
      <c r="I170" s="118">
        <f t="shared" si="136"/>
        <v>6186.521739130435</v>
      </c>
      <c r="J170" s="116">
        <v>6</v>
      </c>
      <c r="K170" s="115">
        <f t="shared" si="137"/>
        <v>9936.5217391304341</v>
      </c>
      <c r="L170" s="116">
        <v>3</v>
      </c>
      <c r="M170" s="118">
        <f t="shared" si="138"/>
        <v>9436.5217391304341</v>
      </c>
      <c r="N170" s="116">
        <v>4</v>
      </c>
      <c r="O170" s="104"/>
      <c r="P170" s="116">
        <f t="shared" si="139"/>
        <v>23</v>
      </c>
      <c r="Q170" s="119">
        <v>23</v>
      </c>
      <c r="R170" s="118">
        <f t="shared" ref="R170:R173" si="143">IF($B$3&gt;0,$E$5,($B$13+$E$5))</f>
        <v>5250</v>
      </c>
      <c r="S170" s="118">
        <f t="shared" ref="S170:S173" si="144">IF($B$4&gt;0,$E$5,($B$13+$E$5))</f>
        <v>5250</v>
      </c>
      <c r="T170" s="118">
        <f t="shared" ref="T170:T173" si="145">$B$13+$E$5</f>
        <v>9000</v>
      </c>
      <c r="U170" s="118">
        <f t="shared" ref="U170:U173" si="146">$B$12+$E$5</f>
        <v>8500</v>
      </c>
      <c r="V170" s="118">
        <f t="shared" si="140"/>
        <v>936.52173913043475</v>
      </c>
      <c r="W170" s="115">
        <f t="shared" si="141"/>
        <v>166540</v>
      </c>
      <c r="X170" s="104"/>
      <c r="Y170" s="104"/>
      <c r="Z170" s="104"/>
      <c r="AA170" s="104"/>
      <c r="AB170" s="104"/>
    </row>
    <row r="171" spans="1:28" ht="13.5" customHeight="1" x14ac:dyDescent="0.35">
      <c r="A171" s="280">
        <v>43198</v>
      </c>
      <c r="B171" s="281" t="s">
        <v>170</v>
      </c>
      <c r="C171" s="396" t="s">
        <v>120</v>
      </c>
      <c r="D171" s="397" t="s">
        <v>122</v>
      </c>
      <c r="E171" s="282">
        <v>15349</v>
      </c>
      <c r="F171" s="281"/>
      <c r="G171" s="118">
        <f t="shared" si="135"/>
        <v>6251.021739130435</v>
      </c>
      <c r="H171" s="116">
        <v>10</v>
      </c>
      <c r="I171" s="118">
        <f t="shared" si="136"/>
        <v>6251.021739130435</v>
      </c>
      <c r="J171" s="116">
        <v>6</v>
      </c>
      <c r="K171" s="115">
        <f t="shared" si="137"/>
        <v>10001.021739130434</v>
      </c>
      <c r="L171" s="116">
        <v>3</v>
      </c>
      <c r="M171" s="118">
        <f t="shared" si="138"/>
        <v>9501.0217391304341</v>
      </c>
      <c r="N171" s="116">
        <v>4</v>
      </c>
      <c r="O171" s="104"/>
      <c r="P171" s="116">
        <f t="shared" si="139"/>
        <v>23</v>
      </c>
      <c r="Q171" s="119">
        <v>23</v>
      </c>
      <c r="R171" s="118">
        <f t="shared" si="143"/>
        <v>5250</v>
      </c>
      <c r="S171" s="118">
        <f t="shared" si="144"/>
        <v>5250</v>
      </c>
      <c r="T171" s="118">
        <f t="shared" si="145"/>
        <v>9000</v>
      </c>
      <c r="U171" s="118">
        <f t="shared" si="146"/>
        <v>8500</v>
      </c>
      <c r="V171" s="118">
        <f t="shared" si="140"/>
        <v>1001.0217391304348</v>
      </c>
      <c r="W171" s="115">
        <f t="shared" si="141"/>
        <v>168023.5</v>
      </c>
      <c r="X171" s="104"/>
      <c r="Y171" s="104"/>
      <c r="Z171" s="104"/>
      <c r="AA171" s="104"/>
      <c r="AB171" s="104"/>
    </row>
    <row r="172" spans="1:28" ht="13.5" customHeight="1" x14ac:dyDescent="0.35">
      <c r="A172" s="280">
        <v>43258</v>
      </c>
      <c r="B172" s="281" t="s">
        <v>149</v>
      </c>
      <c r="C172" s="396" t="s">
        <v>120</v>
      </c>
      <c r="D172" s="397" t="s">
        <v>122</v>
      </c>
      <c r="E172" s="282">
        <v>13230</v>
      </c>
      <c r="F172" s="281"/>
      <c r="G172" s="118">
        <f t="shared" si="135"/>
        <v>6352.5</v>
      </c>
      <c r="H172" s="116">
        <v>10</v>
      </c>
      <c r="I172" s="118">
        <f t="shared" si="136"/>
        <v>6352.5</v>
      </c>
      <c r="J172" s="116">
        <v>5</v>
      </c>
      <c r="K172" s="115">
        <f t="shared" si="137"/>
        <v>10102.5</v>
      </c>
      <c r="L172" s="116">
        <v>3</v>
      </c>
      <c r="M172" s="118">
        <f t="shared" si="138"/>
        <v>9602.5</v>
      </c>
      <c r="N172" s="116">
        <v>0</v>
      </c>
      <c r="O172" s="104"/>
      <c r="P172" s="116">
        <f t="shared" si="139"/>
        <v>18</v>
      </c>
      <c r="Q172" s="119">
        <v>18</v>
      </c>
      <c r="R172" s="118">
        <f t="shared" si="143"/>
        <v>5250</v>
      </c>
      <c r="S172" s="118">
        <f t="shared" si="144"/>
        <v>5250</v>
      </c>
      <c r="T172" s="118">
        <f t="shared" si="145"/>
        <v>9000</v>
      </c>
      <c r="U172" s="118">
        <f t="shared" si="146"/>
        <v>8500</v>
      </c>
      <c r="V172" s="118">
        <f t="shared" si="140"/>
        <v>1102.5</v>
      </c>
      <c r="W172" s="115">
        <f t="shared" si="141"/>
        <v>125595</v>
      </c>
      <c r="X172" s="104"/>
      <c r="Y172" s="104"/>
      <c r="Z172" s="104"/>
      <c r="AA172" s="104"/>
      <c r="AB172" s="104"/>
    </row>
    <row r="173" spans="1:28" ht="13.5" customHeight="1" x14ac:dyDescent="0.35">
      <c r="A173" s="280">
        <v>43263</v>
      </c>
      <c r="B173" s="281" t="s">
        <v>149</v>
      </c>
      <c r="C173" s="396" t="s">
        <v>120</v>
      </c>
      <c r="D173" s="397" t="s">
        <v>122</v>
      </c>
      <c r="E173" s="282">
        <v>12335</v>
      </c>
      <c r="F173" s="281"/>
      <c r="G173" s="118">
        <f t="shared" si="135"/>
        <v>6277.9166666666661</v>
      </c>
      <c r="H173" s="116">
        <v>10</v>
      </c>
      <c r="I173" s="118">
        <f t="shared" si="136"/>
        <v>6277.9166666666661</v>
      </c>
      <c r="J173" s="116">
        <v>5</v>
      </c>
      <c r="K173" s="115">
        <f t="shared" si="137"/>
        <v>10027.916666666666</v>
      </c>
      <c r="L173" s="116">
        <v>3</v>
      </c>
      <c r="M173" s="118">
        <f t="shared" si="138"/>
        <v>9527.9166666666661</v>
      </c>
      <c r="N173" s="116">
        <v>0</v>
      </c>
      <c r="O173" s="104"/>
      <c r="P173" s="116">
        <f t="shared" si="139"/>
        <v>18</v>
      </c>
      <c r="Q173" s="119">
        <v>18</v>
      </c>
      <c r="R173" s="118">
        <f t="shared" si="143"/>
        <v>5250</v>
      </c>
      <c r="S173" s="118">
        <f t="shared" si="144"/>
        <v>5250</v>
      </c>
      <c r="T173" s="118">
        <f t="shared" si="145"/>
        <v>9000</v>
      </c>
      <c r="U173" s="118">
        <f t="shared" si="146"/>
        <v>8500</v>
      </c>
      <c r="V173" s="118">
        <f t="shared" si="140"/>
        <v>1027.9166666666665</v>
      </c>
      <c r="W173" s="115">
        <f t="shared" si="141"/>
        <v>124252.49999999999</v>
      </c>
      <c r="X173" s="104"/>
      <c r="Y173" s="104"/>
      <c r="Z173" s="104"/>
      <c r="AA173" s="104"/>
      <c r="AB173" s="104"/>
    </row>
    <row r="174" spans="1:28" ht="13.5" customHeight="1" x14ac:dyDescent="0.35">
      <c r="A174" s="400">
        <v>43307</v>
      </c>
      <c r="B174" s="402" t="s">
        <v>210</v>
      </c>
      <c r="C174" s="403" t="s">
        <v>120</v>
      </c>
      <c r="D174" s="404" t="s">
        <v>122</v>
      </c>
      <c r="E174" s="405">
        <v>18467</v>
      </c>
      <c r="F174" s="406" t="s">
        <v>164</v>
      </c>
      <c r="G174" s="407">
        <f t="shared" si="135"/>
        <v>7704.369565217391</v>
      </c>
      <c r="H174" s="408">
        <v>10</v>
      </c>
      <c r="I174" s="407">
        <f t="shared" si="136"/>
        <v>7704.369565217391</v>
      </c>
      <c r="J174" s="408">
        <v>6</v>
      </c>
      <c r="K174" s="409">
        <f t="shared" si="137"/>
        <v>11454.369565217392</v>
      </c>
      <c r="L174" s="408">
        <v>4</v>
      </c>
      <c r="M174" s="407">
        <f t="shared" si="138"/>
        <v>10954.369565217392</v>
      </c>
      <c r="N174" s="408">
        <v>3</v>
      </c>
      <c r="O174" s="410"/>
      <c r="P174" s="408">
        <f t="shared" si="139"/>
        <v>23</v>
      </c>
      <c r="Q174" s="411">
        <v>23</v>
      </c>
      <c r="R174" s="407">
        <f>IF($B$3&gt;0,$E$4,($B$13+$E$4))</f>
        <v>6500</v>
      </c>
      <c r="S174" s="407">
        <f>IF($B$4&gt;0,$E$4,($B$13+$E$4))</f>
        <v>6500</v>
      </c>
      <c r="T174" s="407">
        <f>$B$13+$E$4</f>
        <v>10250</v>
      </c>
      <c r="U174" s="407">
        <f>$B$12+$E$4</f>
        <v>9750</v>
      </c>
      <c r="V174" s="407">
        <f t="shared" si="140"/>
        <v>1204.3695652173913</v>
      </c>
      <c r="W174" s="409">
        <f t="shared" si="141"/>
        <v>201950.5</v>
      </c>
      <c r="X174" s="410"/>
      <c r="Y174" s="410"/>
      <c r="Z174" s="410"/>
      <c r="AA174" s="410"/>
      <c r="AB174" s="410"/>
    </row>
    <row r="175" spans="1:28" ht="13.5" customHeight="1" x14ac:dyDescent="0.35">
      <c r="A175" s="400">
        <v>43310</v>
      </c>
      <c r="B175" s="402" t="s">
        <v>173</v>
      </c>
      <c r="C175" s="403" t="s">
        <v>155</v>
      </c>
      <c r="D175" s="404" t="s">
        <v>122</v>
      </c>
      <c r="E175" s="405">
        <v>21570</v>
      </c>
      <c r="F175" s="406" t="s">
        <v>164</v>
      </c>
      <c r="G175" s="407">
        <f t="shared" si="135"/>
        <v>2656.7391304347825</v>
      </c>
      <c r="H175" s="408">
        <v>10</v>
      </c>
      <c r="I175" s="407">
        <f t="shared" si="136"/>
        <v>2656.7391304347825</v>
      </c>
      <c r="J175" s="408">
        <v>6</v>
      </c>
      <c r="K175" s="409">
        <f t="shared" si="137"/>
        <v>6406.7391304347821</v>
      </c>
      <c r="L175" s="408">
        <v>4</v>
      </c>
      <c r="M175" s="407">
        <f t="shared" si="138"/>
        <v>5906.7391304347821</v>
      </c>
      <c r="N175" s="408">
        <v>3</v>
      </c>
      <c r="O175" s="410"/>
      <c r="P175" s="408">
        <f t="shared" si="139"/>
        <v>23</v>
      </c>
      <c r="Q175" s="411">
        <v>23</v>
      </c>
      <c r="R175" s="407">
        <f>IF($B$3&gt;0,$E$7,($B$13+$E$7))</f>
        <v>1250</v>
      </c>
      <c r="S175" s="407">
        <f>IF($B$4&gt;0,$E$7,($B$13+$E$7))</f>
        <v>1250</v>
      </c>
      <c r="T175" s="407">
        <f>$B$13+$E$7</f>
        <v>5000</v>
      </c>
      <c r="U175" s="407">
        <f>$B$12+$E$7</f>
        <v>4500</v>
      </c>
      <c r="V175" s="407">
        <f t="shared" si="140"/>
        <v>1406.7391304347825</v>
      </c>
      <c r="W175" s="409">
        <f t="shared" si="141"/>
        <v>85855</v>
      </c>
      <c r="X175" s="410"/>
      <c r="Y175" s="410"/>
      <c r="Z175" s="410"/>
      <c r="AA175" s="410"/>
      <c r="AB175" s="410"/>
    </row>
    <row r="176" spans="1:28" ht="13.5" customHeight="1" x14ac:dyDescent="0.35">
      <c r="A176" s="400">
        <v>43314</v>
      </c>
      <c r="B176" s="402" t="s">
        <v>179</v>
      </c>
      <c r="C176" s="403" t="s">
        <v>120</v>
      </c>
      <c r="D176" s="404" t="s">
        <v>122</v>
      </c>
      <c r="E176" s="405">
        <v>18309</v>
      </c>
      <c r="F176" s="402"/>
      <c r="G176" s="407">
        <f t="shared" si="135"/>
        <v>6444.065217391304</v>
      </c>
      <c r="H176" s="408">
        <v>10</v>
      </c>
      <c r="I176" s="407">
        <f t="shared" si="136"/>
        <v>6444.065217391304</v>
      </c>
      <c r="J176" s="408">
        <v>6</v>
      </c>
      <c r="K176" s="409">
        <f t="shared" si="137"/>
        <v>10194.065217391304</v>
      </c>
      <c r="L176" s="408">
        <v>4</v>
      </c>
      <c r="M176" s="407">
        <f t="shared" si="138"/>
        <v>9694.065217391304</v>
      </c>
      <c r="N176" s="408">
        <v>3</v>
      </c>
      <c r="O176" s="410"/>
      <c r="P176" s="408">
        <f t="shared" si="139"/>
        <v>23</v>
      </c>
      <c r="Q176" s="411">
        <v>23</v>
      </c>
      <c r="R176" s="407">
        <f>IF($B$3&gt;0,$E$5,($B$13+$E$5))</f>
        <v>5250</v>
      </c>
      <c r="S176" s="407">
        <f>IF($B$4&gt;0,$E$5,($B$13+$E$5))</f>
        <v>5250</v>
      </c>
      <c r="T176" s="407">
        <f>$B$13+$E$5</f>
        <v>9000</v>
      </c>
      <c r="U176" s="407">
        <f>$B$12+$E$5</f>
        <v>8500</v>
      </c>
      <c r="V176" s="407">
        <f t="shared" si="140"/>
        <v>1194.0652173913043</v>
      </c>
      <c r="W176" s="409">
        <f t="shared" si="141"/>
        <v>172963.5</v>
      </c>
      <c r="X176" s="410"/>
      <c r="Y176" s="410"/>
      <c r="Z176" s="410"/>
      <c r="AA176" s="410"/>
      <c r="AB176" s="410"/>
    </row>
    <row r="177" spans="1:28" ht="13.5" customHeight="1" x14ac:dyDescent="0.35">
      <c r="A177" s="400"/>
      <c r="B177" s="745" t="s">
        <v>413</v>
      </c>
      <c r="C177" s="637"/>
      <c r="D177" s="637"/>
      <c r="E177" s="637"/>
      <c r="F177" s="635"/>
      <c r="G177" s="407">
        <f t="shared" si="135"/>
        <v>5000</v>
      </c>
      <c r="H177" s="408">
        <v>10</v>
      </c>
      <c r="I177" s="407">
        <f t="shared" si="136"/>
        <v>5000</v>
      </c>
      <c r="J177" s="408">
        <v>6</v>
      </c>
      <c r="K177" s="409">
        <f t="shared" si="137"/>
        <v>5000</v>
      </c>
      <c r="L177" s="408">
        <v>4</v>
      </c>
      <c r="M177" s="407">
        <f t="shared" si="138"/>
        <v>5000</v>
      </c>
      <c r="N177" s="408">
        <v>3</v>
      </c>
      <c r="O177" s="410"/>
      <c r="P177" s="408">
        <f t="shared" si="139"/>
        <v>23</v>
      </c>
      <c r="Q177" s="411">
        <v>23</v>
      </c>
      <c r="R177" s="407">
        <f t="shared" ref="R177:U177" si="147">$J$7</f>
        <v>5000</v>
      </c>
      <c r="S177" s="412">
        <f t="shared" si="147"/>
        <v>5000</v>
      </c>
      <c r="T177" s="412">
        <f t="shared" si="147"/>
        <v>5000</v>
      </c>
      <c r="U177" s="412">
        <f t="shared" si="147"/>
        <v>5000</v>
      </c>
      <c r="V177" s="412">
        <f t="shared" si="140"/>
        <v>0</v>
      </c>
      <c r="W177" s="409">
        <f t="shared" si="141"/>
        <v>115000</v>
      </c>
      <c r="X177" s="410"/>
      <c r="Y177" s="410"/>
      <c r="Z177" s="410"/>
      <c r="AA177" s="410"/>
      <c r="AB177" s="410"/>
    </row>
    <row r="178" spans="1:28" ht="13.5" customHeight="1" x14ac:dyDescent="0.35">
      <c r="A178" s="280">
        <v>43343</v>
      </c>
      <c r="B178" s="281" t="s">
        <v>241</v>
      </c>
      <c r="C178" s="396" t="s">
        <v>120</v>
      </c>
      <c r="D178" s="397" t="s">
        <v>122</v>
      </c>
      <c r="E178" s="282">
        <v>23544</v>
      </c>
      <c r="F178" s="281"/>
      <c r="G178" s="118">
        <f t="shared" si="135"/>
        <v>7015.8</v>
      </c>
      <c r="H178" s="116">
        <v>10</v>
      </c>
      <c r="I178" s="118">
        <f t="shared" si="136"/>
        <v>7015.8</v>
      </c>
      <c r="J178" s="116">
        <v>5</v>
      </c>
      <c r="K178" s="115">
        <f t="shared" si="137"/>
        <v>10765.8</v>
      </c>
      <c r="L178" s="116">
        <v>3</v>
      </c>
      <c r="M178" s="118">
        <f t="shared" si="138"/>
        <v>10265.799999999999</v>
      </c>
      <c r="N178" s="116">
        <v>2</v>
      </c>
      <c r="O178" s="60"/>
      <c r="P178" s="116">
        <f t="shared" si="139"/>
        <v>20</v>
      </c>
      <c r="Q178" s="119">
        <v>20</v>
      </c>
      <c r="R178" s="118">
        <f t="shared" ref="R178:R179" si="148">IF($B$3&gt;0,$E$5,($B$13+$E$5))</f>
        <v>5250</v>
      </c>
      <c r="S178" s="118">
        <f t="shared" ref="S178:S179" si="149">IF($B$4&gt;0,$E$5,($B$13+$E$5))</f>
        <v>5250</v>
      </c>
      <c r="T178" s="118">
        <f t="shared" ref="T178:T179" si="150">$B$13+$E$5</f>
        <v>9000</v>
      </c>
      <c r="U178" s="118">
        <f t="shared" ref="U178:U179" si="151">$B$12+$E$5</f>
        <v>8500</v>
      </c>
      <c r="V178" s="118">
        <f t="shared" si="140"/>
        <v>1765.8</v>
      </c>
      <c r="W178" s="115">
        <f t="shared" si="141"/>
        <v>158066</v>
      </c>
      <c r="X178" s="60"/>
      <c r="Y178" s="60"/>
      <c r="Z178" s="60"/>
      <c r="AA178" s="60"/>
      <c r="AB178" s="60"/>
    </row>
    <row r="179" spans="1:28" ht="13.5" customHeight="1" x14ac:dyDescent="0.35">
      <c r="A179" s="280">
        <v>43347</v>
      </c>
      <c r="B179" s="281" t="s">
        <v>241</v>
      </c>
      <c r="C179" s="396" t="s">
        <v>120</v>
      </c>
      <c r="D179" s="397" t="s">
        <v>122</v>
      </c>
      <c r="E179" s="282">
        <v>14340</v>
      </c>
      <c r="F179" s="281"/>
      <c r="G179" s="118">
        <f t="shared" si="135"/>
        <v>6325.5</v>
      </c>
      <c r="H179" s="116">
        <v>10</v>
      </c>
      <c r="I179" s="118">
        <f t="shared" si="136"/>
        <v>6325.5</v>
      </c>
      <c r="J179" s="116">
        <v>5</v>
      </c>
      <c r="K179" s="115">
        <f t="shared" si="137"/>
        <v>10075.5</v>
      </c>
      <c r="L179" s="116">
        <v>3</v>
      </c>
      <c r="M179" s="118">
        <f t="shared" si="138"/>
        <v>9575.5</v>
      </c>
      <c r="N179" s="116">
        <v>2</v>
      </c>
      <c r="O179" s="60"/>
      <c r="P179" s="116">
        <f t="shared" si="139"/>
        <v>20</v>
      </c>
      <c r="Q179" s="119">
        <v>20</v>
      </c>
      <c r="R179" s="118">
        <f t="shared" si="148"/>
        <v>5250</v>
      </c>
      <c r="S179" s="118">
        <f t="shared" si="149"/>
        <v>5250</v>
      </c>
      <c r="T179" s="118">
        <f t="shared" si="150"/>
        <v>9000</v>
      </c>
      <c r="U179" s="118">
        <f t="shared" si="151"/>
        <v>8500</v>
      </c>
      <c r="V179" s="118">
        <f t="shared" si="140"/>
        <v>1075.5</v>
      </c>
      <c r="W179" s="115">
        <f t="shared" si="141"/>
        <v>144260</v>
      </c>
      <c r="X179" s="60"/>
      <c r="Y179" s="60"/>
      <c r="Z179" s="60"/>
      <c r="AA179" s="60"/>
      <c r="AB179" s="60"/>
    </row>
    <row r="180" spans="1:28" ht="13.5" customHeight="1" x14ac:dyDescent="0.35">
      <c r="A180" s="269">
        <v>43377</v>
      </c>
      <c r="B180" s="288" t="s">
        <v>170</v>
      </c>
      <c r="C180" s="413" t="s">
        <v>120</v>
      </c>
      <c r="D180" s="288" t="s">
        <v>414</v>
      </c>
      <c r="E180" s="289">
        <v>5404</v>
      </c>
      <c r="F180" s="288"/>
      <c r="G180" s="168">
        <f t="shared" si="135"/>
        <v>3405.3</v>
      </c>
      <c r="H180" s="170">
        <v>10</v>
      </c>
      <c r="I180" s="168">
        <f t="shared" si="136"/>
        <v>3405.3</v>
      </c>
      <c r="J180" s="170">
        <v>6</v>
      </c>
      <c r="K180" s="224">
        <f t="shared" si="137"/>
        <v>7155.3</v>
      </c>
      <c r="L180" s="170">
        <v>3</v>
      </c>
      <c r="M180" s="168">
        <f t="shared" si="138"/>
        <v>6655.3</v>
      </c>
      <c r="N180" s="170">
        <v>1</v>
      </c>
      <c r="O180" s="171"/>
      <c r="P180" s="170">
        <f t="shared" si="139"/>
        <v>20</v>
      </c>
      <c r="Q180" s="172">
        <v>20</v>
      </c>
      <c r="R180" s="168">
        <f t="shared" ref="R180:R184" si="152">IF($B$3&gt;0,$N$3,($B$13+$N$3))</f>
        <v>3000</v>
      </c>
      <c r="S180" s="168">
        <f t="shared" ref="S180:S184" si="153">IF($B$4&gt;0,$N$3,($B$13+$N$3))</f>
        <v>3000</v>
      </c>
      <c r="T180" s="168">
        <f t="shared" ref="T180:T184" si="154">$B$13+$N$3</f>
        <v>6750</v>
      </c>
      <c r="U180" s="168">
        <f t="shared" ref="U180:U184" si="155">$B$12+$N$3</f>
        <v>6250</v>
      </c>
      <c r="V180" s="168">
        <f t="shared" si="140"/>
        <v>405.3</v>
      </c>
      <c r="W180" s="224">
        <f t="shared" si="141"/>
        <v>82606.000000000015</v>
      </c>
      <c r="X180" s="171"/>
      <c r="Y180" s="171"/>
      <c r="Z180" s="171"/>
      <c r="AA180" s="171"/>
      <c r="AB180" s="171"/>
    </row>
    <row r="181" spans="1:28" ht="13.5" customHeight="1" x14ac:dyDescent="0.35">
      <c r="A181" s="269">
        <v>43380</v>
      </c>
      <c r="B181" s="288" t="s">
        <v>182</v>
      </c>
      <c r="C181" s="413" t="s">
        <v>120</v>
      </c>
      <c r="D181" s="288" t="s">
        <v>414</v>
      </c>
      <c r="E181" s="289">
        <v>7532</v>
      </c>
      <c r="F181" s="288"/>
      <c r="G181" s="168">
        <f t="shared" si="135"/>
        <v>3564.9</v>
      </c>
      <c r="H181" s="170">
        <v>10</v>
      </c>
      <c r="I181" s="168">
        <f t="shared" si="136"/>
        <v>3564.9</v>
      </c>
      <c r="J181" s="170">
        <v>6</v>
      </c>
      <c r="K181" s="224">
        <f t="shared" si="137"/>
        <v>7314.9</v>
      </c>
      <c r="L181" s="170">
        <v>3</v>
      </c>
      <c r="M181" s="168">
        <f t="shared" si="138"/>
        <v>6814.9</v>
      </c>
      <c r="N181" s="170">
        <v>1</v>
      </c>
      <c r="O181" s="171"/>
      <c r="P181" s="170">
        <f t="shared" si="139"/>
        <v>20</v>
      </c>
      <c r="Q181" s="172">
        <v>20</v>
      </c>
      <c r="R181" s="168">
        <f t="shared" si="152"/>
        <v>3000</v>
      </c>
      <c r="S181" s="168">
        <f t="shared" si="153"/>
        <v>3000</v>
      </c>
      <c r="T181" s="168">
        <f t="shared" si="154"/>
        <v>6750</v>
      </c>
      <c r="U181" s="168">
        <f t="shared" si="155"/>
        <v>6250</v>
      </c>
      <c r="V181" s="168">
        <f t="shared" si="140"/>
        <v>564.9</v>
      </c>
      <c r="W181" s="224">
        <f t="shared" si="141"/>
        <v>85798</v>
      </c>
      <c r="X181" s="171"/>
      <c r="Y181" s="171"/>
      <c r="Z181" s="171"/>
      <c r="AA181" s="171"/>
      <c r="AB181" s="171"/>
    </row>
    <row r="182" spans="1:28" ht="13.5" customHeight="1" x14ac:dyDescent="0.35">
      <c r="A182" s="269">
        <v>43383</v>
      </c>
      <c r="B182" s="288" t="s">
        <v>219</v>
      </c>
      <c r="C182" s="413" t="s">
        <v>120</v>
      </c>
      <c r="D182" s="288" t="s">
        <v>414</v>
      </c>
      <c r="E182" s="289">
        <v>3996</v>
      </c>
      <c r="F182" s="288"/>
      <c r="G182" s="168">
        <f t="shared" si="135"/>
        <v>3299.7</v>
      </c>
      <c r="H182" s="170">
        <v>10</v>
      </c>
      <c r="I182" s="168">
        <f t="shared" si="136"/>
        <v>3299.7</v>
      </c>
      <c r="J182" s="170">
        <v>6</v>
      </c>
      <c r="K182" s="224">
        <f t="shared" si="137"/>
        <v>7049.7</v>
      </c>
      <c r="L182" s="170">
        <v>3</v>
      </c>
      <c r="M182" s="168">
        <f t="shared" si="138"/>
        <v>6549.7</v>
      </c>
      <c r="N182" s="170">
        <v>1</v>
      </c>
      <c r="O182" s="171"/>
      <c r="P182" s="170">
        <f t="shared" si="139"/>
        <v>20</v>
      </c>
      <c r="Q182" s="172">
        <v>20</v>
      </c>
      <c r="R182" s="168">
        <f t="shared" si="152"/>
        <v>3000</v>
      </c>
      <c r="S182" s="168">
        <f t="shared" si="153"/>
        <v>3000</v>
      </c>
      <c r="T182" s="168">
        <f t="shared" si="154"/>
        <v>6750</v>
      </c>
      <c r="U182" s="168">
        <f t="shared" si="155"/>
        <v>6250</v>
      </c>
      <c r="V182" s="168">
        <f t="shared" si="140"/>
        <v>299.7</v>
      </c>
      <c r="W182" s="224">
        <f t="shared" si="141"/>
        <v>80493.999999999985</v>
      </c>
      <c r="X182" s="171"/>
      <c r="Y182" s="171"/>
      <c r="Z182" s="171"/>
      <c r="AA182" s="171"/>
      <c r="AB182" s="171"/>
    </row>
    <row r="183" spans="1:28" ht="13.5" customHeight="1" x14ac:dyDescent="0.35">
      <c r="A183" s="269">
        <v>43387</v>
      </c>
      <c r="B183" s="288" t="s">
        <v>178</v>
      </c>
      <c r="C183" s="413" t="s">
        <v>120</v>
      </c>
      <c r="D183" s="288" t="s">
        <v>414</v>
      </c>
      <c r="E183" s="289">
        <v>7555</v>
      </c>
      <c r="F183" s="288"/>
      <c r="G183" s="168">
        <f t="shared" si="135"/>
        <v>3566.625</v>
      </c>
      <c r="H183" s="170">
        <v>10</v>
      </c>
      <c r="I183" s="168">
        <f t="shared" si="136"/>
        <v>3566.625</v>
      </c>
      <c r="J183" s="170">
        <v>6</v>
      </c>
      <c r="K183" s="224">
        <f t="shared" si="137"/>
        <v>7316.625</v>
      </c>
      <c r="L183" s="170">
        <v>3</v>
      </c>
      <c r="M183" s="168">
        <f t="shared" si="138"/>
        <v>6816.625</v>
      </c>
      <c r="N183" s="170">
        <v>1</v>
      </c>
      <c r="O183" s="171"/>
      <c r="P183" s="170">
        <f t="shared" si="139"/>
        <v>20</v>
      </c>
      <c r="Q183" s="172">
        <v>20</v>
      </c>
      <c r="R183" s="168">
        <f t="shared" si="152"/>
        <v>3000</v>
      </c>
      <c r="S183" s="168">
        <f t="shared" si="153"/>
        <v>3000</v>
      </c>
      <c r="T183" s="168">
        <f t="shared" si="154"/>
        <v>6750</v>
      </c>
      <c r="U183" s="168">
        <f t="shared" si="155"/>
        <v>6250</v>
      </c>
      <c r="V183" s="168">
        <f t="shared" si="140"/>
        <v>566.625</v>
      </c>
      <c r="W183" s="224">
        <f t="shared" si="141"/>
        <v>85832.5</v>
      </c>
      <c r="X183" s="171"/>
      <c r="Y183" s="171"/>
      <c r="Z183" s="171"/>
      <c r="AA183" s="171"/>
      <c r="AB183" s="171"/>
    </row>
    <row r="184" spans="1:28" ht="13.5" customHeight="1" x14ac:dyDescent="0.35">
      <c r="A184" s="269">
        <v>43390</v>
      </c>
      <c r="B184" s="288" t="s">
        <v>158</v>
      </c>
      <c r="C184" s="413" t="s">
        <v>120</v>
      </c>
      <c r="D184" s="288" t="s">
        <v>414</v>
      </c>
      <c r="E184" s="289">
        <v>6986</v>
      </c>
      <c r="F184" s="414" t="s">
        <v>157</v>
      </c>
      <c r="G184" s="168">
        <f t="shared" si="135"/>
        <v>3523.95</v>
      </c>
      <c r="H184" s="170">
        <v>10</v>
      </c>
      <c r="I184" s="168">
        <f t="shared" si="136"/>
        <v>3523.95</v>
      </c>
      <c r="J184" s="170">
        <v>6</v>
      </c>
      <c r="K184" s="224">
        <f t="shared" si="137"/>
        <v>7273.95</v>
      </c>
      <c r="L184" s="170">
        <v>3</v>
      </c>
      <c r="M184" s="168">
        <f t="shared" si="138"/>
        <v>6773.95</v>
      </c>
      <c r="N184" s="170">
        <v>1</v>
      </c>
      <c r="O184" s="171"/>
      <c r="P184" s="170">
        <f t="shared" si="139"/>
        <v>20</v>
      </c>
      <c r="Q184" s="172">
        <v>20</v>
      </c>
      <c r="R184" s="168">
        <f t="shared" si="152"/>
        <v>3000</v>
      </c>
      <c r="S184" s="168">
        <f t="shared" si="153"/>
        <v>3000</v>
      </c>
      <c r="T184" s="168">
        <f t="shared" si="154"/>
        <v>6750</v>
      </c>
      <c r="U184" s="168">
        <f t="shared" si="155"/>
        <v>6250</v>
      </c>
      <c r="V184" s="168">
        <f t="shared" si="140"/>
        <v>523.94999999999993</v>
      </c>
      <c r="W184" s="224">
        <f t="shared" si="141"/>
        <v>84978.999999999985</v>
      </c>
      <c r="X184" s="171"/>
      <c r="Y184" s="171"/>
      <c r="Z184" s="171"/>
      <c r="AA184" s="171"/>
      <c r="AB184" s="171"/>
    </row>
    <row r="185" spans="1:28" ht="13.5" customHeight="1" x14ac:dyDescent="0.35">
      <c r="A185" s="269"/>
      <c r="B185" s="735" t="s">
        <v>224</v>
      </c>
      <c r="C185" s="637"/>
      <c r="D185" s="637"/>
      <c r="E185" s="637"/>
      <c r="F185" s="635"/>
      <c r="G185" s="168">
        <f t="shared" si="135"/>
        <v>37500</v>
      </c>
      <c r="H185" s="170">
        <v>10</v>
      </c>
      <c r="I185" s="168">
        <f t="shared" si="136"/>
        <v>37500</v>
      </c>
      <c r="J185" s="170">
        <v>6</v>
      </c>
      <c r="K185" s="224">
        <f t="shared" si="137"/>
        <v>37500</v>
      </c>
      <c r="L185" s="170">
        <v>3</v>
      </c>
      <c r="M185" s="168">
        <f t="shared" si="138"/>
        <v>37500</v>
      </c>
      <c r="N185" s="170">
        <v>1</v>
      </c>
      <c r="O185" s="171"/>
      <c r="P185" s="170">
        <f t="shared" si="139"/>
        <v>20</v>
      </c>
      <c r="Q185" s="172">
        <v>20</v>
      </c>
      <c r="R185" s="168">
        <f t="shared" ref="R185:U185" si="156">$M$8</f>
        <v>37500</v>
      </c>
      <c r="S185" s="168">
        <f t="shared" si="156"/>
        <v>37500</v>
      </c>
      <c r="T185" s="168">
        <f t="shared" si="156"/>
        <v>37500</v>
      </c>
      <c r="U185" s="168">
        <f t="shared" si="156"/>
        <v>37500</v>
      </c>
      <c r="V185" s="168"/>
      <c r="W185" s="224">
        <f t="shared" si="141"/>
        <v>750000</v>
      </c>
      <c r="X185" s="171"/>
      <c r="Y185" s="171"/>
      <c r="Z185" s="171"/>
      <c r="AA185" s="171"/>
      <c r="AB185" s="171"/>
    </row>
    <row r="186" spans="1:28" ht="13.5" customHeight="1" x14ac:dyDescent="0.35">
      <c r="A186" s="280">
        <v>43412</v>
      </c>
      <c r="B186" s="281" t="s">
        <v>406</v>
      </c>
      <c r="C186" s="396" t="s">
        <v>120</v>
      </c>
      <c r="D186" s="415" t="s">
        <v>135</v>
      </c>
      <c r="E186" s="307"/>
      <c r="F186" s="281"/>
      <c r="G186" s="118">
        <f t="shared" si="135"/>
        <v>5250</v>
      </c>
      <c r="H186" s="116">
        <v>10</v>
      </c>
      <c r="I186" s="118">
        <f t="shared" si="136"/>
        <v>5250</v>
      </c>
      <c r="J186" s="116">
        <v>5</v>
      </c>
      <c r="K186" s="115">
        <f t="shared" si="137"/>
        <v>9000</v>
      </c>
      <c r="L186" s="116">
        <v>3</v>
      </c>
      <c r="M186" s="118">
        <f t="shared" si="138"/>
        <v>8500</v>
      </c>
      <c r="N186" s="116">
        <v>0</v>
      </c>
      <c r="O186" s="60"/>
      <c r="P186" s="116">
        <f t="shared" si="139"/>
        <v>18</v>
      </c>
      <c r="Q186" s="119">
        <v>18</v>
      </c>
      <c r="R186" s="118">
        <f t="shared" ref="R186:R187" si="157">IF($B$3&gt;0,$E$5,($B$13+$E$5))</f>
        <v>5250</v>
      </c>
      <c r="S186" s="118">
        <f t="shared" ref="S186:S187" si="158">IF($B$4&gt;0,$E$5,($B$13+$E$5))</f>
        <v>5250</v>
      </c>
      <c r="T186" s="118">
        <f t="shared" ref="T186:T187" si="159">$B$13+$E$5</f>
        <v>9000</v>
      </c>
      <c r="U186" s="118">
        <f t="shared" ref="U186:U187" si="160">$B$12+$E$5</f>
        <v>8500</v>
      </c>
      <c r="V186" s="118">
        <f t="shared" ref="V186:V187" si="161">($E186*($E$13/$Q186))</f>
        <v>0</v>
      </c>
      <c r="W186" s="115">
        <f t="shared" si="141"/>
        <v>105750</v>
      </c>
      <c r="X186" s="60"/>
      <c r="Y186" s="60"/>
      <c r="Z186" s="60"/>
      <c r="AA186" s="60"/>
      <c r="AB186" s="60"/>
    </row>
    <row r="187" spans="1:28" ht="13.5" customHeight="1" x14ac:dyDescent="0.35">
      <c r="A187" s="280">
        <v>43417</v>
      </c>
      <c r="B187" s="281" t="s">
        <v>118</v>
      </c>
      <c r="C187" s="396" t="s">
        <v>120</v>
      </c>
      <c r="D187" s="415" t="s">
        <v>135</v>
      </c>
      <c r="E187" s="307"/>
      <c r="F187" s="281"/>
      <c r="G187" s="118">
        <f t="shared" si="135"/>
        <v>5250</v>
      </c>
      <c r="H187" s="116">
        <v>10</v>
      </c>
      <c r="I187" s="118">
        <f t="shared" si="136"/>
        <v>5250</v>
      </c>
      <c r="J187" s="116">
        <v>5</v>
      </c>
      <c r="K187" s="115">
        <f t="shared" si="137"/>
        <v>9000</v>
      </c>
      <c r="L187" s="116">
        <v>3</v>
      </c>
      <c r="M187" s="118">
        <f t="shared" si="138"/>
        <v>8500</v>
      </c>
      <c r="N187" s="116">
        <v>0</v>
      </c>
      <c r="O187" s="60"/>
      <c r="P187" s="116">
        <f t="shared" si="139"/>
        <v>18</v>
      </c>
      <c r="Q187" s="119">
        <v>18</v>
      </c>
      <c r="R187" s="118">
        <f t="shared" si="157"/>
        <v>5250</v>
      </c>
      <c r="S187" s="118">
        <f t="shared" si="158"/>
        <v>5250</v>
      </c>
      <c r="T187" s="118">
        <f t="shared" si="159"/>
        <v>9000</v>
      </c>
      <c r="U187" s="118">
        <f t="shared" si="160"/>
        <v>8500</v>
      </c>
      <c r="V187" s="118">
        <f t="shared" si="161"/>
        <v>0</v>
      </c>
      <c r="W187" s="115">
        <f t="shared" si="141"/>
        <v>105750</v>
      </c>
      <c r="X187" s="60"/>
      <c r="Y187" s="60"/>
      <c r="Z187" s="60"/>
      <c r="AA187" s="60"/>
      <c r="AB187" s="60"/>
    </row>
    <row r="188" spans="1:28" ht="13.5" customHeight="1" x14ac:dyDescent="0.35">
      <c r="A188" s="291"/>
      <c r="B188" s="299" t="s">
        <v>184</v>
      </c>
      <c r="C188" s="300"/>
      <c r="D188" s="301"/>
      <c r="E188" s="303"/>
      <c r="F188" s="304"/>
      <c r="G188" s="161">
        <f>$B$3</f>
        <v>100000</v>
      </c>
      <c r="H188" s="187">
        <v>10</v>
      </c>
      <c r="I188" s="161">
        <f>$B$4</f>
        <v>100000</v>
      </c>
      <c r="J188" s="263">
        <v>6</v>
      </c>
      <c r="K188" s="188"/>
      <c r="L188" s="187"/>
      <c r="M188" s="161"/>
      <c r="N188" s="187"/>
      <c r="O188" s="188">
        <f>$B$8</f>
        <v>1500</v>
      </c>
      <c r="P188" s="116"/>
      <c r="Q188" s="116">
        <v>6</v>
      </c>
      <c r="R188" s="118"/>
      <c r="S188" s="118"/>
      <c r="T188" s="118"/>
      <c r="U188" s="118"/>
      <c r="V188" s="118"/>
      <c r="W188" s="115">
        <f>(G188*H188)+(I188*J188)+(O188*Q188)</f>
        <v>1609000</v>
      </c>
      <c r="X188" s="189"/>
      <c r="Y188" s="189"/>
      <c r="Z188" s="189"/>
      <c r="AA188" s="189"/>
      <c r="AB188" s="189"/>
    </row>
    <row r="189" spans="1:28" ht="13.5" customHeight="1" x14ac:dyDescent="0.35">
      <c r="A189" s="291"/>
      <c r="B189" s="299" t="s">
        <v>192</v>
      </c>
      <c r="C189" s="300"/>
      <c r="D189" s="301"/>
      <c r="E189" s="303"/>
      <c r="F189" s="304"/>
      <c r="G189" s="161">
        <f>$E$12/($H190+$J190+$L190)</f>
        <v>15909.09090909091</v>
      </c>
      <c r="H189" s="187">
        <v>10</v>
      </c>
      <c r="I189" s="161">
        <f>$E$12/($H190+$J190+$L190)</f>
        <v>15909.09090909091</v>
      </c>
      <c r="J189" s="263">
        <v>6</v>
      </c>
      <c r="K189" s="188">
        <f>$E$12/($H190+$J190+$L190)</f>
        <v>15909.09090909091</v>
      </c>
      <c r="L189" s="187">
        <v>6</v>
      </c>
      <c r="M189" s="161"/>
      <c r="N189" s="187"/>
      <c r="O189" s="188"/>
      <c r="P189" s="116"/>
      <c r="Q189" s="116"/>
      <c r="R189" s="118"/>
      <c r="S189" s="118"/>
      <c r="T189" s="118"/>
      <c r="U189" s="118"/>
      <c r="V189" s="118"/>
      <c r="W189" s="115">
        <f>(G189*H189)+(I189*J189)+(K189*L189)+(M189*N189)</f>
        <v>350000</v>
      </c>
      <c r="X189" s="189"/>
      <c r="Y189" s="189"/>
      <c r="Z189" s="189"/>
      <c r="AA189" s="189"/>
      <c r="AB189" s="189"/>
    </row>
    <row r="190" spans="1:28" ht="13.5" customHeight="1" x14ac:dyDescent="0.4">
      <c r="A190" s="703" t="s">
        <v>411</v>
      </c>
      <c r="B190" s="635"/>
      <c r="C190" s="292"/>
      <c r="D190" s="710" t="s">
        <v>197</v>
      </c>
      <c r="E190" s="637"/>
      <c r="F190" s="635"/>
      <c r="G190" s="294">
        <f>SUMPRODUCT(G165:G189,H165:H189)</f>
        <v>2753780.6518445322</v>
      </c>
      <c r="H190" s="265">
        <v>10</v>
      </c>
      <c r="I190" s="294">
        <f>SUMPRODUCT(I165:I189,J165:J189)</f>
        <v>1602375.6744400526</v>
      </c>
      <c r="J190" s="401">
        <v>6</v>
      </c>
      <c r="K190" s="294">
        <f>SUMPRODUCT(K165:K189,L165:L189)</f>
        <v>831916.64219367597</v>
      </c>
      <c r="L190" s="265">
        <v>6</v>
      </c>
      <c r="M190" s="294">
        <f>SUMPRODUCT(M165:M189,N165:N189)</f>
        <v>438903.53152173909</v>
      </c>
      <c r="N190" s="265">
        <v>7</v>
      </c>
      <c r="O190" s="296">
        <f>$O$69*Q188</f>
        <v>9000</v>
      </c>
      <c r="P190" s="722" t="s">
        <v>201</v>
      </c>
      <c r="Q190" s="635"/>
      <c r="R190" s="265">
        <f>H190+J190+L190+N190</f>
        <v>29</v>
      </c>
      <c r="S190" s="294"/>
      <c r="T190" s="294"/>
      <c r="U190" s="294"/>
      <c r="V190" s="294"/>
      <c r="W190" s="294"/>
      <c r="X190" s="281"/>
      <c r="Y190" s="281"/>
      <c r="Z190" s="281"/>
      <c r="AA190" s="298"/>
      <c r="AB190" s="298"/>
    </row>
    <row r="191" spans="1:28" ht="13.5" customHeight="1" x14ac:dyDescent="0.4">
      <c r="A191" s="703" t="s">
        <v>412</v>
      </c>
      <c r="B191" s="635"/>
      <c r="C191" s="292"/>
      <c r="D191" s="710" t="s">
        <v>204</v>
      </c>
      <c r="E191" s="637"/>
      <c r="F191" s="635"/>
      <c r="G191" s="302">
        <f>G190/H190</f>
        <v>275378.06518445321</v>
      </c>
      <c r="H191" s="305">
        <f>(SUM(H165:H168)+SUM(H170:H176)+SUM(H178:H184)+SUM(H186:H187))/H190</f>
        <v>20</v>
      </c>
      <c r="I191" s="302">
        <f>I190/J190</f>
        <v>267062.61240667541</v>
      </c>
      <c r="J191" s="305">
        <f>(SUM(J165:J168)+SUM(J170:J176)+SUM(J178:J184)+SUM(J186:J187))/J190</f>
        <v>18.666666666666668</v>
      </c>
      <c r="K191" s="302">
        <f>K190/L190</f>
        <v>138652.773698946</v>
      </c>
      <c r="L191" s="305">
        <f>(SUM(L165:L168)+SUM(L170:L176)+SUM(L178:L184)+SUM(L186:L187))/L190</f>
        <v>10.5</v>
      </c>
      <c r="M191" s="302">
        <f>M190/N190</f>
        <v>62700.504503105585</v>
      </c>
      <c r="N191" s="305">
        <f>(SUM(N165:N168)+SUM(N170:N176)+SUM(N178:N184)+SUM(N186:N187))/N190</f>
        <v>5.5714285714285712</v>
      </c>
      <c r="O191" s="295"/>
      <c r="P191" s="721" t="s">
        <v>206</v>
      </c>
      <c r="Q191" s="635"/>
      <c r="R191" s="302">
        <f>SUM(G190,I190,K190,M190,O190)</f>
        <v>5635976.5</v>
      </c>
      <c r="S191" s="294"/>
      <c r="T191" s="294"/>
      <c r="U191" s="294"/>
      <c r="V191" s="294"/>
      <c r="W191" s="308">
        <f>SUM(W165:W189)</f>
        <v>5635976.5</v>
      </c>
      <c r="X191" s="281"/>
      <c r="Y191" s="281"/>
      <c r="Z191" s="281"/>
      <c r="AA191" s="298"/>
      <c r="AB191" s="298"/>
    </row>
    <row r="192" spans="1:28" ht="13.5" customHeight="1" x14ac:dyDescent="0.4">
      <c r="A192" s="15"/>
      <c r="B192" s="15"/>
      <c r="C192" s="15"/>
      <c r="D192" s="15"/>
      <c r="E192" s="80"/>
      <c r="F192" s="15"/>
      <c r="G192" s="118"/>
      <c r="H192" s="103"/>
      <c r="I192" s="103"/>
      <c r="J192" s="103"/>
      <c r="K192" s="103"/>
      <c r="L192" s="103"/>
      <c r="M192" s="103"/>
      <c r="P192" s="60"/>
      <c r="Q192" s="60"/>
      <c r="R192" s="60"/>
      <c r="S192" s="60"/>
      <c r="T192" s="60"/>
      <c r="U192" s="60"/>
      <c r="V192" s="60"/>
      <c r="W192" s="60"/>
    </row>
    <row r="193" spans="1:23" ht="13.5" customHeight="1" x14ac:dyDescent="0.4">
      <c r="A193" s="743" t="s">
        <v>415</v>
      </c>
      <c r="B193" s="639"/>
      <c r="C193" s="639"/>
      <c r="D193" s="639"/>
      <c r="E193" s="639"/>
      <c r="F193" s="639"/>
      <c r="G193" s="118"/>
      <c r="H193" s="747" t="s">
        <v>416</v>
      </c>
      <c r="I193" s="639"/>
      <c r="J193" s="639"/>
      <c r="K193" s="639"/>
      <c r="L193" s="639"/>
      <c r="M193" s="15"/>
      <c r="N193" s="15"/>
      <c r="O193" s="15"/>
      <c r="P193" s="60"/>
      <c r="Q193" s="60"/>
      <c r="R193" s="60"/>
      <c r="S193" s="60"/>
      <c r="T193" s="60"/>
      <c r="U193" s="60"/>
      <c r="V193" s="60"/>
      <c r="W193" s="60"/>
    </row>
    <row r="194" spans="1:23" ht="13.5" customHeight="1" x14ac:dyDescent="0.4">
      <c r="A194" s="746" t="s">
        <v>417</v>
      </c>
      <c r="B194" s="639"/>
      <c r="C194" s="639"/>
      <c r="D194" s="639"/>
      <c r="E194" s="639"/>
      <c r="F194" s="639"/>
      <c r="G194" s="118"/>
      <c r="H194" s="742" t="s">
        <v>418</v>
      </c>
      <c r="I194" s="639"/>
      <c r="J194" s="639"/>
      <c r="K194" s="639"/>
      <c r="L194" s="639"/>
      <c r="M194" s="80"/>
      <c r="N194" s="80"/>
      <c r="O194" s="81"/>
      <c r="P194" s="60"/>
      <c r="Q194" s="60"/>
      <c r="R194" s="60"/>
      <c r="S194" s="60"/>
      <c r="T194" s="60"/>
      <c r="U194" s="60"/>
      <c r="V194" s="60"/>
      <c r="W194" s="60"/>
    </row>
    <row r="195" spans="1:23" ht="13.5" customHeight="1" x14ac:dyDescent="0.35">
      <c r="A195" s="752" t="s">
        <v>419</v>
      </c>
      <c r="B195" s="639"/>
      <c r="C195" s="639"/>
      <c r="D195" s="639"/>
      <c r="E195" s="639"/>
      <c r="F195" s="639"/>
      <c r="G195" s="118"/>
      <c r="H195" s="742"/>
      <c r="I195" s="639"/>
      <c r="J195" s="639"/>
      <c r="K195" s="639"/>
      <c r="L195" s="639"/>
      <c r="M195" s="116"/>
      <c r="N195" s="116"/>
      <c r="O195" s="116"/>
      <c r="P195" s="60"/>
      <c r="Q195" s="60"/>
      <c r="R195" s="60"/>
      <c r="S195" s="60"/>
      <c r="T195" s="60"/>
      <c r="U195" s="60"/>
      <c r="V195" s="60"/>
      <c r="W195" s="60"/>
    </row>
    <row r="196" spans="1:23" ht="13.5" customHeight="1" x14ac:dyDescent="0.35">
      <c r="A196" s="752" t="s">
        <v>420</v>
      </c>
      <c r="B196" s="639"/>
      <c r="C196" s="639"/>
      <c r="D196" s="639"/>
      <c r="E196" s="639"/>
      <c r="F196" s="639"/>
      <c r="G196" s="118"/>
      <c r="H196" s="83"/>
      <c r="I196" s="751"/>
      <c r="J196" s="639"/>
      <c r="K196" s="116"/>
      <c r="L196" s="116"/>
      <c r="M196" s="116"/>
      <c r="N196" s="116"/>
      <c r="O196" s="116"/>
      <c r="P196" s="60"/>
      <c r="Q196" s="60"/>
      <c r="R196" s="60"/>
      <c r="S196" s="60"/>
      <c r="T196" s="60"/>
      <c r="U196" s="60"/>
      <c r="V196" s="60"/>
      <c r="W196" s="60"/>
    </row>
    <row r="197" spans="1:23" ht="13.5" customHeight="1" x14ac:dyDescent="0.35">
      <c r="A197" s="752" t="s">
        <v>421</v>
      </c>
      <c r="B197" s="639"/>
      <c r="C197" s="639"/>
      <c r="D197" s="639"/>
      <c r="E197" s="639"/>
      <c r="F197" s="639"/>
      <c r="G197" s="118"/>
      <c r="H197" s="83"/>
      <c r="I197" s="751"/>
      <c r="J197" s="639"/>
      <c r="K197" s="116"/>
      <c r="L197" s="116"/>
      <c r="M197" s="116"/>
      <c r="N197" s="116"/>
      <c r="O197" s="116"/>
      <c r="P197" s="60"/>
      <c r="Q197" s="60"/>
      <c r="R197" s="60"/>
      <c r="S197" s="60"/>
      <c r="T197" s="60"/>
      <c r="U197" s="60"/>
      <c r="V197" s="60"/>
      <c r="W197" s="60"/>
    </row>
    <row r="198" spans="1:23" ht="13.5" customHeight="1" x14ac:dyDescent="0.35">
      <c r="A198" s="742" t="s">
        <v>422</v>
      </c>
      <c r="B198" s="639"/>
      <c r="C198" s="639"/>
      <c r="D198" s="639"/>
      <c r="E198" s="639"/>
      <c r="F198" s="639"/>
      <c r="P198" s="60"/>
      <c r="Q198" s="60"/>
      <c r="R198" s="60"/>
      <c r="S198" s="60"/>
      <c r="T198" s="60"/>
      <c r="U198" s="60"/>
      <c r="V198" s="60"/>
      <c r="W198" s="60"/>
    </row>
    <row r="199" spans="1:23" ht="13.5" customHeight="1" x14ac:dyDescent="0.35">
      <c r="A199" s="752" t="s">
        <v>423</v>
      </c>
      <c r="B199" s="639"/>
      <c r="C199" s="639"/>
      <c r="D199" s="639"/>
      <c r="E199" s="639"/>
      <c r="F199" s="639"/>
      <c r="P199" s="60"/>
      <c r="Q199" s="60"/>
      <c r="R199" s="60"/>
      <c r="S199" s="60"/>
      <c r="T199" s="60"/>
      <c r="U199" s="60"/>
      <c r="V199" s="60"/>
      <c r="W199" s="60"/>
    </row>
    <row r="200" spans="1:23" ht="13.5" customHeight="1" x14ac:dyDescent="0.35">
      <c r="E200" s="84"/>
      <c r="P200" s="60"/>
      <c r="Q200" s="60"/>
      <c r="R200" s="60"/>
      <c r="S200" s="60"/>
      <c r="T200" s="60"/>
      <c r="U200" s="60"/>
      <c r="V200" s="60"/>
      <c r="W200" s="60"/>
    </row>
    <row r="201" spans="1:23" ht="13.5" customHeight="1" x14ac:dyDescent="0.35">
      <c r="E201" s="84"/>
      <c r="P201" s="60"/>
      <c r="Q201" s="60"/>
      <c r="R201" s="60"/>
      <c r="S201" s="60"/>
      <c r="T201" s="60"/>
      <c r="U201" s="60"/>
      <c r="V201" s="60"/>
      <c r="W201" s="60"/>
    </row>
    <row r="202" spans="1:23" ht="13.5" customHeight="1" x14ac:dyDescent="0.35">
      <c r="E202" s="84"/>
      <c r="P202" s="60"/>
      <c r="Q202" s="60"/>
      <c r="R202" s="60"/>
      <c r="S202" s="60"/>
      <c r="T202" s="60"/>
      <c r="U202" s="60"/>
      <c r="V202" s="60"/>
      <c r="W202" s="60"/>
    </row>
    <row r="203" spans="1:23" ht="13.5" customHeight="1" x14ac:dyDescent="0.35">
      <c r="E203" s="84"/>
      <c r="P203" s="60"/>
      <c r="Q203" s="60"/>
      <c r="R203" s="60"/>
      <c r="S203" s="60"/>
      <c r="T203" s="60"/>
      <c r="U203" s="60"/>
      <c r="V203" s="60"/>
      <c r="W203" s="60"/>
    </row>
    <row r="204" spans="1:23" ht="13.5" customHeight="1" x14ac:dyDescent="0.35">
      <c r="E204" s="84"/>
      <c r="P204" s="60"/>
      <c r="Q204" s="60"/>
      <c r="R204" s="60"/>
      <c r="S204" s="60"/>
      <c r="T204" s="60"/>
      <c r="U204" s="60"/>
      <c r="V204" s="60"/>
      <c r="W204" s="60"/>
    </row>
    <row r="205" spans="1:23" ht="13.5" customHeight="1" x14ac:dyDescent="0.35">
      <c r="E205" s="84"/>
      <c r="P205" s="60"/>
      <c r="Q205" s="60"/>
      <c r="R205" s="60"/>
      <c r="S205" s="60"/>
      <c r="T205" s="60"/>
      <c r="U205" s="60"/>
      <c r="V205" s="60"/>
      <c r="W205" s="60"/>
    </row>
    <row r="206" spans="1:23" ht="13.5" customHeight="1" x14ac:dyDescent="0.35">
      <c r="E206" s="84"/>
      <c r="P206" s="60"/>
      <c r="Q206" s="60"/>
      <c r="R206" s="60"/>
      <c r="S206" s="60"/>
      <c r="T206" s="60"/>
      <c r="U206" s="60"/>
      <c r="V206" s="60"/>
      <c r="W206" s="60"/>
    </row>
    <row r="207" spans="1:23" ht="13.5" customHeight="1" x14ac:dyDescent="0.35">
      <c r="E207" s="84"/>
      <c r="P207" s="60"/>
      <c r="Q207" s="60"/>
      <c r="R207" s="60"/>
      <c r="S207" s="60"/>
      <c r="T207" s="60"/>
      <c r="U207" s="60"/>
      <c r="V207" s="60"/>
      <c r="W207" s="60"/>
    </row>
    <row r="208" spans="1:23" ht="13.5" customHeight="1" x14ac:dyDescent="0.35">
      <c r="E208" s="84"/>
      <c r="P208" s="60"/>
      <c r="Q208" s="60"/>
      <c r="R208" s="60"/>
      <c r="S208" s="60"/>
      <c r="T208" s="60"/>
      <c r="U208" s="60"/>
      <c r="V208" s="60"/>
      <c r="W208" s="60"/>
    </row>
    <row r="209" spans="5:23" ht="13.5" customHeight="1" x14ac:dyDescent="0.35">
      <c r="E209" s="84"/>
      <c r="P209" s="60"/>
      <c r="Q209" s="60"/>
      <c r="R209" s="60"/>
      <c r="S209" s="60"/>
      <c r="T209" s="60"/>
      <c r="U209" s="60"/>
      <c r="V209" s="60"/>
      <c r="W209" s="60"/>
    </row>
    <row r="210" spans="5:23" ht="13.5" customHeight="1" x14ac:dyDescent="0.35">
      <c r="E210" s="84"/>
      <c r="P210" s="60"/>
      <c r="Q210" s="60"/>
      <c r="R210" s="60"/>
      <c r="S210" s="60"/>
      <c r="T210" s="60"/>
      <c r="U210" s="60"/>
      <c r="V210" s="60"/>
      <c r="W210" s="60"/>
    </row>
    <row r="211" spans="5:23" ht="13.5" customHeight="1" x14ac:dyDescent="0.35">
      <c r="E211" s="84"/>
      <c r="P211" s="60"/>
      <c r="Q211" s="60"/>
      <c r="R211" s="60"/>
      <c r="S211" s="60"/>
      <c r="T211" s="60"/>
      <c r="U211" s="60"/>
      <c r="V211" s="60"/>
      <c r="W211" s="60"/>
    </row>
    <row r="212" spans="5:23" ht="13.5" customHeight="1" x14ac:dyDescent="0.35">
      <c r="E212" s="84"/>
      <c r="P212" s="60"/>
      <c r="Q212" s="60"/>
      <c r="R212" s="60"/>
      <c r="S212" s="60"/>
      <c r="T212" s="60"/>
      <c r="U212" s="60"/>
      <c r="V212" s="60"/>
      <c r="W212" s="60"/>
    </row>
    <row r="213" spans="5:23" ht="13.5" customHeight="1" x14ac:dyDescent="0.35">
      <c r="E213" s="84"/>
      <c r="P213" s="60"/>
      <c r="Q213" s="60"/>
      <c r="R213" s="60"/>
      <c r="S213" s="60"/>
      <c r="T213" s="60"/>
      <c r="U213" s="60"/>
      <c r="V213" s="60"/>
      <c r="W213" s="60"/>
    </row>
    <row r="214" spans="5:23" ht="13.5" customHeight="1" x14ac:dyDescent="0.35">
      <c r="E214" s="84"/>
      <c r="P214" s="60"/>
      <c r="Q214" s="60"/>
      <c r="R214" s="60"/>
      <c r="S214" s="60"/>
      <c r="T214" s="60"/>
      <c r="U214" s="60"/>
      <c r="V214" s="60"/>
      <c r="W214" s="60"/>
    </row>
    <row r="215" spans="5:23" ht="13.5" customHeight="1" x14ac:dyDescent="0.35">
      <c r="E215" s="84"/>
      <c r="P215" s="60"/>
      <c r="Q215" s="60"/>
      <c r="R215" s="60"/>
      <c r="S215" s="60"/>
      <c r="T215" s="60"/>
      <c r="U215" s="60"/>
      <c r="V215" s="60"/>
      <c r="W215" s="60"/>
    </row>
    <row r="216" spans="5:23" ht="13.5" customHeight="1" x14ac:dyDescent="0.35">
      <c r="E216" s="84"/>
      <c r="P216" s="60"/>
      <c r="Q216" s="60"/>
      <c r="R216" s="60"/>
      <c r="S216" s="60"/>
      <c r="T216" s="60"/>
      <c r="U216" s="60"/>
      <c r="V216" s="60"/>
      <c r="W216" s="60"/>
    </row>
    <row r="217" spans="5:23" ht="13.5" customHeight="1" x14ac:dyDescent="0.35">
      <c r="E217" s="84"/>
      <c r="P217" s="60"/>
      <c r="Q217" s="60"/>
      <c r="R217" s="60"/>
      <c r="S217" s="60"/>
      <c r="T217" s="60"/>
      <c r="U217" s="60"/>
      <c r="V217" s="60"/>
      <c r="W217" s="60"/>
    </row>
    <row r="218" spans="5:23" ht="13.5" customHeight="1" x14ac:dyDescent="0.35">
      <c r="E218" s="84"/>
      <c r="P218" s="60"/>
      <c r="Q218" s="60"/>
      <c r="R218" s="60"/>
      <c r="S218" s="60"/>
      <c r="T218" s="60"/>
      <c r="U218" s="60"/>
      <c r="V218" s="60"/>
      <c r="W218" s="60"/>
    </row>
    <row r="219" spans="5:23" ht="13.5" customHeight="1" x14ac:dyDescent="0.35">
      <c r="E219" s="84"/>
      <c r="P219" s="60"/>
      <c r="Q219" s="60"/>
      <c r="R219" s="60"/>
      <c r="S219" s="60"/>
      <c r="T219" s="60"/>
      <c r="U219" s="60"/>
      <c r="V219" s="60"/>
      <c r="W219" s="60"/>
    </row>
    <row r="220" spans="5:23" ht="13.5" customHeight="1" x14ac:dyDescent="0.35">
      <c r="E220" s="84"/>
      <c r="P220" s="60"/>
      <c r="Q220" s="60"/>
      <c r="R220" s="60"/>
      <c r="S220" s="60"/>
      <c r="T220" s="60"/>
      <c r="U220" s="60"/>
      <c r="V220" s="60"/>
      <c r="W220" s="60"/>
    </row>
    <row r="221" spans="5:23" ht="13.5" customHeight="1" x14ac:dyDescent="0.35">
      <c r="E221" s="84"/>
      <c r="P221" s="60"/>
      <c r="Q221" s="60"/>
      <c r="R221" s="60"/>
      <c r="S221" s="60"/>
      <c r="T221" s="60"/>
      <c r="U221" s="60"/>
      <c r="V221" s="60"/>
      <c r="W221" s="60"/>
    </row>
    <row r="222" spans="5:23" ht="13.5" customHeight="1" x14ac:dyDescent="0.35">
      <c r="E222" s="84"/>
      <c r="P222" s="60"/>
      <c r="Q222" s="60"/>
      <c r="R222" s="60"/>
      <c r="S222" s="60"/>
      <c r="T222" s="60"/>
      <c r="U222" s="60"/>
      <c r="V222" s="60"/>
      <c r="W222" s="60"/>
    </row>
    <row r="223" spans="5:23" ht="13.5" customHeight="1" x14ac:dyDescent="0.35">
      <c r="E223" s="84"/>
      <c r="P223" s="60"/>
      <c r="Q223" s="60"/>
      <c r="R223" s="60"/>
      <c r="S223" s="60"/>
      <c r="T223" s="60"/>
      <c r="U223" s="60"/>
      <c r="V223" s="60"/>
      <c r="W223" s="60"/>
    </row>
    <row r="224" spans="5:23" ht="13.5" customHeight="1" x14ac:dyDescent="0.35">
      <c r="E224" s="84"/>
      <c r="P224" s="60"/>
      <c r="Q224" s="60"/>
      <c r="R224" s="60"/>
      <c r="S224" s="60"/>
      <c r="T224" s="60"/>
      <c r="U224" s="60"/>
      <c r="V224" s="60"/>
      <c r="W224" s="60"/>
    </row>
    <row r="225" spans="5:23" ht="13.5" customHeight="1" x14ac:dyDescent="0.35">
      <c r="E225" s="84"/>
      <c r="P225" s="60"/>
      <c r="Q225" s="60"/>
      <c r="R225" s="60"/>
      <c r="S225" s="60"/>
      <c r="T225" s="60"/>
      <c r="U225" s="60"/>
      <c r="V225" s="60"/>
      <c r="W225" s="60"/>
    </row>
    <row r="226" spans="5:23" ht="13.5" customHeight="1" x14ac:dyDescent="0.35">
      <c r="E226" s="84"/>
      <c r="P226" s="60"/>
      <c r="Q226" s="60"/>
      <c r="R226" s="60"/>
      <c r="S226" s="60"/>
      <c r="T226" s="60"/>
      <c r="U226" s="60"/>
      <c r="V226" s="60"/>
      <c r="W226" s="60"/>
    </row>
    <row r="227" spans="5:23" ht="13.5" customHeight="1" x14ac:dyDescent="0.35">
      <c r="E227" s="84"/>
      <c r="P227" s="60"/>
      <c r="Q227" s="60"/>
      <c r="R227" s="60"/>
      <c r="S227" s="60"/>
      <c r="T227" s="60"/>
      <c r="U227" s="60"/>
      <c r="V227" s="60"/>
      <c r="W227" s="60"/>
    </row>
    <row r="228" spans="5:23" ht="13.5" customHeight="1" x14ac:dyDescent="0.35">
      <c r="E228" s="84"/>
      <c r="P228" s="60"/>
      <c r="Q228" s="60"/>
      <c r="R228" s="60"/>
      <c r="S228" s="60"/>
      <c r="T228" s="60"/>
      <c r="U228" s="60"/>
      <c r="V228" s="60"/>
      <c r="W228" s="60"/>
    </row>
    <row r="229" spans="5:23" ht="13.5" customHeight="1" x14ac:dyDescent="0.35">
      <c r="E229" s="84"/>
      <c r="P229" s="60"/>
      <c r="Q229" s="60"/>
      <c r="R229" s="60"/>
      <c r="S229" s="60"/>
      <c r="T229" s="60"/>
      <c r="U229" s="60"/>
      <c r="V229" s="60"/>
      <c r="W229" s="60"/>
    </row>
    <row r="230" spans="5:23" ht="13.5" customHeight="1" x14ac:dyDescent="0.35">
      <c r="E230" s="84"/>
      <c r="P230" s="60"/>
      <c r="Q230" s="60"/>
      <c r="R230" s="60"/>
      <c r="S230" s="60"/>
      <c r="T230" s="60"/>
      <c r="U230" s="60"/>
      <c r="V230" s="60"/>
      <c r="W230" s="60"/>
    </row>
    <row r="231" spans="5:23" ht="13.5" customHeight="1" x14ac:dyDescent="0.35">
      <c r="E231" s="84"/>
      <c r="P231" s="60"/>
      <c r="Q231" s="60"/>
      <c r="R231" s="60"/>
      <c r="S231" s="60"/>
      <c r="T231" s="60"/>
      <c r="U231" s="60"/>
      <c r="V231" s="60"/>
      <c r="W231" s="60"/>
    </row>
    <row r="232" spans="5:23" ht="13.5" customHeight="1" x14ac:dyDescent="0.35">
      <c r="E232" s="84"/>
      <c r="P232" s="60"/>
      <c r="Q232" s="60"/>
      <c r="R232" s="60"/>
      <c r="S232" s="60"/>
      <c r="T232" s="60"/>
      <c r="U232" s="60"/>
      <c r="V232" s="60"/>
      <c r="W232" s="60"/>
    </row>
    <row r="233" spans="5:23" ht="13.5" customHeight="1" x14ac:dyDescent="0.35">
      <c r="E233" s="84"/>
      <c r="P233" s="60"/>
      <c r="Q233" s="60"/>
      <c r="R233" s="60"/>
      <c r="S233" s="60"/>
      <c r="T233" s="60"/>
      <c r="U233" s="60"/>
      <c r="V233" s="60"/>
      <c r="W233" s="60"/>
    </row>
    <row r="234" spans="5:23" ht="13.5" customHeight="1" x14ac:dyDescent="0.35">
      <c r="E234" s="84"/>
      <c r="P234" s="60"/>
      <c r="Q234" s="60"/>
      <c r="R234" s="60"/>
      <c r="S234" s="60"/>
      <c r="T234" s="60"/>
      <c r="U234" s="60"/>
      <c r="V234" s="60"/>
      <c r="W234" s="60"/>
    </row>
    <row r="235" spans="5:23" ht="13.5" customHeight="1" x14ac:dyDescent="0.35">
      <c r="E235" s="84"/>
      <c r="P235" s="60"/>
      <c r="Q235" s="60"/>
      <c r="R235" s="60"/>
      <c r="S235" s="60"/>
      <c r="T235" s="60"/>
      <c r="U235" s="60"/>
      <c r="V235" s="60"/>
      <c r="W235" s="60"/>
    </row>
    <row r="236" spans="5:23" ht="13.5" customHeight="1" x14ac:dyDescent="0.35">
      <c r="E236" s="84"/>
      <c r="P236" s="60"/>
      <c r="Q236" s="60"/>
      <c r="R236" s="60"/>
      <c r="S236" s="60"/>
      <c r="T236" s="60"/>
      <c r="U236" s="60"/>
      <c r="V236" s="60"/>
      <c r="W236" s="60"/>
    </row>
    <row r="237" spans="5:23" ht="13.5" customHeight="1" x14ac:dyDescent="0.35">
      <c r="E237" s="84"/>
      <c r="P237" s="60"/>
      <c r="Q237" s="60"/>
      <c r="R237" s="60"/>
      <c r="S237" s="60"/>
      <c r="T237" s="60"/>
      <c r="U237" s="60"/>
      <c r="V237" s="60"/>
      <c r="W237" s="60"/>
    </row>
    <row r="238" spans="5:23" ht="13.5" customHeight="1" x14ac:dyDescent="0.35">
      <c r="E238" s="84"/>
      <c r="P238" s="60"/>
      <c r="Q238" s="60"/>
      <c r="R238" s="60"/>
      <c r="S238" s="60"/>
      <c r="T238" s="60"/>
      <c r="U238" s="60"/>
      <c r="V238" s="60"/>
      <c r="W238" s="60"/>
    </row>
    <row r="239" spans="5:23" ht="13.5" customHeight="1" x14ac:dyDescent="0.35">
      <c r="E239" s="84"/>
      <c r="P239" s="60"/>
      <c r="Q239" s="60"/>
      <c r="R239" s="60"/>
      <c r="S239" s="60"/>
      <c r="T239" s="60"/>
      <c r="U239" s="60"/>
      <c r="V239" s="60"/>
      <c r="W239" s="60"/>
    </row>
    <row r="240" spans="5:23" ht="13.5" customHeight="1" x14ac:dyDescent="0.35">
      <c r="E240" s="84"/>
      <c r="P240" s="60"/>
      <c r="Q240" s="60"/>
      <c r="R240" s="60"/>
      <c r="S240" s="60"/>
      <c r="T240" s="60"/>
      <c r="U240" s="60"/>
      <c r="V240" s="60"/>
      <c r="W240" s="60"/>
    </row>
    <row r="241" spans="5:23" ht="13.5" customHeight="1" x14ac:dyDescent="0.35">
      <c r="E241" s="84"/>
      <c r="P241" s="60"/>
      <c r="Q241" s="60"/>
      <c r="R241" s="60"/>
      <c r="S241" s="60"/>
      <c r="T241" s="60"/>
      <c r="U241" s="60"/>
      <c r="V241" s="60"/>
      <c r="W241" s="60"/>
    </row>
    <row r="242" spans="5:23" ht="13.5" customHeight="1" x14ac:dyDescent="0.35">
      <c r="E242" s="84"/>
      <c r="P242" s="60"/>
      <c r="Q242" s="60"/>
      <c r="R242" s="60"/>
      <c r="S242" s="60"/>
      <c r="T242" s="60"/>
      <c r="U242" s="60"/>
      <c r="V242" s="60"/>
      <c r="W242" s="60"/>
    </row>
    <row r="243" spans="5:23" ht="13.5" customHeight="1" x14ac:dyDescent="0.35">
      <c r="E243" s="84"/>
      <c r="P243" s="60"/>
      <c r="Q243" s="60"/>
      <c r="R243" s="60"/>
      <c r="S243" s="60"/>
      <c r="T243" s="60"/>
      <c r="U243" s="60"/>
      <c r="V243" s="60"/>
      <c r="W243" s="60"/>
    </row>
    <row r="244" spans="5:23" ht="13.5" customHeight="1" x14ac:dyDescent="0.35">
      <c r="E244" s="84"/>
      <c r="P244" s="60"/>
      <c r="Q244" s="60"/>
      <c r="R244" s="60"/>
      <c r="S244" s="60"/>
      <c r="T244" s="60"/>
      <c r="U244" s="60"/>
      <c r="V244" s="60"/>
      <c r="W244" s="60"/>
    </row>
    <row r="245" spans="5:23" ht="13.5" customHeight="1" x14ac:dyDescent="0.35">
      <c r="E245" s="84"/>
      <c r="P245" s="60"/>
      <c r="Q245" s="60"/>
      <c r="R245" s="60"/>
      <c r="S245" s="60"/>
      <c r="T245" s="60"/>
      <c r="U245" s="60"/>
      <c r="V245" s="60"/>
      <c r="W245" s="60"/>
    </row>
    <row r="246" spans="5:23" ht="13.5" customHeight="1" x14ac:dyDescent="0.35">
      <c r="E246" s="84"/>
      <c r="P246" s="60"/>
      <c r="Q246" s="60"/>
      <c r="R246" s="60"/>
      <c r="S246" s="60"/>
      <c r="T246" s="60"/>
      <c r="U246" s="60"/>
      <c r="V246" s="60"/>
      <c r="W246" s="60"/>
    </row>
    <row r="247" spans="5:23" ht="13.5" customHeight="1" x14ac:dyDescent="0.35">
      <c r="E247" s="84"/>
      <c r="P247" s="60"/>
      <c r="Q247" s="60"/>
      <c r="R247" s="60"/>
      <c r="S247" s="60"/>
      <c r="T247" s="60"/>
      <c r="U247" s="60"/>
      <c r="V247" s="60"/>
      <c r="W247" s="60"/>
    </row>
    <row r="248" spans="5:23" ht="13.5" customHeight="1" x14ac:dyDescent="0.35">
      <c r="E248" s="84"/>
      <c r="P248" s="60"/>
      <c r="Q248" s="60"/>
      <c r="R248" s="60"/>
      <c r="S248" s="60"/>
      <c r="T248" s="60"/>
      <c r="U248" s="60"/>
      <c r="V248" s="60"/>
      <c r="W248" s="60"/>
    </row>
    <row r="249" spans="5:23" ht="13.5" customHeight="1" x14ac:dyDescent="0.35">
      <c r="E249" s="84"/>
      <c r="P249" s="60"/>
      <c r="Q249" s="60"/>
      <c r="R249" s="60"/>
      <c r="S249" s="60"/>
      <c r="T249" s="60"/>
      <c r="U249" s="60"/>
      <c r="V249" s="60"/>
      <c r="W249" s="60"/>
    </row>
    <row r="250" spans="5:23" ht="13.5" customHeight="1" x14ac:dyDescent="0.35">
      <c r="E250" s="84"/>
      <c r="P250" s="60"/>
      <c r="Q250" s="60"/>
      <c r="R250" s="60"/>
      <c r="S250" s="60"/>
      <c r="T250" s="60"/>
      <c r="U250" s="60"/>
      <c r="V250" s="60"/>
      <c r="W250" s="60"/>
    </row>
    <row r="251" spans="5:23" ht="13.5" customHeight="1" x14ac:dyDescent="0.35">
      <c r="E251" s="84"/>
      <c r="P251" s="60"/>
      <c r="Q251" s="60"/>
      <c r="R251" s="60"/>
      <c r="S251" s="60"/>
      <c r="T251" s="60"/>
      <c r="U251" s="60"/>
      <c r="V251" s="60"/>
      <c r="W251" s="60"/>
    </row>
    <row r="252" spans="5:23" ht="13.5" customHeight="1" x14ac:dyDescent="0.35">
      <c r="E252" s="84"/>
      <c r="P252" s="60"/>
      <c r="Q252" s="60"/>
      <c r="R252" s="60"/>
      <c r="S252" s="60"/>
      <c r="T252" s="60"/>
      <c r="U252" s="60"/>
      <c r="V252" s="60"/>
      <c r="W252" s="60"/>
    </row>
    <row r="253" spans="5:23" ht="13.5" customHeight="1" x14ac:dyDescent="0.35">
      <c r="E253" s="84"/>
      <c r="P253" s="60"/>
      <c r="Q253" s="60"/>
      <c r="R253" s="60"/>
      <c r="S253" s="60"/>
      <c r="T253" s="60"/>
      <c r="U253" s="60"/>
      <c r="V253" s="60"/>
      <c r="W253" s="60"/>
    </row>
    <row r="254" spans="5:23" ht="13.5" customHeight="1" x14ac:dyDescent="0.35">
      <c r="E254" s="84"/>
      <c r="P254" s="60"/>
      <c r="Q254" s="60"/>
      <c r="R254" s="60"/>
      <c r="S254" s="60"/>
      <c r="T254" s="60"/>
      <c r="U254" s="60"/>
      <c r="V254" s="60"/>
      <c r="W254" s="60"/>
    </row>
    <row r="255" spans="5:23" ht="13.5" customHeight="1" x14ac:dyDescent="0.35">
      <c r="E255" s="84"/>
      <c r="P255" s="60"/>
      <c r="Q255" s="60"/>
      <c r="R255" s="60"/>
      <c r="S255" s="60"/>
      <c r="T255" s="60"/>
      <c r="U255" s="60"/>
      <c r="V255" s="60"/>
      <c r="W255" s="60"/>
    </row>
    <row r="256" spans="5:23" ht="13.5" customHeight="1" x14ac:dyDescent="0.35">
      <c r="E256" s="84"/>
      <c r="P256" s="60"/>
      <c r="Q256" s="60"/>
      <c r="R256" s="60"/>
      <c r="S256" s="60"/>
      <c r="T256" s="60"/>
      <c r="U256" s="60"/>
      <c r="V256" s="60"/>
      <c r="W256" s="60"/>
    </row>
    <row r="257" spans="5:23" ht="13.5" customHeight="1" x14ac:dyDescent="0.35">
      <c r="E257" s="84"/>
      <c r="P257" s="60"/>
      <c r="Q257" s="60"/>
      <c r="R257" s="60"/>
      <c r="S257" s="60"/>
      <c r="T257" s="60"/>
      <c r="U257" s="60"/>
      <c r="V257" s="60"/>
      <c r="W257" s="60"/>
    </row>
    <row r="258" spans="5:23" ht="13.5" customHeight="1" x14ac:dyDescent="0.35">
      <c r="E258" s="84"/>
      <c r="P258" s="60"/>
      <c r="Q258" s="60"/>
      <c r="R258" s="60"/>
      <c r="S258" s="60"/>
      <c r="T258" s="60"/>
      <c r="U258" s="60"/>
      <c r="V258" s="60"/>
      <c r="W258" s="60"/>
    </row>
    <row r="259" spans="5:23" ht="13.5" customHeight="1" x14ac:dyDescent="0.35">
      <c r="E259" s="84"/>
      <c r="P259" s="60"/>
      <c r="Q259" s="60"/>
      <c r="R259" s="60"/>
      <c r="S259" s="60"/>
      <c r="T259" s="60"/>
      <c r="U259" s="60"/>
      <c r="V259" s="60"/>
      <c r="W259" s="60"/>
    </row>
    <row r="260" spans="5:23" ht="13.5" customHeight="1" x14ac:dyDescent="0.35">
      <c r="E260" s="84"/>
      <c r="P260" s="60"/>
      <c r="Q260" s="60"/>
      <c r="R260" s="60"/>
      <c r="S260" s="60"/>
      <c r="T260" s="60"/>
      <c r="U260" s="60"/>
      <c r="V260" s="60"/>
      <c r="W260" s="60"/>
    </row>
    <row r="261" spans="5:23" ht="13.5" customHeight="1" x14ac:dyDescent="0.35">
      <c r="E261" s="84"/>
      <c r="P261" s="60"/>
      <c r="Q261" s="60"/>
      <c r="R261" s="60"/>
      <c r="S261" s="60"/>
      <c r="T261" s="60"/>
      <c r="U261" s="60"/>
      <c r="V261" s="60"/>
      <c r="W261" s="60"/>
    </row>
    <row r="262" spans="5:23" ht="13.5" customHeight="1" x14ac:dyDescent="0.35">
      <c r="E262" s="84"/>
      <c r="P262" s="60"/>
      <c r="Q262" s="60"/>
      <c r="R262" s="60"/>
      <c r="S262" s="60"/>
      <c r="T262" s="60"/>
      <c r="U262" s="60"/>
      <c r="V262" s="60"/>
      <c r="W262" s="60"/>
    </row>
    <row r="263" spans="5:23" ht="13.5" customHeight="1" x14ac:dyDescent="0.35">
      <c r="E263" s="84"/>
      <c r="P263" s="60"/>
      <c r="Q263" s="60"/>
      <c r="R263" s="60"/>
      <c r="S263" s="60"/>
      <c r="T263" s="60"/>
      <c r="U263" s="60"/>
      <c r="V263" s="60"/>
      <c r="W263" s="60"/>
    </row>
    <row r="264" spans="5:23" ht="13.5" customHeight="1" x14ac:dyDescent="0.35">
      <c r="E264" s="84"/>
      <c r="P264" s="60"/>
      <c r="Q264" s="60"/>
      <c r="R264" s="60"/>
      <c r="S264" s="60"/>
      <c r="T264" s="60"/>
      <c r="U264" s="60"/>
      <c r="V264" s="60"/>
      <c r="W264" s="60"/>
    </row>
    <row r="265" spans="5:23" ht="13.5" customHeight="1" x14ac:dyDescent="0.35">
      <c r="E265" s="84"/>
      <c r="P265" s="60"/>
      <c r="Q265" s="60"/>
      <c r="R265" s="60"/>
      <c r="S265" s="60"/>
      <c r="T265" s="60"/>
      <c r="U265" s="60"/>
      <c r="V265" s="60"/>
      <c r="W265" s="60"/>
    </row>
    <row r="266" spans="5:23" ht="13.5" customHeight="1" x14ac:dyDescent="0.35">
      <c r="E266" s="84"/>
      <c r="P266" s="60"/>
      <c r="Q266" s="60"/>
      <c r="R266" s="60"/>
      <c r="S266" s="60"/>
      <c r="T266" s="60"/>
      <c r="U266" s="60"/>
      <c r="V266" s="60"/>
      <c r="W266" s="60"/>
    </row>
    <row r="267" spans="5:23" ht="13.5" customHeight="1" x14ac:dyDescent="0.35">
      <c r="E267" s="84"/>
      <c r="P267" s="60"/>
      <c r="Q267" s="60"/>
      <c r="R267" s="60"/>
      <c r="S267" s="60"/>
      <c r="T267" s="60"/>
      <c r="U267" s="60"/>
      <c r="V267" s="60"/>
      <c r="W267" s="60"/>
    </row>
    <row r="268" spans="5:23" ht="13.5" customHeight="1" x14ac:dyDescent="0.35">
      <c r="E268" s="84"/>
      <c r="P268" s="60"/>
      <c r="Q268" s="60"/>
      <c r="R268" s="60"/>
      <c r="S268" s="60"/>
      <c r="T268" s="60"/>
      <c r="U268" s="60"/>
      <c r="V268" s="60"/>
      <c r="W268" s="60"/>
    </row>
    <row r="269" spans="5:23" ht="13.5" customHeight="1" x14ac:dyDescent="0.35">
      <c r="E269" s="84"/>
      <c r="P269" s="60"/>
      <c r="Q269" s="60"/>
      <c r="R269" s="60"/>
      <c r="S269" s="60"/>
      <c r="T269" s="60"/>
      <c r="U269" s="60"/>
      <c r="V269" s="60"/>
      <c r="W269" s="60"/>
    </row>
    <row r="270" spans="5:23" ht="13.5" customHeight="1" x14ac:dyDescent="0.35">
      <c r="E270" s="84"/>
      <c r="P270" s="60"/>
      <c r="Q270" s="60"/>
      <c r="R270" s="60"/>
      <c r="S270" s="60"/>
      <c r="T270" s="60"/>
      <c r="U270" s="60"/>
      <c r="V270" s="60"/>
      <c r="W270" s="60"/>
    </row>
    <row r="271" spans="5:23" ht="13.5" customHeight="1" x14ac:dyDescent="0.35">
      <c r="E271" s="84"/>
      <c r="P271" s="60"/>
      <c r="Q271" s="60"/>
      <c r="R271" s="60"/>
      <c r="S271" s="60"/>
      <c r="T271" s="60"/>
      <c r="U271" s="60"/>
      <c r="V271" s="60"/>
      <c r="W271" s="60"/>
    </row>
    <row r="272" spans="5:23" ht="13.5" customHeight="1" x14ac:dyDescent="0.35">
      <c r="E272" s="84"/>
      <c r="P272" s="60"/>
      <c r="Q272" s="60"/>
      <c r="R272" s="60"/>
      <c r="S272" s="60"/>
      <c r="T272" s="60"/>
      <c r="U272" s="60"/>
      <c r="V272" s="60"/>
      <c r="W272" s="60"/>
    </row>
    <row r="273" spans="5:23" ht="13.5" customHeight="1" x14ac:dyDescent="0.35">
      <c r="E273" s="84"/>
      <c r="P273" s="60"/>
      <c r="Q273" s="60"/>
      <c r="R273" s="60"/>
      <c r="S273" s="60"/>
      <c r="T273" s="60"/>
      <c r="U273" s="60"/>
      <c r="V273" s="60"/>
      <c r="W273" s="60"/>
    </row>
    <row r="274" spans="5:23" ht="13.5" customHeight="1" x14ac:dyDescent="0.35">
      <c r="E274" s="84"/>
      <c r="P274" s="60"/>
      <c r="Q274" s="60"/>
      <c r="R274" s="60"/>
      <c r="S274" s="60"/>
      <c r="T274" s="60"/>
      <c r="U274" s="60"/>
      <c r="V274" s="60"/>
      <c r="W274" s="60"/>
    </row>
    <row r="275" spans="5:23" ht="13.5" customHeight="1" x14ac:dyDescent="0.35">
      <c r="E275" s="84"/>
      <c r="P275" s="60"/>
      <c r="Q275" s="60"/>
      <c r="R275" s="60"/>
      <c r="S275" s="60"/>
      <c r="T275" s="60"/>
      <c r="U275" s="60"/>
      <c r="V275" s="60"/>
      <c r="W275" s="60"/>
    </row>
    <row r="276" spans="5:23" ht="13.5" customHeight="1" x14ac:dyDescent="0.35">
      <c r="E276" s="84"/>
      <c r="P276" s="60"/>
      <c r="Q276" s="60"/>
      <c r="R276" s="60"/>
      <c r="S276" s="60"/>
      <c r="T276" s="60"/>
      <c r="U276" s="60"/>
      <c r="V276" s="60"/>
      <c r="W276" s="60"/>
    </row>
    <row r="277" spans="5:23" ht="13.5" customHeight="1" x14ac:dyDescent="0.35">
      <c r="E277" s="84"/>
      <c r="P277" s="60"/>
      <c r="Q277" s="60"/>
      <c r="R277" s="60"/>
      <c r="S277" s="60"/>
      <c r="T277" s="60"/>
      <c r="U277" s="60"/>
      <c r="V277" s="60"/>
      <c r="W277" s="60"/>
    </row>
    <row r="278" spans="5:23" ht="13.5" customHeight="1" x14ac:dyDescent="0.35">
      <c r="E278" s="84"/>
      <c r="P278" s="60"/>
      <c r="Q278" s="60"/>
      <c r="R278" s="60"/>
      <c r="S278" s="60"/>
      <c r="T278" s="60"/>
      <c r="U278" s="60"/>
      <c r="V278" s="60"/>
      <c r="W278" s="60"/>
    </row>
    <row r="279" spans="5:23" ht="13.5" customHeight="1" x14ac:dyDescent="0.35">
      <c r="E279" s="84"/>
      <c r="P279" s="60"/>
      <c r="Q279" s="60"/>
      <c r="R279" s="60"/>
      <c r="S279" s="60"/>
      <c r="T279" s="60"/>
      <c r="U279" s="60"/>
      <c r="V279" s="60"/>
      <c r="W279" s="60"/>
    </row>
    <row r="280" spans="5:23" ht="13.5" customHeight="1" x14ac:dyDescent="0.35">
      <c r="E280" s="84"/>
      <c r="P280" s="60"/>
      <c r="Q280" s="60"/>
      <c r="R280" s="60"/>
      <c r="S280" s="60"/>
      <c r="T280" s="60"/>
      <c r="U280" s="60"/>
      <c r="V280" s="60"/>
      <c r="W280" s="60"/>
    </row>
    <row r="281" spans="5:23" ht="13.5" customHeight="1" x14ac:dyDescent="0.35">
      <c r="E281" s="84"/>
      <c r="P281" s="60"/>
      <c r="Q281" s="60"/>
      <c r="R281" s="60"/>
      <c r="S281" s="60"/>
      <c r="T281" s="60"/>
      <c r="U281" s="60"/>
      <c r="V281" s="60"/>
      <c r="W281" s="60"/>
    </row>
    <row r="282" spans="5:23" ht="13.5" customHeight="1" x14ac:dyDescent="0.35">
      <c r="E282" s="84"/>
      <c r="P282" s="60"/>
      <c r="Q282" s="60"/>
      <c r="R282" s="60"/>
      <c r="S282" s="60"/>
      <c r="T282" s="60"/>
      <c r="U282" s="60"/>
      <c r="V282" s="60"/>
      <c r="W282" s="60"/>
    </row>
    <row r="283" spans="5:23" ht="13.5" customHeight="1" x14ac:dyDescent="0.35">
      <c r="E283" s="84"/>
      <c r="P283" s="60"/>
      <c r="Q283" s="60"/>
      <c r="R283" s="60"/>
      <c r="S283" s="60"/>
      <c r="T283" s="60"/>
      <c r="U283" s="60"/>
      <c r="V283" s="60"/>
      <c r="W283" s="60"/>
    </row>
    <row r="284" spans="5:23" ht="13.5" customHeight="1" x14ac:dyDescent="0.35">
      <c r="E284" s="84"/>
      <c r="P284" s="60"/>
      <c r="Q284" s="60"/>
      <c r="R284" s="60"/>
      <c r="S284" s="60"/>
      <c r="T284" s="60"/>
      <c r="U284" s="60"/>
      <c r="V284" s="60"/>
      <c r="W284" s="60"/>
    </row>
    <row r="285" spans="5:23" ht="13.5" customHeight="1" x14ac:dyDescent="0.35">
      <c r="E285" s="84"/>
      <c r="P285" s="60"/>
      <c r="Q285" s="60"/>
      <c r="R285" s="60"/>
      <c r="S285" s="60"/>
      <c r="T285" s="60"/>
      <c r="U285" s="60"/>
      <c r="V285" s="60"/>
      <c r="W285" s="60"/>
    </row>
    <row r="286" spans="5:23" ht="13.5" customHeight="1" x14ac:dyDescent="0.35">
      <c r="E286" s="84"/>
      <c r="P286" s="60"/>
      <c r="Q286" s="60"/>
      <c r="R286" s="60"/>
      <c r="S286" s="60"/>
      <c r="T286" s="60"/>
      <c r="U286" s="60"/>
      <c r="V286" s="60"/>
      <c r="W286" s="60"/>
    </row>
    <row r="287" spans="5:23" ht="13.5" customHeight="1" x14ac:dyDescent="0.35">
      <c r="E287" s="84"/>
      <c r="P287" s="60"/>
      <c r="Q287" s="60"/>
      <c r="R287" s="60"/>
      <c r="S287" s="60"/>
      <c r="T287" s="60"/>
      <c r="U287" s="60"/>
      <c r="V287" s="60"/>
      <c r="W287" s="60"/>
    </row>
    <row r="288" spans="5:23" ht="13.5" customHeight="1" x14ac:dyDescent="0.35">
      <c r="E288" s="84"/>
      <c r="P288" s="60"/>
      <c r="Q288" s="60"/>
      <c r="R288" s="60"/>
      <c r="S288" s="60"/>
      <c r="T288" s="60"/>
      <c r="U288" s="60"/>
      <c r="V288" s="60"/>
      <c r="W288" s="60"/>
    </row>
    <row r="289" spans="5:23" ht="13.5" customHeight="1" x14ac:dyDescent="0.35">
      <c r="E289" s="84"/>
      <c r="P289" s="60"/>
      <c r="Q289" s="60"/>
      <c r="R289" s="60"/>
      <c r="S289" s="60"/>
      <c r="T289" s="60"/>
      <c r="U289" s="60"/>
      <c r="V289" s="60"/>
      <c r="W289" s="60"/>
    </row>
    <row r="290" spans="5:23" ht="13.5" customHeight="1" x14ac:dyDescent="0.35">
      <c r="E290" s="84"/>
      <c r="P290" s="60"/>
      <c r="Q290" s="60"/>
      <c r="R290" s="60"/>
      <c r="S290" s="60"/>
      <c r="T290" s="60"/>
      <c r="U290" s="60"/>
      <c r="V290" s="60"/>
      <c r="W290" s="60"/>
    </row>
    <row r="291" spans="5:23" ht="13.5" customHeight="1" x14ac:dyDescent="0.35">
      <c r="E291" s="84"/>
      <c r="P291" s="60"/>
      <c r="Q291" s="60"/>
      <c r="R291" s="60"/>
      <c r="S291" s="60"/>
      <c r="T291" s="60"/>
      <c r="U291" s="60"/>
      <c r="V291" s="60"/>
      <c r="W291" s="60"/>
    </row>
    <row r="292" spans="5:23" ht="13.5" customHeight="1" x14ac:dyDescent="0.35">
      <c r="E292" s="84"/>
      <c r="P292" s="60"/>
      <c r="Q292" s="60"/>
      <c r="R292" s="60"/>
      <c r="S292" s="60"/>
      <c r="T292" s="60"/>
      <c r="U292" s="60"/>
      <c r="V292" s="60"/>
      <c r="W292" s="60"/>
    </row>
    <row r="293" spans="5:23" ht="13.5" customHeight="1" x14ac:dyDescent="0.35">
      <c r="E293" s="84"/>
      <c r="P293" s="60"/>
      <c r="Q293" s="60"/>
      <c r="R293" s="60"/>
      <c r="S293" s="60"/>
      <c r="T293" s="60"/>
      <c r="U293" s="60"/>
      <c r="V293" s="60"/>
      <c r="W293" s="60"/>
    </row>
    <row r="294" spans="5:23" ht="13.5" customHeight="1" x14ac:dyDescent="0.35">
      <c r="E294" s="84"/>
      <c r="P294" s="60"/>
      <c r="Q294" s="60"/>
      <c r="R294" s="60"/>
      <c r="S294" s="60"/>
      <c r="T294" s="60"/>
      <c r="U294" s="60"/>
      <c r="V294" s="60"/>
      <c r="W294" s="60"/>
    </row>
    <row r="295" spans="5:23" ht="13.5" customHeight="1" x14ac:dyDescent="0.35">
      <c r="E295" s="84"/>
      <c r="P295" s="60"/>
      <c r="Q295" s="60"/>
      <c r="R295" s="60"/>
      <c r="S295" s="60"/>
      <c r="T295" s="60"/>
      <c r="U295" s="60"/>
      <c r="V295" s="60"/>
      <c r="W295" s="60"/>
    </row>
    <row r="296" spans="5:23" ht="13.5" customHeight="1" x14ac:dyDescent="0.35">
      <c r="E296" s="84"/>
      <c r="P296" s="60"/>
      <c r="Q296" s="60"/>
      <c r="R296" s="60"/>
      <c r="S296" s="60"/>
      <c r="T296" s="60"/>
      <c r="U296" s="60"/>
      <c r="V296" s="60"/>
      <c r="W296" s="60"/>
    </row>
    <row r="297" spans="5:23" ht="13.5" customHeight="1" x14ac:dyDescent="0.35">
      <c r="E297" s="84"/>
      <c r="P297" s="60"/>
      <c r="Q297" s="60"/>
      <c r="R297" s="60"/>
      <c r="S297" s="60"/>
      <c r="T297" s="60"/>
      <c r="U297" s="60"/>
      <c r="V297" s="60"/>
      <c r="W297" s="60"/>
    </row>
    <row r="298" spans="5:23" ht="13.5" customHeight="1" x14ac:dyDescent="0.35">
      <c r="E298" s="84"/>
      <c r="P298" s="60"/>
      <c r="Q298" s="60"/>
      <c r="R298" s="60"/>
      <c r="S298" s="60"/>
      <c r="T298" s="60"/>
      <c r="U298" s="60"/>
      <c r="V298" s="60"/>
      <c r="W298" s="60"/>
    </row>
    <row r="299" spans="5:23" ht="13.5" customHeight="1" x14ac:dyDescent="0.35">
      <c r="E299" s="84"/>
      <c r="P299" s="60"/>
      <c r="Q299" s="60"/>
      <c r="R299" s="60"/>
      <c r="S299" s="60"/>
      <c r="T299" s="60"/>
      <c r="U299" s="60"/>
      <c r="V299" s="60"/>
      <c r="W299" s="60"/>
    </row>
    <row r="300" spans="5:23" ht="13.5" customHeight="1" x14ac:dyDescent="0.35">
      <c r="E300" s="84"/>
      <c r="P300" s="60"/>
      <c r="Q300" s="60"/>
      <c r="R300" s="60"/>
      <c r="S300" s="60"/>
      <c r="T300" s="60"/>
      <c r="U300" s="60"/>
      <c r="V300" s="60"/>
      <c r="W300" s="60"/>
    </row>
    <row r="301" spans="5:23" ht="13.5" customHeight="1" x14ac:dyDescent="0.35">
      <c r="E301" s="84"/>
      <c r="P301" s="60"/>
      <c r="Q301" s="60"/>
      <c r="R301" s="60"/>
      <c r="S301" s="60"/>
      <c r="T301" s="60"/>
      <c r="U301" s="60"/>
      <c r="V301" s="60"/>
      <c r="W301" s="60"/>
    </row>
    <row r="302" spans="5:23" ht="13.5" customHeight="1" x14ac:dyDescent="0.35">
      <c r="E302" s="84"/>
      <c r="P302" s="60"/>
      <c r="Q302" s="60"/>
      <c r="R302" s="60"/>
      <c r="S302" s="60"/>
      <c r="T302" s="60"/>
      <c r="U302" s="60"/>
      <c r="V302" s="60"/>
      <c r="W302" s="60"/>
    </row>
    <row r="303" spans="5:23" ht="13.5" customHeight="1" x14ac:dyDescent="0.35">
      <c r="E303" s="84"/>
      <c r="P303" s="60"/>
      <c r="Q303" s="60"/>
      <c r="R303" s="60"/>
      <c r="S303" s="60"/>
      <c r="T303" s="60"/>
      <c r="U303" s="60"/>
      <c r="V303" s="60"/>
      <c r="W303" s="60"/>
    </row>
    <row r="304" spans="5:23" ht="13.5" customHeight="1" x14ac:dyDescent="0.35">
      <c r="E304" s="84"/>
      <c r="P304" s="60"/>
      <c r="Q304" s="60"/>
      <c r="R304" s="60"/>
      <c r="S304" s="60"/>
      <c r="T304" s="60"/>
      <c r="U304" s="60"/>
      <c r="V304" s="60"/>
      <c r="W304" s="60"/>
    </row>
    <row r="305" spans="5:23" ht="13.5" customHeight="1" x14ac:dyDescent="0.35">
      <c r="E305" s="84"/>
      <c r="P305" s="60"/>
      <c r="Q305" s="60"/>
      <c r="R305" s="60"/>
      <c r="S305" s="60"/>
      <c r="T305" s="60"/>
      <c r="U305" s="60"/>
      <c r="V305" s="60"/>
      <c r="W305" s="60"/>
    </row>
    <row r="306" spans="5:23" ht="13.5" customHeight="1" x14ac:dyDescent="0.35">
      <c r="E306" s="84"/>
      <c r="P306" s="60"/>
      <c r="Q306" s="60"/>
      <c r="R306" s="60"/>
      <c r="S306" s="60"/>
      <c r="T306" s="60"/>
      <c r="U306" s="60"/>
      <c r="V306" s="60"/>
      <c r="W306" s="60"/>
    </row>
    <row r="307" spans="5:23" ht="13.5" customHeight="1" x14ac:dyDescent="0.35">
      <c r="E307" s="84"/>
      <c r="P307" s="60"/>
      <c r="Q307" s="60"/>
      <c r="R307" s="60"/>
      <c r="S307" s="60"/>
      <c r="T307" s="60"/>
      <c r="U307" s="60"/>
      <c r="V307" s="60"/>
      <c r="W307" s="60"/>
    </row>
    <row r="308" spans="5:23" ht="13.5" customHeight="1" x14ac:dyDescent="0.35">
      <c r="E308" s="84"/>
      <c r="P308" s="60"/>
      <c r="Q308" s="60"/>
      <c r="R308" s="60"/>
      <c r="S308" s="60"/>
      <c r="T308" s="60"/>
      <c r="U308" s="60"/>
      <c r="V308" s="60"/>
      <c r="W308" s="60"/>
    </row>
    <row r="309" spans="5:23" ht="13.5" customHeight="1" x14ac:dyDescent="0.35">
      <c r="E309" s="84"/>
      <c r="P309" s="60"/>
      <c r="Q309" s="60"/>
      <c r="R309" s="60"/>
      <c r="S309" s="60"/>
      <c r="T309" s="60"/>
      <c r="U309" s="60"/>
      <c r="V309" s="60"/>
      <c r="W309" s="60"/>
    </row>
    <row r="310" spans="5:23" ht="13.5" customHeight="1" x14ac:dyDescent="0.35">
      <c r="E310" s="84"/>
      <c r="P310" s="60"/>
      <c r="Q310" s="60"/>
      <c r="R310" s="60"/>
      <c r="S310" s="60"/>
      <c r="T310" s="60"/>
      <c r="U310" s="60"/>
      <c r="V310" s="60"/>
      <c r="W310" s="60"/>
    </row>
    <row r="311" spans="5:23" ht="13.5" customHeight="1" x14ac:dyDescent="0.35">
      <c r="E311" s="84"/>
      <c r="P311" s="60"/>
      <c r="Q311" s="60"/>
      <c r="R311" s="60"/>
      <c r="S311" s="60"/>
      <c r="T311" s="60"/>
      <c r="U311" s="60"/>
      <c r="V311" s="60"/>
      <c r="W311" s="60"/>
    </row>
    <row r="312" spans="5:23" ht="13.5" customHeight="1" x14ac:dyDescent="0.35">
      <c r="E312" s="84"/>
      <c r="P312" s="60"/>
      <c r="Q312" s="60"/>
      <c r="R312" s="60"/>
      <c r="S312" s="60"/>
      <c r="T312" s="60"/>
      <c r="U312" s="60"/>
      <c r="V312" s="60"/>
      <c r="W312" s="60"/>
    </row>
    <row r="313" spans="5:23" ht="13.5" customHeight="1" x14ac:dyDescent="0.35">
      <c r="E313" s="84"/>
      <c r="P313" s="60"/>
      <c r="Q313" s="60"/>
      <c r="R313" s="60"/>
      <c r="S313" s="60"/>
      <c r="T313" s="60"/>
      <c r="U313" s="60"/>
      <c r="V313" s="60"/>
      <c r="W313" s="60"/>
    </row>
    <row r="314" spans="5:23" ht="13.5" customHeight="1" x14ac:dyDescent="0.35">
      <c r="E314" s="84"/>
      <c r="P314" s="60"/>
      <c r="Q314" s="60"/>
      <c r="R314" s="60"/>
      <c r="S314" s="60"/>
      <c r="T314" s="60"/>
      <c r="U314" s="60"/>
      <c r="V314" s="60"/>
      <c r="W314" s="60"/>
    </row>
    <row r="315" spans="5:23" ht="13.5" customHeight="1" x14ac:dyDescent="0.35">
      <c r="E315" s="84"/>
      <c r="P315" s="60"/>
      <c r="Q315" s="60"/>
      <c r="R315" s="60"/>
      <c r="S315" s="60"/>
      <c r="T315" s="60"/>
      <c r="U315" s="60"/>
      <c r="V315" s="60"/>
      <c r="W315" s="60"/>
    </row>
    <row r="316" spans="5:23" ht="13.5" customHeight="1" x14ac:dyDescent="0.35">
      <c r="E316" s="84"/>
      <c r="P316" s="60"/>
      <c r="Q316" s="60"/>
      <c r="R316" s="60"/>
      <c r="S316" s="60"/>
      <c r="T316" s="60"/>
      <c r="U316" s="60"/>
      <c r="V316" s="60"/>
      <c r="W316" s="60"/>
    </row>
    <row r="317" spans="5:23" ht="13.5" customHeight="1" x14ac:dyDescent="0.35">
      <c r="E317" s="84"/>
      <c r="P317" s="60"/>
      <c r="Q317" s="60"/>
      <c r="R317" s="60"/>
      <c r="S317" s="60"/>
      <c r="T317" s="60"/>
      <c r="U317" s="60"/>
      <c r="V317" s="60"/>
      <c r="W317" s="60"/>
    </row>
    <row r="318" spans="5:23" ht="13.5" customHeight="1" x14ac:dyDescent="0.35">
      <c r="E318" s="84"/>
      <c r="P318" s="60"/>
      <c r="Q318" s="60"/>
      <c r="R318" s="60"/>
      <c r="S318" s="60"/>
      <c r="T318" s="60"/>
      <c r="U318" s="60"/>
      <c r="V318" s="60"/>
      <c r="W318" s="60"/>
    </row>
    <row r="319" spans="5:23" ht="13.5" customHeight="1" x14ac:dyDescent="0.35">
      <c r="E319" s="84"/>
      <c r="P319" s="60"/>
      <c r="Q319" s="60"/>
      <c r="R319" s="60"/>
      <c r="S319" s="60"/>
      <c r="T319" s="60"/>
      <c r="U319" s="60"/>
      <c r="V319" s="60"/>
      <c r="W319" s="60"/>
    </row>
    <row r="320" spans="5:23" ht="13.5" customHeight="1" x14ac:dyDescent="0.35">
      <c r="E320" s="84"/>
      <c r="P320" s="60"/>
      <c r="Q320" s="60"/>
      <c r="R320" s="60"/>
      <c r="S320" s="60"/>
      <c r="T320" s="60"/>
      <c r="U320" s="60"/>
      <c r="V320" s="60"/>
      <c r="W320" s="60"/>
    </row>
    <row r="321" spans="5:23" ht="13.5" customHeight="1" x14ac:dyDescent="0.35">
      <c r="E321" s="84"/>
      <c r="P321" s="60"/>
      <c r="Q321" s="60"/>
      <c r="R321" s="60"/>
      <c r="S321" s="60"/>
      <c r="T321" s="60"/>
      <c r="U321" s="60"/>
      <c r="V321" s="60"/>
      <c r="W321" s="60"/>
    </row>
    <row r="322" spans="5:23" ht="13.5" customHeight="1" x14ac:dyDescent="0.35">
      <c r="E322" s="84"/>
      <c r="P322" s="60"/>
      <c r="Q322" s="60"/>
      <c r="R322" s="60"/>
      <c r="S322" s="60"/>
      <c r="T322" s="60"/>
      <c r="U322" s="60"/>
      <c r="V322" s="60"/>
      <c r="W322" s="60"/>
    </row>
    <row r="323" spans="5:23" ht="13.5" customHeight="1" x14ac:dyDescent="0.35">
      <c r="E323" s="84"/>
      <c r="P323" s="60"/>
      <c r="Q323" s="60"/>
      <c r="R323" s="60"/>
      <c r="S323" s="60"/>
      <c r="T323" s="60"/>
      <c r="U323" s="60"/>
      <c r="V323" s="60"/>
      <c r="W323" s="60"/>
    </row>
    <row r="324" spans="5:23" ht="13.5" customHeight="1" x14ac:dyDescent="0.35">
      <c r="E324" s="84"/>
      <c r="P324" s="60"/>
      <c r="Q324" s="60"/>
      <c r="R324" s="60"/>
      <c r="S324" s="60"/>
      <c r="T324" s="60"/>
      <c r="U324" s="60"/>
      <c r="V324" s="60"/>
      <c r="W324" s="60"/>
    </row>
    <row r="325" spans="5:23" ht="13.5" customHeight="1" x14ac:dyDescent="0.35">
      <c r="E325" s="84"/>
      <c r="P325" s="60"/>
      <c r="Q325" s="60"/>
      <c r="R325" s="60"/>
      <c r="S325" s="60"/>
      <c r="T325" s="60"/>
      <c r="U325" s="60"/>
      <c r="V325" s="60"/>
      <c r="W325" s="60"/>
    </row>
    <row r="326" spans="5:23" ht="13.5" customHeight="1" x14ac:dyDescent="0.35">
      <c r="E326" s="84"/>
      <c r="P326" s="60"/>
      <c r="Q326" s="60"/>
      <c r="R326" s="60"/>
      <c r="S326" s="60"/>
      <c r="T326" s="60"/>
      <c r="U326" s="60"/>
      <c r="V326" s="60"/>
      <c r="W326" s="60"/>
    </row>
    <row r="327" spans="5:23" ht="13.5" customHeight="1" x14ac:dyDescent="0.35">
      <c r="E327" s="84"/>
      <c r="P327" s="60"/>
      <c r="Q327" s="60"/>
      <c r="R327" s="60"/>
      <c r="S327" s="60"/>
      <c r="T327" s="60"/>
      <c r="U327" s="60"/>
      <c r="V327" s="60"/>
      <c r="W327" s="60"/>
    </row>
    <row r="328" spans="5:23" ht="13.5" customHeight="1" x14ac:dyDescent="0.35">
      <c r="E328" s="84"/>
      <c r="P328" s="60"/>
      <c r="Q328" s="60"/>
      <c r="R328" s="60"/>
      <c r="S328" s="60"/>
      <c r="T328" s="60"/>
      <c r="U328" s="60"/>
      <c r="V328" s="60"/>
      <c r="W328" s="60"/>
    </row>
    <row r="329" spans="5:23" ht="13.5" customHeight="1" x14ac:dyDescent="0.35">
      <c r="E329" s="84"/>
      <c r="P329" s="60"/>
      <c r="Q329" s="60"/>
      <c r="R329" s="60"/>
      <c r="S329" s="60"/>
      <c r="T329" s="60"/>
      <c r="U329" s="60"/>
      <c r="V329" s="60"/>
      <c r="W329" s="60"/>
    </row>
    <row r="330" spans="5:23" ht="13.5" customHeight="1" x14ac:dyDescent="0.35">
      <c r="E330" s="84"/>
      <c r="P330" s="60"/>
      <c r="Q330" s="60"/>
      <c r="R330" s="60"/>
      <c r="S330" s="60"/>
      <c r="T330" s="60"/>
      <c r="U330" s="60"/>
      <c r="V330" s="60"/>
      <c r="W330" s="60"/>
    </row>
    <row r="331" spans="5:23" ht="13.5" customHeight="1" x14ac:dyDescent="0.35">
      <c r="E331" s="84"/>
      <c r="P331" s="60"/>
      <c r="Q331" s="60"/>
      <c r="R331" s="60"/>
      <c r="S331" s="60"/>
      <c r="T331" s="60"/>
      <c r="U331" s="60"/>
      <c r="V331" s="60"/>
      <c r="W331" s="60"/>
    </row>
    <row r="332" spans="5:23" ht="13.5" customHeight="1" x14ac:dyDescent="0.35">
      <c r="E332" s="84"/>
      <c r="P332" s="60"/>
      <c r="Q332" s="60"/>
      <c r="R332" s="60"/>
      <c r="S332" s="60"/>
      <c r="T332" s="60"/>
      <c r="U332" s="60"/>
      <c r="V332" s="60"/>
      <c r="W332" s="60"/>
    </row>
    <row r="333" spans="5:23" ht="13.5" customHeight="1" x14ac:dyDescent="0.35">
      <c r="E333" s="84"/>
      <c r="P333" s="60"/>
      <c r="Q333" s="60"/>
      <c r="R333" s="60"/>
      <c r="S333" s="60"/>
      <c r="T333" s="60"/>
      <c r="U333" s="60"/>
      <c r="V333" s="60"/>
      <c r="W333" s="60"/>
    </row>
    <row r="334" spans="5:23" ht="13.5" customHeight="1" x14ac:dyDescent="0.35">
      <c r="E334" s="84"/>
      <c r="P334" s="60"/>
      <c r="Q334" s="60"/>
      <c r="R334" s="60"/>
      <c r="S334" s="60"/>
      <c r="T334" s="60"/>
      <c r="U334" s="60"/>
      <c r="V334" s="60"/>
      <c r="W334" s="60"/>
    </row>
    <row r="335" spans="5:23" ht="13.5" customHeight="1" x14ac:dyDescent="0.35">
      <c r="E335" s="84"/>
      <c r="P335" s="60"/>
      <c r="Q335" s="60"/>
      <c r="R335" s="60"/>
      <c r="S335" s="60"/>
      <c r="T335" s="60"/>
      <c r="U335" s="60"/>
      <c r="V335" s="60"/>
      <c r="W335" s="60"/>
    </row>
    <row r="336" spans="5:23" ht="13.5" customHeight="1" x14ac:dyDescent="0.35">
      <c r="E336" s="84"/>
      <c r="P336" s="60"/>
      <c r="Q336" s="60"/>
      <c r="R336" s="60"/>
      <c r="S336" s="60"/>
      <c r="T336" s="60"/>
      <c r="U336" s="60"/>
      <c r="V336" s="60"/>
      <c r="W336" s="60"/>
    </row>
    <row r="337" spans="5:23" ht="13.5" customHeight="1" x14ac:dyDescent="0.35">
      <c r="E337" s="84"/>
      <c r="P337" s="60"/>
      <c r="Q337" s="60"/>
      <c r="R337" s="60"/>
      <c r="S337" s="60"/>
      <c r="T337" s="60"/>
      <c r="U337" s="60"/>
      <c r="V337" s="60"/>
      <c r="W337" s="60"/>
    </row>
    <row r="338" spans="5:23" ht="13.5" customHeight="1" x14ac:dyDescent="0.35">
      <c r="E338" s="84"/>
      <c r="P338" s="60"/>
      <c r="Q338" s="60"/>
      <c r="R338" s="60"/>
      <c r="S338" s="60"/>
      <c r="T338" s="60"/>
      <c r="U338" s="60"/>
      <c r="V338" s="60"/>
      <c r="W338" s="60"/>
    </row>
    <row r="339" spans="5:23" ht="13.5" customHeight="1" x14ac:dyDescent="0.35">
      <c r="E339" s="84"/>
      <c r="P339" s="60"/>
      <c r="Q339" s="60"/>
      <c r="R339" s="60"/>
      <c r="S339" s="60"/>
      <c r="T339" s="60"/>
      <c r="U339" s="60"/>
      <c r="V339" s="60"/>
      <c r="W339" s="60"/>
    </row>
    <row r="340" spans="5:23" ht="13.5" customHeight="1" x14ac:dyDescent="0.35">
      <c r="E340" s="84"/>
      <c r="P340" s="60"/>
      <c r="Q340" s="60"/>
      <c r="R340" s="60"/>
      <c r="S340" s="60"/>
      <c r="T340" s="60"/>
      <c r="U340" s="60"/>
      <c r="V340" s="60"/>
      <c r="W340" s="60"/>
    </row>
    <row r="341" spans="5:23" ht="13.5" customHeight="1" x14ac:dyDescent="0.35">
      <c r="E341" s="84"/>
      <c r="P341" s="60"/>
      <c r="Q341" s="60"/>
      <c r="R341" s="60"/>
      <c r="S341" s="60"/>
      <c r="T341" s="60"/>
      <c r="U341" s="60"/>
      <c r="V341" s="60"/>
      <c r="W341" s="60"/>
    </row>
    <row r="342" spans="5:23" ht="13.5" customHeight="1" x14ac:dyDescent="0.35">
      <c r="E342" s="84"/>
      <c r="P342" s="60"/>
      <c r="Q342" s="60"/>
      <c r="R342" s="60"/>
      <c r="S342" s="60"/>
      <c r="T342" s="60"/>
      <c r="U342" s="60"/>
      <c r="V342" s="60"/>
      <c r="W342" s="60"/>
    </row>
    <row r="343" spans="5:23" ht="13.5" customHeight="1" x14ac:dyDescent="0.35">
      <c r="E343" s="84"/>
      <c r="P343" s="60"/>
      <c r="Q343" s="60"/>
      <c r="R343" s="60"/>
      <c r="S343" s="60"/>
      <c r="T343" s="60"/>
      <c r="U343" s="60"/>
      <c r="V343" s="60"/>
      <c r="W343" s="60"/>
    </row>
    <row r="344" spans="5:23" ht="13.5" customHeight="1" x14ac:dyDescent="0.35">
      <c r="E344" s="84"/>
      <c r="P344" s="60"/>
      <c r="Q344" s="60"/>
      <c r="R344" s="60"/>
      <c r="S344" s="60"/>
      <c r="T344" s="60"/>
      <c r="U344" s="60"/>
      <c r="V344" s="60"/>
      <c r="W344" s="60"/>
    </row>
    <row r="345" spans="5:23" ht="13.5" customHeight="1" x14ac:dyDescent="0.35">
      <c r="E345" s="84"/>
      <c r="P345" s="60"/>
      <c r="Q345" s="60"/>
      <c r="R345" s="60"/>
      <c r="S345" s="60"/>
      <c r="T345" s="60"/>
      <c r="U345" s="60"/>
      <c r="V345" s="60"/>
      <c r="W345" s="60"/>
    </row>
    <row r="346" spans="5:23" ht="13.5" customHeight="1" x14ac:dyDescent="0.35">
      <c r="E346" s="84"/>
      <c r="P346" s="60"/>
      <c r="Q346" s="60"/>
      <c r="R346" s="60"/>
      <c r="S346" s="60"/>
      <c r="T346" s="60"/>
      <c r="U346" s="60"/>
      <c r="V346" s="60"/>
      <c r="W346" s="60"/>
    </row>
    <row r="347" spans="5:23" ht="13.5" customHeight="1" x14ac:dyDescent="0.35">
      <c r="E347" s="84"/>
      <c r="P347" s="60"/>
      <c r="Q347" s="60"/>
      <c r="R347" s="60"/>
      <c r="S347" s="60"/>
      <c r="T347" s="60"/>
      <c r="U347" s="60"/>
      <c r="V347" s="60"/>
      <c r="W347" s="60"/>
    </row>
    <row r="348" spans="5:23" ht="13.5" customHeight="1" x14ac:dyDescent="0.35">
      <c r="E348" s="84"/>
      <c r="P348" s="60"/>
      <c r="Q348" s="60"/>
      <c r="R348" s="60"/>
      <c r="S348" s="60"/>
      <c r="T348" s="60"/>
      <c r="U348" s="60"/>
      <c r="V348" s="60"/>
      <c r="W348" s="60"/>
    </row>
    <row r="349" spans="5:23" ht="13.5" customHeight="1" x14ac:dyDescent="0.35">
      <c r="E349" s="84"/>
      <c r="P349" s="60"/>
      <c r="Q349" s="60"/>
      <c r="R349" s="60"/>
      <c r="S349" s="60"/>
      <c r="T349" s="60"/>
      <c r="U349" s="60"/>
      <c r="V349" s="60"/>
      <c r="W349" s="60"/>
    </row>
    <row r="350" spans="5:23" ht="13.5" customHeight="1" x14ac:dyDescent="0.35">
      <c r="E350" s="84"/>
      <c r="P350" s="60"/>
      <c r="Q350" s="60"/>
      <c r="R350" s="60"/>
      <c r="S350" s="60"/>
      <c r="T350" s="60"/>
      <c r="U350" s="60"/>
      <c r="V350" s="60"/>
      <c r="W350" s="60"/>
    </row>
    <row r="351" spans="5:23" ht="13.5" customHeight="1" x14ac:dyDescent="0.35">
      <c r="E351" s="84"/>
      <c r="P351" s="60"/>
      <c r="Q351" s="60"/>
      <c r="R351" s="60"/>
      <c r="S351" s="60"/>
      <c r="T351" s="60"/>
      <c r="U351" s="60"/>
      <c r="V351" s="60"/>
      <c r="W351" s="60"/>
    </row>
    <row r="352" spans="5:23" ht="13.5" customHeight="1" x14ac:dyDescent="0.35">
      <c r="E352" s="84"/>
      <c r="P352" s="60"/>
      <c r="Q352" s="60"/>
      <c r="R352" s="60"/>
      <c r="S352" s="60"/>
      <c r="T352" s="60"/>
      <c r="U352" s="60"/>
      <c r="V352" s="60"/>
      <c r="W352" s="60"/>
    </row>
    <row r="353" spans="5:23" ht="13.5" customHeight="1" x14ac:dyDescent="0.35">
      <c r="E353" s="84"/>
      <c r="P353" s="60"/>
      <c r="Q353" s="60"/>
      <c r="R353" s="60"/>
      <c r="S353" s="60"/>
      <c r="T353" s="60"/>
      <c r="U353" s="60"/>
      <c r="V353" s="60"/>
      <c r="W353" s="60"/>
    </row>
    <row r="354" spans="5:23" ht="13.5" customHeight="1" x14ac:dyDescent="0.35">
      <c r="E354" s="84"/>
      <c r="P354" s="60"/>
      <c r="Q354" s="60"/>
      <c r="R354" s="60"/>
      <c r="S354" s="60"/>
      <c r="T354" s="60"/>
      <c r="U354" s="60"/>
      <c r="V354" s="60"/>
      <c r="W354" s="60"/>
    </row>
    <row r="355" spans="5:23" ht="13.5" customHeight="1" x14ac:dyDescent="0.35">
      <c r="E355" s="84"/>
      <c r="P355" s="60"/>
      <c r="Q355" s="60"/>
      <c r="R355" s="60"/>
      <c r="S355" s="60"/>
      <c r="T355" s="60"/>
      <c r="U355" s="60"/>
      <c r="V355" s="60"/>
      <c r="W355" s="60"/>
    </row>
    <row r="356" spans="5:23" ht="13.5" customHeight="1" x14ac:dyDescent="0.35">
      <c r="E356" s="84"/>
      <c r="P356" s="60"/>
      <c r="Q356" s="60"/>
      <c r="R356" s="60"/>
      <c r="S356" s="60"/>
      <c r="T356" s="60"/>
      <c r="U356" s="60"/>
      <c r="V356" s="60"/>
      <c r="W356" s="60"/>
    </row>
    <row r="357" spans="5:23" ht="13.5" customHeight="1" x14ac:dyDescent="0.35">
      <c r="E357" s="84"/>
      <c r="P357" s="60"/>
      <c r="Q357" s="60"/>
      <c r="R357" s="60"/>
      <c r="S357" s="60"/>
      <c r="T357" s="60"/>
      <c r="U357" s="60"/>
      <c r="V357" s="60"/>
      <c r="W357" s="60"/>
    </row>
    <row r="358" spans="5:23" ht="13.5" customHeight="1" x14ac:dyDescent="0.35">
      <c r="E358" s="84"/>
      <c r="P358" s="60"/>
      <c r="Q358" s="60"/>
      <c r="R358" s="60"/>
      <c r="S358" s="60"/>
      <c r="T358" s="60"/>
      <c r="U358" s="60"/>
      <c r="V358" s="60"/>
      <c r="W358" s="60"/>
    </row>
    <row r="359" spans="5:23" ht="13.5" customHeight="1" x14ac:dyDescent="0.35">
      <c r="E359" s="84"/>
      <c r="P359" s="60"/>
      <c r="Q359" s="60"/>
      <c r="R359" s="60"/>
      <c r="S359" s="60"/>
      <c r="T359" s="60"/>
      <c r="U359" s="60"/>
      <c r="V359" s="60"/>
      <c r="W359" s="60"/>
    </row>
    <row r="360" spans="5:23" ht="13.5" customHeight="1" x14ac:dyDescent="0.35">
      <c r="E360" s="84"/>
      <c r="P360" s="60"/>
      <c r="Q360" s="60"/>
      <c r="R360" s="60"/>
      <c r="S360" s="60"/>
      <c r="T360" s="60"/>
      <c r="U360" s="60"/>
      <c r="V360" s="60"/>
      <c r="W360" s="60"/>
    </row>
    <row r="361" spans="5:23" ht="13.5" customHeight="1" x14ac:dyDescent="0.35">
      <c r="E361" s="84"/>
      <c r="P361" s="60"/>
      <c r="Q361" s="60"/>
      <c r="R361" s="60"/>
      <c r="S361" s="60"/>
      <c r="T361" s="60"/>
      <c r="U361" s="60"/>
      <c r="V361" s="60"/>
      <c r="W361" s="60"/>
    </row>
    <row r="362" spans="5:23" ht="13.5" customHeight="1" x14ac:dyDescent="0.35">
      <c r="E362" s="84"/>
      <c r="P362" s="60"/>
      <c r="Q362" s="60"/>
      <c r="R362" s="60"/>
      <c r="S362" s="60"/>
      <c r="T362" s="60"/>
      <c r="U362" s="60"/>
      <c r="V362" s="60"/>
      <c r="W362" s="60"/>
    </row>
    <row r="363" spans="5:23" ht="13.5" customHeight="1" x14ac:dyDescent="0.35">
      <c r="E363" s="84"/>
      <c r="P363" s="60"/>
      <c r="Q363" s="60"/>
      <c r="R363" s="60"/>
      <c r="S363" s="60"/>
      <c r="T363" s="60"/>
      <c r="U363" s="60"/>
      <c r="V363" s="60"/>
      <c r="W363" s="60"/>
    </row>
    <row r="364" spans="5:23" ht="13.5" customHeight="1" x14ac:dyDescent="0.35">
      <c r="E364" s="84"/>
      <c r="P364" s="60"/>
      <c r="Q364" s="60"/>
      <c r="R364" s="60"/>
      <c r="S364" s="60"/>
      <c r="T364" s="60"/>
      <c r="U364" s="60"/>
      <c r="V364" s="60"/>
      <c r="W364" s="60"/>
    </row>
    <row r="365" spans="5:23" ht="13.5" customHeight="1" x14ac:dyDescent="0.35">
      <c r="E365" s="84"/>
      <c r="P365" s="60"/>
      <c r="Q365" s="60"/>
      <c r="R365" s="60"/>
      <c r="S365" s="60"/>
      <c r="T365" s="60"/>
      <c r="U365" s="60"/>
      <c r="V365" s="60"/>
      <c r="W365" s="60"/>
    </row>
    <row r="366" spans="5:23" ht="13.5" customHeight="1" x14ac:dyDescent="0.35">
      <c r="E366" s="84"/>
      <c r="P366" s="60"/>
      <c r="Q366" s="60"/>
      <c r="R366" s="60"/>
      <c r="S366" s="60"/>
      <c r="T366" s="60"/>
      <c r="U366" s="60"/>
      <c r="V366" s="60"/>
      <c r="W366" s="60"/>
    </row>
    <row r="367" spans="5:23" ht="13.5" customHeight="1" x14ac:dyDescent="0.35">
      <c r="E367" s="84"/>
      <c r="P367" s="60"/>
      <c r="Q367" s="60"/>
      <c r="R367" s="60"/>
      <c r="S367" s="60"/>
      <c r="T367" s="60"/>
      <c r="U367" s="60"/>
      <c r="V367" s="60"/>
      <c r="W367" s="60"/>
    </row>
    <row r="368" spans="5:23" ht="13.5" customHeight="1" x14ac:dyDescent="0.35">
      <c r="E368" s="84"/>
      <c r="P368" s="60"/>
      <c r="Q368" s="60"/>
      <c r="R368" s="60"/>
      <c r="S368" s="60"/>
      <c r="T368" s="60"/>
      <c r="U368" s="60"/>
      <c r="V368" s="60"/>
      <c r="W368" s="60"/>
    </row>
    <row r="369" spans="5:23" ht="13.5" customHeight="1" x14ac:dyDescent="0.35">
      <c r="E369" s="84"/>
      <c r="P369" s="60"/>
      <c r="Q369" s="60"/>
      <c r="R369" s="60"/>
      <c r="S369" s="60"/>
      <c r="T369" s="60"/>
      <c r="U369" s="60"/>
      <c r="V369" s="60"/>
      <c r="W369" s="60"/>
    </row>
    <row r="370" spans="5:23" ht="13.5" customHeight="1" x14ac:dyDescent="0.35">
      <c r="E370" s="84"/>
      <c r="P370" s="60"/>
      <c r="Q370" s="60"/>
      <c r="R370" s="60"/>
      <c r="S370" s="60"/>
      <c r="T370" s="60"/>
      <c r="U370" s="60"/>
      <c r="V370" s="60"/>
      <c r="W370" s="60"/>
    </row>
    <row r="371" spans="5:23" ht="13.5" customHeight="1" x14ac:dyDescent="0.35">
      <c r="E371" s="84"/>
      <c r="P371" s="60"/>
      <c r="Q371" s="60"/>
      <c r="R371" s="60"/>
      <c r="S371" s="60"/>
      <c r="T371" s="60"/>
      <c r="U371" s="60"/>
      <c r="V371" s="60"/>
      <c r="W371" s="60"/>
    </row>
    <row r="372" spans="5:23" ht="13.5" customHeight="1" x14ac:dyDescent="0.35">
      <c r="E372" s="84"/>
      <c r="P372" s="60"/>
      <c r="Q372" s="60"/>
      <c r="R372" s="60"/>
      <c r="S372" s="60"/>
      <c r="T372" s="60"/>
      <c r="U372" s="60"/>
      <c r="V372" s="60"/>
      <c r="W372" s="60"/>
    </row>
    <row r="373" spans="5:23" ht="13.5" customHeight="1" x14ac:dyDescent="0.35">
      <c r="E373" s="84"/>
      <c r="P373" s="60"/>
      <c r="Q373" s="60"/>
      <c r="R373" s="60"/>
      <c r="S373" s="60"/>
      <c r="T373" s="60"/>
      <c r="U373" s="60"/>
      <c r="V373" s="60"/>
      <c r="W373" s="60"/>
    </row>
    <row r="374" spans="5:23" ht="13.5" customHeight="1" x14ac:dyDescent="0.35">
      <c r="E374" s="84"/>
      <c r="P374" s="60"/>
      <c r="Q374" s="60"/>
      <c r="R374" s="60"/>
      <c r="S374" s="60"/>
      <c r="T374" s="60"/>
      <c r="U374" s="60"/>
      <c r="V374" s="60"/>
      <c r="W374" s="60"/>
    </row>
    <row r="375" spans="5:23" ht="13.5" customHeight="1" x14ac:dyDescent="0.35">
      <c r="E375" s="84"/>
      <c r="P375" s="60"/>
      <c r="Q375" s="60"/>
      <c r="R375" s="60"/>
      <c r="S375" s="60"/>
      <c r="T375" s="60"/>
      <c r="U375" s="60"/>
      <c r="V375" s="60"/>
      <c r="W375" s="60"/>
    </row>
    <row r="376" spans="5:23" ht="13.5" customHeight="1" x14ac:dyDescent="0.35">
      <c r="E376" s="84"/>
      <c r="P376" s="60"/>
      <c r="Q376" s="60"/>
      <c r="R376" s="60"/>
      <c r="S376" s="60"/>
      <c r="T376" s="60"/>
      <c r="U376" s="60"/>
      <c r="V376" s="60"/>
      <c r="W376" s="60"/>
    </row>
    <row r="377" spans="5:23" ht="13.5" customHeight="1" x14ac:dyDescent="0.35">
      <c r="E377" s="84"/>
      <c r="P377" s="60"/>
      <c r="Q377" s="60"/>
      <c r="R377" s="60"/>
      <c r="S377" s="60"/>
      <c r="T377" s="60"/>
      <c r="U377" s="60"/>
      <c r="V377" s="60"/>
      <c r="W377" s="60"/>
    </row>
    <row r="378" spans="5:23" ht="13.5" customHeight="1" x14ac:dyDescent="0.35">
      <c r="E378" s="84"/>
      <c r="P378" s="60"/>
      <c r="Q378" s="60"/>
      <c r="R378" s="60"/>
      <c r="S378" s="60"/>
      <c r="T378" s="60"/>
      <c r="U378" s="60"/>
      <c r="V378" s="60"/>
      <c r="W378" s="60"/>
    </row>
    <row r="379" spans="5:23" ht="13.5" customHeight="1" x14ac:dyDescent="0.35">
      <c r="E379" s="84"/>
      <c r="P379" s="60"/>
      <c r="Q379" s="60"/>
      <c r="R379" s="60"/>
      <c r="S379" s="60"/>
      <c r="T379" s="60"/>
      <c r="U379" s="60"/>
      <c r="V379" s="60"/>
      <c r="W379" s="60"/>
    </row>
    <row r="380" spans="5:23" ht="13.5" customHeight="1" x14ac:dyDescent="0.35">
      <c r="E380" s="84"/>
      <c r="P380" s="60"/>
      <c r="Q380" s="60"/>
      <c r="R380" s="60"/>
      <c r="S380" s="60"/>
      <c r="T380" s="60"/>
      <c r="U380" s="60"/>
      <c r="V380" s="60"/>
      <c r="W380" s="60"/>
    </row>
    <row r="381" spans="5:23" ht="13.5" customHeight="1" x14ac:dyDescent="0.35">
      <c r="E381" s="84"/>
      <c r="P381" s="60"/>
      <c r="Q381" s="60"/>
      <c r="R381" s="60"/>
      <c r="S381" s="60"/>
      <c r="T381" s="60"/>
      <c r="U381" s="60"/>
      <c r="V381" s="60"/>
      <c r="W381" s="60"/>
    </row>
    <row r="382" spans="5:23" ht="13.5" customHeight="1" x14ac:dyDescent="0.35">
      <c r="E382" s="84"/>
      <c r="P382" s="60"/>
      <c r="Q382" s="60"/>
      <c r="R382" s="60"/>
      <c r="S382" s="60"/>
      <c r="T382" s="60"/>
      <c r="U382" s="60"/>
      <c r="V382" s="60"/>
      <c r="W382" s="60"/>
    </row>
    <row r="383" spans="5:23" ht="13.5" customHeight="1" x14ac:dyDescent="0.35">
      <c r="E383" s="84"/>
      <c r="P383" s="60"/>
      <c r="Q383" s="60"/>
      <c r="R383" s="60"/>
      <c r="S383" s="60"/>
      <c r="T383" s="60"/>
      <c r="U383" s="60"/>
      <c r="V383" s="60"/>
      <c r="W383" s="60"/>
    </row>
    <row r="384" spans="5:23" ht="13.5" customHeight="1" x14ac:dyDescent="0.35">
      <c r="E384" s="84"/>
      <c r="P384" s="60"/>
      <c r="Q384" s="60"/>
      <c r="R384" s="60"/>
      <c r="S384" s="60"/>
      <c r="T384" s="60"/>
      <c r="U384" s="60"/>
      <c r="V384" s="60"/>
      <c r="W384" s="60"/>
    </row>
    <row r="385" spans="5:23" ht="13.5" customHeight="1" x14ac:dyDescent="0.35">
      <c r="E385" s="84"/>
      <c r="P385" s="60"/>
      <c r="Q385" s="60"/>
      <c r="R385" s="60"/>
      <c r="S385" s="60"/>
      <c r="T385" s="60"/>
      <c r="U385" s="60"/>
      <c r="V385" s="60"/>
      <c r="W385" s="60"/>
    </row>
    <row r="386" spans="5:23" ht="13.5" customHeight="1" x14ac:dyDescent="0.35">
      <c r="E386" s="84"/>
      <c r="P386" s="60"/>
      <c r="Q386" s="60"/>
      <c r="R386" s="60"/>
      <c r="S386" s="60"/>
      <c r="T386" s="60"/>
      <c r="U386" s="60"/>
      <c r="V386" s="60"/>
      <c r="W386" s="60"/>
    </row>
    <row r="387" spans="5:23" ht="13.5" customHeight="1" x14ac:dyDescent="0.35">
      <c r="E387" s="84"/>
      <c r="P387" s="60"/>
      <c r="Q387" s="60"/>
      <c r="R387" s="60"/>
      <c r="S387" s="60"/>
      <c r="T387" s="60"/>
      <c r="U387" s="60"/>
      <c r="V387" s="60"/>
      <c r="W387" s="60"/>
    </row>
    <row r="388" spans="5:23" ht="13.5" customHeight="1" x14ac:dyDescent="0.35">
      <c r="E388" s="84"/>
      <c r="P388" s="60"/>
      <c r="Q388" s="60"/>
      <c r="R388" s="60"/>
      <c r="S388" s="60"/>
      <c r="T388" s="60"/>
      <c r="U388" s="60"/>
      <c r="V388" s="60"/>
      <c r="W388" s="60"/>
    </row>
    <row r="389" spans="5:23" ht="13.5" customHeight="1" x14ac:dyDescent="0.35">
      <c r="E389" s="84"/>
      <c r="P389" s="60"/>
      <c r="Q389" s="60"/>
      <c r="R389" s="60"/>
      <c r="S389" s="60"/>
      <c r="T389" s="60"/>
      <c r="U389" s="60"/>
      <c r="V389" s="60"/>
      <c r="W389" s="60"/>
    </row>
    <row r="390" spans="5:23" ht="13.5" customHeight="1" x14ac:dyDescent="0.35">
      <c r="E390" s="84"/>
      <c r="P390" s="60"/>
      <c r="Q390" s="60"/>
      <c r="R390" s="60"/>
      <c r="S390" s="60"/>
      <c r="T390" s="60"/>
      <c r="U390" s="60"/>
      <c r="V390" s="60"/>
      <c r="W390" s="60"/>
    </row>
    <row r="391" spans="5:23" ht="13.5" customHeight="1" x14ac:dyDescent="0.35">
      <c r="E391" s="84"/>
      <c r="P391" s="60"/>
      <c r="Q391" s="60"/>
      <c r="R391" s="60"/>
      <c r="S391" s="60"/>
      <c r="T391" s="60"/>
      <c r="U391" s="60"/>
      <c r="V391" s="60"/>
      <c r="W391" s="60"/>
    </row>
    <row r="392" spans="5:23" ht="13.5" customHeight="1" x14ac:dyDescent="0.35">
      <c r="E392" s="84"/>
      <c r="P392" s="60"/>
      <c r="Q392" s="60"/>
      <c r="R392" s="60"/>
      <c r="S392" s="60"/>
      <c r="T392" s="60"/>
      <c r="U392" s="60"/>
      <c r="V392" s="60"/>
      <c r="W392" s="60"/>
    </row>
    <row r="393" spans="5:23" ht="13.5" customHeight="1" x14ac:dyDescent="0.35">
      <c r="E393" s="84"/>
      <c r="P393" s="60"/>
      <c r="Q393" s="60"/>
      <c r="R393" s="60"/>
      <c r="S393" s="60"/>
      <c r="T393" s="60"/>
      <c r="U393" s="60"/>
      <c r="V393" s="60"/>
      <c r="W393" s="60"/>
    </row>
    <row r="394" spans="5:23" ht="13.5" customHeight="1" x14ac:dyDescent="0.35">
      <c r="E394" s="84"/>
      <c r="P394" s="60"/>
      <c r="Q394" s="60"/>
      <c r="R394" s="60"/>
      <c r="S394" s="60"/>
      <c r="T394" s="60"/>
      <c r="U394" s="60"/>
      <c r="V394" s="60"/>
      <c r="W394" s="60"/>
    </row>
    <row r="395" spans="5:23" ht="13.5" customHeight="1" x14ac:dyDescent="0.35">
      <c r="E395" s="84"/>
      <c r="P395" s="60"/>
      <c r="Q395" s="60"/>
      <c r="R395" s="60"/>
      <c r="S395" s="60"/>
      <c r="T395" s="60"/>
      <c r="U395" s="60"/>
      <c r="V395" s="60"/>
      <c r="W395" s="60"/>
    </row>
    <row r="396" spans="5:23" ht="13.5" customHeight="1" x14ac:dyDescent="0.35">
      <c r="E396" s="84"/>
      <c r="P396" s="60"/>
      <c r="Q396" s="60"/>
      <c r="R396" s="60"/>
      <c r="S396" s="60"/>
      <c r="T396" s="60"/>
      <c r="U396" s="60"/>
      <c r="V396" s="60"/>
      <c r="W396" s="60"/>
    </row>
    <row r="397" spans="5:23" ht="13.5" customHeight="1" x14ac:dyDescent="0.35">
      <c r="E397" s="84"/>
      <c r="P397" s="60"/>
      <c r="Q397" s="60"/>
      <c r="R397" s="60"/>
      <c r="S397" s="60"/>
      <c r="T397" s="60"/>
      <c r="U397" s="60"/>
      <c r="V397" s="60"/>
      <c r="W397" s="60"/>
    </row>
    <row r="398" spans="5:23" ht="13.5" customHeight="1" x14ac:dyDescent="0.35">
      <c r="E398" s="84"/>
      <c r="P398" s="60"/>
      <c r="Q398" s="60"/>
      <c r="R398" s="60"/>
      <c r="S398" s="60"/>
      <c r="T398" s="60"/>
      <c r="U398" s="60"/>
      <c r="V398" s="60"/>
      <c r="W398" s="60"/>
    </row>
    <row r="399" spans="5:23" ht="13.5" customHeight="1" x14ac:dyDescent="0.35">
      <c r="E399" s="84"/>
      <c r="P399" s="60"/>
      <c r="Q399" s="60"/>
      <c r="R399" s="60"/>
      <c r="S399" s="60"/>
      <c r="T399" s="60"/>
      <c r="U399" s="60"/>
      <c r="V399" s="60"/>
      <c r="W399" s="60"/>
    </row>
    <row r="400" spans="5:23" ht="13.5" customHeight="1" x14ac:dyDescent="0.35">
      <c r="E400" s="84"/>
      <c r="P400" s="60"/>
      <c r="Q400" s="60"/>
      <c r="R400" s="60"/>
      <c r="S400" s="60"/>
      <c r="T400" s="60"/>
      <c r="U400" s="60"/>
      <c r="V400" s="60"/>
      <c r="W400" s="60"/>
    </row>
    <row r="401" spans="5:23" ht="13.5" customHeight="1" x14ac:dyDescent="0.35">
      <c r="E401" s="84"/>
      <c r="P401" s="60"/>
      <c r="Q401" s="60"/>
      <c r="R401" s="60"/>
      <c r="S401" s="60"/>
      <c r="T401" s="60"/>
      <c r="U401" s="60"/>
      <c r="V401" s="60"/>
      <c r="W401" s="60"/>
    </row>
    <row r="402" spans="5:23" ht="13.5" customHeight="1" x14ac:dyDescent="0.35">
      <c r="E402" s="84"/>
      <c r="P402" s="60"/>
      <c r="Q402" s="60"/>
      <c r="R402" s="60"/>
      <c r="S402" s="60"/>
      <c r="T402" s="60"/>
      <c r="U402" s="60"/>
      <c r="V402" s="60"/>
      <c r="W402" s="60"/>
    </row>
    <row r="403" spans="5:23" ht="13.5" customHeight="1" x14ac:dyDescent="0.35">
      <c r="E403" s="84"/>
      <c r="P403" s="60"/>
      <c r="Q403" s="60"/>
      <c r="R403" s="60"/>
      <c r="S403" s="60"/>
      <c r="T403" s="60"/>
      <c r="U403" s="60"/>
      <c r="V403" s="60"/>
      <c r="W403" s="60"/>
    </row>
    <row r="404" spans="5:23" ht="13.5" customHeight="1" x14ac:dyDescent="0.35">
      <c r="E404" s="84"/>
      <c r="P404" s="60"/>
      <c r="Q404" s="60"/>
      <c r="R404" s="60"/>
      <c r="S404" s="60"/>
      <c r="T404" s="60"/>
      <c r="U404" s="60"/>
      <c r="V404" s="60"/>
      <c r="W404" s="60"/>
    </row>
    <row r="405" spans="5:23" ht="13.5" customHeight="1" x14ac:dyDescent="0.35">
      <c r="E405" s="84"/>
      <c r="P405" s="60"/>
      <c r="Q405" s="60"/>
      <c r="R405" s="60"/>
      <c r="S405" s="60"/>
      <c r="T405" s="60"/>
      <c r="U405" s="60"/>
      <c r="V405" s="60"/>
      <c r="W405" s="60"/>
    </row>
    <row r="406" spans="5:23" ht="13.5" customHeight="1" x14ac:dyDescent="0.35">
      <c r="E406" s="84"/>
      <c r="P406" s="60"/>
      <c r="Q406" s="60"/>
      <c r="R406" s="60"/>
      <c r="S406" s="60"/>
      <c r="T406" s="60"/>
      <c r="U406" s="60"/>
      <c r="V406" s="60"/>
      <c r="W406" s="60"/>
    </row>
    <row r="407" spans="5:23" ht="13.5" customHeight="1" x14ac:dyDescent="0.35">
      <c r="E407" s="84"/>
      <c r="P407" s="60"/>
      <c r="Q407" s="60"/>
      <c r="R407" s="60"/>
      <c r="S407" s="60"/>
      <c r="T407" s="60"/>
      <c r="U407" s="60"/>
      <c r="V407" s="60"/>
      <c r="W407" s="60"/>
    </row>
    <row r="408" spans="5:23" ht="13.5" customHeight="1" x14ac:dyDescent="0.35">
      <c r="E408" s="84"/>
      <c r="P408" s="60"/>
      <c r="Q408" s="60"/>
      <c r="R408" s="60"/>
      <c r="S408" s="60"/>
      <c r="T408" s="60"/>
      <c r="U408" s="60"/>
      <c r="V408" s="60"/>
      <c r="W408" s="60"/>
    </row>
    <row r="409" spans="5:23" ht="13.5" customHeight="1" x14ac:dyDescent="0.35">
      <c r="E409" s="84"/>
      <c r="P409" s="60"/>
      <c r="Q409" s="60"/>
      <c r="R409" s="60"/>
      <c r="S409" s="60"/>
      <c r="T409" s="60"/>
      <c r="U409" s="60"/>
      <c r="V409" s="60"/>
      <c r="W409" s="60"/>
    </row>
    <row r="410" spans="5:23" ht="13.5" customHeight="1" x14ac:dyDescent="0.35">
      <c r="E410" s="84"/>
      <c r="P410" s="60"/>
      <c r="Q410" s="60"/>
      <c r="R410" s="60"/>
      <c r="S410" s="60"/>
      <c r="T410" s="60"/>
      <c r="U410" s="60"/>
      <c r="V410" s="60"/>
      <c r="W410" s="60"/>
    </row>
    <row r="411" spans="5:23" ht="13.5" customHeight="1" x14ac:dyDescent="0.35">
      <c r="E411" s="84"/>
      <c r="P411" s="60"/>
      <c r="Q411" s="60"/>
      <c r="R411" s="60"/>
      <c r="S411" s="60"/>
      <c r="T411" s="60"/>
      <c r="U411" s="60"/>
      <c r="V411" s="60"/>
      <c r="W411" s="60"/>
    </row>
    <row r="412" spans="5:23" ht="13.5" customHeight="1" x14ac:dyDescent="0.35">
      <c r="E412" s="84"/>
      <c r="P412" s="60"/>
      <c r="Q412" s="60"/>
      <c r="R412" s="60"/>
      <c r="S412" s="60"/>
      <c r="T412" s="60"/>
      <c r="U412" s="60"/>
      <c r="V412" s="60"/>
      <c r="W412" s="60"/>
    </row>
    <row r="413" spans="5:23" ht="13.5" customHeight="1" x14ac:dyDescent="0.35">
      <c r="E413" s="84"/>
      <c r="P413" s="60"/>
      <c r="Q413" s="60"/>
      <c r="R413" s="60"/>
      <c r="S413" s="60"/>
      <c r="T413" s="60"/>
      <c r="U413" s="60"/>
      <c r="V413" s="60"/>
      <c r="W413" s="60"/>
    </row>
    <row r="414" spans="5:23" ht="13.5" customHeight="1" x14ac:dyDescent="0.35">
      <c r="E414" s="84"/>
      <c r="P414" s="60"/>
      <c r="Q414" s="60"/>
      <c r="R414" s="60"/>
      <c r="S414" s="60"/>
      <c r="T414" s="60"/>
      <c r="U414" s="60"/>
      <c r="V414" s="60"/>
      <c r="W414" s="60"/>
    </row>
    <row r="415" spans="5:23" ht="13.5" customHeight="1" x14ac:dyDescent="0.35">
      <c r="E415" s="84"/>
      <c r="P415" s="60"/>
      <c r="Q415" s="60"/>
      <c r="R415" s="60"/>
      <c r="S415" s="60"/>
      <c r="T415" s="60"/>
      <c r="U415" s="60"/>
      <c r="V415" s="60"/>
      <c r="W415" s="60"/>
    </row>
    <row r="416" spans="5:23" ht="13.5" customHeight="1" x14ac:dyDescent="0.35">
      <c r="E416" s="84"/>
      <c r="P416" s="60"/>
      <c r="Q416" s="60"/>
      <c r="R416" s="60"/>
      <c r="S416" s="60"/>
      <c r="T416" s="60"/>
      <c r="U416" s="60"/>
      <c r="V416" s="60"/>
      <c r="W416" s="60"/>
    </row>
    <row r="417" spans="5:23" ht="13.5" customHeight="1" x14ac:dyDescent="0.35">
      <c r="E417" s="84"/>
      <c r="P417" s="60"/>
      <c r="Q417" s="60"/>
      <c r="R417" s="60"/>
      <c r="S417" s="60"/>
      <c r="T417" s="60"/>
      <c r="U417" s="60"/>
      <c r="V417" s="60"/>
      <c r="W417" s="60"/>
    </row>
    <row r="418" spans="5:23" ht="13.5" customHeight="1" x14ac:dyDescent="0.35">
      <c r="E418" s="84"/>
      <c r="P418" s="60"/>
      <c r="Q418" s="60"/>
      <c r="R418" s="60"/>
      <c r="S418" s="60"/>
      <c r="T418" s="60"/>
      <c r="U418" s="60"/>
      <c r="V418" s="60"/>
      <c r="W418" s="60"/>
    </row>
    <row r="419" spans="5:23" ht="13.5" customHeight="1" x14ac:dyDescent="0.35">
      <c r="E419" s="84"/>
      <c r="P419" s="60"/>
      <c r="Q419" s="60"/>
      <c r="R419" s="60"/>
      <c r="S419" s="60"/>
      <c r="T419" s="60"/>
      <c r="U419" s="60"/>
      <c r="V419" s="60"/>
      <c r="W419" s="60"/>
    </row>
    <row r="420" spans="5:23" ht="13.5" customHeight="1" x14ac:dyDescent="0.35">
      <c r="E420" s="84"/>
      <c r="P420" s="60"/>
      <c r="Q420" s="60"/>
      <c r="R420" s="60"/>
      <c r="S420" s="60"/>
      <c r="T420" s="60"/>
      <c r="U420" s="60"/>
      <c r="V420" s="60"/>
      <c r="W420" s="60"/>
    </row>
    <row r="421" spans="5:23" ht="13.5" customHeight="1" x14ac:dyDescent="0.35">
      <c r="E421" s="84"/>
      <c r="P421" s="60"/>
      <c r="Q421" s="60"/>
      <c r="R421" s="60"/>
      <c r="S421" s="60"/>
      <c r="T421" s="60"/>
      <c r="U421" s="60"/>
      <c r="V421" s="60"/>
      <c r="W421" s="60"/>
    </row>
    <row r="422" spans="5:23" ht="13.5" customHeight="1" x14ac:dyDescent="0.35">
      <c r="E422" s="84"/>
      <c r="P422" s="60"/>
      <c r="Q422" s="60"/>
      <c r="R422" s="60"/>
      <c r="S422" s="60"/>
      <c r="T422" s="60"/>
      <c r="U422" s="60"/>
      <c r="V422" s="60"/>
      <c r="W422" s="60"/>
    </row>
    <row r="423" spans="5:23" ht="13.5" customHeight="1" x14ac:dyDescent="0.35">
      <c r="E423" s="84"/>
      <c r="P423" s="60"/>
      <c r="Q423" s="60"/>
      <c r="R423" s="60"/>
      <c r="S423" s="60"/>
      <c r="T423" s="60"/>
      <c r="U423" s="60"/>
      <c r="V423" s="60"/>
      <c r="W423" s="60"/>
    </row>
    <row r="424" spans="5:23" ht="13.5" customHeight="1" x14ac:dyDescent="0.35">
      <c r="E424" s="84"/>
      <c r="P424" s="60"/>
      <c r="Q424" s="60"/>
      <c r="R424" s="60"/>
      <c r="S424" s="60"/>
      <c r="T424" s="60"/>
      <c r="U424" s="60"/>
      <c r="V424" s="60"/>
      <c r="W424" s="60"/>
    </row>
    <row r="425" spans="5:23" ht="13.5" customHeight="1" x14ac:dyDescent="0.35">
      <c r="E425" s="84"/>
      <c r="P425" s="60"/>
      <c r="Q425" s="60"/>
      <c r="R425" s="60"/>
      <c r="S425" s="60"/>
      <c r="T425" s="60"/>
      <c r="U425" s="60"/>
      <c r="V425" s="60"/>
      <c r="W425" s="60"/>
    </row>
    <row r="426" spans="5:23" ht="13.5" customHeight="1" x14ac:dyDescent="0.35">
      <c r="E426" s="84"/>
      <c r="P426" s="60"/>
      <c r="Q426" s="60"/>
      <c r="R426" s="60"/>
      <c r="S426" s="60"/>
      <c r="T426" s="60"/>
      <c r="U426" s="60"/>
      <c r="V426" s="60"/>
      <c r="W426" s="60"/>
    </row>
    <row r="427" spans="5:23" ht="13.5" customHeight="1" x14ac:dyDescent="0.35">
      <c r="E427" s="84"/>
      <c r="P427" s="60"/>
      <c r="Q427" s="60"/>
      <c r="R427" s="60"/>
      <c r="S427" s="60"/>
      <c r="T427" s="60"/>
      <c r="U427" s="60"/>
      <c r="V427" s="60"/>
      <c r="W427" s="60"/>
    </row>
    <row r="428" spans="5:23" ht="13.5" customHeight="1" x14ac:dyDescent="0.35">
      <c r="E428" s="84"/>
      <c r="P428" s="60"/>
      <c r="Q428" s="60"/>
      <c r="R428" s="60"/>
      <c r="S428" s="60"/>
      <c r="T428" s="60"/>
      <c r="U428" s="60"/>
      <c r="V428" s="60"/>
      <c r="W428" s="60"/>
    </row>
    <row r="429" spans="5:23" ht="13.5" customHeight="1" x14ac:dyDescent="0.35">
      <c r="E429" s="84"/>
      <c r="P429" s="60"/>
      <c r="Q429" s="60"/>
      <c r="R429" s="60"/>
      <c r="S429" s="60"/>
      <c r="T429" s="60"/>
      <c r="U429" s="60"/>
      <c r="V429" s="60"/>
      <c r="W429" s="60"/>
    </row>
    <row r="430" spans="5:23" ht="13.5" customHeight="1" x14ac:dyDescent="0.35">
      <c r="E430" s="84"/>
      <c r="P430" s="60"/>
      <c r="Q430" s="60"/>
      <c r="R430" s="60"/>
      <c r="S430" s="60"/>
      <c r="T430" s="60"/>
      <c r="U430" s="60"/>
      <c r="V430" s="60"/>
      <c r="W430" s="60"/>
    </row>
    <row r="431" spans="5:23" ht="13.5" customHeight="1" x14ac:dyDescent="0.35">
      <c r="E431" s="84"/>
      <c r="P431" s="60"/>
      <c r="Q431" s="60"/>
      <c r="R431" s="60"/>
      <c r="S431" s="60"/>
      <c r="T431" s="60"/>
      <c r="U431" s="60"/>
      <c r="V431" s="60"/>
      <c r="W431" s="60"/>
    </row>
    <row r="432" spans="5:23" ht="13.5" customHeight="1" x14ac:dyDescent="0.35">
      <c r="E432" s="84"/>
      <c r="P432" s="60"/>
      <c r="Q432" s="60"/>
      <c r="R432" s="60"/>
      <c r="S432" s="60"/>
      <c r="T432" s="60"/>
      <c r="U432" s="60"/>
      <c r="V432" s="60"/>
      <c r="W432" s="60"/>
    </row>
    <row r="433" spans="5:23" ht="13.5" customHeight="1" x14ac:dyDescent="0.35">
      <c r="E433" s="84"/>
      <c r="P433" s="60"/>
      <c r="Q433" s="60"/>
      <c r="R433" s="60"/>
      <c r="S433" s="60"/>
      <c r="T433" s="60"/>
      <c r="U433" s="60"/>
      <c r="V433" s="60"/>
      <c r="W433" s="60"/>
    </row>
    <row r="434" spans="5:23" ht="13.5" customHeight="1" x14ac:dyDescent="0.35">
      <c r="E434" s="84"/>
      <c r="P434" s="60"/>
      <c r="Q434" s="60"/>
      <c r="R434" s="60"/>
      <c r="S434" s="60"/>
      <c r="T434" s="60"/>
      <c r="U434" s="60"/>
      <c r="V434" s="60"/>
      <c r="W434" s="60"/>
    </row>
    <row r="435" spans="5:23" ht="13.5" customHeight="1" x14ac:dyDescent="0.35">
      <c r="E435" s="84"/>
      <c r="P435" s="60"/>
      <c r="Q435" s="60"/>
      <c r="R435" s="60"/>
      <c r="S435" s="60"/>
      <c r="T435" s="60"/>
      <c r="U435" s="60"/>
      <c r="V435" s="60"/>
      <c r="W435" s="60"/>
    </row>
    <row r="436" spans="5:23" ht="13.5" customHeight="1" x14ac:dyDescent="0.35">
      <c r="E436" s="84"/>
      <c r="P436" s="60"/>
      <c r="Q436" s="60"/>
      <c r="R436" s="60"/>
      <c r="S436" s="60"/>
      <c r="T436" s="60"/>
      <c r="U436" s="60"/>
      <c r="V436" s="60"/>
      <c r="W436" s="60"/>
    </row>
    <row r="437" spans="5:23" ht="13.5" customHeight="1" x14ac:dyDescent="0.35">
      <c r="E437" s="84"/>
      <c r="P437" s="60"/>
      <c r="Q437" s="60"/>
      <c r="R437" s="60"/>
      <c r="S437" s="60"/>
      <c r="T437" s="60"/>
      <c r="U437" s="60"/>
      <c r="V437" s="60"/>
      <c r="W437" s="60"/>
    </row>
    <row r="438" spans="5:23" ht="13.5" customHeight="1" x14ac:dyDescent="0.35">
      <c r="E438" s="84"/>
      <c r="P438" s="60"/>
      <c r="Q438" s="60"/>
      <c r="R438" s="60"/>
      <c r="S438" s="60"/>
      <c r="T438" s="60"/>
      <c r="U438" s="60"/>
      <c r="V438" s="60"/>
      <c r="W438" s="60"/>
    </row>
    <row r="439" spans="5:23" ht="13.5" customHeight="1" x14ac:dyDescent="0.35">
      <c r="E439" s="84"/>
      <c r="P439" s="60"/>
      <c r="Q439" s="60"/>
      <c r="R439" s="60"/>
      <c r="S439" s="60"/>
      <c r="T439" s="60"/>
      <c r="U439" s="60"/>
      <c r="V439" s="60"/>
      <c r="W439" s="60"/>
    </row>
    <row r="440" spans="5:23" ht="13.5" customHeight="1" x14ac:dyDescent="0.35">
      <c r="E440" s="84"/>
      <c r="P440" s="60"/>
      <c r="Q440" s="60"/>
      <c r="R440" s="60"/>
      <c r="S440" s="60"/>
      <c r="T440" s="60"/>
      <c r="U440" s="60"/>
      <c r="V440" s="60"/>
      <c r="W440" s="60"/>
    </row>
    <row r="441" spans="5:23" ht="13.5" customHeight="1" x14ac:dyDescent="0.35">
      <c r="E441" s="84"/>
      <c r="P441" s="60"/>
      <c r="Q441" s="60"/>
      <c r="R441" s="60"/>
      <c r="S441" s="60"/>
      <c r="T441" s="60"/>
      <c r="U441" s="60"/>
      <c r="V441" s="60"/>
      <c r="W441" s="60"/>
    </row>
    <row r="442" spans="5:23" ht="13.5" customHeight="1" x14ac:dyDescent="0.35">
      <c r="E442" s="84"/>
      <c r="P442" s="60"/>
      <c r="Q442" s="60"/>
      <c r="R442" s="60"/>
      <c r="S442" s="60"/>
      <c r="T442" s="60"/>
      <c r="U442" s="60"/>
      <c r="V442" s="60"/>
      <c r="W442" s="60"/>
    </row>
    <row r="443" spans="5:23" ht="13.5" customHeight="1" x14ac:dyDescent="0.35">
      <c r="E443" s="84"/>
      <c r="P443" s="60"/>
      <c r="Q443" s="60"/>
      <c r="R443" s="60"/>
      <c r="S443" s="60"/>
      <c r="T443" s="60"/>
      <c r="U443" s="60"/>
      <c r="V443" s="60"/>
      <c r="W443" s="60"/>
    </row>
    <row r="444" spans="5:23" ht="13.5" customHeight="1" x14ac:dyDescent="0.35">
      <c r="E444" s="84"/>
      <c r="P444" s="60"/>
      <c r="Q444" s="60"/>
      <c r="R444" s="60"/>
      <c r="S444" s="60"/>
      <c r="T444" s="60"/>
      <c r="U444" s="60"/>
      <c r="V444" s="60"/>
      <c r="W444" s="60"/>
    </row>
    <row r="445" spans="5:23" ht="13.5" customHeight="1" x14ac:dyDescent="0.35">
      <c r="E445" s="84"/>
      <c r="P445" s="60"/>
      <c r="Q445" s="60"/>
      <c r="R445" s="60"/>
      <c r="S445" s="60"/>
      <c r="T445" s="60"/>
      <c r="U445" s="60"/>
      <c r="V445" s="60"/>
      <c r="W445" s="60"/>
    </row>
    <row r="446" spans="5:23" ht="13.5" customHeight="1" x14ac:dyDescent="0.35">
      <c r="E446" s="84"/>
      <c r="P446" s="60"/>
      <c r="Q446" s="60"/>
      <c r="R446" s="60"/>
      <c r="S446" s="60"/>
      <c r="T446" s="60"/>
      <c r="U446" s="60"/>
      <c r="V446" s="60"/>
      <c r="W446" s="60"/>
    </row>
    <row r="447" spans="5:23" ht="13.5" customHeight="1" x14ac:dyDescent="0.35">
      <c r="E447" s="84"/>
      <c r="P447" s="60"/>
      <c r="Q447" s="60"/>
      <c r="R447" s="60"/>
      <c r="S447" s="60"/>
      <c r="T447" s="60"/>
      <c r="U447" s="60"/>
      <c r="V447" s="60"/>
      <c r="W447" s="60"/>
    </row>
    <row r="448" spans="5:23" ht="13.5" customHeight="1" x14ac:dyDescent="0.35">
      <c r="E448" s="84"/>
      <c r="P448" s="60"/>
      <c r="Q448" s="60"/>
      <c r="R448" s="60"/>
      <c r="S448" s="60"/>
      <c r="T448" s="60"/>
      <c r="U448" s="60"/>
      <c r="V448" s="60"/>
      <c r="W448" s="60"/>
    </row>
    <row r="449" spans="5:23" ht="13.5" customHeight="1" x14ac:dyDescent="0.35">
      <c r="E449" s="84"/>
      <c r="P449" s="60"/>
      <c r="Q449" s="60"/>
      <c r="R449" s="60"/>
      <c r="S449" s="60"/>
      <c r="T449" s="60"/>
      <c r="U449" s="60"/>
      <c r="V449" s="60"/>
      <c r="W449" s="60"/>
    </row>
    <row r="450" spans="5:23" ht="13.5" customHeight="1" x14ac:dyDescent="0.35">
      <c r="E450" s="84"/>
      <c r="P450" s="60"/>
      <c r="Q450" s="60"/>
      <c r="R450" s="60"/>
      <c r="S450" s="60"/>
      <c r="T450" s="60"/>
      <c r="U450" s="60"/>
      <c r="V450" s="60"/>
      <c r="W450" s="60"/>
    </row>
    <row r="451" spans="5:23" ht="13.5" customHeight="1" x14ac:dyDescent="0.35">
      <c r="E451" s="84"/>
      <c r="P451" s="60"/>
      <c r="Q451" s="60"/>
      <c r="R451" s="60"/>
      <c r="S451" s="60"/>
      <c r="T451" s="60"/>
      <c r="U451" s="60"/>
      <c r="V451" s="60"/>
      <c r="W451" s="60"/>
    </row>
    <row r="452" spans="5:23" ht="13.5" customHeight="1" x14ac:dyDescent="0.35">
      <c r="E452" s="84"/>
      <c r="P452" s="60"/>
      <c r="Q452" s="60"/>
      <c r="R452" s="60"/>
      <c r="S452" s="60"/>
      <c r="T452" s="60"/>
      <c r="U452" s="60"/>
      <c r="V452" s="60"/>
      <c r="W452" s="60"/>
    </row>
    <row r="453" spans="5:23" ht="13.5" customHeight="1" x14ac:dyDescent="0.35">
      <c r="E453" s="84"/>
      <c r="P453" s="60"/>
      <c r="Q453" s="60"/>
      <c r="R453" s="60"/>
      <c r="S453" s="60"/>
      <c r="T453" s="60"/>
      <c r="U453" s="60"/>
      <c r="V453" s="60"/>
      <c r="W453" s="60"/>
    </row>
    <row r="454" spans="5:23" ht="13.5" customHeight="1" x14ac:dyDescent="0.35">
      <c r="E454" s="84"/>
      <c r="P454" s="60"/>
      <c r="Q454" s="60"/>
      <c r="R454" s="60"/>
      <c r="S454" s="60"/>
      <c r="T454" s="60"/>
      <c r="U454" s="60"/>
      <c r="V454" s="60"/>
      <c r="W454" s="60"/>
    </row>
    <row r="455" spans="5:23" ht="13.5" customHeight="1" x14ac:dyDescent="0.35">
      <c r="E455" s="84"/>
      <c r="P455" s="60"/>
      <c r="Q455" s="60"/>
      <c r="R455" s="60"/>
      <c r="S455" s="60"/>
      <c r="T455" s="60"/>
      <c r="U455" s="60"/>
      <c r="V455" s="60"/>
      <c r="W455" s="60"/>
    </row>
    <row r="456" spans="5:23" ht="13.5" customHeight="1" x14ac:dyDescent="0.35">
      <c r="E456" s="84"/>
      <c r="P456" s="60"/>
      <c r="Q456" s="60"/>
      <c r="R456" s="60"/>
      <c r="S456" s="60"/>
      <c r="T456" s="60"/>
      <c r="U456" s="60"/>
      <c r="V456" s="60"/>
      <c r="W456" s="60"/>
    </row>
    <row r="457" spans="5:23" ht="13.5" customHeight="1" x14ac:dyDescent="0.35">
      <c r="E457" s="84"/>
      <c r="P457" s="60"/>
      <c r="Q457" s="60"/>
      <c r="R457" s="60"/>
      <c r="S457" s="60"/>
      <c r="T457" s="60"/>
      <c r="U457" s="60"/>
      <c r="V457" s="60"/>
      <c r="W457" s="60"/>
    </row>
    <row r="458" spans="5:23" ht="13.5" customHeight="1" x14ac:dyDescent="0.35">
      <c r="E458" s="84"/>
      <c r="P458" s="60"/>
      <c r="Q458" s="60"/>
      <c r="R458" s="60"/>
      <c r="S458" s="60"/>
      <c r="T458" s="60"/>
      <c r="U458" s="60"/>
      <c r="V458" s="60"/>
      <c r="W458" s="60"/>
    </row>
    <row r="459" spans="5:23" ht="13.5" customHeight="1" x14ac:dyDescent="0.35">
      <c r="E459" s="84"/>
      <c r="P459" s="60"/>
      <c r="Q459" s="60"/>
      <c r="R459" s="60"/>
      <c r="S459" s="60"/>
      <c r="T459" s="60"/>
      <c r="U459" s="60"/>
      <c r="V459" s="60"/>
      <c r="W459" s="60"/>
    </row>
    <row r="460" spans="5:23" ht="13.5" customHeight="1" x14ac:dyDescent="0.35">
      <c r="E460" s="84"/>
      <c r="P460" s="60"/>
      <c r="Q460" s="60"/>
      <c r="R460" s="60"/>
      <c r="S460" s="60"/>
      <c r="T460" s="60"/>
      <c r="U460" s="60"/>
      <c r="V460" s="60"/>
      <c r="W460" s="60"/>
    </row>
    <row r="461" spans="5:23" ht="13.5" customHeight="1" x14ac:dyDescent="0.35">
      <c r="E461" s="84"/>
      <c r="P461" s="60"/>
      <c r="Q461" s="60"/>
      <c r="R461" s="60"/>
      <c r="S461" s="60"/>
      <c r="T461" s="60"/>
      <c r="U461" s="60"/>
      <c r="V461" s="60"/>
      <c r="W461" s="60"/>
    </row>
    <row r="462" spans="5:23" ht="13.5" customHeight="1" x14ac:dyDescent="0.35">
      <c r="E462" s="84"/>
      <c r="P462" s="60"/>
      <c r="Q462" s="60"/>
      <c r="R462" s="60"/>
      <c r="S462" s="60"/>
      <c r="T462" s="60"/>
      <c r="U462" s="60"/>
      <c r="V462" s="60"/>
      <c r="W462" s="60"/>
    </row>
    <row r="463" spans="5:23" ht="13.5" customHeight="1" x14ac:dyDescent="0.35">
      <c r="E463" s="84"/>
      <c r="P463" s="60"/>
      <c r="Q463" s="60"/>
      <c r="R463" s="60"/>
      <c r="S463" s="60"/>
      <c r="T463" s="60"/>
      <c r="U463" s="60"/>
      <c r="V463" s="60"/>
      <c r="W463" s="60"/>
    </row>
    <row r="464" spans="5:23" ht="13.5" customHeight="1" x14ac:dyDescent="0.35">
      <c r="E464" s="84"/>
      <c r="P464" s="60"/>
      <c r="Q464" s="60"/>
      <c r="R464" s="60"/>
      <c r="S464" s="60"/>
      <c r="T464" s="60"/>
      <c r="U464" s="60"/>
      <c r="V464" s="60"/>
      <c r="W464" s="60"/>
    </row>
    <row r="465" spans="5:23" ht="13.5" customHeight="1" x14ac:dyDescent="0.35">
      <c r="E465" s="84"/>
      <c r="P465" s="60"/>
      <c r="Q465" s="60"/>
      <c r="R465" s="60"/>
      <c r="S465" s="60"/>
      <c r="T465" s="60"/>
      <c r="U465" s="60"/>
      <c r="V465" s="60"/>
      <c r="W465" s="60"/>
    </row>
    <row r="466" spans="5:23" ht="13.5" customHeight="1" x14ac:dyDescent="0.35">
      <c r="E466" s="84"/>
      <c r="P466" s="60"/>
      <c r="Q466" s="60"/>
      <c r="R466" s="60"/>
      <c r="S466" s="60"/>
      <c r="T466" s="60"/>
      <c r="U466" s="60"/>
      <c r="V466" s="60"/>
      <c r="W466" s="60"/>
    </row>
    <row r="467" spans="5:23" ht="13.5" customHeight="1" x14ac:dyDescent="0.35">
      <c r="E467" s="84"/>
      <c r="P467" s="60"/>
      <c r="Q467" s="60"/>
      <c r="R467" s="60"/>
      <c r="S467" s="60"/>
      <c r="T467" s="60"/>
      <c r="U467" s="60"/>
      <c r="V467" s="60"/>
      <c r="W467" s="60"/>
    </row>
    <row r="468" spans="5:23" ht="13.5" customHeight="1" x14ac:dyDescent="0.35">
      <c r="E468" s="84"/>
      <c r="P468" s="60"/>
      <c r="Q468" s="60"/>
      <c r="R468" s="60"/>
      <c r="S468" s="60"/>
      <c r="T468" s="60"/>
      <c r="U468" s="60"/>
      <c r="V468" s="60"/>
      <c r="W468" s="60"/>
    </row>
    <row r="469" spans="5:23" ht="13.5" customHeight="1" x14ac:dyDescent="0.35">
      <c r="E469" s="84"/>
      <c r="P469" s="60"/>
      <c r="Q469" s="60"/>
      <c r="R469" s="60"/>
      <c r="S469" s="60"/>
      <c r="T469" s="60"/>
      <c r="U469" s="60"/>
      <c r="V469" s="60"/>
      <c r="W469" s="60"/>
    </row>
    <row r="470" spans="5:23" ht="13.5" customHeight="1" x14ac:dyDescent="0.35">
      <c r="E470" s="84"/>
      <c r="P470" s="60"/>
      <c r="Q470" s="60"/>
      <c r="R470" s="60"/>
      <c r="S470" s="60"/>
      <c r="T470" s="60"/>
      <c r="U470" s="60"/>
      <c r="V470" s="60"/>
      <c r="W470" s="60"/>
    </row>
    <row r="471" spans="5:23" ht="13.5" customHeight="1" x14ac:dyDescent="0.35">
      <c r="E471" s="84"/>
      <c r="P471" s="60"/>
      <c r="Q471" s="60"/>
      <c r="R471" s="60"/>
      <c r="S471" s="60"/>
      <c r="T471" s="60"/>
      <c r="U471" s="60"/>
      <c r="V471" s="60"/>
      <c r="W471" s="60"/>
    </row>
    <row r="472" spans="5:23" ht="13.5" customHeight="1" x14ac:dyDescent="0.35">
      <c r="E472" s="84"/>
      <c r="P472" s="60"/>
      <c r="Q472" s="60"/>
      <c r="R472" s="60"/>
      <c r="S472" s="60"/>
      <c r="T472" s="60"/>
      <c r="U472" s="60"/>
      <c r="V472" s="60"/>
      <c r="W472" s="60"/>
    </row>
    <row r="473" spans="5:23" ht="13.5" customHeight="1" x14ac:dyDescent="0.35">
      <c r="E473" s="84"/>
      <c r="P473" s="60"/>
      <c r="Q473" s="60"/>
      <c r="R473" s="60"/>
      <c r="S473" s="60"/>
      <c r="T473" s="60"/>
      <c r="U473" s="60"/>
      <c r="V473" s="60"/>
      <c r="W473" s="60"/>
    </row>
    <row r="474" spans="5:23" ht="13.5" customHeight="1" x14ac:dyDescent="0.35">
      <c r="E474" s="84"/>
      <c r="P474" s="60"/>
      <c r="Q474" s="60"/>
      <c r="R474" s="60"/>
      <c r="S474" s="60"/>
      <c r="T474" s="60"/>
      <c r="U474" s="60"/>
      <c r="V474" s="60"/>
      <c r="W474" s="60"/>
    </row>
    <row r="475" spans="5:23" ht="13.5" customHeight="1" x14ac:dyDescent="0.35">
      <c r="E475" s="84"/>
      <c r="P475" s="60"/>
      <c r="Q475" s="60"/>
      <c r="R475" s="60"/>
      <c r="S475" s="60"/>
      <c r="T475" s="60"/>
      <c r="U475" s="60"/>
      <c r="V475" s="60"/>
      <c r="W475" s="60"/>
    </row>
    <row r="476" spans="5:23" ht="13.5" customHeight="1" x14ac:dyDescent="0.35">
      <c r="E476" s="84"/>
      <c r="P476" s="60"/>
      <c r="Q476" s="60"/>
      <c r="R476" s="60"/>
      <c r="S476" s="60"/>
      <c r="T476" s="60"/>
      <c r="U476" s="60"/>
      <c r="V476" s="60"/>
      <c r="W476" s="60"/>
    </row>
    <row r="477" spans="5:23" ht="13.5" customHeight="1" x14ac:dyDescent="0.35">
      <c r="E477" s="84"/>
      <c r="P477" s="60"/>
      <c r="Q477" s="60"/>
      <c r="R477" s="60"/>
      <c r="S477" s="60"/>
      <c r="T477" s="60"/>
      <c r="U477" s="60"/>
      <c r="V477" s="60"/>
      <c r="W477" s="60"/>
    </row>
    <row r="478" spans="5:23" ht="13.5" customHeight="1" x14ac:dyDescent="0.35">
      <c r="E478" s="84"/>
      <c r="P478" s="60"/>
      <c r="Q478" s="60"/>
      <c r="R478" s="60"/>
      <c r="S478" s="60"/>
      <c r="T478" s="60"/>
      <c r="U478" s="60"/>
      <c r="V478" s="60"/>
      <c r="W478" s="60"/>
    </row>
    <row r="479" spans="5:23" ht="13.5" customHeight="1" x14ac:dyDescent="0.35">
      <c r="E479" s="84"/>
      <c r="P479" s="60"/>
      <c r="Q479" s="60"/>
      <c r="R479" s="60"/>
      <c r="S479" s="60"/>
      <c r="T479" s="60"/>
      <c r="U479" s="60"/>
      <c r="V479" s="60"/>
      <c r="W479" s="60"/>
    </row>
    <row r="480" spans="5:23" ht="13.5" customHeight="1" x14ac:dyDescent="0.35">
      <c r="E480" s="84"/>
      <c r="P480" s="60"/>
      <c r="Q480" s="60"/>
      <c r="R480" s="60"/>
      <c r="S480" s="60"/>
      <c r="T480" s="60"/>
      <c r="U480" s="60"/>
      <c r="V480" s="60"/>
      <c r="W480" s="60"/>
    </row>
    <row r="481" spans="5:23" ht="13.5" customHeight="1" x14ac:dyDescent="0.35">
      <c r="E481" s="84"/>
      <c r="P481" s="60"/>
      <c r="Q481" s="60"/>
      <c r="R481" s="60"/>
      <c r="S481" s="60"/>
      <c r="T481" s="60"/>
      <c r="U481" s="60"/>
      <c r="V481" s="60"/>
      <c r="W481" s="60"/>
    </row>
    <row r="482" spans="5:23" ht="13.5" customHeight="1" x14ac:dyDescent="0.35">
      <c r="E482" s="84"/>
      <c r="P482" s="60"/>
      <c r="Q482" s="60"/>
      <c r="R482" s="60"/>
      <c r="S482" s="60"/>
      <c r="T482" s="60"/>
      <c r="U482" s="60"/>
      <c r="V482" s="60"/>
      <c r="W482" s="60"/>
    </row>
    <row r="483" spans="5:23" ht="13.5" customHeight="1" x14ac:dyDescent="0.35">
      <c r="E483" s="84"/>
      <c r="P483" s="60"/>
      <c r="Q483" s="60"/>
      <c r="R483" s="60"/>
      <c r="S483" s="60"/>
      <c r="T483" s="60"/>
      <c r="U483" s="60"/>
      <c r="V483" s="60"/>
      <c r="W483" s="60"/>
    </row>
    <row r="484" spans="5:23" ht="13.5" customHeight="1" x14ac:dyDescent="0.35">
      <c r="E484" s="84"/>
      <c r="P484" s="60"/>
      <c r="Q484" s="60"/>
      <c r="R484" s="60"/>
      <c r="S484" s="60"/>
      <c r="T484" s="60"/>
      <c r="U484" s="60"/>
      <c r="V484" s="60"/>
      <c r="W484" s="60"/>
    </row>
    <row r="485" spans="5:23" ht="13.5" customHeight="1" x14ac:dyDescent="0.35">
      <c r="E485" s="84"/>
      <c r="P485" s="60"/>
      <c r="Q485" s="60"/>
      <c r="R485" s="60"/>
      <c r="S485" s="60"/>
      <c r="T485" s="60"/>
      <c r="U485" s="60"/>
      <c r="V485" s="60"/>
      <c r="W485" s="60"/>
    </row>
    <row r="486" spans="5:23" ht="13.5" customHeight="1" x14ac:dyDescent="0.35">
      <c r="E486" s="84"/>
      <c r="P486" s="60"/>
      <c r="Q486" s="60"/>
      <c r="R486" s="60"/>
      <c r="S486" s="60"/>
      <c r="T486" s="60"/>
      <c r="U486" s="60"/>
      <c r="V486" s="60"/>
      <c r="W486" s="60"/>
    </row>
    <row r="487" spans="5:23" ht="13.5" customHeight="1" x14ac:dyDescent="0.35">
      <c r="E487" s="84"/>
      <c r="P487" s="60"/>
      <c r="Q487" s="60"/>
      <c r="R487" s="60"/>
      <c r="S487" s="60"/>
      <c r="T487" s="60"/>
      <c r="U487" s="60"/>
      <c r="V487" s="60"/>
      <c r="W487" s="60"/>
    </row>
    <row r="488" spans="5:23" ht="13.5" customHeight="1" x14ac:dyDescent="0.35">
      <c r="E488" s="84"/>
      <c r="P488" s="60"/>
      <c r="Q488" s="60"/>
      <c r="R488" s="60"/>
      <c r="S488" s="60"/>
      <c r="T488" s="60"/>
      <c r="U488" s="60"/>
      <c r="V488" s="60"/>
      <c r="W488" s="60"/>
    </row>
    <row r="489" spans="5:23" ht="13.5" customHeight="1" x14ac:dyDescent="0.35">
      <c r="E489" s="84"/>
      <c r="P489" s="60"/>
      <c r="Q489" s="60"/>
      <c r="R489" s="60"/>
      <c r="S489" s="60"/>
      <c r="T489" s="60"/>
      <c r="U489" s="60"/>
      <c r="V489" s="60"/>
      <c r="W489" s="60"/>
    </row>
    <row r="490" spans="5:23" ht="13.5" customHeight="1" x14ac:dyDescent="0.35">
      <c r="E490" s="84"/>
      <c r="P490" s="60"/>
      <c r="Q490" s="60"/>
      <c r="R490" s="60"/>
      <c r="S490" s="60"/>
      <c r="T490" s="60"/>
      <c r="U490" s="60"/>
      <c r="V490" s="60"/>
      <c r="W490" s="60"/>
    </row>
    <row r="491" spans="5:23" ht="13.5" customHeight="1" x14ac:dyDescent="0.35">
      <c r="E491" s="84"/>
      <c r="P491" s="60"/>
      <c r="Q491" s="60"/>
      <c r="R491" s="60"/>
      <c r="S491" s="60"/>
      <c r="T491" s="60"/>
      <c r="U491" s="60"/>
      <c r="V491" s="60"/>
      <c r="W491" s="60"/>
    </row>
    <row r="492" spans="5:23" ht="13.5" customHeight="1" x14ac:dyDescent="0.35">
      <c r="E492" s="84"/>
      <c r="P492" s="60"/>
      <c r="Q492" s="60"/>
      <c r="R492" s="60"/>
      <c r="S492" s="60"/>
      <c r="T492" s="60"/>
      <c r="U492" s="60"/>
      <c r="V492" s="60"/>
      <c r="W492" s="60"/>
    </row>
    <row r="493" spans="5:23" ht="13.5" customHeight="1" x14ac:dyDescent="0.35">
      <c r="E493" s="84"/>
      <c r="P493" s="60"/>
      <c r="Q493" s="60"/>
      <c r="R493" s="60"/>
      <c r="S493" s="60"/>
      <c r="T493" s="60"/>
      <c r="U493" s="60"/>
      <c r="V493" s="60"/>
      <c r="W493" s="60"/>
    </row>
    <row r="494" spans="5:23" ht="13.5" customHeight="1" x14ac:dyDescent="0.35">
      <c r="E494" s="84"/>
      <c r="P494" s="60"/>
      <c r="Q494" s="60"/>
      <c r="R494" s="60"/>
      <c r="S494" s="60"/>
      <c r="T494" s="60"/>
      <c r="U494" s="60"/>
      <c r="V494" s="60"/>
      <c r="W494" s="60"/>
    </row>
    <row r="495" spans="5:23" ht="13.5" customHeight="1" x14ac:dyDescent="0.35">
      <c r="E495" s="84"/>
      <c r="P495" s="60"/>
      <c r="Q495" s="60"/>
      <c r="R495" s="60"/>
      <c r="S495" s="60"/>
      <c r="T495" s="60"/>
      <c r="U495" s="60"/>
      <c r="V495" s="60"/>
      <c r="W495" s="60"/>
    </row>
    <row r="496" spans="5:23" ht="13.5" customHeight="1" x14ac:dyDescent="0.35">
      <c r="E496" s="84"/>
      <c r="P496" s="60"/>
      <c r="Q496" s="60"/>
      <c r="R496" s="60"/>
      <c r="S496" s="60"/>
      <c r="T496" s="60"/>
      <c r="U496" s="60"/>
      <c r="V496" s="60"/>
      <c r="W496" s="60"/>
    </row>
    <row r="497" spans="5:23" ht="13.5" customHeight="1" x14ac:dyDescent="0.35">
      <c r="E497" s="84"/>
      <c r="P497" s="60"/>
      <c r="Q497" s="60"/>
      <c r="R497" s="60"/>
      <c r="S497" s="60"/>
      <c r="T497" s="60"/>
      <c r="U497" s="60"/>
      <c r="V497" s="60"/>
      <c r="W497" s="60"/>
    </row>
    <row r="498" spans="5:23" ht="13.5" customHeight="1" x14ac:dyDescent="0.35">
      <c r="E498" s="84"/>
      <c r="P498" s="60"/>
      <c r="Q498" s="60"/>
      <c r="R498" s="60"/>
      <c r="S498" s="60"/>
      <c r="T498" s="60"/>
      <c r="U498" s="60"/>
      <c r="V498" s="60"/>
      <c r="W498" s="60"/>
    </row>
    <row r="499" spans="5:23" ht="13.5" customHeight="1" x14ac:dyDescent="0.35">
      <c r="E499" s="84"/>
      <c r="P499" s="60"/>
      <c r="Q499" s="60"/>
      <c r="R499" s="60"/>
      <c r="S499" s="60"/>
      <c r="T499" s="60"/>
      <c r="U499" s="60"/>
      <c r="V499" s="60"/>
      <c r="W499" s="60"/>
    </row>
    <row r="500" spans="5:23" ht="13.5" customHeight="1" x14ac:dyDescent="0.35">
      <c r="E500" s="84"/>
      <c r="P500" s="60"/>
      <c r="Q500" s="60"/>
      <c r="R500" s="60"/>
      <c r="S500" s="60"/>
      <c r="T500" s="60"/>
      <c r="U500" s="60"/>
      <c r="V500" s="60"/>
      <c r="W500" s="60"/>
    </row>
    <row r="501" spans="5:23" ht="13.5" customHeight="1" x14ac:dyDescent="0.35">
      <c r="E501" s="84"/>
      <c r="P501" s="60"/>
      <c r="Q501" s="60"/>
      <c r="R501" s="60"/>
      <c r="S501" s="60"/>
      <c r="T501" s="60"/>
      <c r="U501" s="60"/>
      <c r="V501" s="60"/>
      <c r="W501" s="60"/>
    </row>
    <row r="502" spans="5:23" ht="13.5" customHeight="1" x14ac:dyDescent="0.35">
      <c r="E502" s="84"/>
      <c r="P502" s="60"/>
      <c r="Q502" s="60"/>
      <c r="R502" s="60"/>
      <c r="S502" s="60"/>
      <c r="T502" s="60"/>
      <c r="U502" s="60"/>
      <c r="V502" s="60"/>
      <c r="W502" s="60"/>
    </row>
    <row r="503" spans="5:23" ht="13.5" customHeight="1" x14ac:dyDescent="0.35">
      <c r="E503" s="84"/>
      <c r="P503" s="60"/>
      <c r="Q503" s="60"/>
      <c r="R503" s="60"/>
      <c r="S503" s="60"/>
      <c r="T503" s="60"/>
      <c r="U503" s="60"/>
      <c r="V503" s="60"/>
      <c r="W503" s="60"/>
    </row>
    <row r="504" spans="5:23" ht="13.5" customHeight="1" x14ac:dyDescent="0.35">
      <c r="E504" s="84"/>
      <c r="P504" s="60"/>
      <c r="Q504" s="60"/>
      <c r="R504" s="60"/>
      <c r="S504" s="60"/>
      <c r="T504" s="60"/>
      <c r="U504" s="60"/>
      <c r="V504" s="60"/>
      <c r="W504" s="60"/>
    </row>
    <row r="505" spans="5:23" ht="13.5" customHeight="1" x14ac:dyDescent="0.35">
      <c r="E505" s="84"/>
      <c r="P505" s="60"/>
      <c r="Q505" s="60"/>
      <c r="R505" s="60"/>
      <c r="S505" s="60"/>
      <c r="T505" s="60"/>
      <c r="U505" s="60"/>
      <c r="V505" s="60"/>
      <c r="W505" s="60"/>
    </row>
    <row r="506" spans="5:23" ht="13.5" customHeight="1" x14ac:dyDescent="0.35">
      <c r="E506" s="84"/>
      <c r="P506" s="60"/>
      <c r="Q506" s="60"/>
      <c r="R506" s="60"/>
      <c r="S506" s="60"/>
      <c r="T506" s="60"/>
      <c r="U506" s="60"/>
      <c r="V506" s="60"/>
      <c r="W506" s="60"/>
    </row>
    <row r="507" spans="5:23" ht="13.5" customHeight="1" x14ac:dyDescent="0.35">
      <c r="E507" s="84"/>
      <c r="P507" s="60"/>
      <c r="Q507" s="60"/>
      <c r="R507" s="60"/>
      <c r="S507" s="60"/>
      <c r="T507" s="60"/>
      <c r="U507" s="60"/>
      <c r="V507" s="60"/>
      <c r="W507" s="60"/>
    </row>
    <row r="508" spans="5:23" ht="13.5" customHeight="1" x14ac:dyDescent="0.35">
      <c r="E508" s="84"/>
      <c r="P508" s="60"/>
      <c r="Q508" s="60"/>
      <c r="R508" s="60"/>
      <c r="S508" s="60"/>
      <c r="T508" s="60"/>
      <c r="U508" s="60"/>
      <c r="V508" s="60"/>
      <c r="W508" s="60"/>
    </row>
    <row r="509" spans="5:23" ht="13.5" customHeight="1" x14ac:dyDescent="0.35">
      <c r="E509" s="84"/>
      <c r="P509" s="60"/>
      <c r="Q509" s="60"/>
      <c r="R509" s="60"/>
      <c r="S509" s="60"/>
      <c r="T509" s="60"/>
      <c r="U509" s="60"/>
      <c r="V509" s="60"/>
      <c r="W509" s="60"/>
    </row>
    <row r="510" spans="5:23" ht="13.5" customHeight="1" x14ac:dyDescent="0.35">
      <c r="E510" s="84"/>
      <c r="P510" s="60"/>
      <c r="Q510" s="60"/>
      <c r="R510" s="60"/>
      <c r="S510" s="60"/>
      <c r="T510" s="60"/>
      <c r="U510" s="60"/>
      <c r="V510" s="60"/>
      <c r="W510" s="60"/>
    </row>
    <row r="511" spans="5:23" ht="13.5" customHeight="1" x14ac:dyDescent="0.35">
      <c r="E511" s="84"/>
      <c r="P511" s="60"/>
      <c r="Q511" s="60"/>
      <c r="R511" s="60"/>
      <c r="S511" s="60"/>
      <c r="T511" s="60"/>
      <c r="U511" s="60"/>
      <c r="V511" s="60"/>
      <c r="W511" s="60"/>
    </row>
    <row r="512" spans="5:23" ht="13.5" customHeight="1" x14ac:dyDescent="0.35">
      <c r="E512" s="84"/>
      <c r="P512" s="60"/>
      <c r="Q512" s="60"/>
      <c r="R512" s="60"/>
      <c r="S512" s="60"/>
      <c r="T512" s="60"/>
      <c r="U512" s="60"/>
      <c r="V512" s="60"/>
      <c r="W512" s="60"/>
    </row>
    <row r="513" spans="5:23" ht="13.5" customHeight="1" x14ac:dyDescent="0.35">
      <c r="E513" s="84"/>
      <c r="P513" s="60"/>
      <c r="Q513" s="60"/>
      <c r="R513" s="60"/>
      <c r="S513" s="60"/>
      <c r="T513" s="60"/>
      <c r="U513" s="60"/>
      <c r="V513" s="60"/>
      <c r="W513" s="60"/>
    </row>
    <row r="514" spans="5:23" ht="13.5" customHeight="1" x14ac:dyDescent="0.35">
      <c r="E514" s="84"/>
      <c r="P514" s="60"/>
      <c r="Q514" s="60"/>
      <c r="R514" s="60"/>
      <c r="S514" s="60"/>
      <c r="T514" s="60"/>
      <c r="U514" s="60"/>
      <c r="V514" s="60"/>
      <c r="W514" s="60"/>
    </row>
    <row r="515" spans="5:23" ht="13.5" customHeight="1" x14ac:dyDescent="0.35">
      <c r="E515" s="84"/>
      <c r="P515" s="60"/>
      <c r="Q515" s="60"/>
      <c r="R515" s="60"/>
      <c r="S515" s="60"/>
      <c r="T515" s="60"/>
      <c r="U515" s="60"/>
      <c r="V515" s="60"/>
      <c r="W515" s="60"/>
    </row>
    <row r="516" spans="5:23" ht="13.5" customHeight="1" x14ac:dyDescent="0.35">
      <c r="E516" s="84"/>
      <c r="P516" s="60"/>
      <c r="Q516" s="60"/>
      <c r="R516" s="60"/>
      <c r="S516" s="60"/>
      <c r="T516" s="60"/>
      <c r="U516" s="60"/>
      <c r="V516" s="60"/>
      <c r="W516" s="60"/>
    </row>
    <row r="517" spans="5:23" ht="13.5" customHeight="1" x14ac:dyDescent="0.35">
      <c r="E517" s="84"/>
      <c r="P517" s="60"/>
      <c r="Q517" s="60"/>
      <c r="R517" s="60"/>
      <c r="S517" s="60"/>
      <c r="T517" s="60"/>
      <c r="U517" s="60"/>
      <c r="V517" s="60"/>
      <c r="W517" s="60"/>
    </row>
    <row r="518" spans="5:23" ht="13.5" customHeight="1" x14ac:dyDescent="0.35">
      <c r="E518" s="84"/>
      <c r="P518" s="60"/>
      <c r="Q518" s="60"/>
      <c r="R518" s="60"/>
      <c r="S518" s="60"/>
      <c r="T518" s="60"/>
      <c r="U518" s="60"/>
      <c r="V518" s="60"/>
      <c r="W518" s="60"/>
    </row>
    <row r="519" spans="5:23" ht="13.5" customHeight="1" x14ac:dyDescent="0.35">
      <c r="E519" s="84"/>
      <c r="P519" s="60"/>
      <c r="Q519" s="60"/>
      <c r="R519" s="60"/>
      <c r="S519" s="60"/>
      <c r="T519" s="60"/>
      <c r="U519" s="60"/>
      <c r="V519" s="60"/>
      <c r="W519" s="60"/>
    </row>
    <row r="520" spans="5:23" ht="13.5" customHeight="1" x14ac:dyDescent="0.35">
      <c r="E520" s="84"/>
      <c r="P520" s="60"/>
      <c r="Q520" s="60"/>
      <c r="R520" s="60"/>
      <c r="S520" s="60"/>
      <c r="T520" s="60"/>
      <c r="U520" s="60"/>
      <c r="V520" s="60"/>
      <c r="W520" s="60"/>
    </row>
    <row r="521" spans="5:23" ht="13.5" customHeight="1" x14ac:dyDescent="0.35">
      <c r="E521" s="84"/>
      <c r="P521" s="60"/>
      <c r="Q521" s="60"/>
      <c r="R521" s="60"/>
      <c r="S521" s="60"/>
      <c r="T521" s="60"/>
      <c r="U521" s="60"/>
      <c r="V521" s="60"/>
      <c r="W521" s="60"/>
    </row>
    <row r="522" spans="5:23" ht="13.5" customHeight="1" x14ac:dyDescent="0.35">
      <c r="E522" s="84"/>
      <c r="P522" s="60"/>
      <c r="Q522" s="60"/>
      <c r="R522" s="60"/>
      <c r="S522" s="60"/>
      <c r="T522" s="60"/>
      <c r="U522" s="60"/>
      <c r="V522" s="60"/>
      <c r="W522" s="60"/>
    </row>
    <row r="523" spans="5:23" ht="13.5" customHeight="1" x14ac:dyDescent="0.35">
      <c r="E523" s="84"/>
      <c r="P523" s="60"/>
      <c r="Q523" s="60"/>
      <c r="R523" s="60"/>
      <c r="S523" s="60"/>
      <c r="T523" s="60"/>
      <c r="U523" s="60"/>
      <c r="V523" s="60"/>
      <c r="W523" s="60"/>
    </row>
    <row r="524" spans="5:23" ht="13.5" customHeight="1" x14ac:dyDescent="0.35">
      <c r="E524" s="84"/>
      <c r="P524" s="60"/>
      <c r="Q524" s="60"/>
      <c r="R524" s="60"/>
      <c r="S524" s="60"/>
      <c r="T524" s="60"/>
      <c r="U524" s="60"/>
      <c r="V524" s="60"/>
      <c r="W524" s="60"/>
    </row>
    <row r="525" spans="5:23" ht="13.5" customHeight="1" x14ac:dyDescent="0.35">
      <c r="E525" s="84"/>
      <c r="P525" s="60"/>
      <c r="Q525" s="60"/>
      <c r="R525" s="60"/>
      <c r="S525" s="60"/>
      <c r="T525" s="60"/>
      <c r="U525" s="60"/>
      <c r="V525" s="60"/>
      <c r="W525" s="60"/>
    </row>
    <row r="526" spans="5:23" ht="13.5" customHeight="1" x14ac:dyDescent="0.35">
      <c r="E526" s="84"/>
      <c r="P526" s="60"/>
      <c r="Q526" s="60"/>
      <c r="R526" s="60"/>
      <c r="S526" s="60"/>
      <c r="T526" s="60"/>
      <c r="U526" s="60"/>
      <c r="V526" s="60"/>
      <c r="W526" s="60"/>
    </row>
    <row r="527" spans="5:23" ht="13.5" customHeight="1" x14ac:dyDescent="0.35">
      <c r="E527" s="84"/>
      <c r="P527" s="60"/>
      <c r="Q527" s="60"/>
      <c r="R527" s="60"/>
      <c r="S527" s="60"/>
      <c r="T527" s="60"/>
      <c r="U527" s="60"/>
      <c r="V527" s="60"/>
      <c r="W527" s="60"/>
    </row>
    <row r="528" spans="5:23" ht="13.5" customHeight="1" x14ac:dyDescent="0.35">
      <c r="E528" s="84"/>
      <c r="P528" s="60"/>
      <c r="Q528" s="60"/>
      <c r="R528" s="60"/>
      <c r="S528" s="60"/>
      <c r="T528" s="60"/>
      <c r="U528" s="60"/>
      <c r="V528" s="60"/>
      <c r="W528" s="60"/>
    </row>
    <row r="529" spans="5:23" ht="13.5" customHeight="1" x14ac:dyDescent="0.35">
      <c r="E529" s="84"/>
      <c r="P529" s="60"/>
      <c r="Q529" s="60"/>
      <c r="R529" s="60"/>
      <c r="S529" s="60"/>
      <c r="T529" s="60"/>
      <c r="U529" s="60"/>
      <c r="V529" s="60"/>
      <c r="W529" s="60"/>
    </row>
    <row r="530" spans="5:23" ht="13.5" customHeight="1" x14ac:dyDescent="0.35">
      <c r="E530" s="84"/>
      <c r="P530" s="60"/>
      <c r="Q530" s="60"/>
      <c r="R530" s="60"/>
      <c r="S530" s="60"/>
      <c r="T530" s="60"/>
      <c r="U530" s="60"/>
      <c r="V530" s="60"/>
      <c r="W530" s="60"/>
    </row>
    <row r="531" spans="5:23" ht="13.5" customHeight="1" x14ac:dyDescent="0.35">
      <c r="E531" s="84"/>
      <c r="P531" s="60"/>
      <c r="Q531" s="60"/>
      <c r="R531" s="60"/>
      <c r="S531" s="60"/>
      <c r="T531" s="60"/>
      <c r="U531" s="60"/>
      <c r="V531" s="60"/>
      <c r="W531" s="60"/>
    </row>
    <row r="532" spans="5:23" ht="13.5" customHeight="1" x14ac:dyDescent="0.35">
      <c r="E532" s="84"/>
      <c r="P532" s="60"/>
      <c r="Q532" s="60"/>
      <c r="R532" s="60"/>
      <c r="S532" s="60"/>
      <c r="T532" s="60"/>
      <c r="U532" s="60"/>
      <c r="V532" s="60"/>
      <c r="W532" s="60"/>
    </row>
    <row r="533" spans="5:23" ht="13.5" customHeight="1" x14ac:dyDescent="0.35">
      <c r="E533" s="84"/>
      <c r="P533" s="60"/>
      <c r="Q533" s="60"/>
      <c r="R533" s="60"/>
      <c r="S533" s="60"/>
      <c r="T533" s="60"/>
      <c r="U533" s="60"/>
      <c r="V533" s="60"/>
      <c r="W533" s="60"/>
    </row>
    <row r="534" spans="5:23" ht="13.5" customHeight="1" x14ac:dyDescent="0.35">
      <c r="E534" s="84"/>
      <c r="P534" s="60"/>
      <c r="Q534" s="60"/>
      <c r="R534" s="60"/>
      <c r="S534" s="60"/>
      <c r="T534" s="60"/>
      <c r="U534" s="60"/>
      <c r="V534" s="60"/>
      <c r="W534" s="60"/>
    </row>
    <row r="535" spans="5:23" ht="13.5" customHeight="1" x14ac:dyDescent="0.35">
      <c r="E535" s="84"/>
      <c r="P535" s="60"/>
      <c r="Q535" s="60"/>
      <c r="R535" s="60"/>
      <c r="S535" s="60"/>
      <c r="T535" s="60"/>
      <c r="U535" s="60"/>
      <c r="V535" s="60"/>
      <c r="W535" s="60"/>
    </row>
    <row r="536" spans="5:23" ht="13.5" customHeight="1" x14ac:dyDescent="0.35">
      <c r="E536" s="84"/>
      <c r="P536" s="60"/>
      <c r="Q536" s="60"/>
      <c r="R536" s="60"/>
      <c r="S536" s="60"/>
      <c r="T536" s="60"/>
      <c r="U536" s="60"/>
      <c r="V536" s="60"/>
      <c r="W536" s="60"/>
    </row>
    <row r="537" spans="5:23" ht="13.5" customHeight="1" x14ac:dyDescent="0.35">
      <c r="E537" s="84"/>
      <c r="P537" s="60"/>
      <c r="Q537" s="60"/>
      <c r="R537" s="60"/>
      <c r="S537" s="60"/>
      <c r="T537" s="60"/>
      <c r="U537" s="60"/>
      <c r="V537" s="60"/>
      <c r="W537" s="60"/>
    </row>
    <row r="538" spans="5:23" ht="13.5" customHeight="1" x14ac:dyDescent="0.35">
      <c r="E538" s="84"/>
      <c r="P538" s="60"/>
      <c r="Q538" s="60"/>
      <c r="R538" s="60"/>
      <c r="S538" s="60"/>
      <c r="T538" s="60"/>
      <c r="U538" s="60"/>
      <c r="V538" s="60"/>
      <c r="W538" s="60"/>
    </row>
    <row r="539" spans="5:23" ht="13.5" customHeight="1" x14ac:dyDescent="0.35">
      <c r="E539" s="84"/>
      <c r="P539" s="60"/>
      <c r="Q539" s="60"/>
      <c r="R539" s="60"/>
      <c r="S539" s="60"/>
      <c r="T539" s="60"/>
      <c r="U539" s="60"/>
      <c r="V539" s="60"/>
      <c r="W539" s="60"/>
    </row>
    <row r="540" spans="5:23" ht="13.5" customHeight="1" x14ac:dyDescent="0.35">
      <c r="E540" s="84"/>
      <c r="P540" s="60"/>
      <c r="Q540" s="60"/>
      <c r="R540" s="60"/>
      <c r="S540" s="60"/>
      <c r="T540" s="60"/>
      <c r="U540" s="60"/>
      <c r="V540" s="60"/>
      <c r="W540" s="60"/>
    </row>
    <row r="541" spans="5:23" ht="13.5" customHeight="1" x14ac:dyDescent="0.35">
      <c r="E541" s="84"/>
      <c r="P541" s="60"/>
      <c r="Q541" s="60"/>
      <c r="R541" s="60"/>
      <c r="S541" s="60"/>
      <c r="T541" s="60"/>
      <c r="U541" s="60"/>
      <c r="V541" s="60"/>
      <c r="W541" s="60"/>
    </row>
    <row r="542" spans="5:23" ht="13.5" customHeight="1" x14ac:dyDescent="0.35">
      <c r="E542" s="84"/>
      <c r="P542" s="60"/>
      <c r="Q542" s="60"/>
      <c r="R542" s="60"/>
      <c r="S542" s="60"/>
      <c r="T542" s="60"/>
      <c r="U542" s="60"/>
      <c r="V542" s="60"/>
      <c r="W542" s="60"/>
    </row>
    <row r="543" spans="5:23" ht="13.5" customHeight="1" x14ac:dyDescent="0.35">
      <c r="E543" s="84"/>
      <c r="P543" s="60"/>
      <c r="Q543" s="60"/>
      <c r="R543" s="60"/>
      <c r="S543" s="60"/>
      <c r="T543" s="60"/>
      <c r="U543" s="60"/>
      <c r="V543" s="60"/>
      <c r="W543" s="60"/>
    </row>
    <row r="544" spans="5:23" ht="13.5" customHeight="1" x14ac:dyDescent="0.35">
      <c r="E544" s="84"/>
      <c r="P544" s="60"/>
      <c r="Q544" s="60"/>
      <c r="R544" s="60"/>
      <c r="S544" s="60"/>
      <c r="T544" s="60"/>
      <c r="U544" s="60"/>
      <c r="V544" s="60"/>
      <c r="W544" s="60"/>
    </row>
    <row r="545" spans="5:23" ht="13.5" customHeight="1" x14ac:dyDescent="0.35">
      <c r="E545" s="84"/>
      <c r="P545" s="60"/>
      <c r="Q545" s="60"/>
      <c r="R545" s="60"/>
      <c r="S545" s="60"/>
      <c r="T545" s="60"/>
      <c r="U545" s="60"/>
      <c r="V545" s="60"/>
      <c r="W545" s="60"/>
    </row>
    <row r="546" spans="5:23" ht="13.5" customHeight="1" x14ac:dyDescent="0.35">
      <c r="E546" s="84"/>
      <c r="P546" s="60"/>
      <c r="Q546" s="60"/>
      <c r="R546" s="60"/>
      <c r="S546" s="60"/>
      <c r="T546" s="60"/>
      <c r="U546" s="60"/>
      <c r="V546" s="60"/>
      <c r="W546" s="60"/>
    </row>
    <row r="547" spans="5:23" ht="13.5" customHeight="1" x14ac:dyDescent="0.35">
      <c r="E547" s="84"/>
      <c r="P547" s="60"/>
      <c r="Q547" s="60"/>
      <c r="R547" s="60"/>
      <c r="S547" s="60"/>
      <c r="T547" s="60"/>
      <c r="U547" s="60"/>
      <c r="V547" s="60"/>
      <c r="W547" s="60"/>
    </row>
    <row r="548" spans="5:23" ht="13.5" customHeight="1" x14ac:dyDescent="0.35">
      <c r="E548" s="84"/>
      <c r="P548" s="60"/>
      <c r="Q548" s="60"/>
      <c r="R548" s="60"/>
      <c r="S548" s="60"/>
      <c r="T548" s="60"/>
      <c r="U548" s="60"/>
      <c r="V548" s="60"/>
      <c r="W548" s="60"/>
    </row>
    <row r="549" spans="5:23" ht="13.5" customHeight="1" x14ac:dyDescent="0.35">
      <c r="E549" s="84"/>
      <c r="P549" s="60"/>
      <c r="Q549" s="60"/>
      <c r="R549" s="60"/>
      <c r="S549" s="60"/>
      <c r="T549" s="60"/>
      <c r="U549" s="60"/>
      <c r="V549" s="60"/>
      <c r="W549" s="60"/>
    </row>
    <row r="550" spans="5:23" ht="13.5" customHeight="1" x14ac:dyDescent="0.35">
      <c r="E550" s="84"/>
      <c r="P550" s="60"/>
      <c r="Q550" s="60"/>
      <c r="R550" s="60"/>
      <c r="S550" s="60"/>
      <c r="T550" s="60"/>
      <c r="U550" s="60"/>
      <c r="V550" s="60"/>
      <c r="W550" s="60"/>
    </row>
    <row r="551" spans="5:23" ht="13.5" customHeight="1" x14ac:dyDescent="0.35">
      <c r="E551" s="84"/>
      <c r="P551" s="60"/>
      <c r="Q551" s="60"/>
      <c r="R551" s="60"/>
      <c r="S551" s="60"/>
      <c r="T551" s="60"/>
      <c r="U551" s="60"/>
      <c r="V551" s="60"/>
      <c r="W551" s="60"/>
    </row>
    <row r="552" spans="5:23" ht="13.5" customHeight="1" x14ac:dyDescent="0.35">
      <c r="E552" s="84"/>
      <c r="P552" s="60"/>
      <c r="Q552" s="60"/>
      <c r="R552" s="60"/>
      <c r="S552" s="60"/>
      <c r="T552" s="60"/>
      <c r="U552" s="60"/>
      <c r="V552" s="60"/>
      <c r="W552" s="60"/>
    </row>
    <row r="553" spans="5:23" ht="13.5" customHeight="1" x14ac:dyDescent="0.35">
      <c r="E553" s="84"/>
      <c r="P553" s="60"/>
      <c r="Q553" s="60"/>
      <c r="R553" s="60"/>
      <c r="S553" s="60"/>
      <c r="T553" s="60"/>
      <c r="U553" s="60"/>
      <c r="V553" s="60"/>
      <c r="W553" s="60"/>
    </row>
    <row r="554" spans="5:23" ht="13.5" customHeight="1" x14ac:dyDescent="0.35">
      <c r="E554" s="84"/>
      <c r="P554" s="60"/>
      <c r="Q554" s="60"/>
      <c r="R554" s="60"/>
      <c r="S554" s="60"/>
      <c r="T554" s="60"/>
      <c r="U554" s="60"/>
      <c r="V554" s="60"/>
      <c r="W554" s="60"/>
    </row>
    <row r="555" spans="5:23" ht="13.5" customHeight="1" x14ac:dyDescent="0.35">
      <c r="E555" s="84"/>
      <c r="P555" s="60"/>
      <c r="Q555" s="60"/>
      <c r="R555" s="60"/>
      <c r="S555" s="60"/>
      <c r="T555" s="60"/>
      <c r="U555" s="60"/>
      <c r="V555" s="60"/>
      <c r="W555" s="60"/>
    </row>
    <row r="556" spans="5:23" ht="13.5" customHeight="1" x14ac:dyDescent="0.35">
      <c r="E556" s="84"/>
      <c r="P556" s="60"/>
      <c r="Q556" s="60"/>
      <c r="R556" s="60"/>
      <c r="S556" s="60"/>
      <c r="T556" s="60"/>
      <c r="U556" s="60"/>
      <c r="V556" s="60"/>
      <c r="W556" s="60"/>
    </row>
    <row r="557" spans="5:23" ht="13.5" customHeight="1" x14ac:dyDescent="0.35">
      <c r="E557" s="84"/>
      <c r="P557" s="60"/>
      <c r="Q557" s="60"/>
      <c r="R557" s="60"/>
      <c r="S557" s="60"/>
      <c r="T557" s="60"/>
      <c r="U557" s="60"/>
      <c r="V557" s="60"/>
      <c r="W557" s="60"/>
    </row>
    <row r="558" spans="5:23" ht="13.5" customHeight="1" x14ac:dyDescent="0.35">
      <c r="E558" s="84"/>
      <c r="P558" s="60"/>
      <c r="Q558" s="60"/>
      <c r="R558" s="60"/>
      <c r="S558" s="60"/>
      <c r="T558" s="60"/>
      <c r="U558" s="60"/>
      <c r="V558" s="60"/>
      <c r="W558" s="60"/>
    </row>
    <row r="559" spans="5:23" ht="13.5" customHeight="1" x14ac:dyDescent="0.35">
      <c r="E559" s="84"/>
      <c r="P559" s="60"/>
      <c r="Q559" s="60"/>
      <c r="R559" s="60"/>
      <c r="S559" s="60"/>
      <c r="T559" s="60"/>
      <c r="U559" s="60"/>
      <c r="V559" s="60"/>
      <c r="W559" s="60"/>
    </row>
    <row r="560" spans="5:23" ht="13.5" customHeight="1" x14ac:dyDescent="0.35">
      <c r="E560" s="84"/>
      <c r="P560" s="60"/>
      <c r="Q560" s="60"/>
      <c r="R560" s="60"/>
      <c r="S560" s="60"/>
      <c r="T560" s="60"/>
      <c r="U560" s="60"/>
      <c r="V560" s="60"/>
      <c r="W560" s="60"/>
    </row>
    <row r="561" spans="5:23" ht="13.5" customHeight="1" x14ac:dyDescent="0.35">
      <c r="E561" s="84"/>
      <c r="P561" s="60"/>
      <c r="Q561" s="60"/>
      <c r="R561" s="60"/>
      <c r="S561" s="60"/>
      <c r="T561" s="60"/>
      <c r="U561" s="60"/>
      <c r="V561" s="60"/>
      <c r="W561" s="60"/>
    </row>
    <row r="562" spans="5:23" ht="13.5" customHeight="1" x14ac:dyDescent="0.35">
      <c r="E562" s="84"/>
      <c r="P562" s="60"/>
      <c r="Q562" s="60"/>
      <c r="R562" s="60"/>
      <c r="S562" s="60"/>
      <c r="T562" s="60"/>
      <c r="U562" s="60"/>
      <c r="V562" s="60"/>
      <c r="W562" s="60"/>
    </row>
    <row r="563" spans="5:23" ht="13.5" customHeight="1" x14ac:dyDescent="0.35">
      <c r="E563" s="84"/>
      <c r="P563" s="60"/>
      <c r="Q563" s="60"/>
      <c r="R563" s="60"/>
      <c r="S563" s="60"/>
      <c r="T563" s="60"/>
      <c r="U563" s="60"/>
      <c r="V563" s="60"/>
      <c r="W563" s="60"/>
    </row>
    <row r="564" spans="5:23" ht="13.5" customHeight="1" x14ac:dyDescent="0.35">
      <c r="E564" s="84"/>
      <c r="P564" s="60"/>
      <c r="Q564" s="60"/>
      <c r="R564" s="60"/>
      <c r="S564" s="60"/>
      <c r="T564" s="60"/>
      <c r="U564" s="60"/>
      <c r="V564" s="60"/>
      <c r="W564" s="60"/>
    </row>
    <row r="565" spans="5:23" ht="13.5" customHeight="1" x14ac:dyDescent="0.35">
      <c r="E565" s="84"/>
      <c r="P565" s="60"/>
      <c r="Q565" s="60"/>
      <c r="R565" s="60"/>
      <c r="S565" s="60"/>
      <c r="T565" s="60"/>
      <c r="U565" s="60"/>
      <c r="V565" s="60"/>
      <c r="W565" s="60"/>
    </row>
    <row r="566" spans="5:23" ht="13.5" customHeight="1" x14ac:dyDescent="0.35">
      <c r="E566" s="84"/>
      <c r="P566" s="60"/>
      <c r="Q566" s="60"/>
      <c r="R566" s="60"/>
      <c r="S566" s="60"/>
      <c r="T566" s="60"/>
      <c r="U566" s="60"/>
      <c r="V566" s="60"/>
      <c r="W566" s="60"/>
    </row>
    <row r="567" spans="5:23" ht="13.5" customHeight="1" x14ac:dyDescent="0.35">
      <c r="E567" s="84"/>
      <c r="P567" s="60"/>
      <c r="Q567" s="60"/>
      <c r="R567" s="60"/>
      <c r="S567" s="60"/>
      <c r="T567" s="60"/>
      <c r="U567" s="60"/>
      <c r="V567" s="60"/>
      <c r="W567" s="60"/>
    </row>
    <row r="568" spans="5:23" ht="13.5" customHeight="1" x14ac:dyDescent="0.35">
      <c r="E568" s="84"/>
      <c r="P568" s="60"/>
      <c r="Q568" s="60"/>
      <c r="R568" s="60"/>
      <c r="S568" s="60"/>
      <c r="T568" s="60"/>
      <c r="U568" s="60"/>
      <c r="V568" s="60"/>
      <c r="W568" s="60"/>
    </row>
    <row r="569" spans="5:23" ht="13.5" customHeight="1" x14ac:dyDescent="0.35">
      <c r="E569" s="84"/>
      <c r="P569" s="60"/>
      <c r="Q569" s="60"/>
      <c r="R569" s="60"/>
      <c r="S569" s="60"/>
      <c r="T569" s="60"/>
      <c r="U569" s="60"/>
      <c r="V569" s="60"/>
      <c r="W569" s="60"/>
    </row>
    <row r="570" spans="5:23" ht="13.5" customHeight="1" x14ac:dyDescent="0.35">
      <c r="E570" s="84"/>
      <c r="P570" s="60"/>
      <c r="Q570" s="60"/>
      <c r="R570" s="60"/>
      <c r="S570" s="60"/>
      <c r="T570" s="60"/>
      <c r="U570" s="60"/>
      <c r="V570" s="60"/>
      <c r="W570" s="60"/>
    </row>
    <row r="571" spans="5:23" ht="13.5" customHeight="1" x14ac:dyDescent="0.35">
      <c r="E571" s="84"/>
      <c r="P571" s="60"/>
      <c r="Q571" s="60"/>
      <c r="R571" s="60"/>
      <c r="S571" s="60"/>
      <c r="T571" s="60"/>
      <c r="U571" s="60"/>
      <c r="V571" s="60"/>
      <c r="W571" s="60"/>
    </row>
    <row r="572" spans="5:23" ht="13.5" customHeight="1" x14ac:dyDescent="0.35">
      <c r="E572" s="84"/>
      <c r="P572" s="60"/>
      <c r="Q572" s="60"/>
      <c r="R572" s="60"/>
      <c r="S572" s="60"/>
      <c r="T572" s="60"/>
      <c r="U572" s="60"/>
      <c r="V572" s="60"/>
      <c r="W572" s="60"/>
    </row>
    <row r="573" spans="5:23" ht="13.5" customHeight="1" x14ac:dyDescent="0.35">
      <c r="E573" s="84"/>
      <c r="P573" s="60"/>
      <c r="Q573" s="60"/>
      <c r="R573" s="60"/>
      <c r="S573" s="60"/>
      <c r="T573" s="60"/>
      <c r="U573" s="60"/>
      <c r="V573" s="60"/>
      <c r="W573" s="60"/>
    </row>
    <row r="574" spans="5:23" ht="13.5" customHeight="1" x14ac:dyDescent="0.35">
      <c r="E574" s="84"/>
      <c r="P574" s="60"/>
      <c r="Q574" s="60"/>
      <c r="R574" s="60"/>
      <c r="S574" s="60"/>
      <c r="T574" s="60"/>
      <c r="U574" s="60"/>
      <c r="V574" s="60"/>
      <c r="W574" s="60"/>
    </row>
    <row r="575" spans="5:23" ht="13.5" customHeight="1" x14ac:dyDescent="0.35">
      <c r="E575" s="84"/>
      <c r="P575" s="60"/>
      <c r="Q575" s="60"/>
      <c r="R575" s="60"/>
      <c r="S575" s="60"/>
      <c r="T575" s="60"/>
      <c r="U575" s="60"/>
      <c r="V575" s="60"/>
      <c r="W575" s="60"/>
    </row>
    <row r="576" spans="5:23" ht="13.5" customHeight="1" x14ac:dyDescent="0.35">
      <c r="E576" s="84"/>
      <c r="P576" s="60"/>
      <c r="Q576" s="60"/>
      <c r="R576" s="60"/>
      <c r="S576" s="60"/>
      <c r="T576" s="60"/>
      <c r="U576" s="60"/>
      <c r="V576" s="60"/>
      <c r="W576" s="60"/>
    </row>
    <row r="577" spans="5:23" ht="13.5" customHeight="1" x14ac:dyDescent="0.35">
      <c r="E577" s="84"/>
      <c r="P577" s="60"/>
      <c r="Q577" s="60"/>
      <c r="R577" s="60"/>
      <c r="S577" s="60"/>
      <c r="T577" s="60"/>
      <c r="U577" s="60"/>
      <c r="V577" s="60"/>
      <c r="W577" s="60"/>
    </row>
    <row r="578" spans="5:23" ht="13.5" customHeight="1" x14ac:dyDescent="0.35">
      <c r="E578" s="84"/>
      <c r="P578" s="60"/>
      <c r="Q578" s="60"/>
      <c r="R578" s="60"/>
      <c r="S578" s="60"/>
      <c r="T578" s="60"/>
      <c r="U578" s="60"/>
      <c r="V578" s="60"/>
      <c r="W578" s="60"/>
    </row>
    <row r="579" spans="5:23" ht="13.5" customHeight="1" x14ac:dyDescent="0.35">
      <c r="E579" s="84"/>
      <c r="P579" s="60"/>
      <c r="Q579" s="60"/>
      <c r="R579" s="60"/>
      <c r="S579" s="60"/>
      <c r="T579" s="60"/>
      <c r="U579" s="60"/>
      <c r="V579" s="60"/>
      <c r="W579" s="60"/>
    </row>
    <row r="580" spans="5:23" ht="13.5" customHeight="1" x14ac:dyDescent="0.35">
      <c r="E580" s="84"/>
      <c r="P580" s="60"/>
      <c r="Q580" s="60"/>
      <c r="R580" s="60"/>
      <c r="S580" s="60"/>
      <c r="T580" s="60"/>
      <c r="U580" s="60"/>
      <c r="V580" s="60"/>
      <c r="W580" s="60"/>
    </row>
    <row r="581" spans="5:23" ht="13.5" customHeight="1" x14ac:dyDescent="0.35">
      <c r="E581" s="84"/>
      <c r="P581" s="60"/>
      <c r="Q581" s="60"/>
      <c r="R581" s="60"/>
      <c r="S581" s="60"/>
      <c r="T581" s="60"/>
      <c r="U581" s="60"/>
      <c r="V581" s="60"/>
      <c r="W581" s="60"/>
    </row>
    <row r="582" spans="5:23" ht="13.5" customHeight="1" x14ac:dyDescent="0.35">
      <c r="E582" s="84"/>
      <c r="P582" s="60"/>
      <c r="Q582" s="60"/>
      <c r="R582" s="60"/>
      <c r="S582" s="60"/>
      <c r="T582" s="60"/>
      <c r="U582" s="60"/>
      <c r="V582" s="60"/>
      <c r="W582" s="60"/>
    </row>
    <row r="583" spans="5:23" ht="13.5" customHeight="1" x14ac:dyDescent="0.35">
      <c r="E583" s="84"/>
      <c r="P583" s="60"/>
      <c r="Q583" s="60"/>
      <c r="R583" s="60"/>
      <c r="S583" s="60"/>
      <c r="T583" s="60"/>
      <c r="U583" s="60"/>
      <c r="V583" s="60"/>
      <c r="W583" s="60"/>
    </row>
    <row r="584" spans="5:23" ht="13.5" customHeight="1" x14ac:dyDescent="0.35">
      <c r="E584" s="84"/>
      <c r="P584" s="60"/>
      <c r="Q584" s="60"/>
      <c r="R584" s="60"/>
      <c r="S584" s="60"/>
      <c r="T584" s="60"/>
      <c r="U584" s="60"/>
      <c r="V584" s="60"/>
      <c r="W584" s="60"/>
    </row>
    <row r="585" spans="5:23" ht="13.5" customHeight="1" x14ac:dyDescent="0.35">
      <c r="E585" s="84"/>
      <c r="P585" s="60"/>
      <c r="Q585" s="60"/>
      <c r="R585" s="60"/>
      <c r="S585" s="60"/>
      <c r="T585" s="60"/>
      <c r="U585" s="60"/>
      <c r="V585" s="60"/>
      <c r="W585" s="60"/>
    </row>
    <row r="586" spans="5:23" ht="13.5" customHeight="1" x14ac:dyDescent="0.35">
      <c r="E586" s="84"/>
      <c r="P586" s="60"/>
      <c r="Q586" s="60"/>
      <c r="R586" s="60"/>
      <c r="S586" s="60"/>
      <c r="T586" s="60"/>
      <c r="U586" s="60"/>
      <c r="V586" s="60"/>
      <c r="W586" s="60"/>
    </row>
    <row r="587" spans="5:23" ht="13.5" customHeight="1" x14ac:dyDescent="0.35">
      <c r="E587" s="84"/>
      <c r="P587" s="60"/>
      <c r="Q587" s="60"/>
      <c r="R587" s="60"/>
      <c r="S587" s="60"/>
      <c r="T587" s="60"/>
      <c r="U587" s="60"/>
      <c r="V587" s="60"/>
      <c r="W587" s="60"/>
    </row>
    <row r="588" spans="5:23" ht="13.5" customHeight="1" x14ac:dyDescent="0.35">
      <c r="E588" s="84"/>
      <c r="P588" s="60"/>
      <c r="Q588" s="60"/>
      <c r="R588" s="60"/>
      <c r="S588" s="60"/>
      <c r="T588" s="60"/>
      <c r="U588" s="60"/>
      <c r="V588" s="60"/>
      <c r="W588" s="60"/>
    </row>
    <row r="589" spans="5:23" ht="13.5" customHeight="1" x14ac:dyDescent="0.35">
      <c r="E589" s="84"/>
      <c r="P589" s="60"/>
      <c r="Q589" s="60"/>
      <c r="R589" s="60"/>
      <c r="S589" s="60"/>
      <c r="T589" s="60"/>
      <c r="U589" s="60"/>
      <c r="V589" s="60"/>
      <c r="W589" s="60"/>
    </row>
    <row r="590" spans="5:23" ht="13.5" customHeight="1" x14ac:dyDescent="0.35">
      <c r="E590" s="84"/>
      <c r="P590" s="60"/>
      <c r="Q590" s="60"/>
      <c r="R590" s="60"/>
      <c r="S590" s="60"/>
      <c r="T590" s="60"/>
      <c r="U590" s="60"/>
      <c r="V590" s="60"/>
      <c r="W590" s="60"/>
    </row>
    <row r="591" spans="5:23" ht="13.5" customHeight="1" x14ac:dyDescent="0.35">
      <c r="E591" s="84"/>
      <c r="P591" s="60"/>
      <c r="Q591" s="60"/>
      <c r="R591" s="60"/>
      <c r="S591" s="60"/>
      <c r="T591" s="60"/>
      <c r="U591" s="60"/>
      <c r="V591" s="60"/>
      <c r="W591" s="60"/>
    </row>
    <row r="592" spans="5:23" ht="13.5" customHeight="1" x14ac:dyDescent="0.35">
      <c r="E592" s="84"/>
      <c r="P592" s="60"/>
      <c r="Q592" s="60"/>
      <c r="R592" s="60"/>
      <c r="S592" s="60"/>
      <c r="T592" s="60"/>
      <c r="U592" s="60"/>
      <c r="V592" s="60"/>
      <c r="W592" s="60"/>
    </row>
    <row r="593" spans="5:23" ht="13.5" customHeight="1" x14ac:dyDescent="0.35">
      <c r="E593" s="84"/>
      <c r="P593" s="60"/>
      <c r="Q593" s="60"/>
      <c r="R593" s="60"/>
      <c r="S593" s="60"/>
      <c r="T593" s="60"/>
      <c r="U593" s="60"/>
      <c r="V593" s="60"/>
      <c r="W593" s="60"/>
    </row>
    <row r="594" spans="5:23" ht="13.5" customHeight="1" x14ac:dyDescent="0.35">
      <c r="E594" s="84"/>
      <c r="P594" s="60"/>
      <c r="Q594" s="60"/>
      <c r="R594" s="60"/>
      <c r="S594" s="60"/>
      <c r="T594" s="60"/>
      <c r="U594" s="60"/>
      <c r="V594" s="60"/>
      <c r="W594" s="60"/>
    </row>
    <row r="595" spans="5:23" ht="13.5" customHeight="1" x14ac:dyDescent="0.35">
      <c r="E595" s="84"/>
      <c r="P595" s="60"/>
      <c r="Q595" s="60"/>
      <c r="R595" s="60"/>
      <c r="S595" s="60"/>
      <c r="T595" s="60"/>
      <c r="U595" s="60"/>
      <c r="V595" s="60"/>
      <c r="W595" s="60"/>
    </row>
    <row r="596" spans="5:23" ht="13.5" customHeight="1" x14ac:dyDescent="0.35">
      <c r="E596" s="84"/>
      <c r="P596" s="60"/>
      <c r="Q596" s="60"/>
      <c r="R596" s="60"/>
      <c r="S596" s="60"/>
      <c r="T596" s="60"/>
      <c r="U596" s="60"/>
      <c r="V596" s="60"/>
      <c r="W596" s="60"/>
    </row>
    <row r="597" spans="5:23" ht="13.5" customHeight="1" x14ac:dyDescent="0.35">
      <c r="E597" s="84"/>
      <c r="P597" s="60"/>
      <c r="Q597" s="60"/>
      <c r="R597" s="60"/>
      <c r="S597" s="60"/>
      <c r="T597" s="60"/>
      <c r="U597" s="60"/>
      <c r="V597" s="60"/>
      <c r="W597" s="60"/>
    </row>
    <row r="598" spans="5:23" ht="13.5" customHeight="1" x14ac:dyDescent="0.35">
      <c r="E598" s="84"/>
      <c r="P598" s="60"/>
      <c r="Q598" s="60"/>
      <c r="R598" s="60"/>
      <c r="S598" s="60"/>
      <c r="T598" s="60"/>
      <c r="U598" s="60"/>
      <c r="V598" s="60"/>
      <c r="W598" s="60"/>
    </row>
    <row r="599" spans="5:23" ht="13.5" customHeight="1" x14ac:dyDescent="0.35">
      <c r="E599" s="84"/>
      <c r="P599" s="60"/>
      <c r="Q599" s="60"/>
      <c r="R599" s="60"/>
      <c r="S599" s="60"/>
      <c r="T599" s="60"/>
      <c r="U599" s="60"/>
      <c r="V599" s="60"/>
      <c r="W599" s="60"/>
    </row>
    <row r="600" spans="5:23" ht="13.5" customHeight="1" x14ac:dyDescent="0.35">
      <c r="E600" s="84"/>
      <c r="P600" s="60"/>
      <c r="Q600" s="60"/>
      <c r="R600" s="60"/>
      <c r="S600" s="60"/>
      <c r="T600" s="60"/>
      <c r="U600" s="60"/>
      <c r="V600" s="60"/>
      <c r="W600" s="60"/>
    </row>
    <row r="601" spans="5:23" ht="13.5" customHeight="1" x14ac:dyDescent="0.35">
      <c r="E601" s="84"/>
      <c r="P601" s="60"/>
      <c r="Q601" s="60"/>
      <c r="R601" s="60"/>
      <c r="S601" s="60"/>
      <c r="T601" s="60"/>
      <c r="U601" s="60"/>
      <c r="V601" s="60"/>
      <c r="W601" s="60"/>
    </row>
    <row r="602" spans="5:23" ht="13.5" customHeight="1" x14ac:dyDescent="0.35">
      <c r="E602" s="84"/>
      <c r="P602" s="60"/>
      <c r="Q602" s="60"/>
      <c r="R602" s="60"/>
      <c r="S602" s="60"/>
      <c r="T602" s="60"/>
      <c r="U602" s="60"/>
      <c r="V602" s="60"/>
      <c r="W602" s="60"/>
    </row>
    <row r="603" spans="5:23" ht="13.5" customHeight="1" x14ac:dyDescent="0.35">
      <c r="E603" s="84"/>
      <c r="P603" s="60"/>
      <c r="Q603" s="60"/>
      <c r="R603" s="60"/>
      <c r="S603" s="60"/>
      <c r="T603" s="60"/>
      <c r="U603" s="60"/>
      <c r="V603" s="60"/>
      <c r="W603" s="60"/>
    </row>
    <row r="604" spans="5:23" ht="13.5" customHeight="1" x14ac:dyDescent="0.35">
      <c r="E604" s="84"/>
      <c r="P604" s="60"/>
      <c r="Q604" s="60"/>
      <c r="R604" s="60"/>
      <c r="S604" s="60"/>
      <c r="T604" s="60"/>
      <c r="U604" s="60"/>
      <c r="V604" s="60"/>
      <c r="W604" s="60"/>
    </row>
    <row r="605" spans="5:23" ht="13.5" customHeight="1" x14ac:dyDescent="0.35">
      <c r="E605" s="84"/>
      <c r="P605" s="60"/>
      <c r="Q605" s="60"/>
      <c r="R605" s="60"/>
      <c r="S605" s="60"/>
      <c r="T605" s="60"/>
      <c r="U605" s="60"/>
      <c r="V605" s="60"/>
      <c r="W605" s="60"/>
    </row>
    <row r="606" spans="5:23" ht="13.5" customHeight="1" x14ac:dyDescent="0.35">
      <c r="E606" s="84"/>
      <c r="P606" s="60"/>
      <c r="Q606" s="60"/>
      <c r="R606" s="60"/>
      <c r="S606" s="60"/>
      <c r="T606" s="60"/>
      <c r="U606" s="60"/>
      <c r="V606" s="60"/>
      <c r="W606" s="60"/>
    </row>
    <row r="607" spans="5:23" ht="13.5" customHeight="1" x14ac:dyDescent="0.35">
      <c r="E607" s="84"/>
      <c r="P607" s="60"/>
      <c r="Q607" s="60"/>
      <c r="R607" s="60"/>
      <c r="S607" s="60"/>
      <c r="T607" s="60"/>
      <c r="U607" s="60"/>
      <c r="V607" s="60"/>
      <c r="W607" s="60"/>
    </row>
    <row r="608" spans="5:23" ht="13.5" customHeight="1" x14ac:dyDescent="0.35">
      <c r="E608" s="84"/>
      <c r="P608" s="60"/>
      <c r="Q608" s="60"/>
      <c r="R608" s="60"/>
      <c r="S608" s="60"/>
      <c r="T608" s="60"/>
      <c r="U608" s="60"/>
      <c r="V608" s="60"/>
      <c r="W608" s="60"/>
    </row>
    <row r="609" spans="5:23" ht="13.5" customHeight="1" x14ac:dyDescent="0.35">
      <c r="E609" s="84"/>
      <c r="P609" s="60"/>
      <c r="Q609" s="60"/>
      <c r="R609" s="60"/>
      <c r="S609" s="60"/>
      <c r="T609" s="60"/>
      <c r="U609" s="60"/>
      <c r="V609" s="60"/>
      <c r="W609" s="60"/>
    </row>
    <row r="610" spans="5:23" ht="13.5" customHeight="1" x14ac:dyDescent="0.35">
      <c r="E610" s="84"/>
      <c r="P610" s="60"/>
      <c r="Q610" s="60"/>
      <c r="R610" s="60"/>
      <c r="S610" s="60"/>
      <c r="T610" s="60"/>
      <c r="U610" s="60"/>
      <c r="V610" s="60"/>
      <c r="W610" s="60"/>
    </row>
    <row r="611" spans="5:23" ht="13.5" customHeight="1" x14ac:dyDescent="0.35">
      <c r="E611" s="84"/>
      <c r="P611" s="60"/>
      <c r="Q611" s="60"/>
      <c r="R611" s="60"/>
      <c r="S611" s="60"/>
      <c r="T611" s="60"/>
      <c r="U611" s="60"/>
      <c r="V611" s="60"/>
      <c r="W611" s="60"/>
    </row>
    <row r="612" spans="5:23" ht="13.5" customHeight="1" x14ac:dyDescent="0.35">
      <c r="E612" s="84"/>
      <c r="P612" s="60"/>
      <c r="Q612" s="60"/>
      <c r="R612" s="60"/>
      <c r="S612" s="60"/>
      <c r="T612" s="60"/>
      <c r="U612" s="60"/>
      <c r="V612" s="60"/>
      <c r="W612" s="60"/>
    </row>
    <row r="613" spans="5:23" ht="13.5" customHeight="1" x14ac:dyDescent="0.35">
      <c r="E613" s="84"/>
      <c r="P613" s="60"/>
      <c r="Q613" s="60"/>
      <c r="R613" s="60"/>
      <c r="S613" s="60"/>
      <c r="T613" s="60"/>
      <c r="U613" s="60"/>
      <c r="V613" s="60"/>
      <c r="W613" s="60"/>
    </row>
    <row r="614" spans="5:23" ht="13.5" customHeight="1" x14ac:dyDescent="0.35">
      <c r="E614" s="84"/>
      <c r="P614" s="60"/>
      <c r="Q614" s="60"/>
      <c r="R614" s="60"/>
      <c r="S614" s="60"/>
      <c r="T614" s="60"/>
      <c r="U614" s="60"/>
      <c r="V614" s="60"/>
      <c r="W614" s="60"/>
    </row>
    <row r="615" spans="5:23" ht="13.5" customHeight="1" x14ac:dyDescent="0.35">
      <c r="E615" s="84"/>
      <c r="P615" s="60"/>
      <c r="Q615" s="60"/>
      <c r="R615" s="60"/>
      <c r="S615" s="60"/>
      <c r="T615" s="60"/>
      <c r="U615" s="60"/>
      <c r="V615" s="60"/>
      <c r="W615" s="60"/>
    </row>
    <row r="616" spans="5:23" ht="13.5" customHeight="1" x14ac:dyDescent="0.35">
      <c r="E616" s="84"/>
      <c r="P616" s="60"/>
      <c r="Q616" s="60"/>
      <c r="R616" s="60"/>
      <c r="S616" s="60"/>
      <c r="T616" s="60"/>
      <c r="U616" s="60"/>
      <c r="V616" s="60"/>
      <c r="W616" s="60"/>
    </row>
    <row r="617" spans="5:23" ht="13.5" customHeight="1" x14ac:dyDescent="0.35">
      <c r="E617" s="84"/>
      <c r="P617" s="60"/>
      <c r="Q617" s="60"/>
      <c r="R617" s="60"/>
      <c r="S617" s="60"/>
      <c r="T617" s="60"/>
      <c r="U617" s="60"/>
      <c r="V617" s="60"/>
      <c r="W617" s="60"/>
    </row>
    <row r="618" spans="5:23" ht="13.5" customHeight="1" x14ac:dyDescent="0.35">
      <c r="E618" s="84"/>
      <c r="P618" s="60"/>
      <c r="Q618" s="60"/>
      <c r="R618" s="60"/>
      <c r="S618" s="60"/>
      <c r="T618" s="60"/>
      <c r="U618" s="60"/>
      <c r="V618" s="60"/>
      <c r="W618" s="60"/>
    </row>
    <row r="619" spans="5:23" ht="13.5" customHeight="1" x14ac:dyDescent="0.35">
      <c r="E619" s="84"/>
      <c r="P619" s="60"/>
      <c r="Q619" s="60"/>
      <c r="R619" s="60"/>
      <c r="S619" s="60"/>
      <c r="T619" s="60"/>
      <c r="U619" s="60"/>
      <c r="V619" s="60"/>
      <c r="W619" s="60"/>
    </row>
    <row r="620" spans="5:23" ht="13.5" customHeight="1" x14ac:dyDescent="0.35">
      <c r="E620" s="84"/>
      <c r="P620" s="60"/>
      <c r="Q620" s="60"/>
      <c r="R620" s="60"/>
      <c r="S620" s="60"/>
      <c r="T620" s="60"/>
      <c r="U620" s="60"/>
      <c r="V620" s="60"/>
      <c r="W620" s="60"/>
    </row>
    <row r="621" spans="5:23" ht="13.5" customHeight="1" x14ac:dyDescent="0.35">
      <c r="E621" s="84"/>
      <c r="P621" s="60"/>
      <c r="Q621" s="60"/>
      <c r="R621" s="60"/>
      <c r="S621" s="60"/>
      <c r="T621" s="60"/>
      <c r="U621" s="60"/>
      <c r="V621" s="60"/>
      <c r="W621" s="60"/>
    </row>
    <row r="622" spans="5:23" ht="13.5" customHeight="1" x14ac:dyDescent="0.35">
      <c r="E622" s="84"/>
      <c r="P622" s="60"/>
      <c r="Q622" s="60"/>
      <c r="R622" s="60"/>
      <c r="S622" s="60"/>
      <c r="T622" s="60"/>
      <c r="U622" s="60"/>
      <c r="V622" s="60"/>
      <c r="W622" s="60"/>
    </row>
    <row r="623" spans="5:23" ht="13.5" customHeight="1" x14ac:dyDescent="0.35">
      <c r="E623" s="84"/>
      <c r="P623" s="60"/>
      <c r="Q623" s="60"/>
      <c r="R623" s="60"/>
      <c r="S623" s="60"/>
      <c r="T623" s="60"/>
      <c r="U623" s="60"/>
      <c r="V623" s="60"/>
      <c r="W623" s="60"/>
    </row>
    <row r="624" spans="5:23" ht="13.5" customHeight="1" x14ac:dyDescent="0.35">
      <c r="E624" s="84"/>
      <c r="P624" s="60"/>
      <c r="Q624" s="60"/>
      <c r="R624" s="60"/>
      <c r="S624" s="60"/>
      <c r="T624" s="60"/>
      <c r="U624" s="60"/>
      <c r="V624" s="60"/>
      <c r="W624" s="60"/>
    </row>
    <row r="625" spans="5:23" ht="13.5" customHeight="1" x14ac:dyDescent="0.35">
      <c r="E625" s="84"/>
      <c r="P625" s="60"/>
      <c r="Q625" s="60"/>
      <c r="R625" s="60"/>
      <c r="S625" s="60"/>
      <c r="T625" s="60"/>
      <c r="U625" s="60"/>
      <c r="V625" s="60"/>
      <c r="W625" s="60"/>
    </row>
    <row r="626" spans="5:23" ht="13.5" customHeight="1" x14ac:dyDescent="0.35">
      <c r="E626" s="84"/>
      <c r="P626" s="60"/>
      <c r="Q626" s="60"/>
      <c r="R626" s="60"/>
      <c r="S626" s="60"/>
      <c r="T626" s="60"/>
      <c r="U626" s="60"/>
      <c r="V626" s="60"/>
      <c r="W626" s="60"/>
    </row>
    <row r="627" spans="5:23" ht="13.5" customHeight="1" x14ac:dyDescent="0.35">
      <c r="E627" s="84"/>
      <c r="P627" s="60"/>
      <c r="Q627" s="60"/>
      <c r="R627" s="60"/>
      <c r="S627" s="60"/>
      <c r="T627" s="60"/>
      <c r="U627" s="60"/>
      <c r="V627" s="60"/>
      <c r="W627" s="60"/>
    </row>
    <row r="628" spans="5:23" ht="13.5" customHeight="1" x14ac:dyDescent="0.35">
      <c r="E628" s="84"/>
      <c r="P628" s="60"/>
      <c r="Q628" s="60"/>
      <c r="R628" s="60"/>
      <c r="S628" s="60"/>
      <c r="T628" s="60"/>
      <c r="U628" s="60"/>
      <c r="V628" s="60"/>
      <c r="W628" s="60"/>
    </row>
    <row r="629" spans="5:23" ht="13.5" customHeight="1" x14ac:dyDescent="0.35">
      <c r="E629" s="84"/>
      <c r="P629" s="60"/>
      <c r="Q629" s="60"/>
      <c r="R629" s="60"/>
      <c r="S629" s="60"/>
      <c r="T629" s="60"/>
      <c r="U629" s="60"/>
      <c r="V629" s="60"/>
      <c r="W629" s="60"/>
    </row>
    <row r="630" spans="5:23" ht="13.5" customHeight="1" x14ac:dyDescent="0.35">
      <c r="E630" s="84"/>
      <c r="P630" s="60"/>
      <c r="Q630" s="60"/>
      <c r="R630" s="60"/>
      <c r="S630" s="60"/>
      <c r="T630" s="60"/>
      <c r="U630" s="60"/>
      <c r="V630" s="60"/>
      <c r="W630" s="60"/>
    </row>
    <row r="631" spans="5:23" ht="13.5" customHeight="1" x14ac:dyDescent="0.35">
      <c r="E631" s="84"/>
      <c r="P631" s="60"/>
      <c r="Q631" s="60"/>
      <c r="R631" s="60"/>
      <c r="S631" s="60"/>
      <c r="T631" s="60"/>
      <c r="U631" s="60"/>
      <c r="V631" s="60"/>
      <c r="W631" s="60"/>
    </row>
    <row r="632" spans="5:23" ht="13.5" customHeight="1" x14ac:dyDescent="0.35">
      <c r="E632" s="84"/>
      <c r="P632" s="60"/>
      <c r="Q632" s="60"/>
      <c r="R632" s="60"/>
      <c r="S632" s="60"/>
      <c r="T632" s="60"/>
      <c r="U632" s="60"/>
      <c r="V632" s="60"/>
      <c r="W632" s="60"/>
    </row>
    <row r="633" spans="5:23" ht="13.5" customHeight="1" x14ac:dyDescent="0.35">
      <c r="E633" s="84"/>
      <c r="P633" s="60"/>
      <c r="Q633" s="60"/>
      <c r="R633" s="60"/>
      <c r="S633" s="60"/>
      <c r="T633" s="60"/>
      <c r="U633" s="60"/>
      <c r="V633" s="60"/>
      <c r="W633" s="60"/>
    </row>
    <row r="634" spans="5:23" ht="13.5" customHeight="1" x14ac:dyDescent="0.35">
      <c r="E634" s="84"/>
      <c r="P634" s="60"/>
      <c r="Q634" s="60"/>
      <c r="R634" s="60"/>
      <c r="S634" s="60"/>
      <c r="T634" s="60"/>
      <c r="U634" s="60"/>
      <c r="V634" s="60"/>
      <c r="W634" s="60"/>
    </row>
    <row r="635" spans="5:23" ht="13.5" customHeight="1" x14ac:dyDescent="0.35">
      <c r="E635" s="84"/>
      <c r="P635" s="60"/>
      <c r="Q635" s="60"/>
      <c r="R635" s="60"/>
      <c r="S635" s="60"/>
      <c r="T635" s="60"/>
      <c r="U635" s="60"/>
      <c r="V635" s="60"/>
      <c r="W635" s="60"/>
    </row>
    <row r="636" spans="5:23" ht="13.5" customHeight="1" x14ac:dyDescent="0.35">
      <c r="E636" s="84"/>
      <c r="P636" s="60"/>
      <c r="Q636" s="60"/>
      <c r="R636" s="60"/>
      <c r="S636" s="60"/>
      <c r="T636" s="60"/>
      <c r="U636" s="60"/>
      <c r="V636" s="60"/>
      <c r="W636" s="60"/>
    </row>
    <row r="637" spans="5:23" ht="13.5" customHeight="1" x14ac:dyDescent="0.35">
      <c r="E637" s="84"/>
      <c r="P637" s="60"/>
      <c r="Q637" s="60"/>
      <c r="R637" s="60"/>
      <c r="S637" s="60"/>
      <c r="T637" s="60"/>
      <c r="U637" s="60"/>
      <c r="V637" s="60"/>
      <c r="W637" s="60"/>
    </row>
    <row r="638" spans="5:23" ht="13.5" customHeight="1" x14ac:dyDescent="0.35">
      <c r="E638" s="84"/>
      <c r="P638" s="60"/>
      <c r="Q638" s="60"/>
      <c r="R638" s="60"/>
      <c r="S638" s="60"/>
      <c r="T638" s="60"/>
      <c r="U638" s="60"/>
      <c r="V638" s="60"/>
      <c r="W638" s="60"/>
    </row>
    <row r="639" spans="5:23" ht="13.5" customHeight="1" x14ac:dyDescent="0.35">
      <c r="E639" s="84"/>
      <c r="P639" s="60"/>
      <c r="Q639" s="60"/>
      <c r="R639" s="60"/>
      <c r="S639" s="60"/>
      <c r="T639" s="60"/>
      <c r="U639" s="60"/>
      <c r="V639" s="60"/>
      <c r="W639" s="60"/>
    </row>
    <row r="640" spans="5:23" ht="13.5" customHeight="1" x14ac:dyDescent="0.35">
      <c r="E640" s="84"/>
      <c r="P640" s="60"/>
      <c r="Q640" s="60"/>
      <c r="R640" s="60"/>
      <c r="S640" s="60"/>
      <c r="T640" s="60"/>
      <c r="U640" s="60"/>
      <c r="V640" s="60"/>
      <c r="W640" s="60"/>
    </row>
    <row r="641" spans="5:23" ht="13.5" customHeight="1" x14ac:dyDescent="0.35">
      <c r="E641" s="84"/>
      <c r="P641" s="60"/>
      <c r="Q641" s="60"/>
      <c r="R641" s="60"/>
      <c r="S641" s="60"/>
      <c r="T641" s="60"/>
      <c r="U641" s="60"/>
      <c r="V641" s="60"/>
      <c r="W641" s="60"/>
    </row>
    <row r="642" spans="5:23" ht="13.5" customHeight="1" x14ac:dyDescent="0.35">
      <c r="E642" s="84"/>
      <c r="P642" s="60"/>
      <c r="Q642" s="60"/>
      <c r="R642" s="60"/>
      <c r="S642" s="60"/>
      <c r="T642" s="60"/>
      <c r="U642" s="60"/>
      <c r="V642" s="60"/>
      <c r="W642" s="60"/>
    </row>
    <row r="643" spans="5:23" ht="13.5" customHeight="1" x14ac:dyDescent="0.35">
      <c r="E643" s="84"/>
      <c r="P643" s="60"/>
      <c r="Q643" s="60"/>
      <c r="R643" s="60"/>
      <c r="S643" s="60"/>
      <c r="T643" s="60"/>
      <c r="U643" s="60"/>
      <c r="V643" s="60"/>
      <c r="W643" s="60"/>
    </row>
    <row r="644" spans="5:23" ht="13.5" customHeight="1" x14ac:dyDescent="0.35">
      <c r="E644" s="84"/>
      <c r="P644" s="60"/>
      <c r="Q644" s="60"/>
      <c r="R644" s="60"/>
      <c r="S644" s="60"/>
      <c r="T644" s="60"/>
      <c r="U644" s="60"/>
      <c r="V644" s="60"/>
      <c r="W644" s="60"/>
    </row>
    <row r="645" spans="5:23" ht="13.5" customHeight="1" x14ac:dyDescent="0.35">
      <c r="E645" s="84"/>
      <c r="P645" s="60"/>
      <c r="Q645" s="60"/>
      <c r="R645" s="60"/>
      <c r="S645" s="60"/>
      <c r="T645" s="60"/>
      <c r="U645" s="60"/>
      <c r="V645" s="60"/>
      <c r="W645" s="60"/>
    </row>
    <row r="646" spans="5:23" ht="13.5" customHeight="1" x14ac:dyDescent="0.35">
      <c r="E646" s="84"/>
      <c r="P646" s="60"/>
      <c r="Q646" s="60"/>
      <c r="R646" s="60"/>
      <c r="S646" s="60"/>
      <c r="T646" s="60"/>
      <c r="U646" s="60"/>
      <c r="V646" s="60"/>
      <c r="W646" s="60"/>
    </row>
    <row r="647" spans="5:23" ht="13.5" customHeight="1" x14ac:dyDescent="0.35">
      <c r="E647" s="84"/>
      <c r="P647" s="60"/>
      <c r="Q647" s="60"/>
      <c r="R647" s="60"/>
      <c r="S647" s="60"/>
      <c r="T647" s="60"/>
      <c r="U647" s="60"/>
      <c r="V647" s="60"/>
      <c r="W647" s="60"/>
    </row>
    <row r="648" spans="5:23" ht="13.5" customHeight="1" x14ac:dyDescent="0.35">
      <c r="E648" s="84"/>
      <c r="P648" s="60"/>
      <c r="Q648" s="60"/>
      <c r="R648" s="60"/>
      <c r="S648" s="60"/>
      <c r="T648" s="60"/>
      <c r="U648" s="60"/>
      <c r="V648" s="60"/>
      <c r="W648" s="60"/>
    </row>
    <row r="649" spans="5:23" ht="13.5" customHeight="1" x14ac:dyDescent="0.35">
      <c r="E649" s="84"/>
      <c r="P649" s="60"/>
      <c r="Q649" s="60"/>
      <c r="R649" s="60"/>
      <c r="S649" s="60"/>
      <c r="T649" s="60"/>
      <c r="U649" s="60"/>
      <c r="V649" s="60"/>
      <c r="W649" s="60"/>
    </row>
    <row r="650" spans="5:23" ht="13.5" customHeight="1" x14ac:dyDescent="0.35">
      <c r="E650" s="84"/>
      <c r="P650" s="60"/>
      <c r="Q650" s="60"/>
      <c r="R650" s="60"/>
      <c r="S650" s="60"/>
      <c r="T650" s="60"/>
      <c r="U650" s="60"/>
      <c r="V650" s="60"/>
      <c r="W650" s="60"/>
    </row>
    <row r="651" spans="5:23" ht="13.5" customHeight="1" x14ac:dyDescent="0.35">
      <c r="E651" s="84"/>
      <c r="P651" s="60"/>
      <c r="Q651" s="60"/>
      <c r="R651" s="60"/>
      <c r="S651" s="60"/>
      <c r="T651" s="60"/>
      <c r="U651" s="60"/>
      <c r="V651" s="60"/>
      <c r="W651" s="60"/>
    </row>
    <row r="652" spans="5:23" ht="13.5" customHeight="1" x14ac:dyDescent="0.35">
      <c r="E652" s="84"/>
      <c r="P652" s="60"/>
      <c r="Q652" s="60"/>
      <c r="R652" s="60"/>
      <c r="S652" s="60"/>
      <c r="T652" s="60"/>
      <c r="U652" s="60"/>
      <c r="V652" s="60"/>
      <c r="W652" s="60"/>
    </row>
    <row r="653" spans="5:23" ht="13.5" customHeight="1" x14ac:dyDescent="0.35">
      <c r="E653" s="84"/>
      <c r="P653" s="60"/>
      <c r="Q653" s="60"/>
      <c r="R653" s="60"/>
      <c r="S653" s="60"/>
      <c r="T653" s="60"/>
      <c r="U653" s="60"/>
      <c r="V653" s="60"/>
      <c r="W653" s="60"/>
    </row>
    <row r="654" spans="5:23" ht="13.5" customHeight="1" x14ac:dyDescent="0.35">
      <c r="E654" s="84"/>
      <c r="P654" s="60"/>
      <c r="Q654" s="60"/>
      <c r="R654" s="60"/>
      <c r="S654" s="60"/>
      <c r="T654" s="60"/>
      <c r="U654" s="60"/>
      <c r="V654" s="60"/>
      <c r="W654" s="60"/>
    </row>
    <row r="655" spans="5:23" ht="13.5" customHeight="1" x14ac:dyDescent="0.35">
      <c r="E655" s="84"/>
      <c r="P655" s="60"/>
      <c r="Q655" s="60"/>
      <c r="R655" s="60"/>
      <c r="S655" s="60"/>
      <c r="T655" s="60"/>
      <c r="U655" s="60"/>
      <c r="V655" s="60"/>
      <c r="W655" s="60"/>
    </row>
    <row r="656" spans="5:23" ht="13.5" customHeight="1" x14ac:dyDescent="0.35">
      <c r="E656" s="84"/>
      <c r="P656" s="60"/>
      <c r="Q656" s="60"/>
      <c r="R656" s="60"/>
      <c r="S656" s="60"/>
      <c r="T656" s="60"/>
      <c r="U656" s="60"/>
      <c r="V656" s="60"/>
      <c r="W656" s="60"/>
    </row>
    <row r="657" spans="5:23" ht="13.5" customHeight="1" x14ac:dyDescent="0.35">
      <c r="E657" s="84"/>
      <c r="P657" s="60"/>
      <c r="Q657" s="60"/>
      <c r="R657" s="60"/>
      <c r="S657" s="60"/>
      <c r="T657" s="60"/>
      <c r="U657" s="60"/>
      <c r="V657" s="60"/>
      <c r="W657" s="60"/>
    </row>
    <row r="658" spans="5:23" ht="13.5" customHeight="1" x14ac:dyDescent="0.35">
      <c r="E658" s="84"/>
      <c r="P658" s="60"/>
      <c r="Q658" s="60"/>
      <c r="R658" s="60"/>
      <c r="S658" s="60"/>
      <c r="T658" s="60"/>
      <c r="U658" s="60"/>
      <c r="V658" s="60"/>
      <c r="W658" s="60"/>
    </row>
    <row r="659" spans="5:23" ht="13.5" customHeight="1" x14ac:dyDescent="0.35">
      <c r="E659" s="84"/>
      <c r="P659" s="60"/>
      <c r="Q659" s="60"/>
      <c r="R659" s="60"/>
      <c r="S659" s="60"/>
      <c r="T659" s="60"/>
      <c r="U659" s="60"/>
      <c r="V659" s="60"/>
      <c r="W659" s="60"/>
    </row>
    <row r="660" spans="5:23" ht="13.5" customHeight="1" x14ac:dyDescent="0.35">
      <c r="E660" s="84"/>
      <c r="P660" s="60"/>
      <c r="Q660" s="60"/>
      <c r="R660" s="60"/>
      <c r="S660" s="60"/>
      <c r="T660" s="60"/>
      <c r="U660" s="60"/>
      <c r="V660" s="60"/>
      <c r="W660" s="60"/>
    </row>
    <row r="661" spans="5:23" ht="13.5" customHeight="1" x14ac:dyDescent="0.35">
      <c r="E661" s="84"/>
      <c r="P661" s="60"/>
      <c r="Q661" s="60"/>
      <c r="R661" s="60"/>
      <c r="S661" s="60"/>
      <c r="T661" s="60"/>
      <c r="U661" s="60"/>
      <c r="V661" s="60"/>
      <c r="W661" s="60"/>
    </row>
    <row r="662" spans="5:23" ht="13.5" customHeight="1" x14ac:dyDescent="0.35">
      <c r="E662" s="84"/>
      <c r="P662" s="60"/>
      <c r="Q662" s="60"/>
      <c r="R662" s="60"/>
      <c r="S662" s="60"/>
      <c r="T662" s="60"/>
      <c r="U662" s="60"/>
      <c r="V662" s="60"/>
      <c r="W662" s="60"/>
    </row>
    <row r="663" spans="5:23" ht="13.5" customHeight="1" x14ac:dyDescent="0.35">
      <c r="E663" s="84"/>
      <c r="P663" s="60"/>
      <c r="Q663" s="60"/>
      <c r="R663" s="60"/>
      <c r="S663" s="60"/>
      <c r="T663" s="60"/>
      <c r="U663" s="60"/>
      <c r="V663" s="60"/>
      <c r="W663" s="60"/>
    </row>
    <row r="664" spans="5:23" ht="13.5" customHeight="1" x14ac:dyDescent="0.35">
      <c r="E664" s="84"/>
      <c r="P664" s="60"/>
      <c r="Q664" s="60"/>
      <c r="R664" s="60"/>
      <c r="S664" s="60"/>
      <c r="T664" s="60"/>
      <c r="U664" s="60"/>
      <c r="V664" s="60"/>
      <c r="W664" s="60"/>
    </row>
    <row r="665" spans="5:23" ht="13.5" customHeight="1" x14ac:dyDescent="0.35">
      <c r="E665" s="84"/>
      <c r="P665" s="60"/>
      <c r="Q665" s="60"/>
      <c r="R665" s="60"/>
      <c r="S665" s="60"/>
      <c r="T665" s="60"/>
      <c r="U665" s="60"/>
      <c r="V665" s="60"/>
      <c r="W665" s="60"/>
    </row>
    <row r="666" spans="5:23" ht="13.5" customHeight="1" x14ac:dyDescent="0.35">
      <c r="E666" s="84"/>
      <c r="P666" s="60"/>
      <c r="Q666" s="60"/>
      <c r="R666" s="60"/>
      <c r="S666" s="60"/>
      <c r="T666" s="60"/>
      <c r="U666" s="60"/>
      <c r="V666" s="60"/>
      <c r="W666" s="60"/>
    </row>
    <row r="667" spans="5:23" ht="13.5" customHeight="1" x14ac:dyDescent="0.35">
      <c r="E667" s="84"/>
      <c r="P667" s="60"/>
      <c r="Q667" s="60"/>
      <c r="R667" s="60"/>
      <c r="S667" s="60"/>
      <c r="T667" s="60"/>
      <c r="U667" s="60"/>
      <c r="V667" s="60"/>
      <c r="W667" s="60"/>
    </row>
    <row r="668" spans="5:23" ht="13.5" customHeight="1" x14ac:dyDescent="0.35">
      <c r="E668" s="84"/>
      <c r="P668" s="60"/>
      <c r="Q668" s="60"/>
      <c r="R668" s="60"/>
      <c r="S668" s="60"/>
      <c r="T668" s="60"/>
      <c r="U668" s="60"/>
      <c r="V668" s="60"/>
      <c r="W668" s="60"/>
    </row>
    <row r="669" spans="5:23" ht="13.5" customHeight="1" x14ac:dyDescent="0.35">
      <c r="E669" s="84"/>
      <c r="P669" s="60"/>
      <c r="Q669" s="60"/>
      <c r="R669" s="60"/>
      <c r="S669" s="60"/>
      <c r="T669" s="60"/>
      <c r="U669" s="60"/>
      <c r="V669" s="60"/>
      <c r="W669" s="60"/>
    </row>
    <row r="670" spans="5:23" ht="13.5" customHeight="1" x14ac:dyDescent="0.35">
      <c r="E670" s="84"/>
      <c r="P670" s="60"/>
      <c r="Q670" s="60"/>
      <c r="R670" s="60"/>
      <c r="S670" s="60"/>
      <c r="T670" s="60"/>
      <c r="U670" s="60"/>
      <c r="V670" s="60"/>
      <c r="W670" s="60"/>
    </row>
    <row r="671" spans="5:23" ht="13.5" customHeight="1" x14ac:dyDescent="0.35">
      <c r="E671" s="84"/>
      <c r="P671" s="60"/>
      <c r="Q671" s="60"/>
      <c r="R671" s="60"/>
      <c r="S671" s="60"/>
      <c r="T671" s="60"/>
      <c r="U671" s="60"/>
      <c r="V671" s="60"/>
      <c r="W671" s="60"/>
    </row>
    <row r="672" spans="5:23" ht="13.5" customHeight="1" x14ac:dyDescent="0.35">
      <c r="E672" s="84"/>
      <c r="P672" s="60"/>
      <c r="Q672" s="60"/>
      <c r="R672" s="60"/>
      <c r="S672" s="60"/>
      <c r="T672" s="60"/>
      <c r="U672" s="60"/>
      <c r="V672" s="60"/>
      <c r="W672" s="60"/>
    </row>
    <row r="673" spans="5:23" ht="13.5" customHeight="1" x14ac:dyDescent="0.35">
      <c r="E673" s="84"/>
      <c r="P673" s="60"/>
      <c r="Q673" s="60"/>
      <c r="R673" s="60"/>
      <c r="S673" s="60"/>
      <c r="T673" s="60"/>
      <c r="U673" s="60"/>
      <c r="V673" s="60"/>
      <c r="W673" s="60"/>
    </row>
    <row r="674" spans="5:23" ht="13.5" customHeight="1" x14ac:dyDescent="0.35">
      <c r="E674" s="84"/>
      <c r="P674" s="60"/>
      <c r="Q674" s="60"/>
      <c r="R674" s="60"/>
      <c r="S674" s="60"/>
      <c r="T674" s="60"/>
      <c r="U674" s="60"/>
      <c r="V674" s="60"/>
      <c r="W674" s="60"/>
    </row>
    <row r="675" spans="5:23" ht="13.5" customHeight="1" x14ac:dyDescent="0.35">
      <c r="E675" s="84"/>
      <c r="P675" s="60"/>
      <c r="Q675" s="60"/>
      <c r="R675" s="60"/>
      <c r="S675" s="60"/>
      <c r="T675" s="60"/>
      <c r="U675" s="60"/>
      <c r="V675" s="60"/>
      <c r="W675" s="60"/>
    </row>
    <row r="676" spans="5:23" ht="13.5" customHeight="1" x14ac:dyDescent="0.35">
      <c r="E676" s="84"/>
      <c r="P676" s="60"/>
      <c r="Q676" s="60"/>
      <c r="R676" s="60"/>
      <c r="S676" s="60"/>
      <c r="T676" s="60"/>
      <c r="U676" s="60"/>
      <c r="V676" s="60"/>
      <c r="W676" s="60"/>
    </row>
    <row r="677" spans="5:23" ht="13.5" customHeight="1" x14ac:dyDescent="0.35">
      <c r="E677" s="84"/>
      <c r="P677" s="60"/>
      <c r="Q677" s="60"/>
      <c r="R677" s="60"/>
      <c r="S677" s="60"/>
      <c r="T677" s="60"/>
      <c r="U677" s="60"/>
      <c r="V677" s="60"/>
      <c r="W677" s="60"/>
    </row>
    <row r="678" spans="5:23" ht="13.5" customHeight="1" x14ac:dyDescent="0.35">
      <c r="E678" s="84"/>
      <c r="P678" s="60"/>
      <c r="Q678" s="60"/>
      <c r="R678" s="60"/>
      <c r="S678" s="60"/>
      <c r="T678" s="60"/>
      <c r="U678" s="60"/>
      <c r="V678" s="60"/>
      <c r="W678" s="60"/>
    </row>
    <row r="679" spans="5:23" ht="13.5" customHeight="1" x14ac:dyDescent="0.35">
      <c r="E679" s="84"/>
      <c r="P679" s="60"/>
      <c r="Q679" s="60"/>
      <c r="R679" s="60"/>
      <c r="S679" s="60"/>
      <c r="T679" s="60"/>
      <c r="U679" s="60"/>
      <c r="V679" s="60"/>
      <c r="W679" s="60"/>
    </row>
    <row r="680" spans="5:23" ht="13.5" customHeight="1" x14ac:dyDescent="0.35">
      <c r="E680" s="84"/>
      <c r="P680" s="60"/>
      <c r="Q680" s="60"/>
      <c r="R680" s="60"/>
      <c r="S680" s="60"/>
      <c r="T680" s="60"/>
      <c r="U680" s="60"/>
      <c r="V680" s="60"/>
      <c r="W680" s="60"/>
    </row>
    <row r="681" spans="5:23" ht="13.5" customHeight="1" x14ac:dyDescent="0.35">
      <c r="E681" s="84"/>
      <c r="P681" s="60"/>
      <c r="Q681" s="60"/>
      <c r="R681" s="60"/>
      <c r="S681" s="60"/>
      <c r="T681" s="60"/>
      <c r="U681" s="60"/>
      <c r="V681" s="60"/>
      <c r="W681" s="60"/>
    </row>
    <row r="682" spans="5:23" ht="13.5" customHeight="1" x14ac:dyDescent="0.35">
      <c r="E682" s="84"/>
      <c r="P682" s="60"/>
      <c r="Q682" s="60"/>
      <c r="R682" s="60"/>
      <c r="S682" s="60"/>
      <c r="T682" s="60"/>
      <c r="U682" s="60"/>
      <c r="V682" s="60"/>
      <c r="W682" s="60"/>
    </row>
    <row r="683" spans="5:23" ht="13.5" customHeight="1" x14ac:dyDescent="0.35">
      <c r="E683" s="84"/>
      <c r="P683" s="60"/>
      <c r="Q683" s="60"/>
      <c r="R683" s="60"/>
      <c r="S683" s="60"/>
      <c r="T683" s="60"/>
      <c r="U683" s="60"/>
      <c r="V683" s="60"/>
      <c r="W683" s="60"/>
    </row>
    <row r="684" spans="5:23" ht="13.5" customHeight="1" x14ac:dyDescent="0.35">
      <c r="E684" s="84"/>
      <c r="P684" s="60"/>
      <c r="Q684" s="60"/>
      <c r="R684" s="60"/>
      <c r="S684" s="60"/>
      <c r="T684" s="60"/>
      <c r="U684" s="60"/>
      <c r="V684" s="60"/>
      <c r="W684" s="60"/>
    </row>
    <row r="685" spans="5:23" ht="13.5" customHeight="1" x14ac:dyDescent="0.35">
      <c r="E685" s="84"/>
      <c r="P685" s="60"/>
      <c r="Q685" s="60"/>
      <c r="R685" s="60"/>
      <c r="S685" s="60"/>
      <c r="T685" s="60"/>
      <c r="U685" s="60"/>
      <c r="V685" s="60"/>
      <c r="W685" s="60"/>
    </row>
    <row r="686" spans="5:23" ht="13.5" customHeight="1" x14ac:dyDescent="0.35">
      <c r="E686" s="84"/>
      <c r="P686" s="60"/>
      <c r="Q686" s="60"/>
      <c r="R686" s="60"/>
      <c r="S686" s="60"/>
      <c r="T686" s="60"/>
      <c r="U686" s="60"/>
      <c r="V686" s="60"/>
      <c r="W686" s="60"/>
    </row>
    <row r="687" spans="5:23" ht="13.5" customHeight="1" x14ac:dyDescent="0.35">
      <c r="E687" s="84"/>
      <c r="P687" s="60"/>
      <c r="Q687" s="60"/>
      <c r="R687" s="60"/>
      <c r="S687" s="60"/>
      <c r="T687" s="60"/>
      <c r="U687" s="60"/>
      <c r="V687" s="60"/>
      <c r="W687" s="60"/>
    </row>
    <row r="688" spans="5:23" ht="13.5" customHeight="1" x14ac:dyDescent="0.35">
      <c r="E688" s="84"/>
      <c r="P688" s="60"/>
      <c r="Q688" s="60"/>
      <c r="R688" s="60"/>
      <c r="S688" s="60"/>
      <c r="T688" s="60"/>
      <c r="U688" s="60"/>
      <c r="V688" s="60"/>
      <c r="W688" s="60"/>
    </row>
    <row r="689" spans="5:23" ht="13.5" customHeight="1" x14ac:dyDescent="0.35">
      <c r="E689" s="84"/>
      <c r="P689" s="60"/>
      <c r="Q689" s="60"/>
      <c r="R689" s="60"/>
      <c r="S689" s="60"/>
      <c r="T689" s="60"/>
      <c r="U689" s="60"/>
      <c r="V689" s="60"/>
      <c r="W689" s="60"/>
    </row>
    <row r="690" spans="5:23" ht="13.5" customHeight="1" x14ac:dyDescent="0.35">
      <c r="E690" s="84"/>
      <c r="P690" s="60"/>
      <c r="Q690" s="60"/>
      <c r="R690" s="60"/>
      <c r="S690" s="60"/>
      <c r="T690" s="60"/>
      <c r="U690" s="60"/>
      <c r="V690" s="60"/>
      <c r="W690" s="60"/>
    </row>
    <row r="691" spans="5:23" ht="13.5" customHeight="1" x14ac:dyDescent="0.35">
      <c r="E691" s="84"/>
      <c r="P691" s="60"/>
      <c r="Q691" s="60"/>
      <c r="R691" s="60"/>
      <c r="S691" s="60"/>
      <c r="T691" s="60"/>
      <c r="U691" s="60"/>
      <c r="V691" s="60"/>
      <c r="W691" s="60"/>
    </row>
    <row r="692" spans="5:23" ht="13.5" customHeight="1" x14ac:dyDescent="0.35">
      <c r="E692" s="84"/>
      <c r="P692" s="60"/>
      <c r="Q692" s="60"/>
      <c r="R692" s="60"/>
      <c r="S692" s="60"/>
      <c r="T692" s="60"/>
      <c r="U692" s="60"/>
      <c r="V692" s="60"/>
      <c r="W692" s="60"/>
    </row>
    <row r="693" spans="5:23" ht="13.5" customHeight="1" x14ac:dyDescent="0.35">
      <c r="E693" s="84"/>
      <c r="P693" s="60"/>
      <c r="Q693" s="60"/>
      <c r="R693" s="60"/>
      <c r="S693" s="60"/>
      <c r="T693" s="60"/>
      <c r="U693" s="60"/>
      <c r="V693" s="60"/>
      <c r="W693" s="60"/>
    </row>
    <row r="694" spans="5:23" ht="13.5" customHeight="1" x14ac:dyDescent="0.35">
      <c r="E694" s="84"/>
      <c r="P694" s="60"/>
      <c r="Q694" s="60"/>
      <c r="R694" s="60"/>
      <c r="S694" s="60"/>
      <c r="T694" s="60"/>
      <c r="U694" s="60"/>
      <c r="V694" s="60"/>
      <c r="W694" s="60"/>
    </row>
    <row r="695" spans="5:23" ht="13.5" customHeight="1" x14ac:dyDescent="0.35">
      <c r="E695" s="84"/>
      <c r="P695" s="60"/>
      <c r="Q695" s="60"/>
      <c r="R695" s="60"/>
      <c r="S695" s="60"/>
      <c r="T695" s="60"/>
      <c r="U695" s="60"/>
      <c r="V695" s="60"/>
      <c r="W695" s="60"/>
    </row>
    <row r="696" spans="5:23" ht="13.5" customHeight="1" x14ac:dyDescent="0.35">
      <c r="E696" s="84"/>
      <c r="P696" s="60"/>
      <c r="Q696" s="60"/>
      <c r="R696" s="60"/>
      <c r="S696" s="60"/>
      <c r="T696" s="60"/>
      <c r="U696" s="60"/>
      <c r="V696" s="60"/>
      <c r="W696" s="60"/>
    </row>
    <row r="697" spans="5:23" ht="13.5" customHeight="1" x14ac:dyDescent="0.35">
      <c r="E697" s="84"/>
      <c r="P697" s="60"/>
      <c r="Q697" s="60"/>
      <c r="R697" s="60"/>
      <c r="S697" s="60"/>
      <c r="T697" s="60"/>
      <c r="U697" s="60"/>
      <c r="V697" s="60"/>
      <c r="W697" s="60"/>
    </row>
    <row r="698" spans="5:23" ht="13.5" customHeight="1" x14ac:dyDescent="0.35">
      <c r="E698" s="84"/>
      <c r="P698" s="60"/>
      <c r="Q698" s="60"/>
      <c r="R698" s="60"/>
      <c r="S698" s="60"/>
      <c r="T698" s="60"/>
      <c r="U698" s="60"/>
      <c r="V698" s="60"/>
      <c r="W698" s="60"/>
    </row>
    <row r="699" spans="5:23" ht="13.5" customHeight="1" x14ac:dyDescent="0.35">
      <c r="E699" s="84"/>
      <c r="P699" s="60"/>
      <c r="Q699" s="60"/>
      <c r="R699" s="60"/>
      <c r="S699" s="60"/>
      <c r="T699" s="60"/>
      <c r="U699" s="60"/>
      <c r="V699" s="60"/>
      <c r="W699" s="60"/>
    </row>
    <row r="700" spans="5:23" ht="13.5" customHeight="1" x14ac:dyDescent="0.35">
      <c r="E700" s="84"/>
      <c r="P700" s="60"/>
      <c r="Q700" s="60"/>
      <c r="R700" s="60"/>
      <c r="S700" s="60"/>
      <c r="T700" s="60"/>
      <c r="U700" s="60"/>
      <c r="V700" s="60"/>
      <c r="W700" s="60"/>
    </row>
    <row r="701" spans="5:23" ht="13.5" customHeight="1" x14ac:dyDescent="0.35">
      <c r="E701" s="84"/>
      <c r="P701" s="60"/>
      <c r="Q701" s="60"/>
      <c r="R701" s="60"/>
      <c r="S701" s="60"/>
      <c r="T701" s="60"/>
      <c r="U701" s="60"/>
      <c r="V701" s="60"/>
      <c r="W701" s="60"/>
    </row>
    <row r="702" spans="5:23" ht="13.5" customHeight="1" x14ac:dyDescent="0.35">
      <c r="E702" s="84"/>
      <c r="P702" s="60"/>
      <c r="Q702" s="60"/>
      <c r="R702" s="60"/>
      <c r="S702" s="60"/>
      <c r="T702" s="60"/>
      <c r="U702" s="60"/>
      <c r="V702" s="60"/>
      <c r="W702" s="60"/>
    </row>
    <row r="703" spans="5:23" ht="13.5" customHeight="1" x14ac:dyDescent="0.35">
      <c r="E703" s="84"/>
      <c r="P703" s="60"/>
      <c r="Q703" s="60"/>
      <c r="R703" s="60"/>
      <c r="S703" s="60"/>
      <c r="T703" s="60"/>
      <c r="U703" s="60"/>
      <c r="V703" s="60"/>
      <c r="W703" s="60"/>
    </row>
    <row r="704" spans="5:23" ht="13.5" customHeight="1" x14ac:dyDescent="0.35">
      <c r="E704" s="84"/>
      <c r="P704" s="60"/>
      <c r="Q704" s="60"/>
      <c r="R704" s="60"/>
      <c r="S704" s="60"/>
      <c r="T704" s="60"/>
      <c r="U704" s="60"/>
      <c r="V704" s="60"/>
      <c r="W704" s="60"/>
    </row>
    <row r="705" spans="5:23" ht="13.5" customHeight="1" x14ac:dyDescent="0.35">
      <c r="E705" s="84"/>
      <c r="P705" s="60"/>
      <c r="Q705" s="60"/>
      <c r="R705" s="60"/>
      <c r="S705" s="60"/>
      <c r="T705" s="60"/>
      <c r="U705" s="60"/>
      <c r="V705" s="60"/>
      <c r="W705" s="60"/>
    </row>
    <row r="706" spans="5:23" ht="13.5" customHeight="1" x14ac:dyDescent="0.35">
      <c r="E706" s="84"/>
      <c r="P706" s="60"/>
      <c r="Q706" s="60"/>
      <c r="R706" s="60"/>
      <c r="S706" s="60"/>
      <c r="T706" s="60"/>
      <c r="U706" s="60"/>
      <c r="V706" s="60"/>
      <c r="W706" s="60"/>
    </row>
    <row r="707" spans="5:23" ht="13.5" customHeight="1" x14ac:dyDescent="0.35">
      <c r="E707" s="84"/>
      <c r="P707" s="60"/>
      <c r="Q707" s="60"/>
      <c r="R707" s="60"/>
      <c r="S707" s="60"/>
      <c r="T707" s="60"/>
      <c r="U707" s="60"/>
      <c r="V707" s="60"/>
      <c r="W707" s="60"/>
    </row>
    <row r="708" spans="5:23" ht="13.5" customHeight="1" x14ac:dyDescent="0.35">
      <c r="E708" s="84"/>
      <c r="P708" s="60"/>
      <c r="Q708" s="60"/>
      <c r="R708" s="60"/>
      <c r="S708" s="60"/>
      <c r="T708" s="60"/>
      <c r="U708" s="60"/>
      <c r="V708" s="60"/>
      <c r="W708" s="60"/>
    </row>
    <row r="709" spans="5:23" ht="13.5" customHeight="1" x14ac:dyDescent="0.35">
      <c r="E709" s="84"/>
      <c r="P709" s="60"/>
      <c r="Q709" s="60"/>
      <c r="R709" s="60"/>
      <c r="S709" s="60"/>
      <c r="T709" s="60"/>
      <c r="U709" s="60"/>
      <c r="V709" s="60"/>
      <c r="W709" s="60"/>
    </row>
    <row r="710" spans="5:23" ht="13.5" customHeight="1" x14ac:dyDescent="0.35">
      <c r="E710" s="84"/>
      <c r="P710" s="60"/>
      <c r="Q710" s="60"/>
      <c r="R710" s="60"/>
      <c r="S710" s="60"/>
      <c r="T710" s="60"/>
      <c r="U710" s="60"/>
      <c r="V710" s="60"/>
      <c r="W710" s="60"/>
    </row>
    <row r="711" spans="5:23" ht="13.5" customHeight="1" x14ac:dyDescent="0.35">
      <c r="E711" s="84"/>
      <c r="P711" s="60"/>
      <c r="Q711" s="60"/>
      <c r="R711" s="60"/>
      <c r="S711" s="60"/>
      <c r="T711" s="60"/>
      <c r="U711" s="60"/>
      <c r="V711" s="60"/>
      <c r="W711" s="60"/>
    </row>
    <row r="712" spans="5:23" ht="13.5" customHeight="1" x14ac:dyDescent="0.35">
      <c r="E712" s="84"/>
      <c r="P712" s="60"/>
      <c r="Q712" s="60"/>
      <c r="R712" s="60"/>
      <c r="S712" s="60"/>
      <c r="T712" s="60"/>
      <c r="U712" s="60"/>
      <c r="V712" s="60"/>
      <c r="W712" s="60"/>
    </row>
    <row r="713" spans="5:23" ht="13.5" customHeight="1" x14ac:dyDescent="0.35">
      <c r="E713" s="84"/>
      <c r="P713" s="60"/>
      <c r="Q713" s="60"/>
      <c r="R713" s="60"/>
      <c r="S713" s="60"/>
      <c r="T713" s="60"/>
      <c r="U713" s="60"/>
      <c r="V713" s="60"/>
      <c r="W713" s="60"/>
    </row>
    <row r="714" spans="5:23" ht="13.5" customHeight="1" x14ac:dyDescent="0.35">
      <c r="E714" s="84"/>
      <c r="P714" s="60"/>
      <c r="Q714" s="60"/>
      <c r="R714" s="60"/>
      <c r="S714" s="60"/>
      <c r="T714" s="60"/>
      <c r="U714" s="60"/>
      <c r="V714" s="60"/>
      <c r="W714" s="60"/>
    </row>
    <row r="715" spans="5:23" ht="13.5" customHeight="1" x14ac:dyDescent="0.35">
      <c r="E715" s="84"/>
      <c r="P715" s="60"/>
      <c r="Q715" s="60"/>
      <c r="R715" s="60"/>
      <c r="S715" s="60"/>
      <c r="T715" s="60"/>
      <c r="U715" s="60"/>
      <c r="V715" s="60"/>
      <c r="W715" s="60"/>
    </row>
    <row r="716" spans="5:23" ht="13.5" customHeight="1" x14ac:dyDescent="0.35">
      <c r="E716" s="84"/>
      <c r="P716" s="60"/>
      <c r="Q716" s="60"/>
      <c r="R716" s="60"/>
      <c r="S716" s="60"/>
      <c r="T716" s="60"/>
      <c r="U716" s="60"/>
      <c r="V716" s="60"/>
      <c r="W716" s="60"/>
    </row>
    <row r="717" spans="5:23" ht="13.5" customHeight="1" x14ac:dyDescent="0.35">
      <c r="E717" s="84"/>
      <c r="P717" s="60"/>
      <c r="Q717" s="60"/>
      <c r="R717" s="60"/>
      <c r="S717" s="60"/>
      <c r="T717" s="60"/>
      <c r="U717" s="60"/>
      <c r="V717" s="60"/>
      <c r="W717" s="60"/>
    </row>
    <row r="718" spans="5:23" ht="13.5" customHeight="1" x14ac:dyDescent="0.35">
      <c r="E718" s="84"/>
      <c r="P718" s="60"/>
      <c r="Q718" s="60"/>
      <c r="R718" s="60"/>
      <c r="S718" s="60"/>
      <c r="T718" s="60"/>
      <c r="U718" s="60"/>
      <c r="V718" s="60"/>
      <c r="W718" s="60"/>
    </row>
    <row r="719" spans="5:23" ht="13.5" customHeight="1" x14ac:dyDescent="0.35">
      <c r="E719" s="84"/>
      <c r="P719" s="60"/>
      <c r="Q719" s="60"/>
      <c r="R719" s="60"/>
      <c r="S719" s="60"/>
      <c r="T719" s="60"/>
      <c r="U719" s="60"/>
      <c r="V719" s="60"/>
      <c r="W719" s="60"/>
    </row>
    <row r="720" spans="5:23" ht="13.5" customHeight="1" x14ac:dyDescent="0.35">
      <c r="E720" s="84"/>
      <c r="P720" s="60"/>
      <c r="Q720" s="60"/>
      <c r="R720" s="60"/>
      <c r="S720" s="60"/>
      <c r="T720" s="60"/>
      <c r="U720" s="60"/>
      <c r="V720" s="60"/>
      <c r="W720" s="60"/>
    </row>
    <row r="721" spans="5:23" ht="13.5" customHeight="1" x14ac:dyDescent="0.35">
      <c r="E721" s="84"/>
      <c r="P721" s="60"/>
      <c r="Q721" s="60"/>
      <c r="R721" s="60"/>
      <c r="S721" s="60"/>
      <c r="T721" s="60"/>
      <c r="U721" s="60"/>
      <c r="V721" s="60"/>
      <c r="W721" s="60"/>
    </row>
    <row r="722" spans="5:23" ht="13.5" customHeight="1" x14ac:dyDescent="0.35">
      <c r="E722" s="84"/>
      <c r="P722" s="60"/>
      <c r="Q722" s="60"/>
      <c r="R722" s="60"/>
      <c r="S722" s="60"/>
      <c r="T722" s="60"/>
      <c r="U722" s="60"/>
      <c r="V722" s="60"/>
      <c r="W722" s="60"/>
    </row>
    <row r="723" spans="5:23" ht="13.5" customHeight="1" x14ac:dyDescent="0.35">
      <c r="E723" s="84"/>
      <c r="P723" s="60"/>
      <c r="Q723" s="60"/>
      <c r="R723" s="60"/>
      <c r="S723" s="60"/>
      <c r="T723" s="60"/>
      <c r="U723" s="60"/>
      <c r="V723" s="60"/>
      <c r="W723" s="60"/>
    </row>
    <row r="724" spans="5:23" ht="13.5" customHeight="1" x14ac:dyDescent="0.35">
      <c r="E724" s="84"/>
      <c r="P724" s="60"/>
      <c r="Q724" s="60"/>
      <c r="R724" s="60"/>
      <c r="S724" s="60"/>
      <c r="T724" s="60"/>
      <c r="U724" s="60"/>
      <c r="V724" s="60"/>
      <c r="W724" s="60"/>
    </row>
    <row r="725" spans="5:23" ht="13.5" customHeight="1" x14ac:dyDescent="0.35">
      <c r="E725" s="84"/>
      <c r="P725" s="60"/>
      <c r="Q725" s="60"/>
      <c r="R725" s="60"/>
      <c r="S725" s="60"/>
      <c r="T725" s="60"/>
      <c r="U725" s="60"/>
      <c r="V725" s="60"/>
      <c r="W725" s="60"/>
    </row>
    <row r="726" spans="5:23" ht="13.5" customHeight="1" x14ac:dyDescent="0.35">
      <c r="E726" s="84"/>
      <c r="P726" s="60"/>
      <c r="Q726" s="60"/>
      <c r="R726" s="60"/>
      <c r="S726" s="60"/>
      <c r="T726" s="60"/>
      <c r="U726" s="60"/>
      <c r="V726" s="60"/>
      <c r="W726" s="60"/>
    </row>
    <row r="727" spans="5:23" ht="13.5" customHeight="1" x14ac:dyDescent="0.35">
      <c r="E727" s="84"/>
      <c r="P727" s="60"/>
      <c r="Q727" s="60"/>
      <c r="R727" s="60"/>
      <c r="S727" s="60"/>
      <c r="T727" s="60"/>
      <c r="U727" s="60"/>
      <c r="V727" s="60"/>
      <c r="W727" s="60"/>
    </row>
    <row r="728" spans="5:23" ht="13.5" customHeight="1" x14ac:dyDescent="0.35">
      <c r="E728" s="84"/>
      <c r="P728" s="60"/>
      <c r="Q728" s="60"/>
      <c r="R728" s="60"/>
      <c r="S728" s="60"/>
      <c r="T728" s="60"/>
      <c r="U728" s="60"/>
      <c r="V728" s="60"/>
      <c r="W728" s="60"/>
    </row>
    <row r="729" spans="5:23" ht="13.5" customHeight="1" x14ac:dyDescent="0.35">
      <c r="E729" s="84"/>
      <c r="P729" s="60"/>
      <c r="Q729" s="60"/>
      <c r="R729" s="60"/>
      <c r="S729" s="60"/>
      <c r="T729" s="60"/>
      <c r="U729" s="60"/>
      <c r="V729" s="60"/>
      <c r="W729" s="60"/>
    </row>
    <row r="730" spans="5:23" ht="13.5" customHeight="1" x14ac:dyDescent="0.35">
      <c r="E730" s="84"/>
      <c r="P730" s="60"/>
      <c r="Q730" s="60"/>
      <c r="R730" s="60"/>
      <c r="S730" s="60"/>
      <c r="T730" s="60"/>
      <c r="U730" s="60"/>
      <c r="V730" s="60"/>
      <c r="W730" s="60"/>
    </row>
    <row r="731" spans="5:23" ht="13.5" customHeight="1" x14ac:dyDescent="0.35">
      <c r="E731" s="84"/>
      <c r="P731" s="60"/>
      <c r="Q731" s="60"/>
      <c r="R731" s="60"/>
      <c r="S731" s="60"/>
      <c r="T731" s="60"/>
      <c r="U731" s="60"/>
      <c r="V731" s="60"/>
      <c r="W731" s="60"/>
    </row>
    <row r="732" spans="5:23" ht="13.5" customHeight="1" x14ac:dyDescent="0.35">
      <c r="E732" s="84"/>
      <c r="P732" s="60"/>
      <c r="Q732" s="60"/>
      <c r="R732" s="60"/>
      <c r="S732" s="60"/>
      <c r="T732" s="60"/>
      <c r="U732" s="60"/>
      <c r="V732" s="60"/>
      <c r="W732" s="60"/>
    </row>
    <row r="733" spans="5:23" ht="13.5" customHeight="1" x14ac:dyDescent="0.35">
      <c r="E733" s="84"/>
      <c r="P733" s="60"/>
      <c r="Q733" s="60"/>
      <c r="R733" s="60"/>
      <c r="S733" s="60"/>
      <c r="T733" s="60"/>
      <c r="U733" s="60"/>
      <c r="V733" s="60"/>
      <c r="W733" s="60"/>
    </row>
    <row r="734" spans="5:23" ht="13.5" customHeight="1" x14ac:dyDescent="0.35">
      <c r="E734" s="84"/>
      <c r="P734" s="60"/>
      <c r="Q734" s="60"/>
      <c r="R734" s="60"/>
      <c r="S734" s="60"/>
      <c r="T734" s="60"/>
      <c r="U734" s="60"/>
      <c r="V734" s="60"/>
      <c r="W734" s="60"/>
    </row>
    <row r="735" spans="5:23" ht="13.5" customHeight="1" x14ac:dyDescent="0.35">
      <c r="E735" s="84"/>
      <c r="P735" s="60"/>
      <c r="Q735" s="60"/>
      <c r="R735" s="60"/>
      <c r="S735" s="60"/>
      <c r="T735" s="60"/>
      <c r="U735" s="60"/>
      <c r="V735" s="60"/>
      <c r="W735" s="60"/>
    </row>
    <row r="736" spans="5:23" ht="13.5" customHeight="1" x14ac:dyDescent="0.35">
      <c r="E736" s="84"/>
      <c r="P736" s="60"/>
      <c r="Q736" s="60"/>
      <c r="R736" s="60"/>
      <c r="S736" s="60"/>
      <c r="T736" s="60"/>
      <c r="U736" s="60"/>
      <c r="V736" s="60"/>
      <c r="W736" s="60"/>
    </row>
    <row r="737" spans="5:23" ht="13.5" customHeight="1" x14ac:dyDescent="0.35">
      <c r="E737" s="84"/>
      <c r="P737" s="60"/>
      <c r="Q737" s="60"/>
      <c r="R737" s="60"/>
      <c r="S737" s="60"/>
      <c r="T737" s="60"/>
      <c r="U737" s="60"/>
      <c r="V737" s="60"/>
      <c r="W737" s="60"/>
    </row>
    <row r="738" spans="5:23" ht="13.5" customHeight="1" x14ac:dyDescent="0.35">
      <c r="E738" s="84"/>
      <c r="P738" s="60"/>
      <c r="Q738" s="60"/>
      <c r="R738" s="60"/>
      <c r="S738" s="60"/>
      <c r="T738" s="60"/>
      <c r="U738" s="60"/>
      <c r="V738" s="60"/>
      <c r="W738" s="60"/>
    </row>
    <row r="739" spans="5:23" ht="13.5" customHeight="1" x14ac:dyDescent="0.35">
      <c r="E739" s="84"/>
      <c r="P739" s="60"/>
      <c r="Q739" s="60"/>
      <c r="R739" s="60"/>
      <c r="S739" s="60"/>
      <c r="T739" s="60"/>
      <c r="U739" s="60"/>
      <c r="V739" s="60"/>
      <c r="W739" s="60"/>
    </row>
    <row r="740" spans="5:23" ht="13.5" customHeight="1" x14ac:dyDescent="0.35">
      <c r="E740" s="84"/>
      <c r="P740" s="60"/>
      <c r="Q740" s="60"/>
      <c r="R740" s="60"/>
      <c r="S740" s="60"/>
      <c r="T740" s="60"/>
      <c r="U740" s="60"/>
      <c r="V740" s="60"/>
      <c r="W740" s="60"/>
    </row>
    <row r="741" spans="5:23" ht="13.5" customHeight="1" x14ac:dyDescent="0.35">
      <c r="E741" s="84"/>
      <c r="P741" s="60"/>
      <c r="Q741" s="60"/>
      <c r="R741" s="60"/>
      <c r="S741" s="60"/>
      <c r="T741" s="60"/>
      <c r="U741" s="60"/>
      <c r="V741" s="60"/>
      <c r="W741" s="60"/>
    </row>
    <row r="742" spans="5:23" ht="13.5" customHeight="1" x14ac:dyDescent="0.35">
      <c r="E742" s="84"/>
      <c r="P742" s="60"/>
      <c r="Q742" s="60"/>
      <c r="R742" s="60"/>
      <c r="S742" s="60"/>
      <c r="T742" s="60"/>
      <c r="U742" s="60"/>
      <c r="V742" s="60"/>
      <c r="W742" s="60"/>
    </row>
    <row r="743" spans="5:23" ht="13.5" customHeight="1" x14ac:dyDescent="0.35">
      <c r="E743" s="84"/>
      <c r="P743" s="60"/>
      <c r="Q743" s="60"/>
      <c r="R743" s="60"/>
      <c r="S743" s="60"/>
      <c r="T743" s="60"/>
      <c r="U743" s="60"/>
      <c r="V743" s="60"/>
      <c r="W743" s="60"/>
    </row>
    <row r="744" spans="5:23" ht="13.5" customHeight="1" x14ac:dyDescent="0.35">
      <c r="E744" s="84"/>
      <c r="P744" s="60"/>
      <c r="Q744" s="60"/>
      <c r="R744" s="60"/>
      <c r="S744" s="60"/>
      <c r="T744" s="60"/>
      <c r="U744" s="60"/>
      <c r="V744" s="60"/>
      <c r="W744" s="60"/>
    </row>
    <row r="745" spans="5:23" ht="13.5" customHeight="1" x14ac:dyDescent="0.35">
      <c r="E745" s="84"/>
      <c r="P745" s="60"/>
      <c r="Q745" s="60"/>
      <c r="R745" s="60"/>
      <c r="S745" s="60"/>
      <c r="T745" s="60"/>
      <c r="U745" s="60"/>
      <c r="V745" s="60"/>
      <c r="W745" s="60"/>
    </row>
    <row r="746" spans="5:23" ht="13.5" customHeight="1" x14ac:dyDescent="0.35">
      <c r="E746" s="84"/>
      <c r="P746" s="60"/>
      <c r="Q746" s="60"/>
      <c r="R746" s="60"/>
      <c r="S746" s="60"/>
      <c r="T746" s="60"/>
      <c r="U746" s="60"/>
      <c r="V746" s="60"/>
      <c r="W746" s="60"/>
    </row>
    <row r="747" spans="5:23" ht="13.5" customHeight="1" x14ac:dyDescent="0.35">
      <c r="E747" s="84"/>
      <c r="P747" s="60"/>
      <c r="Q747" s="60"/>
      <c r="R747" s="60"/>
      <c r="S747" s="60"/>
      <c r="T747" s="60"/>
      <c r="U747" s="60"/>
      <c r="V747" s="60"/>
      <c r="W747" s="60"/>
    </row>
    <row r="748" spans="5:23" ht="13.5" customHeight="1" x14ac:dyDescent="0.35">
      <c r="E748" s="84"/>
      <c r="P748" s="60"/>
      <c r="Q748" s="60"/>
      <c r="R748" s="60"/>
      <c r="S748" s="60"/>
      <c r="T748" s="60"/>
      <c r="U748" s="60"/>
      <c r="V748" s="60"/>
      <c r="W748" s="60"/>
    </row>
    <row r="749" spans="5:23" ht="13.5" customHeight="1" x14ac:dyDescent="0.35">
      <c r="E749" s="84"/>
      <c r="P749" s="60"/>
      <c r="Q749" s="60"/>
      <c r="R749" s="60"/>
      <c r="S749" s="60"/>
      <c r="T749" s="60"/>
      <c r="U749" s="60"/>
      <c r="V749" s="60"/>
      <c r="W749" s="60"/>
    </row>
    <row r="750" spans="5:23" ht="13.5" customHeight="1" x14ac:dyDescent="0.35">
      <c r="E750" s="84"/>
      <c r="P750" s="60"/>
      <c r="Q750" s="60"/>
      <c r="R750" s="60"/>
      <c r="S750" s="60"/>
      <c r="T750" s="60"/>
      <c r="U750" s="60"/>
      <c r="V750" s="60"/>
      <c r="W750" s="60"/>
    </row>
    <row r="751" spans="5:23" ht="13.5" customHeight="1" x14ac:dyDescent="0.35">
      <c r="E751" s="84"/>
      <c r="P751" s="60"/>
      <c r="Q751" s="60"/>
      <c r="R751" s="60"/>
      <c r="S751" s="60"/>
      <c r="T751" s="60"/>
      <c r="U751" s="60"/>
      <c r="V751" s="60"/>
      <c r="W751" s="60"/>
    </row>
    <row r="752" spans="5:23" ht="13.5" customHeight="1" x14ac:dyDescent="0.35">
      <c r="E752" s="84"/>
      <c r="P752" s="60"/>
      <c r="Q752" s="60"/>
      <c r="R752" s="60"/>
      <c r="S752" s="60"/>
      <c r="T752" s="60"/>
      <c r="U752" s="60"/>
      <c r="V752" s="60"/>
      <c r="W752" s="60"/>
    </row>
    <row r="753" spans="5:23" ht="13.5" customHeight="1" x14ac:dyDescent="0.35">
      <c r="E753" s="84"/>
      <c r="P753" s="60"/>
      <c r="Q753" s="60"/>
      <c r="R753" s="60"/>
      <c r="S753" s="60"/>
      <c r="T753" s="60"/>
      <c r="U753" s="60"/>
      <c r="V753" s="60"/>
      <c r="W753" s="60"/>
    </row>
    <row r="754" spans="5:23" ht="13.5" customHeight="1" x14ac:dyDescent="0.35">
      <c r="E754" s="84"/>
      <c r="P754" s="60"/>
      <c r="Q754" s="60"/>
      <c r="R754" s="60"/>
      <c r="S754" s="60"/>
      <c r="T754" s="60"/>
      <c r="U754" s="60"/>
      <c r="V754" s="60"/>
      <c r="W754" s="60"/>
    </row>
    <row r="755" spans="5:23" ht="13.5" customHeight="1" x14ac:dyDescent="0.35">
      <c r="E755" s="84"/>
      <c r="P755" s="60"/>
      <c r="Q755" s="60"/>
      <c r="R755" s="60"/>
      <c r="S755" s="60"/>
      <c r="T755" s="60"/>
      <c r="U755" s="60"/>
      <c r="V755" s="60"/>
      <c r="W755" s="60"/>
    </row>
    <row r="756" spans="5:23" ht="13.5" customHeight="1" x14ac:dyDescent="0.35">
      <c r="E756" s="84"/>
      <c r="P756" s="60"/>
      <c r="Q756" s="60"/>
      <c r="R756" s="60"/>
      <c r="S756" s="60"/>
      <c r="T756" s="60"/>
      <c r="U756" s="60"/>
      <c r="V756" s="60"/>
      <c r="W756" s="60"/>
    </row>
    <row r="757" spans="5:23" ht="13.5" customHeight="1" x14ac:dyDescent="0.35">
      <c r="E757" s="84"/>
      <c r="P757" s="60"/>
      <c r="Q757" s="60"/>
      <c r="R757" s="60"/>
      <c r="S757" s="60"/>
      <c r="T757" s="60"/>
      <c r="U757" s="60"/>
      <c r="V757" s="60"/>
      <c r="W757" s="60"/>
    </row>
    <row r="758" spans="5:23" ht="13.5" customHeight="1" x14ac:dyDescent="0.35">
      <c r="E758" s="84"/>
      <c r="P758" s="60"/>
      <c r="Q758" s="60"/>
      <c r="R758" s="60"/>
      <c r="S758" s="60"/>
      <c r="T758" s="60"/>
      <c r="U758" s="60"/>
      <c r="V758" s="60"/>
      <c r="W758" s="60"/>
    </row>
    <row r="759" spans="5:23" ht="13.5" customHeight="1" x14ac:dyDescent="0.35">
      <c r="E759" s="84"/>
      <c r="P759" s="60"/>
      <c r="Q759" s="60"/>
      <c r="R759" s="60"/>
      <c r="S759" s="60"/>
      <c r="T759" s="60"/>
      <c r="U759" s="60"/>
      <c r="V759" s="60"/>
      <c r="W759" s="60"/>
    </row>
    <row r="760" spans="5:23" ht="13.5" customHeight="1" x14ac:dyDescent="0.35">
      <c r="E760" s="84"/>
      <c r="P760" s="60"/>
      <c r="Q760" s="60"/>
      <c r="R760" s="60"/>
      <c r="S760" s="60"/>
      <c r="T760" s="60"/>
      <c r="U760" s="60"/>
      <c r="V760" s="60"/>
      <c r="W760" s="60"/>
    </row>
    <row r="761" spans="5:23" ht="13.5" customHeight="1" x14ac:dyDescent="0.35">
      <c r="E761" s="84"/>
      <c r="P761" s="60"/>
      <c r="Q761" s="60"/>
      <c r="R761" s="60"/>
      <c r="S761" s="60"/>
      <c r="T761" s="60"/>
      <c r="U761" s="60"/>
      <c r="V761" s="60"/>
      <c r="W761" s="60"/>
    </row>
    <row r="762" spans="5:23" ht="13.5" customHeight="1" x14ac:dyDescent="0.35">
      <c r="E762" s="84"/>
      <c r="P762" s="60"/>
      <c r="Q762" s="60"/>
      <c r="R762" s="60"/>
      <c r="S762" s="60"/>
      <c r="T762" s="60"/>
      <c r="U762" s="60"/>
      <c r="V762" s="60"/>
      <c r="W762" s="60"/>
    </row>
    <row r="763" spans="5:23" ht="13.5" customHeight="1" x14ac:dyDescent="0.35">
      <c r="E763" s="84"/>
      <c r="P763" s="60"/>
      <c r="Q763" s="60"/>
      <c r="R763" s="60"/>
      <c r="S763" s="60"/>
      <c r="T763" s="60"/>
      <c r="U763" s="60"/>
      <c r="V763" s="60"/>
      <c r="W763" s="60"/>
    </row>
    <row r="764" spans="5:23" ht="13.5" customHeight="1" x14ac:dyDescent="0.35">
      <c r="E764" s="84"/>
      <c r="P764" s="60"/>
      <c r="Q764" s="60"/>
      <c r="R764" s="60"/>
      <c r="S764" s="60"/>
      <c r="T764" s="60"/>
      <c r="U764" s="60"/>
      <c r="V764" s="60"/>
      <c r="W764" s="60"/>
    </row>
    <row r="765" spans="5:23" ht="13.5" customHeight="1" x14ac:dyDescent="0.35">
      <c r="E765" s="84"/>
      <c r="P765" s="60"/>
      <c r="Q765" s="60"/>
      <c r="R765" s="60"/>
      <c r="S765" s="60"/>
      <c r="T765" s="60"/>
      <c r="U765" s="60"/>
      <c r="V765" s="60"/>
      <c r="W765" s="60"/>
    </row>
    <row r="766" spans="5:23" ht="13.5" customHeight="1" x14ac:dyDescent="0.35">
      <c r="E766" s="84"/>
      <c r="P766" s="60"/>
      <c r="Q766" s="60"/>
      <c r="R766" s="60"/>
      <c r="S766" s="60"/>
      <c r="T766" s="60"/>
      <c r="U766" s="60"/>
      <c r="V766" s="60"/>
      <c r="W766" s="60"/>
    </row>
    <row r="767" spans="5:23" ht="13.5" customHeight="1" x14ac:dyDescent="0.35">
      <c r="E767" s="84"/>
      <c r="P767" s="60"/>
      <c r="Q767" s="60"/>
      <c r="R767" s="60"/>
      <c r="S767" s="60"/>
      <c r="T767" s="60"/>
      <c r="U767" s="60"/>
      <c r="V767" s="60"/>
      <c r="W767" s="60"/>
    </row>
    <row r="768" spans="5:23" ht="13.5" customHeight="1" x14ac:dyDescent="0.35">
      <c r="E768" s="84"/>
      <c r="P768" s="60"/>
      <c r="Q768" s="60"/>
      <c r="R768" s="60"/>
      <c r="S768" s="60"/>
      <c r="T768" s="60"/>
      <c r="U768" s="60"/>
      <c r="V768" s="60"/>
      <c r="W768" s="60"/>
    </row>
    <row r="769" spans="5:23" ht="13.5" customHeight="1" x14ac:dyDescent="0.35">
      <c r="E769" s="84"/>
      <c r="P769" s="60"/>
      <c r="Q769" s="60"/>
      <c r="R769" s="60"/>
      <c r="S769" s="60"/>
      <c r="T769" s="60"/>
      <c r="U769" s="60"/>
      <c r="V769" s="60"/>
      <c r="W769" s="60"/>
    </row>
    <row r="770" spans="5:23" ht="13.5" customHeight="1" x14ac:dyDescent="0.35">
      <c r="E770" s="84"/>
      <c r="P770" s="60"/>
      <c r="Q770" s="60"/>
      <c r="R770" s="60"/>
      <c r="S770" s="60"/>
      <c r="T770" s="60"/>
      <c r="U770" s="60"/>
      <c r="V770" s="60"/>
      <c r="W770" s="60"/>
    </row>
    <row r="771" spans="5:23" ht="13.5" customHeight="1" x14ac:dyDescent="0.35">
      <c r="E771" s="84"/>
      <c r="P771" s="60"/>
      <c r="Q771" s="60"/>
      <c r="R771" s="60"/>
      <c r="S771" s="60"/>
      <c r="T771" s="60"/>
      <c r="U771" s="60"/>
      <c r="V771" s="60"/>
      <c r="W771" s="60"/>
    </row>
    <row r="772" spans="5:23" ht="13.5" customHeight="1" x14ac:dyDescent="0.35">
      <c r="E772" s="84"/>
      <c r="P772" s="60"/>
      <c r="Q772" s="60"/>
      <c r="R772" s="60"/>
      <c r="S772" s="60"/>
      <c r="T772" s="60"/>
      <c r="U772" s="60"/>
      <c r="V772" s="60"/>
      <c r="W772" s="60"/>
    </row>
    <row r="773" spans="5:23" ht="13.5" customHeight="1" x14ac:dyDescent="0.35">
      <c r="E773" s="84"/>
      <c r="P773" s="60"/>
      <c r="Q773" s="60"/>
      <c r="R773" s="60"/>
      <c r="S773" s="60"/>
      <c r="T773" s="60"/>
      <c r="U773" s="60"/>
      <c r="V773" s="60"/>
      <c r="W773" s="60"/>
    </row>
    <row r="774" spans="5:23" ht="13.5" customHeight="1" x14ac:dyDescent="0.35">
      <c r="E774" s="84"/>
      <c r="P774" s="60"/>
      <c r="Q774" s="60"/>
      <c r="R774" s="60"/>
      <c r="S774" s="60"/>
      <c r="T774" s="60"/>
      <c r="U774" s="60"/>
      <c r="V774" s="60"/>
      <c r="W774" s="60"/>
    </row>
    <row r="775" spans="5:23" ht="13.5" customHeight="1" x14ac:dyDescent="0.35">
      <c r="E775" s="84"/>
      <c r="P775" s="60"/>
      <c r="Q775" s="60"/>
      <c r="R775" s="60"/>
      <c r="S775" s="60"/>
      <c r="T775" s="60"/>
      <c r="U775" s="60"/>
      <c r="V775" s="60"/>
      <c r="W775" s="60"/>
    </row>
    <row r="776" spans="5:23" ht="13.5" customHeight="1" x14ac:dyDescent="0.35">
      <c r="E776" s="84"/>
      <c r="P776" s="60"/>
      <c r="Q776" s="60"/>
      <c r="R776" s="60"/>
      <c r="S776" s="60"/>
      <c r="T776" s="60"/>
      <c r="U776" s="60"/>
      <c r="V776" s="60"/>
      <c r="W776" s="60"/>
    </row>
    <row r="777" spans="5:23" ht="13.5" customHeight="1" x14ac:dyDescent="0.35">
      <c r="E777" s="84"/>
      <c r="P777" s="60"/>
      <c r="Q777" s="60"/>
      <c r="R777" s="60"/>
      <c r="S777" s="60"/>
      <c r="T777" s="60"/>
      <c r="U777" s="60"/>
      <c r="V777" s="60"/>
      <c r="W777" s="60"/>
    </row>
    <row r="778" spans="5:23" ht="13.5" customHeight="1" x14ac:dyDescent="0.35">
      <c r="E778" s="84"/>
      <c r="P778" s="60"/>
      <c r="Q778" s="60"/>
      <c r="R778" s="60"/>
      <c r="S778" s="60"/>
      <c r="T778" s="60"/>
      <c r="U778" s="60"/>
      <c r="V778" s="60"/>
      <c r="W778" s="60"/>
    </row>
    <row r="779" spans="5:23" ht="13.5" customHeight="1" x14ac:dyDescent="0.35">
      <c r="E779" s="84"/>
      <c r="P779" s="60"/>
      <c r="Q779" s="60"/>
      <c r="R779" s="60"/>
      <c r="S779" s="60"/>
      <c r="T779" s="60"/>
      <c r="U779" s="60"/>
      <c r="V779" s="60"/>
      <c r="W779" s="60"/>
    </row>
    <row r="780" spans="5:23" ht="13.5" customHeight="1" x14ac:dyDescent="0.35">
      <c r="E780" s="84"/>
      <c r="P780" s="60"/>
      <c r="Q780" s="60"/>
      <c r="R780" s="60"/>
      <c r="S780" s="60"/>
      <c r="T780" s="60"/>
      <c r="U780" s="60"/>
      <c r="V780" s="60"/>
      <c r="W780" s="60"/>
    </row>
    <row r="781" spans="5:23" ht="13.5" customHeight="1" x14ac:dyDescent="0.35">
      <c r="E781" s="84"/>
      <c r="P781" s="60"/>
      <c r="Q781" s="60"/>
      <c r="R781" s="60"/>
      <c r="S781" s="60"/>
      <c r="T781" s="60"/>
      <c r="U781" s="60"/>
      <c r="V781" s="60"/>
      <c r="W781" s="60"/>
    </row>
    <row r="782" spans="5:23" ht="13.5" customHeight="1" x14ac:dyDescent="0.35">
      <c r="E782" s="84"/>
      <c r="P782" s="60"/>
      <c r="Q782" s="60"/>
      <c r="R782" s="60"/>
      <c r="S782" s="60"/>
      <c r="T782" s="60"/>
      <c r="U782" s="60"/>
      <c r="V782" s="60"/>
      <c r="W782" s="60"/>
    </row>
    <row r="783" spans="5:23" ht="13.5" customHeight="1" x14ac:dyDescent="0.35">
      <c r="E783" s="84"/>
      <c r="P783" s="60"/>
      <c r="Q783" s="60"/>
      <c r="R783" s="60"/>
      <c r="S783" s="60"/>
      <c r="T783" s="60"/>
      <c r="U783" s="60"/>
      <c r="V783" s="60"/>
      <c r="W783" s="60"/>
    </row>
    <row r="784" spans="5:23" ht="13.5" customHeight="1" x14ac:dyDescent="0.35">
      <c r="E784" s="84"/>
      <c r="P784" s="60"/>
      <c r="Q784" s="60"/>
      <c r="R784" s="60"/>
      <c r="S784" s="60"/>
      <c r="T784" s="60"/>
      <c r="U784" s="60"/>
      <c r="V784" s="60"/>
      <c r="W784" s="60"/>
    </row>
    <row r="785" spans="5:23" ht="13.5" customHeight="1" x14ac:dyDescent="0.35">
      <c r="E785" s="84"/>
      <c r="P785" s="60"/>
      <c r="Q785" s="60"/>
      <c r="R785" s="60"/>
      <c r="S785" s="60"/>
      <c r="T785" s="60"/>
      <c r="U785" s="60"/>
      <c r="V785" s="60"/>
      <c r="W785" s="60"/>
    </row>
    <row r="786" spans="5:23" ht="13.5" customHeight="1" x14ac:dyDescent="0.35">
      <c r="E786" s="84"/>
      <c r="P786" s="60"/>
      <c r="Q786" s="60"/>
      <c r="R786" s="60"/>
      <c r="S786" s="60"/>
      <c r="T786" s="60"/>
      <c r="U786" s="60"/>
      <c r="V786" s="60"/>
      <c r="W786" s="60"/>
    </row>
    <row r="787" spans="5:23" ht="13.5" customHeight="1" x14ac:dyDescent="0.35">
      <c r="E787" s="84"/>
      <c r="P787" s="60"/>
      <c r="Q787" s="60"/>
      <c r="R787" s="60"/>
      <c r="S787" s="60"/>
      <c r="T787" s="60"/>
      <c r="U787" s="60"/>
      <c r="V787" s="60"/>
      <c r="W787" s="60"/>
    </row>
    <row r="788" spans="5:23" ht="13.5" customHeight="1" x14ac:dyDescent="0.35">
      <c r="E788" s="84"/>
      <c r="P788" s="60"/>
      <c r="Q788" s="60"/>
      <c r="R788" s="60"/>
      <c r="S788" s="60"/>
      <c r="T788" s="60"/>
      <c r="U788" s="60"/>
      <c r="V788" s="60"/>
      <c r="W788" s="60"/>
    </row>
    <row r="789" spans="5:23" ht="13.5" customHeight="1" x14ac:dyDescent="0.35">
      <c r="E789" s="84"/>
      <c r="P789" s="60"/>
      <c r="Q789" s="60"/>
      <c r="R789" s="60"/>
      <c r="S789" s="60"/>
      <c r="T789" s="60"/>
      <c r="U789" s="60"/>
      <c r="V789" s="60"/>
      <c r="W789" s="60"/>
    </row>
    <row r="790" spans="5:23" ht="13.5" customHeight="1" x14ac:dyDescent="0.35">
      <c r="E790" s="84"/>
      <c r="P790" s="60"/>
      <c r="Q790" s="60"/>
      <c r="R790" s="60"/>
      <c r="S790" s="60"/>
      <c r="T790" s="60"/>
      <c r="U790" s="60"/>
      <c r="V790" s="60"/>
      <c r="W790" s="60"/>
    </row>
    <row r="791" spans="5:23" ht="13.5" customHeight="1" x14ac:dyDescent="0.35">
      <c r="E791" s="84"/>
      <c r="P791" s="60"/>
      <c r="Q791" s="60"/>
      <c r="R791" s="60"/>
      <c r="S791" s="60"/>
      <c r="T791" s="60"/>
      <c r="U791" s="60"/>
      <c r="V791" s="60"/>
      <c r="W791" s="60"/>
    </row>
    <row r="792" spans="5:23" ht="13.5" customHeight="1" x14ac:dyDescent="0.35">
      <c r="E792" s="84"/>
      <c r="P792" s="60"/>
      <c r="Q792" s="60"/>
      <c r="R792" s="60"/>
      <c r="S792" s="60"/>
      <c r="T792" s="60"/>
      <c r="U792" s="60"/>
      <c r="V792" s="60"/>
      <c r="W792" s="60"/>
    </row>
    <row r="793" spans="5:23" ht="13.5" customHeight="1" x14ac:dyDescent="0.35">
      <c r="E793" s="84"/>
      <c r="P793" s="60"/>
      <c r="Q793" s="60"/>
      <c r="R793" s="60"/>
      <c r="S793" s="60"/>
      <c r="T793" s="60"/>
      <c r="U793" s="60"/>
      <c r="V793" s="60"/>
      <c r="W793" s="60"/>
    </row>
    <row r="794" spans="5:23" ht="13.5" customHeight="1" x14ac:dyDescent="0.35">
      <c r="E794" s="84"/>
      <c r="P794" s="60"/>
      <c r="Q794" s="60"/>
      <c r="R794" s="60"/>
      <c r="S794" s="60"/>
      <c r="T794" s="60"/>
      <c r="U794" s="60"/>
      <c r="V794" s="60"/>
      <c r="W794" s="60"/>
    </row>
    <row r="795" spans="5:23" ht="13.5" customHeight="1" x14ac:dyDescent="0.35">
      <c r="E795" s="84"/>
      <c r="P795" s="60"/>
      <c r="Q795" s="60"/>
      <c r="R795" s="60"/>
      <c r="S795" s="60"/>
      <c r="T795" s="60"/>
      <c r="U795" s="60"/>
      <c r="V795" s="60"/>
      <c r="W795" s="60"/>
    </row>
    <row r="796" spans="5:23" ht="13.5" customHeight="1" x14ac:dyDescent="0.35">
      <c r="E796" s="84"/>
      <c r="P796" s="60"/>
      <c r="Q796" s="60"/>
      <c r="R796" s="60"/>
      <c r="S796" s="60"/>
      <c r="T796" s="60"/>
      <c r="U796" s="60"/>
      <c r="V796" s="60"/>
      <c r="W796" s="60"/>
    </row>
    <row r="797" spans="5:23" ht="13.5" customHeight="1" x14ac:dyDescent="0.35">
      <c r="E797" s="84"/>
      <c r="P797" s="60"/>
      <c r="Q797" s="60"/>
      <c r="R797" s="60"/>
      <c r="S797" s="60"/>
      <c r="T797" s="60"/>
      <c r="U797" s="60"/>
      <c r="V797" s="60"/>
      <c r="W797" s="60"/>
    </row>
    <row r="798" spans="5:23" ht="13.5" customHeight="1" x14ac:dyDescent="0.35">
      <c r="E798" s="84"/>
      <c r="P798" s="60"/>
      <c r="Q798" s="60"/>
      <c r="R798" s="60"/>
      <c r="S798" s="60"/>
      <c r="T798" s="60"/>
      <c r="U798" s="60"/>
      <c r="V798" s="60"/>
      <c r="W798" s="60"/>
    </row>
    <row r="799" spans="5:23" ht="13.5" customHeight="1" x14ac:dyDescent="0.35">
      <c r="E799" s="84"/>
      <c r="P799" s="60"/>
      <c r="Q799" s="60"/>
      <c r="R799" s="60"/>
      <c r="S799" s="60"/>
      <c r="T799" s="60"/>
      <c r="U799" s="60"/>
      <c r="V799" s="60"/>
      <c r="W799" s="60"/>
    </row>
    <row r="800" spans="5:23" ht="13.5" customHeight="1" x14ac:dyDescent="0.35">
      <c r="E800" s="84"/>
      <c r="P800" s="60"/>
      <c r="Q800" s="60"/>
      <c r="R800" s="60"/>
      <c r="S800" s="60"/>
      <c r="T800" s="60"/>
      <c r="U800" s="60"/>
      <c r="V800" s="60"/>
      <c r="W800" s="60"/>
    </row>
    <row r="801" spans="5:23" ht="13.5" customHeight="1" x14ac:dyDescent="0.35">
      <c r="E801" s="84"/>
      <c r="P801" s="60"/>
      <c r="Q801" s="60"/>
      <c r="R801" s="60"/>
      <c r="S801" s="60"/>
      <c r="T801" s="60"/>
      <c r="U801" s="60"/>
      <c r="V801" s="60"/>
      <c r="W801" s="60"/>
    </row>
    <row r="802" spans="5:23" ht="13.5" customHeight="1" x14ac:dyDescent="0.35">
      <c r="E802" s="84"/>
      <c r="P802" s="60"/>
      <c r="Q802" s="60"/>
      <c r="R802" s="60"/>
      <c r="S802" s="60"/>
      <c r="T802" s="60"/>
      <c r="U802" s="60"/>
      <c r="V802" s="60"/>
      <c r="W802" s="60"/>
    </row>
    <row r="803" spans="5:23" ht="13.5" customHeight="1" x14ac:dyDescent="0.35">
      <c r="E803" s="84"/>
      <c r="P803" s="60"/>
      <c r="Q803" s="60"/>
      <c r="R803" s="60"/>
      <c r="S803" s="60"/>
      <c r="T803" s="60"/>
      <c r="U803" s="60"/>
      <c r="V803" s="60"/>
      <c r="W803" s="60"/>
    </row>
    <row r="804" spans="5:23" ht="13.5" customHeight="1" x14ac:dyDescent="0.35">
      <c r="E804" s="84"/>
      <c r="P804" s="60"/>
      <c r="Q804" s="60"/>
      <c r="R804" s="60"/>
      <c r="S804" s="60"/>
      <c r="T804" s="60"/>
      <c r="U804" s="60"/>
      <c r="V804" s="60"/>
      <c r="W804" s="60"/>
    </row>
    <row r="805" spans="5:23" ht="13.5" customHeight="1" x14ac:dyDescent="0.35">
      <c r="E805" s="84"/>
      <c r="P805" s="60"/>
      <c r="Q805" s="60"/>
      <c r="R805" s="60"/>
      <c r="S805" s="60"/>
      <c r="T805" s="60"/>
      <c r="U805" s="60"/>
      <c r="V805" s="60"/>
      <c r="W805" s="60"/>
    </row>
    <row r="806" spans="5:23" ht="13.5" customHeight="1" x14ac:dyDescent="0.35">
      <c r="E806" s="84"/>
      <c r="P806" s="60"/>
      <c r="Q806" s="60"/>
      <c r="R806" s="60"/>
      <c r="S806" s="60"/>
      <c r="T806" s="60"/>
      <c r="U806" s="60"/>
      <c r="V806" s="60"/>
      <c r="W806" s="60"/>
    </row>
    <row r="807" spans="5:23" ht="13.5" customHeight="1" x14ac:dyDescent="0.35">
      <c r="E807" s="84"/>
      <c r="P807" s="60"/>
      <c r="Q807" s="60"/>
      <c r="R807" s="60"/>
      <c r="S807" s="60"/>
      <c r="T807" s="60"/>
      <c r="U807" s="60"/>
      <c r="V807" s="60"/>
      <c r="W807" s="60"/>
    </row>
    <row r="808" spans="5:23" ht="13.5" customHeight="1" x14ac:dyDescent="0.35">
      <c r="E808" s="84"/>
      <c r="P808" s="60"/>
      <c r="Q808" s="60"/>
      <c r="R808" s="60"/>
      <c r="S808" s="60"/>
      <c r="T808" s="60"/>
      <c r="U808" s="60"/>
      <c r="V808" s="60"/>
      <c r="W808" s="60"/>
    </row>
    <row r="809" spans="5:23" ht="13.5" customHeight="1" x14ac:dyDescent="0.35">
      <c r="E809" s="84"/>
      <c r="P809" s="60"/>
      <c r="Q809" s="60"/>
      <c r="R809" s="60"/>
      <c r="S809" s="60"/>
      <c r="T809" s="60"/>
      <c r="U809" s="60"/>
      <c r="V809" s="60"/>
      <c r="W809" s="60"/>
    </row>
    <row r="810" spans="5:23" ht="13.5" customHeight="1" x14ac:dyDescent="0.35">
      <c r="E810" s="84"/>
      <c r="P810" s="60"/>
      <c r="Q810" s="60"/>
      <c r="R810" s="60"/>
      <c r="S810" s="60"/>
      <c r="T810" s="60"/>
      <c r="U810" s="60"/>
      <c r="V810" s="60"/>
      <c r="W810" s="60"/>
    </row>
    <row r="811" spans="5:23" ht="13.5" customHeight="1" x14ac:dyDescent="0.35">
      <c r="E811" s="84"/>
      <c r="P811" s="60"/>
      <c r="Q811" s="60"/>
      <c r="R811" s="60"/>
      <c r="S811" s="60"/>
      <c r="T811" s="60"/>
      <c r="U811" s="60"/>
      <c r="V811" s="60"/>
      <c r="W811" s="60"/>
    </row>
    <row r="812" spans="5:23" ht="13.5" customHeight="1" x14ac:dyDescent="0.35">
      <c r="E812" s="84"/>
      <c r="P812" s="60"/>
      <c r="Q812" s="60"/>
      <c r="R812" s="60"/>
      <c r="S812" s="60"/>
      <c r="T812" s="60"/>
      <c r="U812" s="60"/>
      <c r="V812" s="60"/>
      <c r="W812" s="60"/>
    </row>
    <row r="813" spans="5:23" ht="13.5" customHeight="1" x14ac:dyDescent="0.35">
      <c r="E813" s="84"/>
      <c r="P813" s="60"/>
      <c r="Q813" s="60"/>
      <c r="R813" s="60"/>
      <c r="S813" s="60"/>
      <c r="T813" s="60"/>
      <c r="U813" s="60"/>
      <c r="V813" s="60"/>
      <c r="W813" s="60"/>
    </row>
    <row r="814" spans="5:23" ht="13.5" customHeight="1" x14ac:dyDescent="0.35">
      <c r="E814" s="84"/>
      <c r="P814" s="60"/>
      <c r="Q814" s="60"/>
      <c r="R814" s="60"/>
      <c r="S814" s="60"/>
      <c r="T814" s="60"/>
      <c r="U814" s="60"/>
      <c r="V814" s="60"/>
      <c r="W814" s="60"/>
    </row>
    <row r="815" spans="5:23" ht="13.5" customHeight="1" x14ac:dyDescent="0.35">
      <c r="E815" s="84"/>
      <c r="P815" s="60"/>
      <c r="Q815" s="60"/>
      <c r="R815" s="60"/>
      <c r="S815" s="60"/>
      <c r="T815" s="60"/>
      <c r="U815" s="60"/>
      <c r="V815" s="60"/>
      <c r="W815" s="60"/>
    </row>
    <row r="816" spans="5:23" ht="13.5" customHeight="1" x14ac:dyDescent="0.35">
      <c r="E816" s="84"/>
      <c r="P816" s="60"/>
      <c r="Q816" s="60"/>
      <c r="R816" s="60"/>
      <c r="S816" s="60"/>
      <c r="T816" s="60"/>
      <c r="U816" s="60"/>
      <c r="V816" s="60"/>
      <c r="W816" s="60"/>
    </row>
    <row r="817" spans="5:23" ht="13.5" customHeight="1" x14ac:dyDescent="0.35">
      <c r="E817" s="84"/>
      <c r="P817" s="60"/>
      <c r="Q817" s="60"/>
      <c r="R817" s="60"/>
      <c r="S817" s="60"/>
      <c r="T817" s="60"/>
      <c r="U817" s="60"/>
      <c r="V817" s="60"/>
      <c r="W817" s="60"/>
    </row>
    <row r="818" spans="5:23" ht="13.5" customHeight="1" x14ac:dyDescent="0.35">
      <c r="E818" s="84"/>
      <c r="P818" s="60"/>
      <c r="Q818" s="60"/>
      <c r="R818" s="60"/>
      <c r="S818" s="60"/>
      <c r="T818" s="60"/>
      <c r="U818" s="60"/>
      <c r="V818" s="60"/>
      <c r="W818" s="60"/>
    </row>
    <row r="819" spans="5:23" ht="13.5" customHeight="1" x14ac:dyDescent="0.35">
      <c r="E819" s="84"/>
      <c r="P819" s="60"/>
      <c r="Q819" s="60"/>
      <c r="R819" s="60"/>
      <c r="S819" s="60"/>
      <c r="T819" s="60"/>
      <c r="U819" s="60"/>
      <c r="V819" s="60"/>
      <c r="W819" s="60"/>
    </row>
    <row r="820" spans="5:23" ht="13.5" customHeight="1" x14ac:dyDescent="0.35">
      <c r="E820" s="84"/>
      <c r="P820" s="60"/>
      <c r="Q820" s="60"/>
      <c r="R820" s="60"/>
      <c r="S820" s="60"/>
      <c r="T820" s="60"/>
      <c r="U820" s="60"/>
      <c r="V820" s="60"/>
      <c r="W820" s="60"/>
    </row>
    <row r="821" spans="5:23" ht="13.5" customHeight="1" x14ac:dyDescent="0.35">
      <c r="E821" s="84"/>
      <c r="P821" s="60"/>
      <c r="Q821" s="60"/>
      <c r="R821" s="60"/>
      <c r="S821" s="60"/>
      <c r="T821" s="60"/>
      <c r="U821" s="60"/>
      <c r="V821" s="60"/>
      <c r="W821" s="60"/>
    </row>
    <row r="822" spans="5:23" ht="13.5" customHeight="1" x14ac:dyDescent="0.35">
      <c r="E822" s="84"/>
      <c r="P822" s="60"/>
      <c r="Q822" s="60"/>
      <c r="R822" s="60"/>
      <c r="S822" s="60"/>
      <c r="T822" s="60"/>
      <c r="U822" s="60"/>
      <c r="V822" s="60"/>
      <c r="W822" s="60"/>
    </row>
    <row r="823" spans="5:23" ht="13.5" customHeight="1" x14ac:dyDescent="0.35">
      <c r="E823" s="84"/>
      <c r="P823" s="60"/>
      <c r="Q823" s="60"/>
      <c r="R823" s="60"/>
      <c r="S823" s="60"/>
      <c r="T823" s="60"/>
      <c r="U823" s="60"/>
      <c r="V823" s="60"/>
      <c r="W823" s="60"/>
    </row>
    <row r="824" spans="5:23" ht="13.5" customHeight="1" x14ac:dyDescent="0.35">
      <c r="E824" s="84"/>
      <c r="P824" s="60"/>
      <c r="Q824" s="60"/>
      <c r="R824" s="60"/>
      <c r="S824" s="60"/>
      <c r="T824" s="60"/>
      <c r="U824" s="60"/>
      <c r="V824" s="60"/>
      <c r="W824" s="60"/>
    </row>
    <row r="825" spans="5:23" ht="13.5" customHeight="1" x14ac:dyDescent="0.35">
      <c r="E825" s="84"/>
      <c r="P825" s="60"/>
      <c r="Q825" s="60"/>
      <c r="R825" s="60"/>
      <c r="S825" s="60"/>
      <c r="T825" s="60"/>
      <c r="U825" s="60"/>
      <c r="V825" s="60"/>
      <c r="W825" s="60"/>
    </row>
    <row r="826" spans="5:23" ht="13.5" customHeight="1" x14ac:dyDescent="0.35">
      <c r="E826" s="84"/>
      <c r="P826" s="60"/>
      <c r="Q826" s="60"/>
      <c r="R826" s="60"/>
      <c r="S826" s="60"/>
      <c r="T826" s="60"/>
      <c r="U826" s="60"/>
      <c r="V826" s="60"/>
      <c r="W826" s="60"/>
    </row>
    <row r="827" spans="5:23" ht="13.5" customHeight="1" x14ac:dyDescent="0.35">
      <c r="E827" s="84"/>
      <c r="P827" s="60"/>
      <c r="Q827" s="60"/>
      <c r="R827" s="60"/>
      <c r="S827" s="60"/>
      <c r="T827" s="60"/>
      <c r="U827" s="60"/>
      <c r="V827" s="60"/>
      <c r="W827" s="60"/>
    </row>
    <row r="828" spans="5:23" ht="13.5" customHeight="1" x14ac:dyDescent="0.35">
      <c r="E828" s="84"/>
      <c r="P828" s="60"/>
      <c r="Q828" s="60"/>
      <c r="R828" s="60"/>
      <c r="S828" s="60"/>
      <c r="T828" s="60"/>
      <c r="U828" s="60"/>
      <c r="V828" s="60"/>
      <c r="W828" s="60"/>
    </row>
    <row r="829" spans="5:23" ht="13.5" customHeight="1" x14ac:dyDescent="0.35">
      <c r="E829" s="84"/>
      <c r="P829" s="60"/>
      <c r="Q829" s="60"/>
      <c r="R829" s="60"/>
      <c r="S829" s="60"/>
      <c r="T829" s="60"/>
      <c r="U829" s="60"/>
      <c r="V829" s="60"/>
      <c r="W829" s="60"/>
    </row>
    <row r="830" spans="5:23" ht="13.5" customHeight="1" x14ac:dyDescent="0.35">
      <c r="E830" s="84"/>
      <c r="P830" s="60"/>
      <c r="Q830" s="60"/>
      <c r="R830" s="60"/>
      <c r="S830" s="60"/>
      <c r="T830" s="60"/>
      <c r="U830" s="60"/>
      <c r="V830" s="60"/>
      <c r="W830" s="60"/>
    </row>
    <row r="831" spans="5:23" ht="13.5" customHeight="1" x14ac:dyDescent="0.35">
      <c r="E831" s="84"/>
      <c r="P831" s="60"/>
      <c r="Q831" s="60"/>
      <c r="R831" s="60"/>
      <c r="S831" s="60"/>
      <c r="T831" s="60"/>
      <c r="U831" s="60"/>
      <c r="V831" s="60"/>
      <c r="W831" s="60"/>
    </row>
    <row r="832" spans="5:23" ht="13.5" customHeight="1" x14ac:dyDescent="0.35">
      <c r="E832" s="84"/>
      <c r="P832" s="60"/>
      <c r="Q832" s="60"/>
      <c r="R832" s="60"/>
      <c r="S832" s="60"/>
      <c r="T832" s="60"/>
      <c r="U832" s="60"/>
      <c r="V832" s="60"/>
      <c r="W832" s="60"/>
    </row>
    <row r="833" spans="5:23" ht="13.5" customHeight="1" x14ac:dyDescent="0.35">
      <c r="E833" s="84"/>
      <c r="P833" s="60"/>
      <c r="Q833" s="60"/>
      <c r="R833" s="60"/>
      <c r="S833" s="60"/>
      <c r="T833" s="60"/>
      <c r="U833" s="60"/>
      <c r="V833" s="60"/>
      <c r="W833" s="60"/>
    </row>
    <row r="834" spans="5:23" ht="13.5" customHeight="1" x14ac:dyDescent="0.35">
      <c r="E834" s="84"/>
      <c r="P834" s="60"/>
      <c r="Q834" s="60"/>
      <c r="R834" s="60"/>
      <c r="S834" s="60"/>
      <c r="T834" s="60"/>
      <c r="U834" s="60"/>
      <c r="V834" s="60"/>
      <c r="W834" s="60"/>
    </row>
    <row r="835" spans="5:23" ht="13.5" customHeight="1" x14ac:dyDescent="0.35">
      <c r="E835" s="84"/>
      <c r="P835" s="60"/>
      <c r="Q835" s="60"/>
      <c r="R835" s="60"/>
      <c r="S835" s="60"/>
      <c r="T835" s="60"/>
      <c r="U835" s="60"/>
      <c r="V835" s="60"/>
      <c r="W835" s="60"/>
    </row>
    <row r="836" spans="5:23" ht="13.5" customHeight="1" x14ac:dyDescent="0.35">
      <c r="E836" s="84"/>
      <c r="P836" s="60"/>
      <c r="Q836" s="60"/>
      <c r="R836" s="60"/>
      <c r="S836" s="60"/>
      <c r="T836" s="60"/>
      <c r="U836" s="60"/>
      <c r="V836" s="60"/>
      <c r="W836" s="60"/>
    </row>
    <row r="837" spans="5:23" ht="13.5" customHeight="1" x14ac:dyDescent="0.35">
      <c r="E837" s="84"/>
      <c r="P837" s="60"/>
      <c r="Q837" s="60"/>
      <c r="R837" s="60"/>
      <c r="S837" s="60"/>
      <c r="T837" s="60"/>
      <c r="U837" s="60"/>
      <c r="V837" s="60"/>
      <c r="W837" s="60"/>
    </row>
    <row r="838" spans="5:23" ht="13.5" customHeight="1" x14ac:dyDescent="0.35">
      <c r="E838" s="84"/>
      <c r="P838" s="60"/>
      <c r="Q838" s="60"/>
      <c r="R838" s="60"/>
      <c r="S838" s="60"/>
      <c r="T838" s="60"/>
      <c r="U838" s="60"/>
      <c r="V838" s="60"/>
      <c r="W838" s="60"/>
    </row>
    <row r="839" spans="5:23" ht="13.5" customHeight="1" x14ac:dyDescent="0.35">
      <c r="E839" s="84"/>
      <c r="P839" s="60"/>
      <c r="Q839" s="60"/>
      <c r="R839" s="60"/>
      <c r="S839" s="60"/>
      <c r="T839" s="60"/>
      <c r="U839" s="60"/>
      <c r="V839" s="60"/>
      <c r="W839" s="60"/>
    </row>
    <row r="840" spans="5:23" ht="13.5" customHeight="1" x14ac:dyDescent="0.35">
      <c r="E840" s="84"/>
      <c r="P840" s="60"/>
      <c r="Q840" s="60"/>
      <c r="R840" s="60"/>
      <c r="S840" s="60"/>
      <c r="T840" s="60"/>
      <c r="U840" s="60"/>
      <c r="V840" s="60"/>
      <c r="W840" s="60"/>
    </row>
    <row r="841" spans="5:23" ht="13.5" customHeight="1" x14ac:dyDescent="0.35">
      <c r="E841" s="84"/>
      <c r="P841" s="60"/>
      <c r="Q841" s="60"/>
      <c r="R841" s="60"/>
      <c r="S841" s="60"/>
      <c r="T841" s="60"/>
      <c r="U841" s="60"/>
      <c r="V841" s="60"/>
      <c r="W841" s="60"/>
    </row>
    <row r="842" spans="5:23" ht="13.5" customHeight="1" x14ac:dyDescent="0.35">
      <c r="E842" s="84"/>
      <c r="P842" s="60"/>
      <c r="Q842" s="60"/>
      <c r="R842" s="60"/>
      <c r="S842" s="60"/>
      <c r="T842" s="60"/>
      <c r="U842" s="60"/>
      <c r="V842" s="60"/>
      <c r="W842" s="60"/>
    </row>
    <row r="843" spans="5:23" ht="13.5" customHeight="1" x14ac:dyDescent="0.35">
      <c r="E843" s="84"/>
      <c r="P843" s="60"/>
      <c r="Q843" s="60"/>
      <c r="R843" s="60"/>
      <c r="S843" s="60"/>
      <c r="T843" s="60"/>
      <c r="U843" s="60"/>
      <c r="V843" s="60"/>
      <c r="W843" s="60"/>
    </row>
    <row r="844" spans="5:23" ht="13.5" customHeight="1" x14ac:dyDescent="0.35">
      <c r="E844" s="84"/>
      <c r="P844" s="60"/>
      <c r="Q844" s="60"/>
      <c r="R844" s="60"/>
      <c r="S844" s="60"/>
      <c r="T844" s="60"/>
      <c r="U844" s="60"/>
      <c r="V844" s="60"/>
      <c r="W844" s="60"/>
    </row>
    <row r="845" spans="5:23" ht="13.5" customHeight="1" x14ac:dyDescent="0.35">
      <c r="E845" s="84"/>
      <c r="P845" s="60"/>
      <c r="Q845" s="60"/>
      <c r="R845" s="60"/>
      <c r="S845" s="60"/>
      <c r="T845" s="60"/>
      <c r="U845" s="60"/>
      <c r="V845" s="60"/>
      <c r="W845" s="60"/>
    </row>
    <row r="846" spans="5:23" ht="13.5" customHeight="1" x14ac:dyDescent="0.35">
      <c r="E846" s="84"/>
      <c r="P846" s="60"/>
      <c r="Q846" s="60"/>
      <c r="R846" s="60"/>
      <c r="S846" s="60"/>
      <c r="T846" s="60"/>
      <c r="U846" s="60"/>
      <c r="V846" s="60"/>
      <c r="W846" s="60"/>
    </row>
    <row r="847" spans="5:23" ht="13.5" customHeight="1" x14ac:dyDescent="0.35">
      <c r="E847" s="84"/>
      <c r="P847" s="60"/>
      <c r="Q847" s="60"/>
      <c r="R847" s="60"/>
      <c r="S847" s="60"/>
      <c r="T847" s="60"/>
      <c r="U847" s="60"/>
      <c r="V847" s="60"/>
      <c r="W847" s="60"/>
    </row>
    <row r="848" spans="5:23" ht="13.5" customHeight="1" x14ac:dyDescent="0.35">
      <c r="E848" s="84"/>
      <c r="P848" s="60"/>
      <c r="Q848" s="60"/>
      <c r="R848" s="60"/>
      <c r="S848" s="60"/>
      <c r="T848" s="60"/>
      <c r="U848" s="60"/>
      <c r="V848" s="60"/>
      <c r="W848" s="60"/>
    </row>
    <row r="849" spans="5:23" ht="13.5" customHeight="1" x14ac:dyDescent="0.35">
      <c r="E849" s="84"/>
      <c r="P849" s="60"/>
      <c r="Q849" s="60"/>
      <c r="R849" s="60"/>
      <c r="S849" s="60"/>
      <c r="T849" s="60"/>
      <c r="U849" s="60"/>
      <c r="V849" s="60"/>
      <c r="W849" s="60"/>
    </row>
    <row r="850" spans="5:23" ht="13.5" customHeight="1" x14ac:dyDescent="0.35">
      <c r="E850" s="84"/>
      <c r="P850" s="60"/>
      <c r="Q850" s="60"/>
      <c r="R850" s="60"/>
      <c r="S850" s="60"/>
      <c r="T850" s="60"/>
      <c r="U850" s="60"/>
      <c r="V850" s="60"/>
      <c r="W850" s="60"/>
    </row>
    <row r="851" spans="5:23" ht="13.5" customHeight="1" x14ac:dyDescent="0.35">
      <c r="E851" s="84"/>
      <c r="P851" s="60"/>
      <c r="Q851" s="60"/>
      <c r="R851" s="60"/>
      <c r="S851" s="60"/>
      <c r="T851" s="60"/>
      <c r="U851" s="60"/>
      <c r="V851" s="60"/>
      <c r="W851" s="60"/>
    </row>
    <row r="852" spans="5:23" ht="13.5" customHeight="1" x14ac:dyDescent="0.35">
      <c r="E852" s="84"/>
      <c r="P852" s="60"/>
      <c r="Q852" s="60"/>
      <c r="R852" s="60"/>
      <c r="S852" s="60"/>
      <c r="T852" s="60"/>
      <c r="U852" s="60"/>
      <c r="V852" s="60"/>
      <c r="W852" s="60"/>
    </row>
    <row r="853" spans="5:23" ht="13.5" customHeight="1" x14ac:dyDescent="0.35">
      <c r="E853" s="84"/>
      <c r="P853" s="60"/>
      <c r="Q853" s="60"/>
      <c r="R853" s="60"/>
      <c r="S853" s="60"/>
      <c r="T853" s="60"/>
      <c r="U853" s="60"/>
      <c r="V853" s="60"/>
      <c r="W853" s="60"/>
    </row>
    <row r="854" spans="5:23" ht="13.5" customHeight="1" x14ac:dyDescent="0.35">
      <c r="E854" s="84"/>
      <c r="P854" s="60"/>
      <c r="Q854" s="60"/>
      <c r="R854" s="60"/>
      <c r="S854" s="60"/>
      <c r="T854" s="60"/>
      <c r="U854" s="60"/>
      <c r="V854" s="60"/>
      <c r="W854" s="60"/>
    </row>
    <row r="855" spans="5:23" ht="13.5" customHeight="1" x14ac:dyDescent="0.35">
      <c r="E855" s="84"/>
      <c r="P855" s="60"/>
      <c r="Q855" s="60"/>
      <c r="R855" s="60"/>
      <c r="S855" s="60"/>
      <c r="T855" s="60"/>
      <c r="U855" s="60"/>
      <c r="V855" s="60"/>
      <c r="W855" s="60"/>
    </row>
    <row r="856" spans="5:23" ht="13.5" customHeight="1" x14ac:dyDescent="0.35">
      <c r="E856" s="84"/>
      <c r="P856" s="60"/>
      <c r="Q856" s="60"/>
      <c r="R856" s="60"/>
      <c r="S856" s="60"/>
      <c r="T856" s="60"/>
      <c r="U856" s="60"/>
      <c r="V856" s="60"/>
      <c r="W856" s="60"/>
    </row>
    <row r="857" spans="5:23" ht="13.5" customHeight="1" x14ac:dyDescent="0.35">
      <c r="E857" s="84"/>
      <c r="P857" s="60"/>
      <c r="Q857" s="60"/>
      <c r="R857" s="60"/>
      <c r="S857" s="60"/>
      <c r="T857" s="60"/>
      <c r="U857" s="60"/>
      <c r="V857" s="60"/>
      <c r="W857" s="60"/>
    </row>
    <row r="858" spans="5:23" ht="13.5" customHeight="1" x14ac:dyDescent="0.35">
      <c r="E858" s="84"/>
      <c r="P858" s="60"/>
      <c r="Q858" s="60"/>
      <c r="R858" s="60"/>
      <c r="S858" s="60"/>
      <c r="T858" s="60"/>
      <c r="U858" s="60"/>
      <c r="V858" s="60"/>
      <c r="W858" s="60"/>
    </row>
    <row r="859" spans="5:23" ht="13.5" customHeight="1" x14ac:dyDescent="0.35">
      <c r="E859" s="84"/>
      <c r="P859" s="60"/>
      <c r="Q859" s="60"/>
      <c r="R859" s="60"/>
      <c r="S859" s="60"/>
      <c r="T859" s="60"/>
      <c r="U859" s="60"/>
      <c r="V859" s="60"/>
      <c r="W859" s="60"/>
    </row>
    <row r="860" spans="5:23" ht="13.5" customHeight="1" x14ac:dyDescent="0.35">
      <c r="E860" s="84"/>
      <c r="P860" s="60"/>
      <c r="Q860" s="60"/>
      <c r="R860" s="60"/>
      <c r="S860" s="60"/>
      <c r="T860" s="60"/>
      <c r="U860" s="60"/>
      <c r="V860" s="60"/>
      <c r="W860" s="60"/>
    </row>
    <row r="861" spans="5:23" ht="13.5" customHeight="1" x14ac:dyDescent="0.35">
      <c r="E861" s="84"/>
      <c r="P861" s="60"/>
      <c r="Q861" s="60"/>
      <c r="R861" s="60"/>
      <c r="S861" s="60"/>
      <c r="T861" s="60"/>
      <c r="U861" s="60"/>
      <c r="V861" s="60"/>
      <c r="W861" s="60"/>
    </row>
    <row r="862" spans="5:23" ht="13.5" customHeight="1" x14ac:dyDescent="0.35">
      <c r="E862" s="84"/>
      <c r="P862" s="60"/>
      <c r="Q862" s="60"/>
      <c r="R862" s="60"/>
      <c r="S862" s="60"/>
      <c r="T862" s="60"/>
      <c r="U862" s="60"/>
      <c r="V862" s="60"/>
      <c r="W862" s="60"/>
    </row>
    <row r="863" spans="5:23" ht="13.5" customHeight="1" x14ac:dyDescent="0.35">
      <c r="E863" s="84"/>
      <c r="P863" s="60"/>
      <c r="Q863" s="60"/>
      <c r="R863" s="60"/>
      <c r="S863" s="60"/>
      <c r="T863" s="60"/>
      <c r="U863" s="60"/>
      <c r="V863" s="60"/>
      <c r="W863" s="60"/>
    </row>
    <row r="864" spans="5:23" ht="13.5" customHeight="1" x14ac:dyDescent="0.35">
      <c r="E864" s="84"/>
      <c r="P864" s="60"/>
      <c r="Q864" s="60"/>
      <c r="R864" s="60"/>
      <c r="S864" s="60"/>
      <c r="T864" s="60"/>
      <c r="U864" s="60"/>
      <c r="V864" s="60"/>
      <c r="W864" s="60"/>
    </row>
    <row r="865" spans="5:23" ht="13.5" customHeight="1" x14ac:dyDescent="0.35">
      <c r="E865" s="84"/>
      <c r="P865" s="60"/>
      <c r="Q865" s="60"/>
      <c r="R865" s="60"/>
      <c r="S865" s="60"/>
      <c r="T865" s="60"/>
      <c r="U865" s="60"/>
      <c r="V865" s="60"/>
      <c r="W865" s="60"/>
    </row>
    <row r="866" spans="5:23" ht="13.5" customHeight="1" x14ac:dyDescent="0.35">
      <c r="E866" s="84"/>
      <c r="P866" s="60"/>
      <c r="Q866" s="60"/>
      <c r="R866" s="60"/>
      <c r="S866" s="60"/>
      <c r="T866" s="60"/>
      <c r="U866" s="60"/>
      <c r="V866" s="60"/>
      <c r="W866" s="60"/>
    </row>
    <row r="867" spans="5:23" ht="13.5" customHeight="1" x14ac:dyDescent="0.35">
      <c r="E867" s="84"/>
      <c r="P867" s="60"/>
      <c r="Q867" s="60"/>
      <c r="R867" s="60"/>
      <c r="S867" s="60"/>
      <c r="T867" s="60"/>
      <c r="U867" s="60"/>
      <c r="V867" s="60"/>
      <c r="W867" s="60"/>
    </row>
    <row r="868" spans="5:23" ht="13.5" customHeight="1" x14ac:dyDescent="0.35">
      <c r="E868" s="84"/>
      <c r="P868" s="60"/>
      <c r="Q868" s="60"/>
      <c r="R868" s="60"/>
      <c r="S868" s="60"/>
      <c r="T868" s="60"/>
      <c r="U868" s="60"/>
      <c r="V868" s="60"/>
      <c r="W868" s="60"/>
    </row>
    <row r="869" spans="5:23" ht="13.5" customHeight="1" x14ac:dyDescent="0.35">
      <c r="E869" s="84"/>
      <c r="P869" s="60"/>
      <c r="Q869" s="60"/>
      <c r="R869" s="60"/>
      <c r="S869" s="60"/>
      <c r="T869" s="60"/>
      <c r="U869" s="60"/>
      <c r="V869" s="60"/>
      <c r="W869" s="60"/>
    </row>
    <row r="870" spans="5:23" ht="13.5" customHeight="1" x14ac:dyDescent="0.35">
      <c r="E870" s="84"/>
      <c r="P870" s="60"/>
      <c r="Q870" s="60"/>
      <c r="R870" s="60"/>
      <c r="S870" s="60"/>
      <c r="T870" s="60"/>
      <c r="U870" s="60"/>
      <c r="V870" s="60"/>
      <c r="W870" s="60"/>
    </row>
    <row r="871" spans="5:23" ht="13.5" customHeight="1" x14ac:dyDescent="0.35">
      <c r="E871" s="84"/>
      <c r="P871" s="60"/>
      <c r="Q871" s="60"/>
      <c r="R871" s="60"/>
      <c r="S871" s="60"/>
      <c r="T871" s="60"/>
      <c r="U871" s="60"/>
      <c r="V871" s="60"/>
      <c r="W871" s="60"/>
    </row>
    <row r="872" spans="5:23" ht="13.5" customHeight="1" x14ac:dyDescent="0.35">
      <c r="E872" s="84"/>
      <c r="P872" s="60"/>
      <c r="Q872" s="60"/>
      <c r="R872" s="60"/>
      <c r="S872" s="60"/>
      <c r="T872" s="60"/>
      <c r="U872" s="60"/>
      <c r="V872" s="60"/>
      <c r="W872" s="60"/>
    </row>
    <row r="873" spans="5:23" ht="13.5" customHeight="1" x14ac:dyDescent="0.35">
      <c r="E873" s="84"/>
      <c r="P873" s="60"/>
      <c r="Q873" s="60"/>
      <c r="R873" s="60"/>
      <c r="S873" s="60"/>
      <c r="T873" s="60"/>
      <c r="U873" s="60"/>
      <c r="V873" s="60"/>
      <c r="W873" s="60"/>
    </row>
    <row r="874" spans="5:23" ht="13.5" customHeight="1" x14ac:dyDescent="0.35">
      <c r="E874" s="84"/>
      <c r="P874" s="60"/>
      <c r="Q874" s="60"/>
      <c r="R874" s="60"/>
      <c r="S874" s="60"/>
      <c r="T874" s="60"/>
      <c r="U874" s="60"/>
      <c r="V874" s="60"/>
      <c r="W874" s="60"/>
    </row>
    <row r="875" spans="5:23" ht="13.5" customHeight="1" x14ac:dyDescent="0.35">
      <c r="E875" s="84"/>
      <c r="P875" s="60"/>
      <c r="Q875" s="60"/>
      <c r="R875" s="60"/>
      <c r="S875" s="60"/>
      <c r="T875" s="60"/>
      <c r="U875" s="60"/>
      <c r="V875" s="60"/>
      <c r="W875" s="60"/>
    </row>
    <row r="876" spans="5:23" ht="13.5" customHeight="1" x14ac:dyDescent="0.35">
      <c r="E876" s="84"/>
      <c r="P876" s="60"/>
      <c r="Q876" s="60"/>
      <c r="R876" s="60"/>
      <c r="S876" s="60"/>
      <c r="T876" s="60"/>
      <c r="U876" s="60"/>
      <c r="V876" s="60"/>
      <c r="W876" s="60"/>
    </row>
    <row r="877" spans="5:23" ht="13.5" customHeight="1" x14ac:dyDescent="0.35">
      <c r="E877" s="84"/>
      <c r="P877" s="60"/>
      <c r="Q877" s="60"/>
      <c r="R877" s="60"/>
      <c r="S877" s="60"/>
      <c r="T877" s="60"/>
      <c r="U877" s="60"/>
      <c r="V877" s="60"/>
      <c r="W877" s="60"/>
    </row>
    <row r="878" spans="5:23" ht="13.5" customHeight="1" x14ac:dyDescent="0.35">
      <c r="E878" s="84"/>
      <c r="P878" s="60"/>
      <c r="Q878" s="60"/>
      <c r="R878" s="60"/>
      <c r="S878" s="60"/>
      <c r="T878" s="60"/>
      <c r="U878" s="60"/>
      <c r="V878" s="60"/>
      <c r="W878" s="60"/>
    </row>
    <row r="879" spans="5:23" ht="13.5" customHeight="1" x14ac:dyDescent="0.35">
      <c r="E879" s="84"/>
      <c r="P879" s="60"/>
      <c r="Q879" s="60"/>
      <c r="R879" s="60"/>
      <c r="S879" s="60"/>
      <c r="T879" s="60"/>
      <c r="U879" s="60"/>
      <c r="V879" s="60"/>
      <c r="W879" s="60"/>
    </row>
    <row r="880" spans="5:23" ht="13.5" customHeight="1" x14ac:dyDescent="0.35">
      <c r="E880" s="84"/>
      <c r="P880" s="60"/>
      <c r="Q880" s="60"/>
      <c r="R880" s="60"/>
      <c r="S880" s="60"/>
      <c r="T880" s="60"/>
      <c r="U880" s="60"/>
      <c r="V880" s="60"/>
      <c r="W880" s="60"/>
    </row>
    <row r="881" spans="5:23" ht="13.5" customHeight="1" x14ac:dyDescent="0.35">
      <c r="E881" s="84"/>
      <c r="P881" s="60"/>
      <c r="Q881" s="60"/>
      <c r="R881" s="60"/>
      <c r="S881" s="60"/>
      <c r="T881" s="60"/>
      <c r="U881" s="60"/>
      <c r="V881" s="60"/>
      <c r="W881" s="60"/>
    </row>
    <row r="882" spans="5:23" ht="13.5" customHeight="1" x14ac:dyDescent="0.35">
      <c r="E882" s="84"/>
      <c r="P882" s="60"/>
      <c r="Q882" s="60"/>
      <c r="R882" s="60"/>
      <c r="S882" s="60"/>
      <c r="T882" s="60"/>
      <c r="U882" s="60"/>
      <c r="V882" s="60"/>
      <c r="W882" s="60"/>
    </row>
    <row r="883" spans="5:23" ht="13.5" customHeight="1" x14ac:dyDescent="0.35">
      <c r="E883" s="84"/>
      <c r="P883" s="60"/>
      <c r="Q883" s="60"/>
      <c r="R883" s="60"/>
      <c r="S883" s="60"/>
      <c r="T883" s="60"/>
      <c r="U883" s="60"/>
      <c r="V883" s="60"/>
      <c r="W883" s="60"/>
    </row>
    <row r="884" spans="5:23" ht="13.5" customHeight="1" x14ac:dyDescent="0.35">
      <c r="E884" s="84"/>
      <c r="P884" s="60"/>
      <c r="Q884" s="60"/>
      <c r="R884" s="60"/>
      <c r="S884" s="60"/>
      <c r="T884" s="60"/>
      <c r="U884" s="60"/>
      <c r="V884" s="60"/>
      <c r="W884" s="60"/>
    </row>
    <row r="885" spans="5:23" ht="13.5" customHeight="1" x14ac:dyDescent="0.35">
      <c r="E885" s="84"/>
      <c r="P885" s="60"/>
      <c r="Q885" s="60"/>
      <c r="R885" s="60"/>
      <c r="S885" s="60"/>
      <c r="T885" s="60"/>
      <c r="U885" s="60"/>
      <c r="V885" s="60"/>
      <c r="W885" s="60"/>
    </row>
    <row r="886" spans="5:23" ht="13.5" customHeight="1" x14ac:dyDescent="0.35">
      <c r="E886" s="84"/>
      <c r="P886" s="60"/>
      <c r="Q886" s="60"/>
      <c r="R886" s="60"/>
      <c r="S886" s="60"/>
      <c r="T886" s="60"/>
      <c r="U886" s="60"/>
      <c r="V886" s="60"/>
      <c r="W886" s="60"/>
    </row>
    <row r="887" spans="5:23" ht="13.5" customHeight="1" x14ac:dyDescent="0.35">
      <c r="E887" s="84"/>
      <c r="P887" s="60"/>
      <c r="Q887" s="60"/>
      <c r="R887" s="60"/>
      <c r="S887" s="60"/>
      <c r="T887" s="60"/>
      <c r="U887" s="60"/>
      <c r="V887" s="60"/>
      <c r="W887" s="60"/>
    </row>
    <row r="888" spans="5:23" ht="13.5" customHeight="1" x14ac:dyDescent="0.35">
      <c r="E888" s="84"/>
      <c r="P888" s="60"/>
      <c r="Q888" s="60"/>
      <c r="R888" s="60"/>
      <c r="S888" s="60"/>
      <c r="T888" s="60"/>
      <c r="U888" s="60"/>
      <c r="V888" s="60"/>
      <c r="W888" s="60"/>
    </row>
    <row r="889" spans="5:23" ht="13.5" customHeight="1" x14ac:dyDescent="0.35">
      <c r="E889" s="84"/>
      <c r="P889" s="60"/>
      <c r="Q889" s="60"/>
      <c r="R889" s="60"/>
      <c r="S889" s="60"/>
      <c r="T889" s="60"/>
      <c r="U889" s="60"/>
      <c r="V889" s="60"/>
      <c r="W889" s="60"/>
    </row>
    <row r="890" spans="5:23" ht="13.5" customHeight="1" x14ac:dyDescent="0.35">
      <c r="E890" s="84"/>
      <c r="P890" s="60"/>
      <c r="Q890" s="60"/>
      <c r="R890" s="60"/>
      <c r="S890" s="60"/>
      <c r="T890" s="60"/>
      <c r="U890" s="60"/>
      <c r="V890" s="60"/>
      <c r="W890" s="60"/>
    </row>
    <row r="891" spans="5:23" ht="13.5" customHeight="1" x14ac:dyDescent="0.35">
      <c r="E891" s="84"/>
      <c r="P891" s="60"/>
      <c r="Q891" s="60"/>
      <c r="R891" s="60"/>
      <c r="S891" s="60"/>
      <c r="T891" s="60"/>
      <c r="U891" s="60"/>
      <c r="V891" s="60"/>
      <c r="W891" s="60"/>
    </row>
    <row r="892" spans="5:23" ht="13.5" customHeight="1" x14ac:dyDescent="0.35">
      <c r="E892" s="84"/>
      <c r="P892" s="60"/>
      <c r="Q892" s="60"/>
      <c r="R892" s="60"/>
      <c r="S892" s="60"/>
      <c r="T892" s="60"/>
      <c r="U892" s="60"/>
      <c r="V892" s="60"/>
      <c r="W892" s="60"/>
    </row>
    <row r="893" spans="5:23" ht="13.5" customHeight="1" x14ac:dyDescent="0.35">
      <c r="E893" s="84"/>
      <c r="P893" s="60"/>
      <c r="Q893" s="60"/>
      <c r="R893" s="60"/>
      <c r="S893" s="60"/>
      <c r="T893" s="60"/>
      <c r="U893" s="60"/>
      <c r="V893" s="60"/>
      <c r="W893" s="60"/>
    </row>
    <row r="894" spans="5:23" ht="13.5" customHeight="1" x14ac:dyDescent="0.35">
      <c r="E894" s="84"/>
      <c r="P894" s="60"/>
      <c r="Q894" s="60"/>
      <c r="R894" s="60"/>
      <c r="S894" s="60"/>
      <c r="T894" s="60"/>
      <c r="U894" s="60"/>
      <c r="V894" s="60"/>
      <c r="W894" s="60"/>
    </row>
    <row r="895" spans="5:23" ht="13.5" customHeight="1" x14ac:dyDescent="0.35">
      <c r="E895" s="84"/>
      <c r="P895" s="60"/>
      <c r="Q895" s="60"/>
      <c r="R895" s="60"/>
      <c r="S895" s="60"/>
      <c r="T895" s="60"/>
      <c r="U895" s="60"/>
      <c r="V895" s="60"/>
      <c r="W895" s="60"/>
    </row>
    <row r="896" spans="5:23" ht="13.5" customHeight="1" x14ac:dyDescent="0.35">
      <c r="E896" s="84"/>
      <c r="P896" s="60"/>
      <c r="Q896" s="60"/>
      <c r="R896" s="60"/>
      <c r="S896" s="60"/>
      <c r="T896" s="60"/>
      <c r="U896" s="60"/>
      <c r="V896" s="60"/>
      <c r="W896" s="60"/>
    </row>
    <row r="897" spans="5:23" ht="13.5" customHeight="1" x14ac:dyDescent="0.35">
      <c r="E897" s="84"/>
      <c r="P897" s="60"/>
      <c r="Q897" s="60"/>
      <c r="R897" s="60"/>
      <c r="S897" s="60"/>
      <c r="T897" s="60"/>
      <c r="U897" s="60"/>
      <c r="V897" s="60"/>
      <c r="W897" s="60"/>
    </row>
    <row r="898" spans="5:23" ht="13.5" customHeight="1" x14ac:dyDescent="0.35">
      <c r="E898" s="84"/>
      <c r="P898" s="60"/>
      <c r="Q898" s="60"/>
      <c r="R898" s="60"/>
      <c r="S898" s="60"/>
      <c r="T898" s="60"/>
      <c r="U898" s="60"/>
      <c r="V898" s="60"/>
      <c r="W898" s="60"/>
    </row>
    <row r="899" spans="5:23" ht="13.5" customHeight="1" x14ac:dyDescent="0.35">
      <c r="E899" s="84"/>
      <c r="P899" s="60"/>
      <c r="Q899" s="60"/>
      <c r="R899" s="60"/>
      <c r="S899" s="60"/>
      <c r="T899" s="60"/>
      <c r="U899" s="60"/>
      <c r="V899" s="60"/>
      <c r="W899" s="60"/>
    </row>
    <row r="900" spans="5:23" ht="13.5" customHeight="1" x14ac:dyDescent="0.35">
      <c r="E900" s="84"/>
      <c r="P900" s="60"/>
      <c r="Q900" s="60"/>
      <c r="R900" s="60"/>
      <c r="S900" s="60"/>
      <c r="T900" s="60"/>
      <c r="U900" s="60"/>
      <c r="V900" s="60"/>
      <c r="W900" s="60"/>
    </row>
    <row r="901" spans="5:23" ht="13.5" customHeight="1" x14ac:dyDescent="0.35">
      <c r="E901" s="84"/>
      <c r="P901" s="60"/>
      <c r="Q901" s="60"/>
      <c r="R901" s="60"/>
      <c r="S901" s="60"/>
      <c r="T901" s="60"/>
      <c r="U901" s="60"/>
      <c r="V901" s="60"/>
      <c r="W901" s="60"/>
    </row>
    <row r="902" spans="5:23" ht="13.5" customHeight="1" x14ac:dyDescent="0.35">
      <c r="E902" s="84"/>
      <c r="P902" s="60"/>
      <c r="Q902" s="60"/>
      <c r="R902" s="60"/>
      <c r="S902" s="60"/>
      <c r="T902" s="60"/>
      <c r="U902" s="60"/>
      <c r="V902" s="60"/>
      <c r="W902" s="60"/>
    </row>
    <row r="903" spans="5:23" ht="13.5" customHeight="1" x14ac:dyDescent="0.35">
      <c r="E903" s="84"/>
      <c r="P903" s="60"/>
      <c r="Q903" s="60"/>
      <c r="R903" s="60"/>
      <c r="S903" s="60"/>
      <c r="T903" s="60"/>
      <c r="U903" s="60"/>
      <c r="V903" s="60"/>
      <c r="W903" s="60"/>
    </row>
    <row r="904" spans="5:23" ht="13.5" customHeight="1" x14ac:dyDescent="0.35">
      <c r="E904" s="84"/>
      <c r="P904" s="60"/>
      <c r="Q904" s="60"/>
      <c r="R904" s="60"/>
      <c r="S904" s="60"/>
      <c r="T904" s="60"/>
      <c r="U904" s="60"/>
      <c r="V904" s="60"/>
      <c r="W904" s="60"/>
    </row>
    <row r="905" spans="5:23" ht="13.5" customHeight="1" x14ac:dyDescent="0.35">
      <c r="E905" s="84"/>
      <c r="P905" s="60"/>
      <c r="Q905" s="60"/>
      <c r="R905" s="60"/>
      <c r="S905" s="60"/>
      <c r="T905" s="60"/>
      <c r="U905" s="60"/>
      <c r="V905" s="60"/>
      <c r="W905" s="60"/>
    </row>
    <row r="906" spans="5:23" ht="13.5" customHeight="1" x14ac:dyDescent="0.35">
      <c r="E906" s="84"/>
      <c r="P906" s="60"/>
      <c r="Q906" s="60"/>
      <c r="R906" s="60"/>
      <c r="S906" s="60"/>
      <c r="T906" s="60"/>
      <c r="U906" s="60"/>
      <c r="V906" s="60"/>
      <c r="W906" s="60"/>
    </row>
    <row r="907" spans="5:23" ht="13.5" customHeight="1" x14ac:dyDescent="0.35">
      <c r="E907" s="84"/>
      <c r="P907" s="60"/>
      <c r="Q907" s="60"/>
      <c r="R907" s="60"/>
      <c r="S907" s="60"/>
      <c r="T907" s="60"/>
      <c r="U907" s="60"/>
      <c r="V907" s="60"/>
      <c r="W907" s="60"/>
    </row>
    <row r="908" spans="5:23" ht="13.5" customHeight="1" x14ac:dyDescent="0.35">
      <c r="E908" s="84"/>
      <c r="P908" s="60"/>
      <c r="Q908" s="60"/>
      <c r="R908" s="60"/>
      <c r="S908" s="60"/>
      <c r="T908" s="60"/>
      <c r="U908" s="60"/>
      <c r="V908" s="60"/>
      <c r="W908" s="60"/>
    </row>
    <row r="909" spans="5:23" ht="13.5" customHeight="1" x14ac:dyDescent="0.35">
      <c r="E909" s="84"/>
      <c r="P909" s="60"/>
      <c r="Q909" s="60"/>
      <c r="R909" s="60"/>
      <c r="S909" s="60"/>
      <c r="T909" s="60"/>
      <c r="U909" s="60"/>
      <c r="V909" s="60"/>
      <c r="W909" s="60"/>
    </row>
    <row r="910" spans="5:23" ht="13.5" customHeight="1" x14ac:dyDescent="0.35">
      <c r="E910" s="84"/>
      <c r="P910" s="60"/>
      <c r="Q910" s="60"/>
      <c r="R910" s="60"/>
      <c r="S910" s="60"/>
      <c r="T910" s="60"/>
      <c r="U910" s="60"/>
      <c r="V910" s="60"/>
      <c r="W910" s="60"/>
    </row>
    <row r="911" spans="5:23" ht="13.5" customHeight="1" x14ac:dyDescent="0.35">
      <c r="E911" s="84"/>
      <c r="P911" s="60"/>
      <c r="Q911" s="60"/>
      <c r="R911" s="60"/>
      <c r="S911" s="60"/>
      <c r="T911" s="60"/>
      <c r="U911" s="60"/>
      <c r="V911" s="60"/>
      <c r="W911" s="60"/>
    </row>
    <row r="912" spans="5:23" ht="13.5" customHeight="1" x14ac:dyDescent="0.35">
      <c r="E912" s="84"/>
      <c r="P912" s="60"/>
      <c r="Q912" s="60"/>
      <c r="R912" s="60"/>
      <c r="S912" s="60"/>
      <c r="T912" s="60"/>
      <c r="U912" s="60"/>
      <c r="V912" s="60"/>
      <c r="W912" s="60"/>
    </row>
    <row r="913" spans="5:23" ht="13.5" customHeight="1" x14ac:dyDescent="0.35">
      <c r="E913" s="84"/>
      <c r="P913" s="60"/>
      <c r="Q913" s="60"/>
      <c r="R913" s="60"/>
      <c r="S913" s="60"/>
      <c r="T913" s="60"/>
      <c r="U913" s="60"/>
      <c r="V913" s="60"/>
      <c r="W913" s="60"/>
    </row>
    <row r="914" spans="5:23" ht="13.5" customHeight="1" x14ac:dyDescent="0.35">
      <c r="E914" s="84"/>
      <c r="P914" s="60"/>
      <c r="Q914" s="60"/>
      <c r="R914" s="60"/>
      <c r="S914" s="60"/>
      <c r="T914" s="60"/>
      <c r="U914" s="60"/>
      <c r="V914" s="60"/>
      <c r="W914" s="60"/>
    </row>
    <row r="915" spans="5:23" ht="13.5" customHeight="1" x14ac:dyDescent="0.35">
      <c r="E915" s="84"/>
      <c r="P915" s="60"/>
      <c r="Q915" s="60"/>
      <c r="R915" s="60"/>
      <c r="S915" s="60"/>
      <c r="T915" s="60"/>
      <c r="U915" s="60"/>
      <c r="V915" s="60"/>
      <c r="W915" s="60"/>
    </row>
    <row r="916" spans="5:23" ht="13.5" customHeight="1" x14ac:dyDescent="0.35">
      <c r="E916" s="84"/>
      <c r="P916" s="60"/>
      <c r="Q916" s="60"/>
      <c r="R916" s="60"/>
      <c r="S916" s="60"/>
      <c r="T916" s="60"/>
      <c r="U916" s="60"/>
      <c r="V916" s="60"/>
      <c r="W916" s="60"/>
    </row>
    <row r="917" spans="5:23" ht="13.5" customHeight="1" x14ac:dyDescent="0.35">
      <c r="E917" s="84"/>
      <c r="P917" s="60"/>
      <c r="Q917" s="60"/>
      <c r="R917" s="60"/>
      <c r="S917" s="60"/>
      <c r="T917" s="60"/>
      <c r="U917" s="60"/>
      <c r="V917" s="60"/>
      <c r="W917" s="60"/>
    </row>
    <row r="918" spans="5:23" ht="13.5" customHeight="1" x14ac:dyDescent="0.35">
      <c r="E918" s="84"/>
      <c r="P918" s="60"/>
      <c r="Q918" s="60"/>
      <c r="R918" s="60"/>
      <c r="S918" s="60"/>
      <c r="T918" s="60"/>
      <c r="U918" s="60"/>
      <c r="V918" s="60"/>
      <c r="W918" s="60"/>
    </row>
    <row r="919" spans="5:23" ht="13.5" customHeight="1" x14ac:dyDescent="0.35">
      <c r="E919" s="84"/>
      <c r="P919" s="60"/>
      <c r="Q919" s="60"/>
      <c r="R919" s="60"/>
      <c r="S919" s="60"/>
      <c r="T919" s="60"/>
      <c r="U919" s="60"/>
      <c r="V919" s="60"/>
      <c r="W919" s="60"/>
    </row>
    <row r="920" spans="5:23" ht="13.5" customHeight="1" x14ac:dyDescent="0.35">
      <c r="E920" s="84"/>
      <c r="P920" s="60"/>
      <c r="Q920" s="60"/>
      <c r="R920" s="60"/>
      <c r="S920" s="60"/>
      <c r="T920" s="60"/>
      <c r="U920" s="60"/>
      <c r="V920" s="60"/>
      <c r="W920" s="60"/>
    </row>
    <row r="921" spans="5:23" ht="13.5" customHeight="1" x14ac:dyDescent="0.35">
      <c r="E921" s="84"/>
      <c r="P921" s="60"/>
      <c r="Q921" s="60"/>
      <c r="R921" s="60"/>
      <c r="S921" s="60"/>
      <c r="T921" s="60"/>
      <c r="U921" s="60"/>
      <c r="V921" s="60"/>
      <c r="W921" s="60"/>
    </row>
    <row r="922" spans="5:23" ht="13.5" customHeight="1" x14ac:dyDescent="0.35">
      <c r="E922" s="84"/>
      <c r="P922" s="60"/>
      <c r="Q922" s="60"/>
      <c r="R922" s="60"/>
      <c r="S922" s="60"/>
      <c r="T922" s="60"/>
      <c r="U922" s="60"/>
      <c r="V922" s="60"/>
      <c r="W922" s="60"/>
    </row>
    <row r="923" spans="5:23" ht="13.5" customHeight="1" x14ac:dyDescent="0.35">
      <c r="E923" s="84"/>
      <c r="P923" s="60"/>
      <c r="Q923" s="60"/>
      <c r="R923" s="60"/>
      <c r="S923" s="60"/>
      <c r="T923" s="60"/>
      <c r="U923" s="60"/>
      <c r="V923" s="60"/>
      <c r="W923" s="60"/>
    </row>
    <row r="924" spans="5:23" ht="13.5" customHeight="1" x14ac:dyDescent="0.35">
      <c r="E924" s="84"/>
      <c r="P924" s="60"/>
      <c r="Q924" s="60"/>
      <c r="R924" s="60"/>
      <c r="S924" s="60"/>
      <c r="T924" s="60"/>
      <c r="U924" s="60"/>
      <c r="V924" s="60"/>
      <c r="W924" s="60"/>
    </row>
    <row r="925" spans="5:23" ht="13.5" customHeight="1" x14ac:dyDescent="0.35">
      <c r="E925" s="84"/>
      <c r="P925" s="60"/>
      <c r="Q925" s="60"/>
      <c r="R925" s="60"/>
      <c r="S925" s="60"/>
      <c r="T925" s="60"/>
      <c r="U925" s="60"/>
      <c r="V925" s="60"/>
      <c r="W925" s="60"/>
    </row>
    <row r="926" spans="5:23" ht="13.5" customHeight="1" x14ac:dyDescent="0.35">
      <c r="E926" s="84"/>
      <c r="P926" s="60"/>
      <c r="Q926" s="60"/>
      <c r="R926" s="60"/>
      <c r="S926" s="60"/>
      <c r="T926" s="60"/>
      <c r="U926" s="60"/>
      <c r="V926" s="60"/>
      <c r="W926" s="60"/>
    </row>
    <row r="927" spans="5:23" ht="13.5" customHeight="1" x14ac:dyDescent="0.35">
      <c r="E927" s="84"/>
      <c r="P927" s="60"/>
      <c r="Q927" s="60"/>
      <c r="R927" s="60"/>
      <c r="S927" s="60"/>
      <c r="T927" s="60"/>
      <c r="U927" s="60"/>
      <c r="V927" s="60"/>
      <c r="W927" s="60"/>
    </row>
    <row r="928" spans="5:23" ht="13.5" customHeight="1" x14ac:dyDescent="0.35">
      <c r="E928" s="84"/>
      <c r="P928" s="60"/>
      <c r="Q928" s="60"/>
      <c r="R928" s="60"/>
      <c r="S928" s="60"/>
      <c r="T928" s="60"/>
      <c r="U928" s="60"/>
      <c r="V928" s="60"/>
      <c r="W928" s="60"/>
    </row>
    <row r="929" spans="5:23" ht="13.5" customHeight="1" x14ac:dyDescent="0.35">
      <c r="E929" s="84"/>
      <c r="P929" s="60"/>
      <c r="Q929" s="60"/>
      <c r="R929" s="60"/>
      <c r="S929" s="60"/>
      <c r="T929" s="60"/>
      <c r="U929" s="60"/>
      <c r="V929" s="60"/>
      <c r="W929" s="60"/>
    </row>
    <row r="930" spans="5:23" ht="13.5" customHeight="1" x14ac:dyDescent="0.35">
      <c r="E930" s="84"/>
      <c r="P930" s="60"/>
      <c r="Q930" s="60"/>
      <c r="R930" s="60"/>
      <c r="S930" s="60"/>
      <c r="T930" s="60"/>
      <c r="U930" s="60"/>
      <c r="V930" s="60"/>
      <c r="W930" s="60"/>
    </row>
    <row r="931" spans="5:23" ht="13.5" customHeight="1" x14ac:dyDescent="0.35">
      <c r="E931" s="84"/>
      <c r="P931" s="60"/>
      <c r="Q931" s="60"/>
      <c r="R931" s="60"/>
      <c r="S931" s="60"/>
      <c r="T931" s="60"/>
      <c r="U931" s="60"/>
      <c r="V931" s="60"/>
      <c r="W931" s="60"/>
    </row>
    <row r="932" spans="5:23" ht="13.5" customHeight="1" x14ac:dyDescent="0.35">
      <c r="E932" s="84"/>
      <c r="P932" s="60"/>
      <c r="Q932" s="60"/>
      <c r="R932" s="60"/>
      <c r="S932" s="60"/>
      <c r="T932" s="60"/>
      <c r="U932" s="60"/>
      <c r="V932" s="60"/>
      <c r="W932" s="60"/>
    </row>
    <row r="933" spans="5:23" ht="13.5" customHeight="1" x14ac:dyDescent="0.35">
      <c r="E933" s="84"/>
      <c r="P933" s="60"/>
      <c r="Q933" s="60"/>
      <c r="R933" s="60"/>
      <c r="S933" s="60"/>
      <c r="T933" s="60"/>
      <c r="U933" s="60"/>
      <c r="V933" s="60"/>
      <c r="W933" s="60"/>
    </row>
    <row r="934" spans="5:23" ht="13.5" customHeight="1" x14ac:dyDescent="0.35">
      <c r="E934" s="84"/>
      <c r="P934" s="60"/>
      <c r="Q934" s="60"/>
      <c r="R934" s="60"/>
      <c r="S934" s="60"/>
      <c r="T934" s="60"/>
      <c r="U934" s="60"/>
      <c r="V934" s="60"/>
      <c r="W934" s="60"/>
    </row>
    <row r="935" spans="5:23" ht="13.5" customHeight="1" x14ac:dyDescent="0.35">
      <c r="E935" s="84"/>
      <c r="P935" s="60"/>
      <c r="Q935" s="60"/>
      <c r="R935" s="60"/>
      <c r="S935" s="60"/>
      <c r="T935" s="60"/>
      <c r="U935" s="60"/>
      <c r="V935" s="60"/>
      <c r="W935" s="60"/>
    </row>
    <row r="936" spans="5:23" ht="13.5" customHeight="1" x14ac:dyDescent="0.35">
      <c r="E936" s="84"/>
      <c r="P936" s="60"/>
      <c r="Q936" s="60"/>
      <c r="R936" s="60"/>
      <c r="S936" s="60"/>
      <c r="T936" s="60"/>
      <c r="U936" s="60"/>
      <c r="V936" s="60"/>
      <c r="W936" s="60"/>
    </row>
    <row r="937" spans="5:23" ht="13.5" customHeight="1" x14ac:dyDescent="0.35">
      <c r="E937" s="84"/>
      <c r="P937" s="60"/>
      <c r="Q937" s="60"/>
      <c r="R937" s="60"/>
      <c r="S937" s="60"/>
      <c r="T937" s="60"/>
      <c r="U937" s="60"/>
      <c r="V937" s="60"/>
      <c r="W937" s="60"/>
    </row>
    <row r="938" spans="5:23" ht="13.5" customHeight="1" x14ac:dyDescent="0.35">
      <c r="E938" s="84"/>
      <c r="P938" s="60"/>
      <c r="Q938" s="60"/>
      <c r="R938" s="60"/>
      <c r="S938" s="60"/>
      <c r="T938" s="60"/>
      <c r="U938" s="60"/>
      <c r="V938" s="60"/>
      <c r="W938" s="60"/>
    </row>
    <row r="939" spans="5:23" ht="13.5" customHeight="1" x14ac:dyDescent="0.35">
      <c r="E939" s="84"/>
      <c r="P939" s="60"/>
      <c r="Q939" s="60"/>
      <c r="R939" s="60"/>
      <c r="S939" s="60"/>
      <c r="T939" s="60"/>
      <c r="U939" s="60"/>
      <c r="V939" s="60"/>
      <c r="W939" s="60"/>
    </row>
    <row r="940" spans="5:23" ht="13.5" customHeight="1" x14ac:dyDescent="0.35">
      <c r="E940" s="84"/>
      <c r="P940" s="60"/>
      <c r="Q940" s="60"/>
      <c r="R940" s="60"/>
      <c r="S940" s="60"/>
      <c r="T940" s="60"/>
      <c r="U940" s="60"/>
      <c r="V940" s="60"/>
      <c r="W940" s="60"/>
    </row>
    <row r="941" spans="5:23" ht="13.5" customHeight="1" x14ac:dyDescent="0.35">
      <c r="E941" s="84"/>
      <c r="P941" s="60"/>
      <c r="Q941" s="60"/>
      <c r="R941" s="60"/>
      <c r="S941" s="60"/>
      <c r="T941" s="60"/>
      <c r="U941" s="60"/>
      <c r="V941" s="60"/>
      <c r="W941" s="60"/>
    </row>
    <row r="942" spans="5:23" ht="13.5" customHeight="1" x14ac:dyDescent="0.35">
      <c r="E942" s="84"/>
      <c r="P942" s="60"/>
      <c r="Q942" s="60"/>
      <c r="R942" s="60"/>
      <c r="S942" s="60"/>
      <c r="T942" s="60"/>
      <c r="U942" s="60"/>
      <c r="V942" s="60"/>
      <c r="W942" s="60"/>
    </row>
    <row r="943" spans="5:23" ht="13.5" customHeight="1" x14ac:dyDescent="0.35">
      <c r="E943" s="84"/>
      <c r="P943" s="60"/>
      <c r="Q943" s="60"/>
      <c r="R943" s="60"/>
      <c r="S943" s="60"/>
      <c r="T943" s="60"/>
      <c r="U943" s="60"/>
      <c r="V943" s="60"/>
      <c r="W943" s="60"/>
    </row>
    <row r="944" spans="5:23" ht="13.5" customHeight="1" x14ac:dyDescent="0.35">
      <c r="E944" s="84"/>
      <c r="P944" s="60"/>
      <c r="Q944" s="60"/>
      <c r="R944" s="60"/>
      <c r="S944" s="60"/>
      <c r="T944" s="60"/>
      <c r="U944" s="60"/>
      <c r="V944" s="60"/>
      <c r="W944" s="60"/>
    </row>
    <row r="945" spans="5:23" ht="13.5" customHeight="1" x14ac:dyDescent="0.35">
      <c r="E945" s="84"/>
      <c r="P945" s="60"/>
      <c r="Q945" s="60"/>
      <c r="R945" s="60"/>
      <c r="S945" s="60"/>
      <c r="T945" s="60"/>
      <c r="U945" s="60"/>
      <c r="V945" s="60"/>
      <c r="W945" s="60"/>
    </row>
    <row r="946" spans="5:23" ht="13.5" customHeight="1" x14ac:dyDescent="0.35">
      <c r="E946" s="84"/>
      <c r="P946" s="60"/>
      <c r="Q946" s="60"/>
      <c r="R946" s="60"/>
      <c r="S946" s="60"/>
      <c r="T946" s="60"/>
      <c r="U946" s="60"/>
      <c r="V946" s="60"/>
      <c r="W946" s="60"/>
    </row>
    <row r="947" spans="5:23" ht="13.5" customHeight="1" x14ac:dyDescent="0.35">
      <c r="E947" s="84"/>
      <c r="P947" s="60"/>
      <c r="Q947" s="60"/>
      <c r="R947" s="60"/>
      <c r="S947" s="60"/>
      <c r="T947" s="60"/>
      <c r="U947" s="60"/>
      <c r="V947" s="60"/>
      <c r="W947" s="60"/>
    </row>
    <row r="948" spans="5:23" ht="13.5" customHeight="1" x14ac:dyDescent="0.35">
      <c r="E948" s="84"/>
      <c r="P948" s="60"/>
      <c r="Q948" s="60"/>
      <c r="R948" s="60"/>
      <c r="S948" s="60"/>
      <c r="T948" s="60"/>
      <c r="U948" s="60"/>
      <c r="V948" s="60"/>
      <c r="W948" s="60"/>
    </row>
    <row r="949" spans="5:23" ht="13.5" customHeight="1" x14ac:dyDescent="0.35">
      <c r="E949" s="84"/>
      <c r="P949" s="60"/>
      <c r="Q949" s="60"/>
      <c r="R949" s="60"/>
      <c r="S949" s="60"/>
      <c r="T949" s="60"/>
      <c r="U949" s="60"/>
      <c r="V949" s="60"/>
      <c r="W949" s="60"/>
    </row>
    <row r="950" spans="5:23" ht="13.5" customHeight="1" x14ac:dyDescent="0.35">
      <c r="E950" s="84"/>
      <c r="P950" s="60"/>
      <c r="Q950" s="60"/>
      <c r="R950" s="60"/>
      <c r="S950" s="60"/>
      <c r="T950" s="60"/>
      <c r="U950" s="60"/>
      <c r="V950" s="60"/>
      <c r="W950" s="60"/>
    </row>
    <row r="951" spans="5:23" ht="13.5" customHeight="1" x14ac:dyDescent="0.35">
      <c r="E951" s="84"/>
      <c r="P951" s="60"/>
      <c r="Q951" s="60"/>
      <c r="R951" s="60"/>
      <c r="S951" s="60"/>
      <c r="T951" s="60"/>
      <c r="U951" s="60"/>
      <c r="V951" s="60"/>
      <c r="W951" s="60"/>
    </row>
    <row r="952" spans="5:23" ht="13.5" customHeight="1" x14ac:dyDescent="0.35">
      <c r="E952" s="84"/>
      <c r="P952" s="60"/>
      <c r="Q952" s="60"/>
      <c r="R952" s="60"/>
      <c r="S952" s="60"/>
      <c r="T952" s="60"/>
      <c r="U952" s="60"/>
      <c r="V952" s="60"/>
      <c r="W952" s="60"/>
    </row>
    <row r="953" spans="5:23" ht="13.5" customHeight="1" x14ac:dyDescent="0.35">
      <c r="E953" s="84"/>
      <c r="P953" s="60"/>
      <c r="Q953" s="60"/>
      <c r="R953" s="60"/>
      <c r="S953" s="60"/>
      <c r="T953" s="60"/>
      <c r="U953" s="60"/>
      <c r="V953" s="60"/>
      <c r="W953" s="60"/>
    </row>
    <row r="954" spans="5:23" ht="13.5" customHeight="1" x14ac:dyDescent="0.35">
      <c r="E954" s="84"/>
      <c r="P954" s="60"/>
      <c r="Q954" s="60"/>
      <c r="R954" s="60"/>
      <c r="S954" s="60"/>
      <c r="T954" s="60"/>
      <c r="U954" s="60"/>
      <c r="V954" s="60"/>
      <c r="W954" s="60"/>
    </row>
    <row r="955" spans="5:23" ht="13.5" customHeight="1" x14ac:dyDescent="0.35">
      <c r="E955" s="84"/>
      <c r="P955" s="60"/>
      <c r="Q955" s="60"/>
      <c r="R955" s="60"/>
      <c r="S955" s="60"/>
      <c r="T955" s="60"/>
      <c r="U955" s="60"/>
      <c r="V955" s="60"/>
      <c r="W955" s="60"/>
    </row>
    <row r="956" spans="5:23" ht="13.5" customHeight="1" x14ac:dyDescent="0.35">
      <c r="E956" s="84"/>
      <c r="P956" s="60"/>
      <c r="Q956" s="60"/>
      <c r="R956" s="60"/>
      <c r="S956" s="60"/>
      <c r="T956" s="60"/>
      <c r="U956" s="60"/>
      <c r="V956" s="60"/>
      <c r="W956" s="60"/>
    </row>
    <row r="957" spans="5:23" ht="13.5" customHeight="1" x14ac:dyDescent="0.35">
      <c r="E957" s="84"/>
      <c r="P957" s="60"/>
      <c r="Q957" s="60"/>
      <c r="R957" s="60"/>
      <c r="S957" s="60"/>
      <c r="T957" s="60"/>
      <c r="U957" s="60"/>
      <c r="V957" s="60"/>
      <c r="W957" s="60"/>
    </row>
    <row r="958" spans="5:23" ht="13.5" customHeight="1" x14ac:dyDescent="0.35">
      <c r="E958" s="84"/>
      <c r="P958" s="60"/>
      <c r="Q958" s="60"/>
      <c r="R958" s="60"/>
      <c r="S958" s="60"/>
      <c r="T958" s="60"/>
      <c r="U958" s="60"/>
      <c r="V958" s="60"/>
      <c r="W958" s="60"/>
    </row>
    <row r="959" spans="5:23" ht="13.5" customHeight="1" x14ac:dyDescent="0.35">
      <c r="E959" s="84"/>
      <c r="P959" s="60"/>
      <c r="Q959" s="60"/>
      <c r="R959" s="60"/>
      <c r="S959" s="60"/>
      <c r="T959" s="60"/>
      <c r="U959" s="60"/>
      <c r="V959" s="60"/>
      <c r="W959" s="60"/>
    </row>
    <row r="960" spans="5:23" ht="13.5" customHeight="1" x14ac:dyDescent="0.35">
      <c r="E960" s="84"/>
      <c r="P960" s="60"/>
      <c r="Q960" s="60"/>
      <c r="R960" s="60"/>
      <c r="S960" s="60"/>
      <c r="T960" s="60"/>
      <c r="U960" s="60"/>
      <c r="V960" s="60"/>
      <c r="W960" s="60"/>
    </row>
    <row r="961" spans="5:23" ht="13.5" customHeight="1" x14ac:dyDescent="0.35">
      <c r="E961" s="84"/>
      <c r="P961" s="60"/>
      <c r="Q961" s="60"/>
      <c r="R961" s="60"/>
      <c r="S961" s="60"/>
      <c r="T961" s="60"/>
      <c r="U961" s="60"/>
      <c r="V961" s="60"/>
      <c r="W961" s="60"/>
    </row>
    <row r="962" spans="5:23" ht="13.5" customHeight="1" x14ac:dyDescent="0.35">
      <c r="E962" s="84"/>
      <c r="P962" s="60"/>
      <c r="Q962" s="60"/>
      <c r="R962" s="60"/>
      <c r="S962" s="60"/>
      <c r="T962" s="60"/>
      <c r="U962" s="60"/>
      <c r="V962" s="60"/>
      <c r="W962" s="60"/>
    </row>
    <row r="963" spans="5:23" ht="13.5" customHeight="1" x14ac:dyDescent="0.35">
      <c r="E963" s="84"/>
      <c r="P963" s="60"/>
      <c r="Q963" s="60"/>
      <c r="R963" s="60"/>
      <c r="S963" s="60"/>
      <c r="T963" s="60"/>
      <c r="U963" s="60"/>
      <c r="V963" s="60"/>
      <c r="W963" s="60"/>
    </row>
    <row r="964" spans="5:23" ht="13.5" customHeight="1" x14ac:dyDescent="0.35">
      <c r="E964" s="84"/>
      <c r="P964" s="60"/>
      <c r="Q964" s="60"/>
      <c r="R964" s="60"/>
      <c r="S964" s="60"/>
      <c r="T964" s="60"/>
      <c r="U964" s="60"/>
      <c r="V964" s="60"/>
      <c r="W964" s="60"/>
    </row>
    <row r="965" spans="5:23" ht="13.5" customHeight="1" x14ac:dyDescent="0.35">
      <c r="E965" s="84"/>
      <c r="P965" s="60"/>
      <c r="Q965" s="60"/>
      <c r="R965" s="60"/>
      <c r="S965" s="60"/>
      <c r="T965" s="60"/>
      <c r="U965" s="60"/>
      <c r="V965" s="60"/>
      <c r="W965" s="60"/>
    </row>
    <row r="966" spans="5:23" ht="13.5" customHeight="1" x14ac:dyDescent="0.35">
      <c r="E966" s="84"/>
      <c r="P966" s="60"/>
      <c r="Q966" s="60"/>
      <c r="R966" s="60"/>
      <c r="S966" s="60"/>
      <c r="T966" s="60"/>
      <c r="U966" s="60"/>
      <c r="V966" s="60"/>
      <c r="W966" s="60"/>
    </row>
    <row r="967" spans="5:23" ht="13.5" customHeight="1" x14ac:dyDescent="0.35">
      <c r="E967" s="84"/>
      <c r="P967" s="60"/>
      <c r="Q967" s="60"/>
      <c r="R967" s="60"/>
      <c r="S967" s="60"/>
      <c r="T967" s="60"/>
      <c r="U967" s="60"/>
      <c r="V967" s="60"/>
      <c r="W967" s="60"/>
    </row>
    <row r="968" spans="5:23" ht="13.5" customHeight="1" x14ac:dyDescent="0.35">
      <c r="E968" s="84"/>
      <c r="P968" s="60"/>
      <c r="Q968" s="60"/>
      <c r="R968" s="60"/>
      <c r="S968" s="60"/>
      <c r="T968" s="60"/>
      <c r="U968" s="60"/>
      <c r="V968" s="60"/>
      <c r="W968" s="60"/>
    </row>
    <row r="969" spans="5:23" ht="13.5" customHeight="1" x14ac:dyDescent="0.35">
      <c r="E969" s="84"/>
      <c r="P969" s="60"/>
      <c r="Q969" s="60"/>
      <c r="R969" s="60"/>
      <c r="S969" s="60"/>
      <c r="T969" s="60"/>
      <c r="U969" s="60"/>
      <c r="V969" s="60"/>
      <c r="W969" s="60"/>
    </row>
    <row r="970" spans="5:23" ht="13.5" customHeight="1" x14ac:dyDescent="0.35">
      <c r="E970" s="84"/>
      <c r="P970" s="60"/>
      <c r="Q970" s="60"/>
      <c r="R970" s="60"/>
      <c r="S970" s="60"/>
      <c r="T970" s="60"/>
      <c r="U970" s="60"/>
      <c r="V970" s="60"/>
      <c r="W970" s="60"/>
    </row>
    <row r="971" spans="5:23" ht="13.5" customHeight="1" x14ac:dyDescent="0.35">
      <c r="E971" s="84"/>
      <c r="P971" s="60"/>
      <c r="Q971" s="60"/>
      <c r="R971" s="60"/>
      <c r="S971" s="60"/>
      <c r="T971" s="60"/>
      <c r="U971" s="60"/>
      <c r="V971" s="60"/>
      <c r="W971" s="60"/>
    </row>
    <row r="972" spans="5:23" ht="13.5" customHeight="1" x14ac:dyDescent="0.35">
      <c r="E972" s="84"/>
      <c r="P972" s="60"/>
      <c r="Q972" s="60"/>
      <c r="R972" s="60"/>
      <c r="S972" s="60"/>
      <c r="T972" s="60"/>
      <c r="U972" s="60"/>
      <c r="V972" s="60"/>
      <c r="W972" s="60"/>
    </row>
    <row r="973" spans="5:23" ht="13.5" customHeight="1" x14ac:dyDescent="0.35">
      <c r="E973" s="84"/>
      <c r="P973" s="60"/>
      <c r="Q973" s="60"/>
      <c r="R973" s="60"/>
      <c r="S973" s="60"/>
      <c r="T973" s="60"/>
      <c r="U973" s="60"/>
      <c r="V973" s="60"/>
      <c r="W973" s="60"/>
    </row>
    <row r="974" spans="5:23" ht="13.5" customHeight="1" x14ac:dyDescent="0.35">
      <c r="E974" s="84"/>
      <c r="P974" s="60"/>
      <c r="Q974" s="60"/>
      <c r="R974" s="60"/>
      <c r="S974" s="60"/>
      <c r="T974" s="60"/>
      <c r="U974" s="60"/>
      <c r="V974" s="60"/>
      <c r="W974" s="60"/>
    </row>
    <row r="975" spans="5:23" ht="13.5" customHeight="1" x14ac:dyDescent="0.35">
      <c r="E975" s="84"/>
      <c r="P975" s="60"/>
      <c r="Q975" s="60"/>
      <c r="R975" s="60"/>
      <c r="S975" s="60"/>
      <c r="T975" s="60"/>
      <c r="U975" s="60"/>
      <c r="V975" s="60"/>
      <c r="W975" s="60"/>
    </row>
    <row r="976" spans="5:23" ht="13.5" customHeight="1" x14ac:dyDescent="0.35">
      <c r="E976" s="84"/>
      <c r="P976" s="60"/>
      <c r="Q976" s="60"/>
      <c r="R976" s="60"/>
      <c r="S976" s="60"/>
      <c r="T976" s="60"/>
      <c r="U976" s="60"/>
      <c r="V976" s="60"/>
      <c r="W976" s="60"/>
    </row>
    <row r="977" spans="5:23" ht="13.5" customHeight="1" x14ac:dyDescent="0.35">
      <c r="E977" s="84"/>
      <c r="P977" s="60"/>
      <c r="Q977" s="60"/>
      <c r="R977" s="60"/>
      <c r="S977" s="60"/>
      <c r="T977" s="60"/>
      <c r="U977" s="60"/>
      <c r="V977" s="60"/>
      <c r="W977" s="60"/>
    </row>
    <row r="978" spans="5:23" ht="13.5" customHeight="1" x14ac:dyDescent="0.35">
      <c r="E978" s="84"/>
      <c r="P978" s="60"/>
      <c r="Q978" s="60"/>
      <c r="R978" s="60"/>
      <c r="S978" s="60"/>
      <c r="T978" s="60"/>
      <c r="U978" s="60"/>
      <c r="V978" s="60"/>
      <c r="W978" s="60"/>
    </row>
    <row r="979" spans="5:23" ht="13.5" customHeight="1" x14ac:dyDescent="0.35">
      <c r="E979" s="84"/>
      <c r="P979" s="60"/>
      <c r="Q979" s="60"/>
      <c r="R979" s="60"/>
      <c r="S979" s="60"/>
      <c r="T979" s="60"/>
      <c r="U979" s="60"/>
      <c r="V979" s="60"/>
      <c r="W979" s="60"/>
    </row>
    <row r="980" spans="5:23" ht="13.5" customHeight="1" x14ac:dyDescent="0.35">
      <c r="E980" s="84"/>
      <c r="P980" s="60"/>
      <c r="Q980" s="60"/>
      <c r="R980" s="60"/>
      <c r="S980" s="60"/>
      <c r="T980" s="60"/>
      <c r="U980" s="60"/>
      <c r="V980" s="60"/>
      <c r="W980" s="60"/>
    </row>
    <row r="981" spans="5:23" ht="13.5" customHeight="1" x14ac:dyDescent="0.35">
      <c r="E981" s="84"/>
      <c r="P981" s="60"/>
      <c r="Q981" s="60"/>
      <c r="R981" s="60"/>
      <c r="S981" s="60"/>
      <c r="T981" s="60"/>
      <c r="U981" s="60"/>
      <c r="V981" s="60"/>
      <c r="W981" s="60"/>
    </row>
    <row r="982" spans="5:23" ht="13.5" customHeight="1" x14ac:dyDescent="0.35">
      <c r="E982" s="84"/>
      <c r="P982" s="60"/>
      <c r="Q982" s="60"/>
      <c r="R982" s="60"/>
      <c r="S982" s="60"/>
      <c r="T982" s="60"/>
      <c r="U982" s="60"/>
      <c r="V982" s="60"/>
      <c r="W982" s="60"/>
    </row>
    <row r="983" spans="5:23" ht="13.5" customHeight="1" x14ac:dyDescent="0.35">
      <c r="E983" s="84"/>
      <c r="P983" s="60"/>
      <c r="Q983" s="60"/>
      <c r="R983" s="60"/>
      <c r="S983" s="60"/>
      <c r="T983" s="60"/>
      <c r="U983" s="60"/>
      <c r="V983" s="60"/>
      <c r="W983" s="60"/>
    </row>
    <row r="984" spans="5:23" ht="13.5" customHeight="1" x14ac:dyDescent="0.35">
      <c r="E984" s="84"/>
      <c r="P984" s="60"/>
      <c r="Q984" s="60"/>
      <c r="R984" s="60"/>
      <c r="S984" s="60"/>
      <c r="T984" s="60"/>
      <c r="U984" s="60"/>
      <c r="V984" s="60"/>
      <c r="W984" s="60"/>
    </row>
    <row r="985" spans="5:23" ht="13.5" customHeight="1" x14ac:dyDescent="0.35">
      <c r="E985" s="84"/>
      <c r="P985" s="60"/>
      <c r="Q985" s="60"/>
      <c r="R985" s="60"/>
      <c r="S985" s="60"/>
      <c r="T985" s="60"/>
      <c r="U985" s="60"/>
      <c r="V985" s="60"/>
      <c r="W985" s="60"/>
    </row>
    <row r="986" spans="5:23" ht="13.5" customHeight="1" x14ac:dyDescent="0.35">
      <c r="E986" s="84"/>
      <c r="P986" s="60"/>
      <c r="Q986" s="60"/>
      <c r="R986" s="60"/>
      <c r="S986" s="60"/>
      <c r="T986" s="60"/>
      <c r="U986" s="60"/>
      <c r="V986" s="60"/>
      <c r="W986" s="60"/>
    </row>
    <row r="987" spans="5:23" ht="13.5" customHeight="1" x14ac:dyDescent="0.35">
      <c r="E987" s="84"/>
      <c r="P987" s="60"/>
      <c r="Q987" s="60"/>
      <c r="R987" s="60"/>
      <c r="S987" s="60"/>
      <c r="T987" s="60"/>
      <c r="U987" s="60"/>
      <c r="V987" s="60"/>
      <c r="W987" s="60"/>
    </row>
    <row r="988" spans="5:23" ht="13.5" customHeight="1" x14ac:dyDescent="0.35">
      <c r="E988" s="84"/>
      <c r="P988" s="60"/>
      <c r="Q988" s="60"/>
      <c r="R988" s="60"/>
      <c r="S988" s="60"/>
      <c r="T988" s="60"/>
      <c r="U988" s="60"/>
      <c r="V988" s="60"/>
      <c r="W988" s="60"/>
    </row>
    <row r="989" spans="5:23" ht="13.5" customHeight="1" x14ac:dyDescent="0.35">
      <c r="E989" s="84"/>
      <c r="P989" s="60"/>
      <c r="Q989" s="60"/>
      <c r="R989" s="60"/>
      <c r="S989" s="60"/>
      <c r="T989" s="60"/>
      <c r="U989" s="60"/>
      <c r="V989" s="60"/>
      <c r="W989" s="60"/>
    </row>
    <row r="990" spans="5:23" ht="13.5" customHeight="1" x14ac:dyDescent="0.35">
      <c r="E990" s="84"/>
      <c r="P990" s="60"/>
      <c r="Q990" s="60"/>
      <c r="R990" s="60"/>
      <c r="S990" s="60"/>
      <c r="T990" s="60"/>
      <c r="U990" s="60"/>
      <c r="V990" s="60"/>
      <c r="W990" s="60"/>
    </row>
    <row r="991" spans="5:23" ht="13.5" customHeight="1" x14ac:dyDescent="0.35">
      <c r="E991" s="84"/>
      <c r="P991" s="60"/>
      <c r="Q991" s="60"/>
      <c r="R991" s="60"/>
      <c r="S991" s="60"/>
      <c r="T991" s="60"/>
      <c r="U991" s="60"/>
      <c r="V991" s="60"/>
      <c r="W991" s="60"/>
    </row>
    <row r="992" spans="5:23" ht="13.5" customHeight="1" x14ac:dyDescent="0.35">
      <c r="E992" s="84"/>
      <c r="P992" s="60"/>
      <c r="Q992" s="60"/>
      <c r="R992" s="60"/>
      <c r="S992" s="60"/>
      <c r="T992" s="60"/>
      <c r="U992" s="60"/>
      <c r="V992" s="60"/>
      <c r="W992" s="60"/>
    </row>
    <row r="993" spans="5:23" ht="13.5" customHeight="1" x14ac:dyDescent="0.35">
      <c r="E993" s="84"/>
      <c r="P993" s="60"/>
      <c r="Q993" s="60"/>
      <c r="R993" s="60"/>
      <c r="S993" s="60"/>
      <c r="T993" s="60"/>
      <c r="U993" s="60"/>
      <c r="V993" s="60"/>
      <c r="W993" s="60"/>
    </row>
    <row r="994" spans="5:23" ht="13.5" customHeight="1" x14ac:dyDescent="0.35">
      <c r="E994" s="84"/>
      <c r="P994" s="60"/>
      <c r="Q994" s="60"/>
      <c r="R994" s="60"/>
      <c r="S994" s="60"/>
      <c r="T994" s="60"/>
      <c r="U994" s="60"/>
      <c r="V994" s="60"/>
      <c r="W994" s="60"/>
    </row>
    <row r="995" spans="5:23" ht="13.5" customHeight="1" x14ac:dyDescent="0.35">
      <c r="E995" s="84"/>
      <c r="P995" s="60"/>
      <c r="Q995" s="60"/>
      <c r="R995" s="60"/>
      <c r="S995" s="60"/>
      <c r="T995" s="60"/>
      <c r="U995" s="60"/>
      <c r="V995" s="60"/>
      <c r="W995" s="60"/>
    </row>
    <row r="996" spans="5:23" ht="13.5" customHeight="1" x14ac:dyDescent="0.35">
      <c r="E996" s="84"/>
      <c r="P996" s="60"/>
      <c r="Q996" s="60"/>
      <c r="R996" s="60"/>
      <c r="S996" s="60"/>
      <c r="T996" s="60"/>
      <c r="U996" s="60"/>
      <c r="V996" s="60"/>
      <c r="W996" s="60"/>
    </row>
    <row r="997" spans="5:23" ht="13.5" customHeight="1" x14ac:dyDescent="0.35">
      <c r="E997" s="84"/>
      <c r="P997" s="60"/>
      <c r="Q997" s="60"/>
      <c r="R997" s="60"/>
      <c r="S997" s="60"/>
      <c r="T997" s="60"/>
      <c r="U997" s="60"/>
      <c r="V997" s="60"/>
      <c r="W997" s="60"/>
    </row>
    <row r="998" spans="5:23" ht="13.5" customHeight="1" x14ac:dyDescent="0.35">
      <c r="E998" s="84"/>
      <c r="P998" s="60"/>
      <c r="Q998" s="60"/>
      <c r="R998" s="60"/>
      <c r="S998" s="60"/>
      <c r="T998" s="60"/>
      <c r="U998" s="60"/>
      <c r="V998" s="60"/>
      <c r="W998" s="60"/>
    </row>
    <row r="999" spans="5:23" ht="13.5" customHeight="1" x14ac:dyDescent="0.35">
      <c r="E999" s="84"/>
      <c r="P999" s="60"/>
      <c r="Q999" s="60"/>
      <c r="R999" s="60"/>
      <c r="S999" s="60"/>
      <c r="T999" s="60"/>
      <c r="U999" s="60"/>
      <c r="V999" s="60"/>
      <c r="W999" s="60"/>
    </row>
    <row r="1000" spans="5:23" ht="13.5" customHeight="1" x14ac:dyDescent="0.35">
      <c r="E1000" s="84"/>
      <c r="P1000" s="60"/>
      <c r="Q1000" s="60"/>
      <c r="R1000" s="60"/>
      <c r="S1000" s="60"/>
      <c r="T1000" s="60"/>
      <c r="U1000" s="60"/>
      <c r="V1000" s="60"/>
      <c r="W1000" s="60"/>
    </row>
    <row r="1001" spans="5:23" ht="13.5" customHeight="1" x14ac:dyDescent="0.35">
      <c r="E1001" s="84"/>
      <c r="P1001" s="60"/>
      <c r="Q1001" s="60"/>
      <c r="R1001" s="60"/>
      <c r="S1001" s="60"/>
      <c r="T1001" s="60"/>
      <c r="U1001" s="60"/>
      <c r="V1001" s="60"/>
      <c r="W1001" s="60"/>
    </row>
    <row r="1002" spans="5:23" ht="13.5" customHeight="1" x14ac:dyDescent="0.35">
      <c r="E1002" s="84"/>
      <c r="P1002" s="60"/>
      <c r="Q1002" s="60"/>
      <c r="R1002" s="60"/>
      <c r="S1002" s="60"/>
      <c r="T1002" s="60"/>
      <c r="U1002" s="60"/>
      <c r="V1002" s="60"/>
      <c r="W1002" s="60"/>
    </row>
    <row r="1003" spans="5:23" ht="13.5" customHeight="1" x14ac:dyDescent="0.35">
      <c r="E1003" s="84"/>
      <c r="P1003" s="60"/>
      <c r="Q1003" s="60"/>
      <c r="R1003" s="60"/>
      <c r="S1003" s="60"/>
      <c r="T1003" s="60"/>
      <c r="U1003" s="60"/>
      <c r="V1003" s="60"/>
      <c r="W1003" s="60"/>
    </row>
    <row r="1004" spans="5:23" ht="13.5" customHeight="1" x14ac:dyDescent="0.35">
      <c r="E1004" s="84"/>
      <c r="P1004" s="60"/>
      <c r="Q1004" s="60"/>
      <c r="R1004" s="60"/>
      <c r="S1004" s="60"/>
      <c r="T1004" s="60"/>
      <c r="U1004" s="60"/>
      <c r="V1004" s="60"/>
      <c r="W1004" s="60"/>
    </row>
    <row r="1005" spans="5:23" ht="13.5" customHeight="1" x14ac:dyDescent="0.35">
      <c r="E1005" s="84"/>
      <c r="P1005" s="60"/>
      <c r="Q1005" s="60"/>
      <c r="R1005" s="60"/>
      <c r="S1005" s="60"/>
      <c r="T1005" s="60"/>
      <c r="U1005" s="60"/>
      <c r="V1005" s="60"/>
      <c r="W1005" s="60"/>
    </row>
  </sheetData>
  <mergeCells count="96">
    <mergeCell ref="A199:F199"/>
    <mergeCell ref="A106:B106"/>
    <mergeCell ref="A107:B107"/>
    <mergeCell ref="D107:F107"/>
    <mergeCell ref="B118:E118"/>
    <mergeCell ref="B131:F131"/>
    <mergeCell ref="B130:F130"/>
    <mergeCell ref="B129:F129"/>
    <mergeCell ref="A195:F195"/>
    <mergeCell ref="I197:J197"/>
    <mergeCell ref="I196:J196"/>
    <mergeCell ref="A196:F196"/>
    <mergeCell ref="A197:F197"/>
    <mergeCell ref="A198:F198"/>
    <mergeCell ref="P163:Q163"/>
    <mergeCell ref="P144:Q144"/>
    <mergeCell ref="P143:Q143"/>
    <mergeCell ref="P164:Q164"/>
    <mergeCell ref="I18:J18"/>
    <mergeCell ref="P18:Q18"/>
    <mergeCell ref="P42:Q42"/>
    <mergeCell ref="P43:Q43"/>
    <mergeCell ref="P106:Q106"/>
    <mergeCell ref="P107:Q107"/>
    <mergeCell ref="P72:Q72"/>
    <mergeCell ref="P71:Q71"/>
    <mergeCell ref="K20:L20"/>
    <mergeCell ref="I20:J20"/>
    <mergeCell ref="K21:L21"/>
    <mergeCell ref="M21:N21"/>
    <mergeCell ref="A72:B72"/>
    <mergeCell ref="A144:B144"/>
    <mergeCell ref="A143:B143"/>
    <mergeCell ref="D144:F144"/>
    <mergeCell ref="D143:F143"/>
    <mergeCell ref="B85:F85"/>
    <mergeCell ref="B86:F86"/>
    <mergeCell ref="B87:F87"/>
    <mergeCell ref="B88:F88"/>
    <mergeCell ref="B89:F89"/>
    <mergeCell ref="B90:F90"/>
    <mergeCell ref="B91:F91"/>
    <mergeCell ref="P191:Q191"/>
    <mergeCell ref="P190:Q190"/>
    <mergeCell ref="A194:F194"/>
    <mergeCell ref="H193:L193"/>
    <mergeCell ref="H194:L194"/>
    <mergeCell ref="H195:L195"/>
    <mergeCell ref="D191:F191"/>
    <mergeCell ref="A193:F193"/>
    <mergeCell ref="A191:B191"/>
    <mergeCell ref="B92:F92"/>
    <mergeCell ref="B93:F93"/>
    <mergeCell ref="B94:F94"/>
    <mergeCell ref="B169:F169"/>
    <mergeCell ref="D190:F190"/>
    <mergeCell ref="B177:F177"/>
    <mergeCell ref="B185:F185"/>
    <mergeCell ref="A190:B190"/>
    <mergeCell ref="S2:T2"/>
    <mergeCell ref="Q2:R2"/>
    <mergeCell ref="A1:O1"/>
    <mergeCell ref="A21:F21"/>
    <mergeCell ref="D43:F43"/>
    <mergeCell ref="D42:F42"/>
    <mergeCell ref="P20:Q20"/>
    <mergeCell ref="A15:T15"/>
    <mergeCell ref="A16:T16"/>
    <mergeCell ref="R21:V21"/>
    <mergeCell ref="P19:Q19"/>
    <mergeCell ref="P21:Q21"/>
    <mergeCell ref="I21:J21"/>
    <mergeCell ref="K18:L18"/>
    <mergeCell ref="M18:N18"/>
    <mergeCell ref="G21:H21"/>
    <mergeCell ref="K19:L19"/>
    <mergeCell ref="I19:J19"/>
    <mergeCell ref="M20:N20"/>
    <mergeCell ref="M19:N19"/>
    <mergeCell ref="G19:H19"/>
    <mergeCell ref="D14:E14"/>
    <mergeCell ref="G18:H18"/>
    <mergeCell ref="G20:H20"/>
    <mergeCell ref="A20:F20"/>
    <mergeCell ref="D164:F164"/>
    <mergeCell ref="D163:F163"/>
    <mergeCell ref="A163:B163"/>
    <mergeCell ref="A164:B164"/>
    <mergeCell ref="B29:F29"/>
    <mergeCell ref="A43:B43"/>
    <mergeCell ref="B79:D79"/>
    <mergeCell ref="A42:B42"/>
    <mergeCell ref="B84:F84"/>
    <mergeCell ref="D71:F71"/>
    <mergeCell ref="D72:F72"/>
    <mergeCell ref="A71:B71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2"/>
  <sheetViews>
    <sheetView workbookViewId="0">
      <selection activeCell="G24" sqref="G24:N24"/>
    </sheetView>
  </sheetViews>
  <sheetFormatPr defaultColWidth="14.3984375" defaultRowHeight="15" customHeight="1" x14ac:dyDescent="0.35"/>
  <cols>
    <col min="1" max="1" width="22.3984375" customWidth="1"/>
    <col min="2" max="2" width="8.73046875" customWidth="1"/>
    <col min="3" max="3" width="1.3984375" customWidth="1"/>
    <col min="4" max="4" width="12.73046875" customWidth="1"/>
    <col min="5" max="5" width="8.1328125" customWidth="1"/>
    <col min="6" max="6" width="1.73046875" customWidth="1"/>
    <col min="7" max="7" width="11.265625" customWidth="1"/>
    <col min="8" max="9" width="8.1328125" customWidth="1"/>
    <col min="10" max="10" width="9.86328125" customWidth="1"/>
    <col min="11" max="11" width="1.3984375" customWidth="1"/>
    <col min="13" max="13" width="9.73046875" customWidth="1"/>
    <col min="14" max="14" width="9.53125" customWidth="1"/>
    <col min="15" max="15" width="1.265625" customWidth="1"/>
    <col min="17" max="17" width="10.1328125" customWidth="1"/>
    <col min="18" max="18" width="8.73046875" customWidth="1"/>
    <col min="19" max="19" width="11.265625" customWidth="1"/>
    <col min="20" max="20" width="9.53125" customWidth="1"/>
  </cols>
  <sheetData>
    <row r="1" spans="1:21" ht="21.75" customHeight="1" x14ac:dyDescent="0.5">
      <c r="A1" s="763" t="s">
        <v>242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637"/>
      <c r="T1" s="635"/>
    </row>
    <row r="2" spans="1:21" ht="15.75" customHeight="1" x14ac:dyDescent="0.4">
      <c r="A2" s="758" t="s">
        <v>244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  <c r="P2" s="639"/>
      <c r="Q2" s="639"/>
      <c r="R2" s="639"/>
    </row>
    <row r="3" spans="1:21" ht="15.75" customHeight="1" x14ac:dyDescent="0.4">
      <c r="A3" s="757" t="s">
        <v>245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  <c r="P3" s="639"/>
      <c r="Q3" s="639"/>
      <c r="R3" s="639"/>
    </row>
    <row r="4" spans="1:21" ht="15.75" customHeight="1" x14ac:dyDescent="0.35">
      <c r="A4" s="754" t="s">
        <v>246</v>
      </c>
      <c r="B4" s="639"/>
      <c r="C4" s="639"/>
      <c r="D4" s="639"/>
      <c r="E4" s="639"/>
      <c r="F4" s="639"/>
      <c r="G4" s="639"/>
      <c r="H4" s="639"/>
      <c r="I4" s="639"/>
      <c r="J4" s="639"/>
      <c r="K4" s="639"/>
      <c r="L4" s="639"/>
      <c r="M4" s="639"/>
      <c r="N4" s="639"/>
      <c r="O4" s="639"/>
      <c r="P4" s="639"/>
      <c r="Q4" s="639"/>
      <c r="R4" s="639"/>
    </row>
    <row r="5" spans="1:21" ht="15.75" customHeight="1" x14ac:dyDescent="0.35">
      <c r="A5" s="758" t="s">
        <v>247</v>
      </c>
      <c r="B5" s="639"/>
      <c r="C5" s="639"/>
      <c r="D5" s="639"/>
      <c r="E5" s="639"/>
      <c r="F5" s="639"/>
      <c r="G5" s="639"/>
      <c r="H5" s="639"/>
      <c r="I5" s="639"/>
      <c r="J5" s="639"/>
      <c r="K5" s="639"/>
      <c r="L5" s="639"/>
      <c r="M5" s="639"/>
      <c r="N5" s="639"/>
      <c r="O5" s="639"/>
      <c r="P5" s="639"/>
      <c r="Q5" s="639"/>
      <c r="R5" s="639"/>
    </row>
    <row r="6" spans="1:21" ht="15.75" customHeight="1" x14ac:dyDescent="0.35">
      <c r="A6" s="752"/>
      <c r="B6" s="639"/>
      <c r="C6" s="639"/>
      <c r="D6" s="639"/>
      <c r="E6" s="639"/>
      <c r="F6" s="639"/>
      <c r="G6" s="639"/>
      <c r="H6" s="639"/>
      <c r="I6" s="639"/>
      <c r="J6" s="639"/>
      <c r="K6" s="639"/>
      <c r="L6" s="639"/>
      <c r="M6" s="639"/>
      <c r="N6" s="639"/>
      <c r="O6" s="639"/>
    </row>
    <row r="7" spans="1:21" ht="16.5" customHeight="1" x14ac:dyDescent="0.35">
      <c r="A7" s="756" t="s">
        <v>248</v>
      </c>
      <c r="B7" s="639"/>
      <c r="C7" s="639"/>
      <c r="D7" s="639"/>
      <c r="E7" s="639"/>
      <c r="F7" s="639"/>
      <c r="G7" s="639"/>
      <c r="H7" s="639"/>
      <c r="I7" s="639"/>
      <c r="J7" s="639"/>
      <c r="K7" s="639"/>
      <c r="L7" s="639"/>
      <c r="M7" s="639"/>
      <c r="N7" s="639"/>
      <c r="O7" s="639"/>
      <c r="P7" s="639"/>
      <c r="Q7" s="19" t="s">
        <v>0</v>
      </c>
      <c r="R7" s="21">
        <v>7</v>
      </c>
      <c r="S7" s="19" t="s">
        <v>1</v>
      </c>
      <c r="T7" s="21">
        <v>7</v>
      </c>
      <c r="U7" s="11"/>
    </row>
    <row r="8" spans="1:21" ht="18.75" customHeight="1" x14ac:dyDescent="0.35">
      <c r="A8" s="755" t="s">
        <v>249</v>
      </c>
      <c r="B8" s="637"/>
      <c r="C8" s="637"/>
      <c r="D8" s="637"/>
      <c r="E8" s="637"/>
      <c r="F8" s="637"/>
      <c r="G8" s="637"/>
      <c r="H8" s="637"/>
      <c r="I8" s="637"/>
      <c r="J8" s="637"/>
      <c r="K8" s="637"/>
      <c r="L8" s="637"/>
      <c r="M8" s="637"/>
      <c r="N8" s="637"/>
      <c r="O8" s="637"/>
      <c r="P8" s="637"/>
      <c r="Q8" s="637"/>
      <c r="R8" s="637"/>
      <c r="S8" s="637"/>
      <c r="T8" s="635"/>
      <c r="U8" s="23"/>
    </row>
    <row r="9" spans="1:21" ht="13.5" customHeight="1" x14ac:dyDescent="0.35">
      <c r="A9" s="24" t="s">
        <v>2</v>
      </c>
      <c r="B9" s="26"/>
      <c r="C9" s="29"/>
      <c r="D9" s="30" t="s">
        <v>3</v>
      </c>
      <c r="E9" s="31"/>
      <c r="F9" s="33"/>
      <c r="G9" s="24" t="s">
        <v>4</v>
      </c>
      <c r="H9" s="26" t="s">
        <v>5</v>
      </c>
      <c r="I9" s="26" t="s">
        <v>6</v>
      </c>
      <c r="J9" s="26" t="s">
        <v>7</v>
      </c>
      <c r="K9" s="34"/>
      <c r="L9" s="36" t="s">
        <v>8</v>
      </c>
      <c r="M9" s="37" t="s">
        <v>9</v>
      </c>
      <c r="N9" s="37" t="s">
        <v>10</v>
      </c>
      <c r="O9" s="38"/>
      <c r="P9" s="24" t="s">
        <v>11</v>
      </c>
      <c r="Q9" s="647" t="s">
        <v>12</v>
      </c>
      <c r="R9" s="635"/>
      <c r="S9" s="647" t="s">
        <v>13</v>
      </c>
      <c r="T9" s="635"/>
      <c r="U9" s="41"/>
    </row>
    <row r="10" spans="1:21" ht="13.5" customHeight="1" x14ac:dyDescent="0.35">
      <c r="A10" s="43" t="s">
        <v>14</v>
      </c>
      <c r="B10" s="44">
        <v>100000</v>
      </c>
      <c r="C10" s="45"/>
      <c r="D10" s="43" t="s">
        <v>15</v>
      </c>
      <c r="E10" s="44">
        <v>8500</v>
      </c>
      <c r="F10" s="33"/>
      <c r="G10" s="47" t="s">
        <v>16</v>
      </c>
      <c r="H10" s="48" t="s">
        <v>17</v>
      </c>
      <c r="I10" s="48" t="s">
        <v>17</v>
      </c>
      <c r="J10" s="48" t="s">
        <v>17</v>
      </c>
      <c r="K10" s="45"/>
      <c r="L10" s="47" t="s">
        <v>18</v>
      </c>
      <c r="M10" s="50" t="s">
        <v>17</v>
      </c>
      <c r="N10" s="44">
        <v>3000</v>
      </c>
      <c r="O10" s="38"/>
      <c r="P10" s="43" t="s">
        <v>19</v>
      </c>
      <c r="Q10" s="44">
        <v>37500</v>
      </c>
      <c r="R10" s="44"/>
      <c r="S10" s="44">
        <v>25000</v>
      </c>
      <c r="T10" s="44"/>
      <c r="U10" s="41"/>
    </row>
    <row r="11" spans="1:21" ht="13.5" customHeight="1" x14ac:dyDescent="0.35">
      <c r="A11" s="43" t="s">
        <v>20</v>
      </c>
      <c r="B11" s="44">
        <v>100000</v>
      </c>
      <c r="C11" s="45"/>
      <c r="D11" s="43" t="s">
        <v>21</v>
      </c>
      <c r="E11" s="44">
        <v>6500</v>
      </c>
      <c r="F11" s="33"/>
      <c r="G11" s="54" t="s">
        <v>22</v>
      </c>
      <c r="H11" s="48" t="s">
        <v>17</v>
      </c>
      <c r="I11" s="48" t="s">
        <v>17</v>
      </c>
      <c r="J11" s="48" t="s">
        <v>17</v>
      </c>
      <c r="K11" s="45"/>
      <c r="L11" s="47" t="s">
        <v>24</v>
      </c>
      <c r="M11" s="50" t="s">
        <v>17</v>
      </c>
      <c r="N11" s="44">
        <v>500</v>
      </c>
      <c r="O11" s="38"/>
      <c r="P11" s="43"/>
      <c r="Q11" s="37" t="s">
        <v>25</v>
      </c>
      <c r="R11" s="37" t="s">
        <v>26</v>
      </c>
      <c r="S11" s="37" t="s">
        <v>25</v>
      </c>
      <c r="T11" s="37" t="s">
        <v>26</v>
      </c>
      <c r="U11" s="41"/>
    </row>
    <row r="12" spans="1:21" ht="13.5" customHeight="1" x14ac:dyDescent="0.35">
      <c r="A12" s="43"/>
      <c r="B12" s="31"/>
      <c r="C12" s="45"/>
      <c r="D12" s="43" t="s">
        <v>27</v>
      </c>
      <c r="E12" s="44">
        <v>5250</v>
      </c>
      <c r="F12" s="33"/>
      <c r="G12" s="54" t="s">
        <v>28</v>
      </c>
      <c r="H12" s="48" t="s">
        <v>17</v>
      </c>
      <c r="I12" s="48" t="s">
        <v>17</v>
      </c>
      <c r="J12" s="48" t="s">
        <v>17</v>
      </c>
      <c r="K12" s="45"/>
      <c r="L12" s="47" t="s">
        <v>29</v>
      </c>
      <c r="M12" s="50" t="s">
        <v>17</v>
      </c>
      <c r="N12" s="44">
        <v>0</v>
      </c>
      <c r="O12" s="38"/>
      <c r="P12" s="43" t="s">
        <v>30</v>
      </c>
      <c r="Q12" s="55">
        <v>0</v>
      </c>
      <c r="R12" s="56">
        <v>0</v>
      </c>
      <c r="S12" s="55">
        <v>0</v>
      </c>
      <c r="T12" s="56">
        <v>0</v>
      </c>
      <c r="U12" s="41"/>
    </row>
    <row r="13" spans="1:21" ht="13.5" customHeight="1" x14ac:dyDescent="0.35">
      <c r="A13" s="31"/>
      <c r="B13" s="31"/>
      <c r="C13" s="45"/>
      <c r="D13" s="43" t="s">
        <v>31</v>
      </c>
      <c r="E13" s="44">
        <v>1750</v>
      </c>
      <c r="F13" s="33"/>
      <c r="G13" s="57" t="s">
        <v>32</v>
      </c>
      <c r="H13" s="48" t="s">
        <v>17</v>
      </c>
      <c r="I13" s="48" t="s">
        <v>17</v>
      </c>
      <c r="J13" s="48" t="s">
        <v>17</v>
      </c>
      <c r="K13" s="45"/>
      <c r="L13" s="43"/>
      <c r="M13" s="43"/>
      <c r="N13" s="43"/>
      <c r="O13" s="38"/>
      <c r="P13" s="43" t="s">
        <v>33</v>
      </c>
      <c r="Q13" s="58">
        <v>0</v>
      </c>
      <c r="R13" s="56">
        <v>0</v>
      </c>
      <c r="S13" s="59" t="s">
        <v>17</v>
      </c>
      <c r="T13" s="56" t="s">
        <v>17</v>
      </c>
      <c r="U13" s="41"/>
    </row>
    <row r="14" spans="1:21" ht="13.5" customHeight="1" x14ac:dyDescent="0.35">
      <c r="A14" s="30" t="s">
        <v>34</v>
      </c>
      <c r="B14" s="31"/>
      <c r="C14" s="45"/>
      <c r="D14" s="43" t="s">
        <v>35</v>
      </c>
      <c r="E14" s="44">
        <v>1250</v>
      </c>
      <c r="F14" s="33"/>
      <c r="G14" s="47" t="s">
        <v>36</v>
      </c>
      <c r="H14" s="48" t="s">
        <v>17</v>
      </c>
      <c r="I14" s="44">
        <v>5000</v>
      </c>
      <c r="J14" s="44">
        <v>5000</v>
      </c>
      <c r="K14" s="45"/>
      <c r="L14" s="30" t="s">
        <v>37</v>
      </c>
      <c r="M14" s="37" t="s">
        <v>38</v>
      </c>
      <c r="N14" s="37" t="s">
        <v>39</v>
      </c>
      <c r="O14" s="38"/>
      <c r="P14" s="43" t="s">
        <v>16</v>
      </c>
      <c r="Q14" s="58">
        <v>0</v>
      </c>
      <c r="R14" s="56">
        <v>0</v>
      </c>
      <c r="S14" s="58">
        <v>0</v>
      </c>
      <c r="T14" s="56">
        <v>0</v>
      </c>
      <c r="U14" s="41"/>
    </row>
    <row r="15" spans="1:21" ht="13.5" customHeight="1" x14ac:dyDescent="0.35">
      <c r="A15" s="43" t="s">
        <v>40</v>
      </c>
      <c r="B15" s="44">
        <v>1500</v>
      </c>
      <c r="C15" s="45"/>
      <c r="D15" s="43" t="s">
        <v>41</v>
      </c>
      <c r="E15" s="44">
        <v>0</v>
      </c>
      <c r="F15" s="33"/>
      <c r="G15" s="47"/>
      <c r="H15" s="62"/>
      <c r="I15" s="62"/>
      <c r="J15" s="62"/>
      <c r="K15" s="45"/>
      <c r="L15" s="43" t="s">
        <v>12</v>
      </c>
      <c r="M15" s="44">
        <v>37500</v>
      </c>
      <c r="N15" s="64">
        <v>20</v>
      </c>
      <c r="O15" s="38"/>
      <c r="P15" s="43" t="s">
        <v>42</v>
      </c>
      <c r="Q15" s="58">
        <v>0</v>
      </c>
      <c r="R15" s="56">
        <v>0</v>
      </c>
      <c r="S15" s="58">
        <v>0</v>
      </c>
      <c r="T15" s="56">
        <v>0</v>
      </c>
      <c r="U15" s="41"/>
    </row>
    <row r="16" spans="1:21" ht="13.5" customHeight="1" x14ac:dyDescent="0.35">
      <c r="A16" s="43" t="s">
        <v>43</v>
      </c>
      <c r="B16" s="62">
        <v>2000</v>
      </c>
      <c r="C16" s="45"/>
      <c r="D16" s="43" t="s">
        <v>29</v>
      </c>
      <c r="E16" s="44">
        <v>0</v>
      </c>
      <c r="F16" s="33"/>
      <c r="G16" s="636" t="s">
        <v>44</v>
      </c>
      <c r="H16" s="637"/>
      <c r="I16" s="637"/>
      <c r="J16" s="635"/>
      <c r="K16" s="45"/>
      <c r="L16" s="43" t="s">
        <v>13</v>
      </c>
      <c r="M16" s="44">
        <v>25000</v>
      </c>
      <c r="N16" s="64">
        <v>20</v>
      </c>
      <c r="O16" s="38"/>
      <c r="P16" s="54" t="s">
        <v>28</v>
      </c>
      <c r="Q16" s="58">
        <v>25000</v>
      </c>
      <c r="R16" s="56">
        <v>0.57499999999999996</v>
      </c>
      <c r="S16" s="58">
        <v>25000</v>
      </c>
      <c r="T16" s="56">
        <v>0.45</v>
      </c>
      <c r="U16" s="41"/>
    </row>
    <row r="17" spans="1:21" ht="13.5" customHeight="1" x14ac:dyDescent="0.35">
      <c r="A17" s="43" t="s">
        <v>45</v>
      </c>
      <c r="B17" s="62">
        <v>2500</v>
      </c>
      <c r="C17" s="45"/>
      <c r="D17" s="43"/>
      <c r="E17" s="31"/>
      <c r="F17" s="33"/>
      <c r="G17" s="67"/>
      <c r="H17" s="45"/>
      <c r="I17" s="45"/>
      <c r="J17" s="45"/>
      <c r="K17" s="45"/>
      <c r="L17" s="68"/>
      <c r="M17" s="45"/>
      <c r="N17" s="45"/>
      <c r="O17" s="38"/>
      <c r="P17" s="54" t="s">
        <v>32</v>
      </c>
      <c r="Q17" s="58">
        <v>50000</v>
      </c>
      <c r="R17" s="56">
        <v>1.1499999999999999</v>
      </c>
      <c r="S17" s="58">
        <v>55500</v>
      </c>
      <c r="T17" s="56">
        <v>0.999</v>
      </c>
      <c r="U17" s="41"/>
    </row>
    <row r="18" spans="1:21" ht="13.5" customHeight="1" x14ac:dyDescent="0.35">
      <c r="A18" s="43" t="s">
        <v>46</v>
      </c>
      <c r="B18" s="62">
        <v>3000</v>
      </c>
      <c r="C18" s="45"/>
      <c r="D18" s="30" t="s">
        <v>47</v>
      </c>
      <c r="E18" s="31"/>
      <c r="F18" s="33"/>
      <c r="G18" s="43"/>
      <c r="H18" s="30" t="s">
        <v>48</v>
      </c>
      <c r="I18" s="37" t="s">
        <v>49</v>
      </c>
      <c r="J18" s="37" t="s">
        <v>26</v>
      </c>
      <c r="K18" s="37"/>
      <c r="L18" s="37" t="s">
        <v>13</v>
      </c>
      <c r="M18" s="37" t="s">
        <v>26</v>
      </c>
      <c r="N18" s="62"/>
      <c r="O18" s="38"/>
      <c r="P18" s="47" t="s">
        <v>36</v>
      </c>
      <c r="Q18" s="58">
        <v>110000</v>
      </c>
      <c r="R18" s="56">
        <v>2.5299999999999998</v>
      </c>
      <c r="S18" s="58">
        <v>100000</v>
      </c>
      <c r="T18" s="56">
        <v>1.8</v>
      </c>
      <c r="U18" s="41"/>
    </row>
    <row r="19" spans="1:21" ht="13.5" customHeight="1" x14ac:dyDescent="0.35">
      <c r="A19" s="43" t="s">
        <v>50</v>
      </c>
      <c r="B19" s="44">
        <v>3250</v>
      </c>
      <c r="C19" s="45"/>
      <c r="D19" s="43" t="s">
        <v>51</v>
      </c>
      <c r="E19" s="44">
        <v>350000</v>
      </c>
      <c r="F19" s="33"/>
      <c r="G19" s="70" t="s">
        <v>52</v>
      </c>
      <c r="H19" s="43" t="s">
        <v>53</v>
      </c>
      <c r="I19" s="71">
        <v>60869.565217391304</v>
      </c>
      <c r="J19" s="56">
        <v>1.4</v>
      </c>
      <c r="K19" s="62"/>
      <c r="L19" s="55">
        <v>66666.666666666672</v>
      </c>
      <c r="M19" s="56">
        <v>1.2</v>
      </c>
      <c r="N19" s="62"/>
      <c r="O19" s="38"/>
      <c r="P19" s="43" t="s">
        <v>54</v>
      </c>
      <c r="Q19" s="72">
        <v>4500</v>
      </c>
      <c r="R19" s="73"/>
      <c r="S19" s="72">
        <v>0</v>
      </c>
      <c r="T19" s="73"/>
      <c r="U19" s="41"/>
    </row>
    <row r="20" spans="1:21" ht="13.5" customHeight="1" x14ac:dyDescent="0.35">
      <c r="A20" s="43" t="s">
        <v>56</v>
      </c>
      <c r="B20" s="44">
        <v>3750</v>
      </c>
      <c r="C20" s="45"/>
      <c r="D20" s="43" t="s">
        <v>57</v>
      </c>
      <c r="E20" s="75">
        <v>1.5</v>
      </c>
      <c r="F20" s="33"/>
      <c r="G20" s="70" t="s">
        <v>59</v>
      </c>
      <c r="H20" s="43" t="s">
        <v>60</v>
      </c>
      <c r="I20" s="71">
        <v>52173.913043478264</v>
      </c>
      <c r="J20" s="56">
        <v>1.2</v>
      </c>
      <c r="K20" s="62"/>
      <c r="L20" s="55">
        <v>55555.555555555555</v>
      </c>
      <c r="M20" s="56">
        <v>1</v>
      </c>
      <c r="N20" s="62"/>
      <c r="O20" s="38"/>
      <c r="P20" s="77" t="s">
        <v>61</v>
      </c>
      <c r="Q20" s="55">
        <v>141500</v>
      </c>
      <c r="R20" s="82">
        <v>2.5299999999999998</v>
      </c>
      <c r="S20" s="55">
        <v>100000</v>
      </c>
      <c r="T20" s="82">
        <v>1.8</v>
      </c>
      <c r="U20" s="41"/>
    </row>
    <row r="21" spans="1:21" ht="13.5" customHeight="1" x14ac:dyDescent="0.35">
      <c r="A21" s="43" t="s">
        <v>64</v>
      </c>
      <c r="B21" s="87">
        <v>4500</v>
      </c>
      <c r="C21" s="45"/>
      <c r="D21" s="762" t="s">
        <v>68</v>
      </c>
      <c r="E21" s="635"/>
      <c r="F21" s="33"/>
      <c r="G21" s="43"/>
      <c r="H21" s="43" t="s">
        <v>69</v>
      </c>
      <c r="I21" s="71">
        <v>43478.260869565216</v>
      </c>
      <c r="J21" s="56">
        <v>1</v>
      </c>
      <c r="K21" s="62"/>
      <c r="L21" s="55">
        <v>44444.444444444445</v>
      </c>
      <c r="M21" s="56">
        <v>0.8</v>
      </c>
      <c r="N21" s="62"/>
      <c r="O21" s="38"/>
      <c r="P21" s="89" t="s">
        <v>72</v>
      </c>
      <c r="Q21" s="648" t="s">
        <v>74</v>
      </c>
      <c r="R21" s="637"/>
      <c r="S21" s="637"/>
      <c r="T21" s="635"/>
      <c r="U21" s="41"/>
    </row>
    <row r="22" spans="1:21" ht="15.75" customHeight="1" x14ac:dyDescent="0.35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</row>
    <row r="23" spans="1:21" ht="15.75" customHeight="1" x14ac:dyDescent="0.4">
      <c r="A23" s="759" t="s">
        <v>2</v>
      </c>
      <c r="B23" s="639"/>
      <c r="C23" s="639"/>
      <c r="D23" s="639"/>
      <c r="E23" s="639"/>
      <c r="F23" s="104"/>
      <c r="G23" s="757" t="s">
        <v>255</v>
      </c>
      <c r="H23" s="639"/>
      <c r="I23" s="639"/>
      <c r="J23" s="639"/>
      <c r="K23" s="639"/>
      <c r="L23" s="639"/>
      <c r="M23" s="639"/>
      <c r="N23" s="639"/>
      <c r="O23" s="104"/>
      <c r="P23" s="759" t="s">
        <v>256</v>
      </c>
      <c r="Q23" s="639"/>
      <c r="R23" s="639"/>
      <c r="S23" s="639"/>
      <c r="T23" s="639"/>
    </row>
    <row r="24" spans="1:21" ht="15.75" customHeight="1" x14ac:dyDescent="0.35">
      <c r="A24" s="754" t="s">
        <v>257</v>
      </c>
      <c r="B24" s="639"/>
      <c r="C24" s="639"/>
      <c r="D24" s="639"/>
      <c r="E24" s="639"/>
      <c r="F24" s="104"/>
      <c r="G24" s="758" t="s">
        <v>258</v>
      </c>
      <c r="H24" s="639"/>
      <c r="I24" s="639"/>
      <c r="J24" s="639"/>
      <c r="K24" s="639"/>
      <c r="L24" s="639"/>
      <c r="M24" s="639"/>
      <c r="N24" s="639"/>
      <c r="O24" s="104"/>
      <c r="P24" s="754" t="s">
        <v>259</v>
      </c>
      <c r="Q24" s="639"/>
      <c r="R24" s="639"/>
      <c r="S24" s="639"/>
      <c r="T24" s="639"/>
    </row>
    <row r="25" spans="1:21" ht="15.75" customHeight="1" x14ac:dyDescent="0.35">
      <c r="A25" s="754" t="s">
        <v>260</v>
      </c>
      <c r="B25" s="639"/>
      <c r="C25" s="639"/>
      <c r="D25" s="639"/>
      <c r="E25" s="639"/>
      <c r="F25" s="104"/>
      <c r="G25" s="758" t="s">
        <v>261</v>
      </c>
      <c r="H25" s="639"/>
      <c r="I25" s="639"/>
      <c r="J25" s="639"/>
      <c r="K25" s="639"/>
      <c r="L25" s="639"/>
      <c r="M25" s="639"/>
      <c r="N25" s="639"/>
      <c r="O25" s="104"/>
      <c r="P25" s="754" t="s">
        <v>262</v>
      </c>
      <c r="Q25" s="639"/>
      <c r="R25" s="639"/>
      <c r="S25" s="639"/>
      <c r="T25" s="639"/>
    </row>
    <row r="26" spans="1:21" ht="15.75" customHeight="1" x14ac:dyDescent="0.35">
      <c r="A26" s="754" t="s">
        <v>263</v>
      </c>
      <c r="B26" s="639"/>
      <c r="C26" s="639"/>
      <c r="D26" s="639"/>
      <c r="E26" s="639"/>
      <c r="F26" s="104"/>
      <c r="G26" s="758" t="s">
        <v>264</v>
      </c>
      <c r="H26" s="639"/>
      <c r="I26" s="639"/>
      <c r="J26" s="639"/>
      <c r="K26" s="639"/>
      <c r="L26" s="639"/>
      <c r="M26" s="639"/>
      <c r="N26" s="639"/>
      <c r="O26" s="104"/>
      <c r="P26" s="760" t="s">
        <v>265</v>
      </c>
      <c r="Q26" s="639"/>
      <c r="R26" s="639"/>
      <c r="S26" s="639"/>
      <c r="T26" s="639"/>
    </row>
    <row r="27" spans="1:21" ht="15.75" customHeight="1" x14ac:dyDescent="0.35">
      <c r="A27" s="754" t="s">
        <v>266</v>
      </c>
      <c r="B27" s="639"/>
      <c r="C27" s="639"/>
      <c r="D27" s="639"/>
      <c r="E27" s="639"/>
      <c r="F27" s="104"/>
      <c r="G27" s="758" t="s">
        <v>267</v>
      </c>
      <c r="H27" s="639"/>
      <c r="I27" s="639"/>
      <c r="J27" s="639"/>
      <c r="K27" s="639"/>
      <c r="L27" s="639"/>
      <c r="M27" s="639"/>
      <c r="N27" s="639"/>
      <c r="O27" s="104"/>
      <c r="P27" s="754" t="s">
        <v>268</v>
      </c>
      <c r="Q27" s="639"/>
      <c r="R27" s="639"/>
      <c r="S27" s="639"/>
      <c r="T27" s="639"/>
    </row>
    <row r="28" spans="1:21" ht="15.75" customHeight="1" x14ac:dyDescent="0.35">
      <c r="A28" s="754" t="s">
        <v>269</v>
      </c>
      <c r="B28" s="639"/>
      <c r="C28" s="639"/>
      <c r="D28" s="639"/>
      <c r="E28" s="639"/>
      <c r="F28" s="104"/>
      <c r="G28" s="752"/>
      <c r="H28" s="639"/>
      <c r="I28" s="639"/>
      <c r="J28" s="639"/>
      <c r="K28" s="639"/>
      <c r="L28" s="639"/>
      <c r="M28" s="639"/>
      <c r="N28" s="639"/>
      <c r="O28" s="104"/>
      <c r="P28" s="754" t="s">
        <v>270</v>
      </c>
      <c r="Q28" s="639"/>
      <c r="R28" s="639"/>
      <c r="S28" s="639"/>
      <c r="T28" s="639"/>
    </row>
    <row r="29" spans="1:21" ht="15.75" customHeight="1" x14ac:dyDescent="0.4">
      <c r="A29" s="754" t="s">
        <v>271</v>
      </c>
      <c r="B29" s="639"/>
      <c r="C29" s="639"/>
      <c r="D29" s="639"/>
      <c r="E29" s="639"/>
      <c r="F29" s="104"/>
      <c r="G29" s="757" t="s">
        <v>273</v>
      </c>
      <c r="H29" s="639"/>
      <c r="I29" s="639"/>
      <c r="J29" s="639"/>
      <c r="K29" s="639"/>
      <c r="L29" s="639"/>
      <c r="M29" s="639"/>
      <c r="N29" s="639"/>
      <c r="O29" s="104"/>
      <c r="P29" s="639"/>
      <c r="Q29" s="639"/>
      <c r="R29" s="639"/>
      <c r="S29" s="639"/>
      <c r="T29" s="639"/>
    </row>
    <row r="30" spans="1:21" ht="15.75" customHeight="1" x14ac:dyDescent="0.4">
      <c r="A30" s="754" t="s">
        <v>274</v>
      </c>
      <c r="B30" s="639"/>
      <c r="C30" s="639"/>
      <c r="D30" s="639"/>
      <c r="E30" s="639"/>
      <c r="F30" s="104"/>
      <c r="G30" s="758" t="s">
        <v>275</v>
      </c>
      <c r="H30" s="639"/>
      <c r="I30" s="639"/>
      <c r="J30" s="639"/>
      <c r="K30" s="639"/>
      <c r="L30" s="639"/>
      <c r="M30" s="639"/>
      <c r="N30" s="639"/>
      <c r="O30" s="104"/>
      <c r="P30" s="759" t="s">
        <v>276</v>
      </c>
      <c r="Q30" s="639"/>
      <c r="R30" s="639"/>
      <c r="S30" s="639"/>
      <c r="T30" s="639"/>
    </row>
    <row r="31" spans="1:21" ht="15.75" customHeight="1" x14ac:dyDescent="0.4">
      <c r="A31" s="287"/>
      <c r="B31" s="287"/>
      <c r="C31" s="287"/>
      <c r="D31" s="287"/>
      <c r="E31" s="287"/>
      <c r="F31" s="104"/>
      <c r="G31" s="758" t="s">
        <v>277</v>
      </c>
      <c r="H31" s="639"/>
      <c r="I31" s="639"/>
      <c r="J31" s="639"/>
      <c r="K31" s="639"/>
      <c r="L31" s="639"/>
      <c r="M31" s="639"/>
      <c r="N31" s="639"/>
      <c r="O31" s="104"/>
      <c r="P31" s="754" t="s">
        <v>278</v>
      </c>
      <c r="Q31" s="639"/>
      <c r="R31" s="639"/>
      <c r="S31" s="639"/>
      <c r="T31" s="639"/>
    </row>
    <row r="32" spans="1:21" ht="15.75" customHeight="1" x14ac:dyDescent="0.4">
      <c r="A32" s="759" t="s">
        <v>279</v>
      </c>
      <c r="B32" s="639"/>
      <c r="C32" s="639"/>
      <c r="D32" s="639"/>
      <c r="E32" s="639"/>
      <c r="F32" s="104"/>
      <c r="G32" s="752"/>
      <c r="H32" s="639"/>
      <c r="I32" s="639"/>
      <c r="J32" s="639"/>
      <c r="K32" s="639"/>
      <c r="L32" s="639"/>
      <c r="M32" s="639"/>
      <c r="N32" s="639"/>
      <c r="O32" s="104"/>
      <c r="P32" s="754" t="s">
        <v>280</v>
      </c>
      <c r="Q32" s="639"/>
      <c r="R32" s="639"/>
      <c r="S32" s="639"/>
      <c r="T32" s="639"/>
    </row>
    <row r="33" spans="1:20" ht="15.75" customHeight="1" x14ac:dyDescent="0.4">
      <c r="A33" s="754" t="s">
        <v>281</v>
      </c>
      <c r="B33" s="639"/>
      <c r="C33" s="639"/>
      <c r="D33" s="639"/>
      <c r="E33" s="639"/>
      <c r="F33" s="104"/>
      <c r="G33" s="757" t="s">
        <v>282</v>
      </c>
      <c r="H33" s="639"/>
      <c r="I33" s="639"/>
      <c r="J33" s="639"/>
      <c r="K33" s="639"/>
      <c r="L33" s="639"/>
      <c r="M33" s="639"/>
      <c r="N33" s="639"/>
      <c r="O33" s="104"/>
      <c r="P33" s="754" t="s">
        <v>283</v>
      </c>
      <c r="Q33" s="639"/>
      <c r="R33" s="639"/>
      <c r="S33" s="639"/>
      <c r="T33" s="639"/>
    </row>
    <row r="34" spans="1:20" ht="15.75" customHeight="1" x14ac:dyDescent="0.35">
      <c r="A34" s="754" t="s">
        <v>284</v>
      </c>
      <c r="B34" s="639"/>
      <c r="C34" s="639"/>
      <c r="D34" s="639"/>
      <c r="E34" s="639"/>
      <c r="F34" s="104"/>
      <c r="G34" s="758" t="s">
        <v>285</v>
      </c>
      <c r="H34" s="639"/>
      <c r="I34" s="639"/>
      <c r="J34" s="639"/>
      <c r="K34" s="639"/>
      <c r="L34" s="639"/>
      <c r="M34" s="639"/>
      <c r="N34" s="639"/>
      <c r="O34" s="104"/>
      <c r="P34" s="754" t="s">
        <v>286</v>
      </c>
      <c r="Q34" s="639"/>
      <c r="R34" s="639"/>
      <c r="S34" s="639"/>
      <c r="T34" s="639"/>
    </row>
    <row r="35" spans="1:20" ht="15.75" customHeight="1" x14ac:dyDescent="0.35">
      <c r="A35" s="754" t="s">
        <v>287</v>
      </c>
      <c r="B35" s="639"/>
      <c r="C35" s="639"/>
      <c r="D35" s="639"/>
      <c r="E35" s="639"/>
      <c r="F35" s="104"/>
      <c r="G35" s="758" t="s">
        <v>288</v>
      </c>
      <c r="H35" s="639"/>
      <c r="I35" s="639"/>
      <c r="J35" s="639"/>
      <c r="K35" s="639"/>
      <c r="L35" s="639"/>
      <c r="M35" s="639"/>
      <c r="N35" s="639"/>
      <c r="O35" s="104"/>
      <c r="P35" s="754" t="s">
        <v>289</v>
      </c>
      <c r="Q35" s="639"/>
      <c r="R35" s="639"/>
      <c r="S35" s="639"/>
      <c r="T35" s="639"/>
    </row>
    <row r="36" spans="1:20" ht="15.75" customHeight="1" x14ac:dyDescent="0.35">
      <c r="A36" s="754" t="s">
        <v>290</v>
      </c>
      <c r="B36" s="639"/>
      <c r="C36" s="639"/>
      <c r="D36" s="639"/>
      <c r="E36" s="639"/>
      <c r="F36" s="104"/>
      <c r="G36" s="758" t="s">
        <v>291</v>
      </c>
      <c r="H36" s="639"/>
      <c r="I36" s="639"/>
      <c r="J36" s="639"/>
      <c r="K36" s="639"/>
      <c r="L36" s="639"/>
      <c r="M36" s="639"/>
      <c r="N36" s="639"/>
      <c r="O36" s="104"/>
      <c r="P36" s="754" t="s">
        <v>292</v>
      </c>
      <c r="Q36" s="639"/>
      <c r="R36" s="639"/>
      <c r="S36" s="639"/>
      <c r="T36" s="639"/>
    </row>
    <row r="37" spans="1:20" ht="15.75" customHeight="1" x14ac:dyDescent="0.35">
      <c r="A37" s="754" t="s">
        <v>294</v>
      </c>
      <c r="B37" s="639"/>
      <c r="C37" s="639"/>
      <c r="D37" s="639"/>
      <c r="E37" s="639"/>
      <c r="F37" s="104"/>
      <c r="G37" s="752"/>
      <c r="H37" s="639"/>
      <c r="I37" s="639"/>
      <c r="J37" s="639"/>
      <c r="K37" s="639"/>
      <c r="L37" s="639"/>
      <c r="M37" s="639"/>
      <c r="N37" s="639"/>
      <c r="O37" s="104"/>
      <c r="P37" s="754" t="s">
        <v>295</v>
      </c>
      <c r="Q37" s="639"/>
      <c r="R37" s="639"/>
      <c r="S37" s="639"/>
      <c r="T37" s="639"/>
    </row>
    <row r="38" spans="1:20" ht="15.75" customHeight="1" x14ac:dyDescent="0.4">
      <c r="A38" s="754" t="s">
        <v>296</v>
      </c>
      <c r="B38" s="639"/>
      <c r="C38" s="639"/>
      <c r="D38" s="639"/>
      <c r="E38" s="639"/>
      <c r="F38" s="104"/>
      <c r="G38" s="757" t="s">
        <v>297</v>
      </c>
      <c r="H38" s="639"/>
      <c r="I38" s="639"/>
      <c r="J38" s="639"/>
      <c r="K38" s="639"/>
      <c r="L38" s="639"/>
      <c r="M38" s="639"/>
      <c r="N38" s="639"/>
      <c r="O38" s="104"/>
      <c r="P38" s="754" t="s">
        <v>298</v>
      </c>
      <c r="Q38" s="639"/>
      <c r="R38" s="639"/>
      <c r="S38" s="639"/>
      <c r="T38" s="639"/>
    </row>
    <row r="39" spans="1:20" ht="15.75" customHeight="1" x14ac:dyDescent="0.35">
      <c r="A39" s="760" t="s">
        <v>299</v>
      </c>
      <c r="B39" s="639"/>
      <c r="C39" s="639"/>
      <c r="D39" s="639"/>
      <c r="E39" s="639"/>
      <c r="F39" s="104"/>
      <c r="G39" s="754" t="s">
        <v>300</v>
      </c>
      <c r="H39" s="639"/>
      <c r="I39" s="639"/>
      <c r="J39" s="639"/>
      <c r="K39" s="639"/>
      <c r="L39" s="639"/>
      <c r="M39" s="639"/>
      <c r="N39" s="639"/>
      <c r="P39" s="754" t="s">
        <v>301</v>
      </c>
      <c r="Q39" s="639"/>
      <c r="R39" s="639"/>
      <c r="S39" s="639"/>
      <c r="T39" s="639"/>
    </row>
    <row r="40" spans="1:20" ht="15.75" customHeight="1" x14ac:dyDescent="0.35">
      <c r="A40" s="754" t="s">
        <v>302</v>
      </c>
      <c r="B40" s="639"/>
      <c r="C40" s="639"/>
      <c r="D40" s="639"/>
      <c r="E40" s="639"/>
      <c r="F40" s="104"/>
      <c r="G40" s="758" t="s">
        <v>303</v>
      </c>
      <c r="H40" s="639"/>
      <c r="I40" s="639"/>
      <c r="J40" s="639"/>
      <c r="K40" s="639"/>
      <c r="L40" s="639"/>
      <c r="M40" s="639"/>
      <c r="N40" s="639"/>
      <c r="O40" s="639"/>
      <c r="P40" s="639"/>
      <c r="Q40" s="639"/>
      <c r="R40" s="639"/>
      <c r="S40" s="639"/>
      <c r="T40" s="639"/>
    </row>
    <row r="41" spans="1:20" ht="15.75" customHeight="1" x14ac:dyDescent="0.4">
      <c r="A41" s="760" t="s">
        <v>305</v>
      </c>
      <c r="B41" s="639"/>
      <c r="C41" s="639"/>
      <c r="D41" s="639"/>
      <c r="E41" s="639"/>
      <c r="F41" s="104"/>
      <c r="G41" s="754" t="s">
        <v>306</v>
      </c>
      <c r="H41" s="639"/>
      <c r="I41" s="639"/>
      <c r="J41" s="639"/>
      <c r="K41" s="639"/>
      <c r="L41" s="639"/>
      <c r="M41" s="639"/>
      <c r="N41" s="639"/>
      <c r="P41" s="759" t="s">
        <v>307</v>
      </c>
      <c r="Q41" s="639"/>
      <c r="R41" s="639"/>
      <c r="S41" s="639"/>
      <c r="T41" s="639"/>
    </row>
    <row r="42" spans="1:20" ht="15.75" customHeight="1" x14ac:dyDescent="0.35">
      <c r="F42" s="104"/>
      <c r="G42" s="754" t="s">
        <v>308</v>
      </c>
      <c r="H42" s="639"/>
      <c r="I42" s="639"/>
      <c r="J42" s="639"/>
      <c r="K42" s="639"/>
      <c r="L42" s="639"/>
      <c r="M42" s="639"/>
      <c r="N42" s="639"/>
      <c r="P42" s="754" t="s">
        <v>309</v>
      </c>
      <c r="Q42" s="639"/>
      <c r="R42" s="639"/>
      <c r="S42" s="639"/>
      <c r="T42" s="639"/>
    </row>
    <row r="43" spans="1:20" ht="15.75" customHeight="1" x14ac:dyDescent="0.4">
      <c r="A43" s="759" t="s">
        <v>310</v>
      </c>
      <c r="B43" s="639"/>
      <c r="C43" s="639"/>
      <c r="D43" s="639"/>
      <c r="E43" s="639"/>
      <c r="F43" s="104"/>
      <c r="G43" s="754" t="s">
        <v>311</v>
      </c>
      <c r="H43" s="639"/>
      <c r="I43" s="639"/>
      <c r="J43" s="639"/>
      <c r="K43" s="639"/>
      <c r="L43" s="639"/>
      <c r="M43" s="639"/>
      <c r="N43" s="639"/>
      <c r="P43" s="754" t="s">
        <v>312</v>
      </c>
      <c r="Q43" s="639"/>
      <c r="R43" s="639"/>
      <c r="S43" s="639"/>
      <c r="T43" s="639"/>
    </row>
    <row r="44" spans="1:20" ht="15.75" customHeight="1" x14ac:dyDescent="0.35">
      <c r="A44" s="754" t="s">
        <v>313</v>
      </c>
      <c r="B44" s="639"/>
      <c r="C44" s="639"/>
      <c r="D44" s="639"/>
      <c r="E44" s="639"/>
      <c r="F44" s="104"/>
      <c r="G44" s="758" t="s">
        <v>314</v>
      </c>
      <c r="H44" s="639"/>
      <c r="I44" s="639"/>
      <c r="J44" s="639"/>
      <c r="K44" s="639"/>
      <c r="L44" s="639"/>
      <c r="M44" s="639"/>
      <c r="N44" s="639"/>
      <c r="P44" s="760"/>
      <c r="Q44" s="639"/>
      <c r="R44" s="639"/>
      <c r="S44" s="639"/>
      <c r="T44" s="639"/>
    </row>
    <row r="45" spans="1:20" ht="15.75" customHeight="1" x14ac:dyDescent="0.4">
      <c r="A45" s="754" t="s">
        <v>315</v>
      </c>
      <c r="B45" s="639"/>
      <c r="C45" s="639"/>
      <c r="D45" s="639"/>
      <c r="E45" s="639"/>
      <c r="F45" s="104"/>
      <c r="G45" s="742" t="s">
        <v>316</v>
      </c>
      <c r="H45" s="639"/>
      <c r="I45" s="639"/>
      <c r="J45" s="639"/>
      <c r="K45" s="639"/>
      <c r="L45" s="639"/>
      <c r="M45" s="639"/>
      <c r="N45" s="639"/>
      <c r="O45" s="639"/>
      <c r="P45" s="759" t="s">
        <v>317</v>
      </c>
      <c r="Q45" s="639"/>
      <c r="R45" s="639"/>
      <c r="S45" s="639"/>
      <c r="T45" s="639"/>
    </row>
    <row r="46" spans="1:20" ht="15.75" customHeight="1" x14ac:dyDescent="0.35">
      <c r="A46" s="639"/>
      <c r="B46" s="639"/>
      <c r="C46" s="639"/>
      <c r="D46" s="639"/>
      <c r="E46" s="639"/>
      <c r="F46" s="104"/>
      <c r="G46" s="758" t="s">
        <v>318</v>
      </c>
      <c r="H46" s="639"/>
      <c r="I46" s="639"/>
      <c r="J46" s="639"/>
      <c r="K46" s="639"/>
      <c r="L46" s="639"/>
      <c r="M46" s="639"/>
      <c r="N46" s="639"/>
      <c r="O46" s="639"/>
      <c r="P46" s="754" t="s">
        <v>319</v>
      </c>
      <c r="Q46" s="639"/>
      <c r="R46" s="639"/>
      <c r="S46" s="639"/>
      <c r="T46" s="639"/>
    </row>
    <row r="47" spans="1:20" ht="15.75" customHeight="1" x14ac:dyDescent="0.4">
      <c r="A47" s="759" t="s">
        <v>51</v>
      </c>
      <c r="B47" s="639"/>
      <c r="C47" s="639"/>
      <c r="D47" s="639"/>
      <c r="E47" s="639"/>
      <c r="F47" s="104"/>
      <c r="G47" s="742" t="s">
        <v>320</v>
      </c>
      <c r="H47" s="639"/>
      <c r="I47" s="639"/>
      <c r="J47" s="639"/>
      <c r="K47" s="639"/>
      <c r="L47" s="639"/>
      <c r="M47" s="639"/>
      <c r="N47" s="639"/>
      <c r="O47" s="639"/>
      <c r="P47" s="754" t="s">
        <v>321</v>
      </c>
      <c r="Q47" s="639"/>
      <c r="R47" s="639"/>
      <c r="S47" s="639"/>
      <c r="T47" s="639"/>
    </row>
    <row r="48" spans="1:20" ht="15.75" customHeight="1" x14ac:dyDescent="0.35">
      <c r="A48" s="754" t="s">
        <v>322</v>
      </c>
      <c r="B48" s="639"/>
      <c r="C48" s="639"/>
      <c r="D48" s="639"/>
      <c r="E48" s="639"/>
      <c r="F48" s="104"/>
      <c r="G48" s="742" t="s">
        <v>323</v>
      </c>
      <c r="H48" s="639"/>
      <c r="I48" s="639"/>
      <c r="J48" s="639"/>
      <c r="K48" s="639"/>
      <c r="L48" s="639"/>
      <c r="M48" s="639"/>
      <c r="N48" s="639"/>
      <c r="O48" s="639"/>
      <c r="P48" s="760" t="s">
        <v>324</v>
      </c>
      <c r="Q48" s="639"/>
      <c r="R48" s="639"/>
      <c r="S48" s="639"/>
      <c r="T48" s="639"/>
    </row>
    <row r="49" spans="1:21" ht="15.75" customHeight="1" x14ac:dyDescent="0.35">
      <c r="A49" s="760" t="s">
        <v>325</v>
      </c>
      <c r="B49" s="639"/>
      <c r="C49" s="639"/>
      <c r="D49" s="639"/>
      <c r="E49" s="639"/>
      <c r="F49" s="104"/>
      <c r="G49" s="742" t="s">
        <v>326</v>
      </c>
      <c r="H49" s="639"/>
      <c r="I49" s="639"/>
      <c r="J49" s="639"/>
      <c r="K49" s="639"/>
      <c r="L49" s="639"/>
      <c r="M49" s="639"/>
      <c r="N49" s="639"/>
      <c r="O49" s="639"/>
      <c r="P49" s="639"/>
      <c r="Q49" s="639"/>
      <c r="R49" s="639"/>
      <c r="S49" s="639"/>
      <c r="T49" s="639"/>
    </row>
    <row r="50" spans="1:21" ht="15.75" customHeight="1" x14ac:dyDescent="0.35">
      <c r="A50" s="639"/>
      <c r="B50" s="639"/>
      <c r="C50" s="639"/>
      <c r="D50" s="639"/>
      <c r="E50" s="639"/>
      <c r="F50" s="104"/>
      <c r="G50" s="764"/>
      <c r="H50" s="639"/>
      <c r="I50" s="639"/>
      <c r="J50" s="639"/>
      <c r="K50" s="639"/>
      <c r="L50" s="639"/>
      <c r="M50" s="639"/>
      <c r="N50" s="639"/>
      <c r="O50" s="639"/>
      <c r="P50" s="639"/>
      <c r="Q50" s="639"/>
      <c r="R50" s="639"/>
      <c r="S50" s="639"/>
      <c r="T50" s="639"/>
    </row>
    <row r="51" spans="1:21" ht="15.75" customHeight="1" x14ac:dyDescent="0.4">
      <c r="A51" s="759" t="s">
        <v>57</v>
      </c>
      <c r="B51" s="639"/>
      <c r="C51" s="639"/>
      <c r="D51" s="639"/>
      <c r="E51" s="639"/>
      <c r="F51" s="104"/>
      <c r="O51" s="104"/>
      <c r="P51" s="639"/>
      <c r="Q51" s="639"/>
      <c r="R51" s="639"/>
      <c r="S51" s="639"/>
      <c r="T51" s="639"/>
    </row>
    <row r="52" spans="1:21" ht="15.75" customHeight="1" x14ac:dyDescent="0.35">
      <c r="A52" s="754" t="s">
        <v>329</v>
      </c>
      <c r="B52" s="639"/>
      <c r="C52" s="639"/>
      <c r="D52" s="639"/>
      <c r="E52" s="639"/>
      <c r="F52" s="104"/>
      <c r="G52" s="752"/>
      <c r="H52" s="639"/>
      <c r="I52" s="639"/>
      <c r="J52" s="639"/>
      <c r="K52" s="639"/>
      <c r="L52" s="639"/>
      <c r="M52" s="639"/>
      <c r="N52" s="639"/>
      <c r="O52" s="104"/>
      <c r="P52" s="639"/>
      <c r="Q52" s="639"/>
      <c r="R52" s="639"/>
      <c r="S52" s="639"/>
      <c r="T52" s="639"/>
    </row>
    <row r="53" spans="1:21" ht="15.75" customHeight="1" x14ac:dyDescent="0.35">
      <c r="A53" s="754" t="s">
        <v>330</v>
      </c>
      <c r="B53" s="639"/>
      <c r="C53" s="639"/>
      <c r="D53" s="639"/>
      <c r="E53" s="639"/>
      <c r="F53" s="104"/>
      <c r="G53" s="752"/>
      <c r="H53" s="639"/>
      <c r="I53" s="639"/>
      <c r="J53" s="639"/>
      <c r="K53" s="639"/>
      <c r="L53" s="639"/>
      <c r="M53" s="639"/>
      <c r="N53" s="639"/>
      <c r="O53" s="104"/>
      <c r="P53" s="639"/>
      <c r="Q53" s="639"/>
      <c r="R53" s="639"/>
      <c r="S53" s="639"/>
      <c r="T53" s="639"/>
    </row>
    <row r="54" spans="1:21" ht="15.75" customHeight="1" x14ac:dyDescent="0.35">
      <c r="A54" s="285"/>
      <c r="B54" s="285"/>
      <c r="C54" s="285"/>
      <c r="D54" s="285"/>
      <c r="E54" s="285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1:21" ht="15.75" customHeight="1" x14ac:dyDescent="0.35">
      <c r="A55" s="756" t="s">
        <v>83</v>
      </c>
      <c r="B55" s="639"/>
      <c r="C55" s="639"/>
      <c r="D55" s="639"/>
      <c r="E55" s="639"/>
      <c r="F55" s="639"/>
      <c r="G55" s="639"/>
      <c r="H55" s="639"/>
      <c r="I55" s="639"/>
      <c r="J55" s="639"/>
      <c r="K55" s="639"/>
      <c r="L55" s="639"/>
      <c r="M55" s="639"/>
      <c r="N55" s="639"/>
      <c r="O55" s="639"/>
      <c r="P55" s="639"/>
      <c r="Q55" s="19" t="s">
        <v>86</v>
      </c>
      <c r="R55" s="21">
        <v>4</v>
      </c>
      <c r="S55" s="19" t="s">
        <v>88</v>
      </c>
      <c r="T55" s="21">
        <v>0</v>
      </c>
      <c r="U55" s="41"/>
    </row>
    <row r="56" spans="1:21" ht="20.25" customHeight="1" x14ac:dyDescent="0.35">
      <c r="A56" s="755" t="s">
        <v>90</v>
      </c>
      <c r="B56" s="637"/>
      <c r="C56" s="637"/>
      <c r="D56" s="637"/>
      <c r="E56" s="637"/>
      <c r="F56" s="637"/>
      <c r="G56" s="637"/>
      <c r="H56" s="637"/>
      <c r="I56" s="637"/>
      <c r="J56" s="637"/>
      <c r="K56" s="637"/>
      <c r="L56" s="637"/>
      <c r="M56" s="637"/>
      <c r="N56" s="637"/>
      <c r="O56" s="637"/>
      <c r="P56" s="637"/>
      <c r="Q56" s="637"/>
      <c r="R56" s="637"/>
      <c r="S56" s="637"/>
      <c r="T56" s="635"/>
      <c r="U56" s="23"/>
    </row>
    <row r="57" spans="1:21" ht="13.5" customHeight="1" x14ac:dyDescent="0.35">
      <c r="A57" s="24" t="s">
        <v>2</v>
      </c>
      <c r="B57" s="26"/>
      <c r="C57" s="29"/>
      <c r="D57" s="30" t="s">
        <v>3</v>
      </c>
      <c r="E57" s="31"/>
      <c r="F57" s="33"/>
      <c r="G57" s="24" t="s">
        <v>4</v>
      </c>
      <c r="H57" s="97" t="s">
        <v>95</v>
      </c>
      <c r="I57" s="26" t="s">
        <v>5</v>
      </c>
      <c r="J57" s="30" t="s">
        <v>97</v>
      </c>
      <c r="K57" s="34"/>
      <c r="L57" s="36" t="s">
        <v>8</v>
      </c>
      <c r="M57" s="37" t="s">
        <v>9</v>
      </c>
      <c r="N57" s="37" t="s">
        <v>10</v>
      </c>
      <c r="O57" s="38"/>
      <c r="P57" s="24" t="s">
        <v>11</v>
      </c>
      <c r="Q57" s="647" t="s">
        <v>98</v>
      </c>
      <c r="R57" s="635"/>
      <c r="S57" s="647" t="s">
        <v>23</v>
      </c>
      <c r="T57" s="635"/>
      <c r="U57" s="41"/>
    </row>
    <row r="58" spans="1:21" ht="13.5" customHeight="1" x14ac:dyDescent="0.35">
      <c r="A58" s="43" t="s">
        <v>102</v>
      </c>
      <c r="B58" s="72">
        <v>0</v>
      </c>
      <c r="C58" s="45"/>
      <c r="D58" s="43" t="s">
        <v>103</v>
      </c>
      <c r="E58" s="44">
        <v>17625</v>
      </c>
      <c r="F58" s="33"/>
      <c r="G58" s="43" t="s">
        <v>104</v>
      </c>
      <c r="H58" s="48">
        <v>14125</v>
      </c>
      <c r="I58" s="48">
        <v>0</v>
      </c>
      <c r="J58" s="48">
        <v>14125</v>
      </c>
      <c r="K58" s="45"/>
      <c r="L58" s="47" t="s">
        <v>18</v>
      </c>
      <c r="M58" s="44">
        <v>15625</v>
      </c>
      <c r="N58" s="44">
        <v>18125</v>
      </c>
      <c r="O58" s="38"/>
      <c r="P58" s="43" t="s">
        <v>19</v>
      </c>
      <c r="Q58" s="72">
        <v>68750</v>
      </c>
      <c r="R58" s="44"/>
      <c r="S58" s="72">
        <v>68750</v>
      </c>
      <c r="T58" s="44"/>
      <c r="U58" s="41"/>
    </row>
    <row r="59" spans="1:21" ht="13.5" customHeight="1" x14ac:dyDescent="0.35">
      <c r="A59" s="43" t="s">
        <v>105</v>
      </c>
      <c r="B59" s="72">
        <v>0</v>
      </c>
      <c r="C59" s="45"/>
      <c r="D59" s="43" t="s">
        <v>106</v>
      </c>
      <c r="E59" s="44">
        <v>12500</v>
      </c>
      <c r="F59" s="33"/>
      <c r="G59" s="43" t="s">
        <v>107</v>
      </c>
      <c r="H59" s="48">
        <v>9375</v>
      </c>
      <c r="I59" s="48">
        <v>0</v>
      </c>
      <c r="J59" s="48">
        <v>14125</v>
      </c>
      <c r="K59" s="45"/>
      <c r="L59" s="47" t="s">
        <v>24</v>
      </c>
      <c r="M59" s="44">
        <v>7500</v>
      </c>
      <c r="N59" s="44">
        <v>10000</v>
      </c>
      <c r="O59" s="38"/>
      <c r="P59" s="43"/>
      <c r="Q59" s="101" t="s">
        <v>25</v>
      </c>
      <c r="R59" s="102" t="s">
        <v>26</v>
      </c>
      <c r="S59" s="101" t="s">
        <v>25</v>
      </c>
      <c r="T59" s="102" t="s">
        <v>26</v>
      </c>
      <c r="U59" s="41"/>
    </row>
    <row r="60" spans="1:21" ht="13.5" customHeight="1" x14ac:dyDescent="0.35">
      <c r="A60" s="31"/>
      <c r="B60" s="31"/>
      <c r="C60" s="45"/>
      <c r="D60" s="43" t="s">
        <v>107</v>
      </c>
      <c r="E60" s="44">
        <v>9375</v>
      </c>
      <c r="F60" s="33"/>
      <c r="G60" s="43" t="s">
        <v>24</v>
      </c>
      <c r="H60" s="48">
        <v>6563</v>
      </c>
      <c r="I60" s="48">
        <v>0</v>
      </c>
      <c r="J60" s="48">
        <v>6563</v>
      </c>
      <c r="K60" s="45"/>
      <c r="L60" s="47" t="s">
        <v>29</v>
      </c>
      <c r="M60" s="44">
        <v>5000</v>
      </c>
      <c r="N60" s="44">
        <v>5000</v>
      </c>
      <c r="O60" s="38"/>
      <c r="P60" s="43" t="s">
        <v>30</v>
      </c>
      <c r="Q60" s="105">
        <v>9521.7391304347821</v>
      </c>
      <c r="R60" s="107">
        <v>0.219</v>
      </c>
      <c r="S60" s="105">
        <v>9521.7391304347821</v>
      </c>
      <c r="T60" s="107">
        <v>0.219</v>
      </c>
      <c r="U60" s="41"/>
    </row>
    <row r="61" spans="1:21" ht="13.5" customHeight="1" x14ac:dyDescent="0.35">
      <c r="A61" s="31"/>
      <c r="B61" s="31"/>
      <c r="C61" s="45"/>
      <c r="D61" s="43" t="s">
        <v>121</v>
      </c>
      <c r="E61" s="44">
        <v>8125</v>
      </c>
      <c r="F61" s="33"/>
      <c r="G61" s="47" t="s">
        <v>29</v>
      </c>
      <c r="H61" s="48">
        <v>5000</v>
      </c>
      <c r="I61" s="48">
        <v>0</v>
      </c>
      <c r="J61" s="48">
        <v>6563</v>
      </c>
      <c r="K61" s="45"/>
      <c r="L61" s="43"/>
      <c r="M61" s="43"/>
      <c r="N61" s="43"/>
      <c r="O61" s="38"/>
      <c r="P61" s="43" t="s">
        <v>33</v>
      </c>
      <c r="Q61" s="110">
        <v>195652.17391304349</v>
      </c>
      <c r="R61" s="107">
        <v>4.5</v>
      </c>
      <c r="S61" s="110">
        <v>195652.17391304349</v>
      </c>
      <c r="T61" s="107">
        <v>4.5</v>
      </c>
      <c r="U61" s="41"/>
    </row>
    <row r="62" spans="1:21" ht="13.5" customHeight="1" x14ac:dyDescent="0.35">
      <c r="A62" s="30" t="s">
        <v>34</v>
      </c>
      <c r="B62" s="31"/>
      <c r="C62" s="45"/>
      <c r="D62" s="43" t="s">
        <v>123</v>
      </c>
      <c r="E62" s="44">
        <v>6250</v>
      </c>
      <c r="F62" s="33"/>
      <c r="G62" s="47" t="s">
        <v>124</v>
      </c>
      <c r="H62" s="48">
        <v>0</v>
      </c>
      <c r="I62" s="48">
        <v>0</v>
      </c>
      <c r="J62" s="44">
        <v>12500</v>
      </c>
      <c r="K62" s="45"/>
      <c r="L62" s="30" t="s">
        <v>37</v>
      </c>
      <c r="M62" s="37" t="s">
        <v>38</v>
      </c>
      <c r="N62" s="37" t="s">
        <v>39</v>
      </c>
      <c r="O62" s="38"/>
      <c r="P62" s="43" t="s">
        <v>16</v>
      </c>
      <c r="Q62" s="110">
        <v>217391.30434782608</v>
      </c>
      <c r="R62" s="107">
        <v>5</v>
      </c>
      <c r="S62" s="110">
        <v>217391.30434782608</v>
      </c>
      <c r="T62" s="107">
        <v>5</v>
      </c>
      <c r="U62" s="41"/>
    </row>
    <row r="63" spans="1:21" ht="13.5" customHeight="1" x14ac:dyDescent="0.35">
      <c r="A63" s="43" t="s">
        <v>125</v>
      </c>
      <c r="B63" s="44">
        <v>1875</v>
      </c>
      <c r="C63" s="45"/>
      <c r="D63" s="43" t="s">
        <v>126</v>
      </c>
      <c r="E63" s="44">
        <v>6250</v>
      </c>
      <c r="F63" s="33"/>
      <c r="G63" s="47" t="s">
        <v>36</v>
      </c>
      <c r="H63" s="113">
        <v>11250</v>
      </c>
      <c r="I63" s="48">
        <v>0</v>
      </c>
      <c r="J63" s="48">
        <v>20000</v>
      </c>
      <c r="K63" s="45"/>
      <c r="L63" s="43" t="s">
        <v>127</v>
      </c>
      <c r="M63" s="44">
        <v>78000</v>
      </c>
      <c r="N63" s="117">
        <v>18</v>
      </c>
      <c r="O63" s="38"/>
      <c r="P63" s="43" t="s">
        <v>42</v>
      </c>
      <c r="Q63" s="110">
        <v>244565.21739130435</v>
      </c>
      <c r="R63" s="107">
        <v>5.625</v>
      </c>
      <c r="S63" s="110">
        <v>244565.21739130435</v>
      </c>
      <c r="T63" s="107">
        <v>5.625</v>
      </c>
      <c r="U63" s="41"/>
    </row>
    <row r="64" spans="1:21" ht="13.5" customHeight="1" x14ac:dyDescent="0.35">
      <c r="A64" s="43" t="s">
        <v>128</v>
      </c>
      <c r="B64" s="44">
        <v>2500</v>
      </c>
      <c r="C64" s="45"/>
      <c r="D64" s="43" t="s">
        <v>29</v>
      </c>
      <c r="E64" s="44">
        <v>5000</v>
      </c>
      <c r="F64" s="33"/>
      <c r="G64" s="47" t="s">
        <v>32</v>
      </c>
      <c r="H64" s="48">
        <v>5000</v>
      </c>
      <c r="I64" s="48">
        <v>0</v>
      </c>
      <c r="J64" s="48">
        <v>15000</v>
      </c>
      <c r="K64" s="45"/>
      <c r="L64" s="43" t="s">
        <v>65</v>
      </c>
      <c r="M64" s="44">
        <v>46000</v>
      </c>
      <c r="N64" s="117">
        <v>15</v>
      </c>
      <c r="O64" s="38"/>
      <c r="P64" s="54" t="s">
        <v>28</v>
      </c>
      <c r="Q64" s="110">
        <v>54347.82608695652</v>
      </c>
      <c r="R64" s="107">
        <v>1.25</v>
      </c>
      <c r="S64" s="110">
        <v>54347.82608695652</v>
      </c>
      <c r="T64" s="107">
        <v>1.25</v>
      </c>
      <c r="U64" s="41"/>
    </row>
    <row r="65" spans="1:26" ht="13.5" customHeight="1" x14ac:dyDescent="0.35">
      <c r="A65" s="634" t="s">
        <v>119</v>
      </c>
      <c r="B65" s="635"/>
      <c r="C65" s="45"/>
      <c r="D65" s="43"/>
      <c r="E65" s="31"/>
      <c r="F65" s="33"/>
      <c r="G65" s="47" t="s">
        <v>28</v>
      </c>
      <c r="H65" s="48">
        <v>0</v>
      </c>
      <c r="I65" s="48">
        <v>0</v>
      </c>
      <c r="J65" s="48">
        <v>11250</v>
      </c>
      <c r="K65" s="45"/>
      <c r="L65" s="43" t="s">
        <v>66</v>
      </c>
      <c r="M65" s="44">
        <v>18454</v>
      </c>
      <c r="N65" s="117">
        <v>22</v>
      </c>
      <c r="O65" s="38"/>
      <c r="P65" s="54" t="s">
        <v>32</v>
      </c>
      <c r="Q65" s="110">
        <v>271739.13043478259</v>
      </c>
      <c r="R65" s="107">
        <v>6.25</v>
      </c>
      <c r="S65" s="110">
        <v>271739.13043478259</v>
      </c>
      <c r="T65" s="107">
        <v>6.25</v>
      </c>
      <c r="U65" s="41"/>
    </row>
    <row r="66" spans="1:26" ht="13.5" customHeight="1" x14ac:dyDescent="0.35">
      <c r="A66" s="120" t="s">
        <v>129</v>
      </c>
      <c r="B66" s="121">
        <v>0</v>
      </c>
      <c r="C66" s="45"/>
      <c r="D66" s="30" t="s">
        <v>47</v>
      </c>
      <c r="E66" s="31"/>
      <c r="F66" s="33"/>
      <c r="G66" s="43" t="s">
        <v>22</v>
      </c>
      <c r="H66" s="113">
        <v>0</v>
      </c>
      <c r="I66" s="48">
        <v>0</v>
      </c>
      <c r="J66" s="72">
        <v>6875</v>
      </c>
      <c r="K66" s="45"/>
      <c r="L66" s="77" t="s">
        <v>130</v>
      </c>
      <c r="M66" s="87">
        <v>2499988</v>
      </c>
      <c r="N66" s="123">
        <v>55</v>
      </c>
      <c r="O66" s="38"/>
      <c r="P66" s="47" t="s">
        <v>36</v>
      </c>
      <c r="Q66" s="110">
        <v>407608.69565217389</v>
      </c>
      <c r="R66" s="107">
        <v>9.375</v>
      </c>
      <c r="S66" s="110">
        <v>407608.69565217389</v>
      </c>
      <c r="T66" s="107">
        <v>9.375</v>
      </c>
      <c r="U66" s="41"/>
    </row>
    <row r="67" spans="1:26" ht="13.5" customHeight="1" x14ac:dyDescent="0.35">
      <c r="A67" s="43"/>
      <c r="B67" s="43"/>
      <c r="C67" s="45"/>
      <c r="D67" s="43" t="s">
        <v>51</v>
      </c>
      <c r="E67" s="62">
        <v>0</v>
      </c>
      <c r="F67" s="33"/>
      <c r="G67" s="43"/>
      <c r="H67" s="31"/>
      <c r="I67" s="125"/>
      <c r="J67" s="31"/>
      <c r="K67" s="45"/>
      <c r="L67" s="57" t="s">
        <v>131</v>
      </c>
      <c r="M67" s="44">
        <v>2500000</v>
      </c>
      <c r="N67" s="43"/>
      <c r="O67" s="38"/>
      <c r="P67" s="43" t="s">
        <v>132</v>
      </c>
      <c r="Q67" s="128">
        <v>6875</v>
      </c>
      <c r="R67" s="107"/>
      <c r="S67" s="128">
        <v>6875</v>
      </c>
      <c r="T67" s="107"/>
      <c r="U67" s="41"/>
    </row>
    <row r="68" spans="1:26" ht="13.5" customHeight="1" x14ac:dyDescent="0.35">
      <c r="A68" s="43"/>
      <c r="B68" s="43"/>
      <c r="C68" s="45"/>
      <c r="D68" s="43" t="s">
        <v>57</v>
      </c>
      <c r="E68" s="75">
        <v>1.5</v>
      </c>
      <c r="F68" s="33"/>
      <c r="G68" s="636" t="s">
        <v>44</v>
      </c>
      <c r="H68" s="637"/>
      <c r="I68" s="637"/>
      <c r="J68" s="635"/>
      <c r="K68" s="130"/>
      <c r="L68" s="636" t="s">
        <v>134</v>
      </c>
      <c r="M68" s="637"/>
      <c r="N68" s="635"/>
      <c r="O68" s="38"/>
      <c r="P68" s="133" t="s">
        <v>136</v>
      </c>
      <c r="Q68" s="55">
        <v>1199038.0434782607</v>
      </c>
      <c r="R68" s="82">
        <v>26.471</v>
      </c>
      <c r="S68" s="55">
        <v>1199038.0434782607</v>
      </c>
      <c r="T68" s="82">
        <v>26.471</v>
      </c>
      <c r="U68" s="41"/>
    </row>
    <row r="69" spans="1:26" ht="13.5" customHeight="1" x14ac:dyDescent="0.35">
      <c r="A69" s="43"/>
      <c r="B69" s="43"/>
      <c r="C69" s="45"/>
      <c r="D69" s="762" t="s">
        <v>137</v>
      </c>
      <c r="E69" s="635"/>
      <c r="F69" s="33"/>
      <c r="G69" s="761"/>
      <c r="H69" s="637"/>
      <c r="I69" s="637"/>
      <c r="J69" s="635"/>
      <c r="K69" s="130"/>
      <c r="L69" s="636" t="s">
        <v>138</v>
      </c>
      <c r="M69" s="637"/>
      <c r="N69" s="635"/>
      <c r="O69" s="38"/>
      <c r="P69" s="137"/>
      <c r="Q69" s="648" t="s">
        <v>74</v>
      </c>
      <c r="R69" s="637"/>
      <c r="S69" s="637"/>
      <c r="T69" s="635"/>
      <c r="U69" s="41"/>
    </row>
    <row r="70" spans="1:26" ht="15.75" customHeight="1" x14ac:dyDescent="0.35">
      <c r="A70" s="639"/>
      <c r="B70" s="639"/>
      <c r="C70" s="639"/>
      <c r="D70" s="639"/>
      <c r="E70" s="639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1:26" ht="15.75" customHeight="1" x14ac:dyDescent="0.4">
      <c r="A71" s="759" t="s">
        <v>332</v>
      </c>
      <c r="B71" s="639"/>
      <c r="C71" s="639"/>
      <c r="D71" s="639"/>
      <c r="E71" s="639"/>
      <c r="G71" s="759" t="s">
        <v>255</v>
      </c>
      <c r="H71" s="639"/>
      <c r="I71" s="639"/>
      <c r="J71" s="639"/>
      <c r="K71" s="639"/>
      <c r="L71" s="639"/>
      <c r="M71" s="639"/>
      <c r="N71" s="639"/>
      <c r="O71" s="15"/>
      <c r="P71" s="757" t="s">
        <v>333</v>
      </c>
      <c r="Q71" s="639"/>
      <c r="R71" s="639"/>
      <c r="S71" s="639"/>
      <c r="T71" s="639"/>
      <c r="U71" s="15"/>
      <c r="V71" s="60"/>
      <c r="W71" s="60"/>
      <c r="X71" s="60"/>
      <c r="Y71" s="60"/>
      <c r="Z71" s="60"/>
    </row>
    <row r="72" spans="1:26" ht="15.75" customHeight="1" x14ac:dyDescent="0.35">
      <c r="A72" s="754" t="s">
        <v>334</v>
      </c>
      <c r="B72" s="639"/>
      <c r="C72" s="639"/>
      <c r="D72" s="639"/>
      <c r="E72" s="639"/>
      <c r="G72" s="754" t="s">
        <v>335</v>
      </c>
      <c r="H72" s="639"/>
      <c r="I72" s="639"/>
      <c r="J72" s="639"/>
      <c r="K72" s="639"/>
      <c r="L72" s="639"/>
      <c r="M72" s="639"/>
      <c r="N72" s="639"/>
      <c r="O72" s="83"/>
      <c r="P72" s="742" t="s">
        <v>336</v>
      </c>
      <c r="Q72" s="639"/>
      <c r="R72" s="639"/>
      <c r="S72" s="639"/>
      <c r="T72" s="639"/>
      <c r="U72" s="83"/>
      <c r="V72" s="60"/>
      <c r="W72" s="60"/>
      <c r="X72" s="60"/>
      <c r="Y72" s="60"/>
      <c r="Z72" s="60"/>
    </row>
    <row r="73" spans="1:26" ht="15.75" customHeight="1" x14ac:dyDescent="0.35">
      <c r="A73" s="754" t="s">
        <v>337</v>
      </c>
      <c r="B73" s="639"/>
      <c r="C73" s="639"/>
      <c r="D73" s="639"/>
      <c r="E73" s="639"/>
      <c r="G73" s="754" t="s">
        <v>338</v>
      </c>
      <c r="H73" s="639"/>
      <c r="I73" s="639"/>
      <c r="J73" s="639"/>
      <c r="K73" s="639"/>
      <c r="L73" s="639"/>
      <c r="M73" s="639"/>
      <c r="N73" s="639"/>
      <c r="O73" s="83"/>
      <c r="P73" s="742" t="s">
        <v>339</v>
      </c>
      <c r="Q73" s="639"/>
      <c r="R73" s="639"/>
      <c r="S73" s="639"/>
      <c r="T73" s="639"/>
      <c r="U73" s="83"/>
      <c r="V73" s="60"/>
      <c r="W73" s="60"/>
      <c r="X73" s="60"/>
      <c r="Y73" s="60"/>
      <c r="Z73" s="60"/>
    </row>
    <row r="74" spans="1:26" ht="15.75" customHeight="1" x14ac:dyDescent="0.35">
      <c r="A74" s="754" t="s">
        <v>340</v>
      </c>
      <c r="B74" s="639"/>
      <c r="C74" s="639"/>
      <c r="D74" s="639"/>
      <c r="E74" s="639"/>
      <c r="G74" s="754" t="s">
        <v>341</v>
      </c>
      <c r="H74" s="639"/>
      <c r="I74" s="639"/>
      <c r="J74" s="639"/>
      <c r="K74" s="639"/>
      <c r="L74" s="639"/>
      <c r="M74" s="639"/>
      <c r="N74" s="639"/>
      <c r="O74" s="83"/>
      <c r="P74" s="742"/>
      <c r="Q74" s="639"/>
      <c r="R74" s="639"/>
      <c r="S74" s="639"/>
      <c r="T74" s="639"/>
      <c r="U74" s="83"/>
      <c r="V74" s="60"/>
      <c r="W74" s="60"/>
      <c r="X74" s="60"/>
      <c r="Y74" s="60"/>
      <c r="Z74" s="60"/>
    </row>
    <row r="75" spans="1:26" ht="15.75" customHeight="1" x14ac:dyDescent="0.35">
      <c r="A75" s="754" t="s">
        <v>342</v>
      </c>
      <c r="B75" s="639"/>
      <c r="C75" s="639"/>
      <c r="D75" s="639"/>
      <c r="E75" s="639"/>
      <c r="G75" s="754" t="s">
        <v>343</v>
      </c>
      <c r="H75" s="639"/>
      <c r="I75" s="639"/>
      <c r="J75" s="639"/>
      <c r="K75" s="639"/>
      <c r="L75" s="639"/>
      <c r="M75" s="639"/>
      <c r="N75" s="639"/>
      <c r="O75" s="83"/>
      <c r="P75" s="742"/>
      <c r="Q75" s="639"/>
      <c r="R75" s="639"/>
      <c r="S75" s="639"/>
      <c r="T75" s="639"/>
      <c r="U75" s="83"/>
      <c r="V75" s="60"/>
      <c r="W75" s="60"/>
      <c r="X75" s="60"/>
      <c r="Y75" s="60"/>
      <c r="Z75" s="60"/>
    </row>
    <row r="76" spans="1:26" ht="15.75" customHeight="1" x14ac:dyDescent="0.35">
      <c r="A76" s="754" t="s">
        <v>344</v>
      </c>
      <c r="B76" s="639"/>
      <c r="C76" s="639"/>
      <c r="D76" s="639"/>
      <c r="E76" s="639"/>
      <c r="G76" s="754" t="s">
        <v>345</v>
      </c>
      <c r="H76" s="639"/>
      <c r="I76" s="639"/>
      <c r="J76" s="639"/>
      <c r="K76" s="639"/>
      <c r="L76" s="639"/>
      <c r="M76" s="639"/>
      <c r="N76" s="639"/>
      <c r="O76" s="83"/>
      <c r="P76" s="742"/>
      <c r="Q76" s="639"/>
      <c r="R76" s="639"/>
      <c r="S76" s="639"/>
      <c r="T76" s="639"/>
      <c r="U76" s="83"/>
      <c r="V76" s="60"/>
      <c r="W76" s="60"/>
      <c r="X76" s="60"/>
      <c r="Y76" s="60"/>
      <c r="Z76" s="60"/>
    </row>
    <row r="77" spans="1:26" ht="15.75" customHeight="1" x14ac:dyDescent="0.35">
      <c r="A77" s="754" t="s">
        <v>346</v>
      </c>
      <c r="B77" s="639"/>
      <c r="C77" s="639"/>
      <c r="D77" s="639"/>
      <c r="E77" s="639"/>
      <c r="G77" s="754" t="s">
        <v>347</v>
      </c>
      <c r="H77" s="639"/>
      <c r="I77" s="639"/>
      <c r="J77" s="639"/>
      <c r="K77" s="639"/>
      <c r="L77" s="639"/>
      <c r="M77" s="639"/>
      <c r="N77" s="639"/>
      <c r="O77" s="104"/>
      <c r="P77" s="752"/>
      <c r="Q77" s="639"/>
      <c r="R77" s="639"/>
      <c r="S77" s="639"/>
      <c r="T77" s="639"/>
      <c r="U77" s="104"/>
      <c r="V77" s="60"/>
      <c r="W77" s="60"/>
      <c r="X77" s="60"/>
      <c r="Y77" s="60"/>
      <c r="Z77" s="60"/>
    </row>
    <row r="78" spans="1:26" ht="15.75" customHeight="1" x14ac:dyDescent="0.4">
      <c r="A78" s="754" t="s">
        <v>348</v>
      </c>
      <c r="B78" s="639"/>
      <c r="C78" s="639"/>
      <c r="D78" s="639"/>
      <c r="E78" s="639"/>
      <c r="G78" s="759"/>
      <c r="H78" s="639"/>
      <c r="I78" s="639"/>
      <c r="J78" s="639"/>
      <c r="K78" s="639"/>
      <c r="L78" s="639"/>
      <c r="M78" s="639"/>
      <c r="N78" s="639"/>
      <c r="O78" s="104"/>
      <c r="P78" s="752"/>
      <c r="Q78" s="639"/>
      <c r="R78" s="639"/>
      <c r="S78" s="639"/>
      <c r="T78" s="639"/>
      <c r="U78" s="104"/>
      <c r="V78" s="60"/>
      <c r="W78" s="60"/>
      <c r="X78" s="60"/>
      <c r="Y78" s="60"/>
      <c r="Z78" s="60"/>
    </row>
    <row r="79" spans="1:26" ht="15.75" customHeight="1" x14ac:dyDescent="0.4">
      <c r="A79" s="639"/>
      <c r="B79" s="639"/>
      <c r="C79" s="639"/>
      <c r="D79" s="639"/>
      <c r="E79" s="639"/>
      <c r="G79" s="759" t="s">
        <v>13</v>
      </c>
      <c r="H79" s="639"/>
      <c r="I79" s="639"/>
      <c r="J79" s="639"/>
      <c r="K79" s="639"/>
      <c r="L79" s="639"/>
      <c r="M79" s="639"/>
      <c r="N79" s="639"/>
      <c r="O79" s="104"/>
      <c r="P79" s="752"/>
      <c r="Q79" s="639"/>
      <c r="R79" s="639"/>
      <c r="S79" s="639"/>
      <c r="T79" s="639"/>
      <c r="U79" s="104"/>
      <c r="V79" s="60"/>
      <c r="W79" s="60"/>
      <c r="X79" s="60"/>
      <c r="Y79" s="60"/>
      <c r="Z79" s="60"/>
    </row>
    <row r="80" spans="1:26" ht="15.75" customHeight="1" x14ac:dyDescent="0.4">
      <c r="A80" s="759" t="s">
        <v>34</v>
      </c>
      <c r="B80" s="639"/>
      <c r="C80" s="639"/>
      <c r="D80" s="639"/>
      <c r="E80" s="639"/>
      <c r="G80" s="754" t="s">
        <v>349</v>
      </c>
      <c r="H80" s="639"/>
      <c r="I80" s="639"/>
      <c r="J80" s="639"/>
      <c r="K80" s="639"/>
      <c r="L80" s="639"/>
      <c r="M80" s="639"/>
      <c r="N80" s="639"/>
      <c r="O80" s="104"/>
      <c r="P80" s="752"/>
      <c r="Q80" s="639"/>
      <c r="R80" s="639"/>
      <c r="S80" s="639"/>
      <c r="T80" s="639"/>
      <c r="U80" s="104"/>
      <c r="V80" s="60"/>
      <c r="W80" s="60"/>
      <c r="X80" s="60"/>
      <c r="Y80" s="60"/>
      <c r="Z80" s="60"/>
    </row>
    <row r="81" spans="1:26" ht="15.75" customHeight="1" x14ac:dyDescent="0.35">
      <c r="A81" s="754" t="s">
        <v>350</v>
      </c>
      <c r="B81" s="639"/>
      <c r="C81" s="639"/>
      <c r="D81" s="639"/>
      <c r="E81" s="639"/>
      <c r="G81" s="754" t="s">
        <v>351</v>
      </c>
      <c r="H81" s="639"/>
      <c r="I81" s="639"/>
      <c r="J81" s="639"/>
      <c r="K81" s="639"/>
      <c r="L81" s="639"/>
      <c r="M81" s="639"/>
      <c r="N81" s="639"/>
      <c r="O81" s="104"/>
      <c r="P81" s="752"/>
      <c r="Q81" s="639"/>
      <c r="R81" s="639"/>
      <c r="S81" s="639"/>
      <c r="T81" s="639"/>
      <c r="U81" s="104"/>
      <c r="V81" s="60"/>
      <c r="W81" s="60"/>
      <c r="X81" s="60"/>
      <c r="Y81" s="60"/>
      <c r="Z81" s="60"/>
    </row>
    <row r="82" spans="1:26" ht="15.75" customHeight="1" x14ac:dyDescent="0.35">
      <c r="A82" s="754" t="s">
        <v>352</v>
      </c>
      <c r="B82" s="639"/>
      <c r="C82" s="639"/>
      <c r="D82" s="639"/>
      <c r="E82" s="639"/>
      <c r="G82" s="639"/>
      <c r="H82" s="639"/>
      <c r="I82" s="639"/>
      <c r="J82" s="639"/>
      <c r="K82" s="639"/>
      <c r="L82" s="639"/>
      <c r="M82" s="639"/>
      <c r="N82" s="639"/>
      <c r="O82" s="104"/>
      <c r="P82" s="752"/>
      <c r="Q82" s="639"/>
      <c r="R82" s="639"/>
      <c r="S82" s="639"/>
      <c r="T82" s="639"/>
      <c r="U82" s="104"/>
      <c r="V82" s="60"/>
      <c r="W82" s="60"/>
      <c r="X82" s="60"/>
      <c r="Y82" s="60"/>
      <c r="Z82" s="60"/>
    </row>
    <row r="83" spans="1:26" ht="15.75" customHeight="1" x14ac:dyDescent="0.4">
      <c r="A83" s="754" t="s">
        <v>353</v>
      </c>
      <c r="B83" s="639"/>
      <c r="C83" s="639"/>
      <c r="D83" s="639"/>
      <c r="E83" s="639"/>
      <c r="G83" s="759" t="s">
        <v>354</v>
      </c>
      <c r="H83" s="639"/>
      <c r="I83" s="639"/>
      <c r="J83" s="639"/>
      <c r="K83" s="639"/>
      <c r="L83" s="639"/>
      <c r="M83" s="639"/>
      <c r="N83" s="639"/>
      <c r="O83" s="104"/>
      <c r="P83" s="752"/>
      <c r="Q83" s="639"/>
      <c r="R83" s="639"/>
      <c r="S83" s="639"/>
      <c r="T83" s="639"/>
      <c r="U83" s="104"/>
      <c r="V83" s="60"/>
      <c r="W83" s="60"/>
      <c r="X83" s="60"/>
      <c r="Y83" s="60"/>
      <c r="Z83" s="60"/>
    </row>
    <row r="84" spans="1:26" ht="15.75" customHeight="1" x14ac:dyDescent="0.35">
      <c r="A84" s="754" t="s">
        <v>355</v>
      </c>
      <c r="B84" s="639"/>
      <c r="C84" s="639"/>
      <c r="D84" s="639"/>
      <c r="E84" s="639"/>
      <c r="G84" s="754" t="s">
        <v>356</v>
      </c>
      <c r="H84" s="639"/>
      <c r="I84" s="639"/>
      <c r="J84" s="639"/>
      <c r="K84" s="639"/>
      <c r="L84" s="639"/>
      <c r="M84" s="639"/>
      <c r="N84" s="639"/>
      <c r="O84" s="104"/>
      <c r="P84" s="752"/>
      <c r="Q84" s="639"/>
      <c r="R84" s="639"/>
      <c r="S84" s="639"/>
      <c r="T84" s="639"/>
      <c r="U84" s="104"/>
      <c r="V84" s="60"/>
      <c r="W84" s="60"/>
      <c r="X84" s="60"/>
      <c r="Y84" s="60"/>
      <c r="Z84" s="60"/>
    </row>
    <row r="85" spans="1:26" ht="15.75" customHeight="1" x14ac:dyDescent="0.35">
      <c r="A85" s="754" t="s">
        <v>357</v>
      </c>
      <c r="B85" s="639"/>
      <c r="C85" s="639"/>
      <c r="D85" s="639"/>
      <c r="E85" s="639"/>
      <c r="G85" s="639"/>
      <c r="H85" s="639"/>
      <c r="I85" s="639"/>
      <c r="J85" s="639"/>
      <c r="K85" s="639"/>
      <c r="L85" s="639"/>
      <c r="M85" s="639"/>
      <c r="N85" s="639"/>
      <c r="O85" s="104"/>
      <c r="P85" s="752"/>
      <c r="Q85" s="639"/>
      <c r="R85" s="639"/>
      <c r="S85" s="639"/>
      <c r="T85" s="639"/>
      <c r="U85" s="104"/>
      <c r="V85" s="60"/>
      <c r="W85" s="60"/>
      <c r="X85" s="60"/>
      <c r="Y85" s="60"/>
      <c r="Z85" s="60"/>
    </row>
    <row r="86" spans="1:26" ht="15.75" customHeight="1" x14ac:dyDescent="0.4">
      <c r="A86" s="754" t="s">
        <v>358</v>
      </c>
      <c r="B86" s="639"/>
      <c r="C86" s="639"/>
      <c r="D86" s="639"/>
      <c r="E86" s="639"/>
      <c r="G86" s="759" t="s">
        <v>359</v>
      </c>
      <c r="H86" s="639"/>
      <c r="I86" s="639"/>
      <c r="J86" s="639"/>
      <c r="K86" s="639"/>
      <c r="L86" s="639"/>
      <c r="M86" s="639"/>
      <c r="N86" s="639"/>
      <c r="O86" s="79"/>
      <c r="P86" s="752"/>
      <c r="Q86" s="639"/>
      <c r="R86" s="639"/>
      <c r="S86" s="639"/>
      <c r="T86" s="639"/>
      <c r="U86" s="79"/>
    </row>
    <row r="87" spans="1:26" ht="15.75" customHeight="1" x14ac:dyDescent="0.4">
      <c r="A87" s="639"/>
      <c r="B87" s="639"/>
      <c r="C87" s="639"/>
      <c r="D87" s="639"/>
      <c r="E87" s="639"/>
      <c r="G87" s="754" t="s">
        <v>360</v>
      </c>
      <c r="H87" s="639"/>
      <c r="I87" s="639"/>
      <c r="J87" s="639"/>
      <c r="K87" s="639"/>
      <c r="L87" s="639"/>
      <c r="M87" s="639"/>
      <c r="N87" s="639"/>
      <c r="O87" s="79"/>
      <c r="P87" s="752"/>
      <c r="Q87" s="639"/>
      <c r="R87" s="639"/>
      <c r="S87" s="639"/>
      <c r="T87" s="639"/>
      <c r="U87" s="79"/>
    </row>
    <row r="88" spans="1:26" ht="15.75" customHeight="1" x14ac:dyDescent="0.4">
      <c r="A88" s="759" t="s">
        <v>3</v>
      </c>
      <c r="B88" s="639"/>
      <c r="C88" s="639"/>
      <c r="D88" s="639"/>
      <c r="E88" s="639"/>
      <c r="G88" s="754" t="s">
        <v>361</v>
      </c>
      <c r="H88" s="639"/>
      <c r="I88" s="639"/>
      <c r="J88" s="639"/>
      <c r="K88" s="639"/>
      <c r="L88" s="639"/>
      <c r="M88" s="639"/>
      <c r="N88" s="639"/>
      <c r="O88" s="104"/>
      <c r="P88" s="639"/>
      <c r="Q88" s="639"/>
      <c r="R88" s="639"/>
      <c r="S88" s="639"/>
      <c r="T88" s="639"/>
      <c r="U88" s="104"/>
    </row>
    <row r="89" spans="1:26" ht="15.75" customHeight="1" x14ac:dyDescent="0.35">
      <c r="A89" s="754" t="s">
        <v>362</v>
      </c>
      <c r="B89" s="639"/>
      <c r="C89" s="639"/>
      <c r="D89" s="639"/>
      <c r="E89" s="639"/>
      <c r="G89" s="754" t="s">
        <v>363</v>
      </c>
      <c r="H89" s="639"/>
      <c r="I89" s="639"/>
      <c r="J89" s="639"/>
      <c r="K89" s="639"/>
      <c r="L89" s="639"/>
      <c r="M89" s="639"/>
      <c r="N89" s="639"/>
      <c r="O89" s="60"/>
      <c r="P89" s="752"/>
      <c r="Q89" s="639"/>
      <c r="R89" s="639"/>
      <c r="S89" s="639"/>
      <c r="T89" s="639"/>
      <c r="U89" s="60"/>
    </row>
    <row r="90" spans="1:26" ht="15.75" customHeight="1" x14ac:dyDescent="0.35">
      <c r="A90" s="754" t="s">
        <v>364</v>
      </c>
      <c r="B90" s="639"/>
      <c r="C90" s="639"/>
      <c r="D90" s="639"/>
      <c r="E90" s="639"/>
      <c r="G90" s="760" t="s">
        <v>365</v>
      </c>
      <c r="H90" s="639"/>
      <c r="I90" s="639"/>
      <c r="J90" s="639"/>
      <c r="K90" s="639"/>
      <c r="L90" s="639"/>
      <c r="M90" s="639"/>
      <c r="N90" s="639"/>
      <c r="O90" s="104"/>
      <c r="P90" s="752"/>
      <c r="Q90" s="639"/>
      <c r="R90" s="639"/>
      <c r="S90" s="639"/>
      <c r="T90" s="639"/>
      <c r="U90" s="104"/>
      <c r="V90" s="60"/>
      <c r="W90" s="60"/>
      <c r="X90" s="60"/>
      <c r="Y90" s="60"/>
      <c r="Z90" s="60"/>
    </row>
    <row r="91" spans="1:26" ht="15.75" customHeight="1" x14ac:dyDescent="0.35">
      <c r="A91" s="754" t="s">
        <v>366</v>
      </c>
      <c r="B91" s="639"/>
      <c r="C91" s="639"/>
      <c r="D91" s="639"/>
      <c r="E91" s="639"/>
      <c r="G91" s="639"/>
      <c r="H91" s="639"/>
      <c r="I91" s="639"/>
      <c r="J91" s="639"/>
      <c r="K91" s="639"/>
      <c r="L91" s="639"/>
      <c r="M91" s="639"/>
      <c r="N91" s="639"/>
      <c r="O91" s="104"/>
      <c r="P91" s="752"/>
      <c r="Q91" s="639"/>
      <c r="R91" s="639"/>
      <c r="S91" s="639"/>
      <c r="T91" s="639"/>
      <c r="U91" s="104"/>
    </row>
    <row r="92" spans="1:26" ht="15.75" customHeight="1" x14ac:dyDescent="0.4">
      <c r="A92" s="639"/>
      <c r="B92" s="639"/>
      <c r="C92" s="639"/>
      <c r="D92" s="639"/>
      <c r="E92" s="639"/>
      <c r="G92" s="759" t="s">
        <v>367</v>
      </c>
      <c r="H92" s="639"/>
      <c r="I92" s="639"/>
      <c r="J92" s="639"/>
      <c r="K92" s="639"/>
      <c r="L92" s="639"/>
      <c r="M92" s="639"/>
      <c r="N92" s="639"/>
      <c r="O92" s="104"/>
      <c r="P92" s="752"/>
      <c r="Q92" s="639"/>
      <c r="R92" s="639"/>
      <c r="S92" s="639"/>
      <c r="T92" s="639"/>
      <c r="U92" s="104"/>
    </row>
    <row r="93" spans="1:26" ht="15.75" customHeight="1" x14ac:dyDescent="0.4">
      <c r="A93" s="759" t="s">
        <v>51</v>
      </c>
      <c r="B93" s="639"/>
      <c r="C93" s="639"/>
      <c r="D93" s="639"/>
      <c r="E93" s="639"/>
      <c r="G93" s="754" t="s">
        <v>368</v>
      </c>
      <c r="H93" s="639"/>
      <c r="I93" s="639"/>
      <c r="J93" s="639"/>
      <c r="K93" s="639"/>
      <c r="L93" s="639"/>
      <c r="M93" s="639"/>
      <c r="N93" s="639"/>
      <c r="O93" s="104"/>
      <c r="P93" s="752"/>
      <c r="Q93" s="639"/>
      <c r="R93" s="639"/>
      <c r="S93" s="639"/>
      <c r="T93" s="639"/>
      <c r="U93" s="104"/>
    </row>
    <row r="94" spans="1:26" ht="15.75" customHeight="1" x14ac:dyDescent="0.35">
      <c r="A94" s="754" t="s">
        <v>369</v>
      </c>
      <c r="B94" s="639"/>
      <c r="C94" s="639"/>
      <c r="D94" s="639"/>
      <c r="E94" s="639"/>
      <c r="G94" s="639"/>
      <c r="H94" s="639"/>
      <c r="I94" s="639"/>
      <c r="J94" s="639"/>
      <c r="K94" s="639"/>
      <c r="L94" s="639"/>
      <c r="M94" s="639"/>
      <c r="N94" s="639"/>
      <c r="O94" s="104"/>
      <c r="P94" s="752"/>
      <c r="Q94" s="639"/>
      <c r="R94" s="639"/>
      <c r="S94" s="639"/>
      <c r="T94" s="639"/>
      <c r="U94" s="104"/>
    </row>
    <row r="95" spans="1:26" ht="15.75" customHeight="1" x14ac:dyDescent="0.35">
      <c r="A95" s="639"/>
      <c r="B95" s="639"/>
      <c r="C95" s="639"/>
      <c r="D95" s="639"/>
      <c r="E95" s="639"/>
      <c r="G95" s="639"/>
      <c r="H95" s="639"/>
      <c r="I95" s="639"/>
      <c r="J95" s="639"/>
      <c r="K95" s="639"/>
      <c r="L95" s="639"/>
      <c r="M95" s="639"/>
      <c r="N95" s="639"/>
      <c r="O95" s="104"/>
      <c r="P95" s="104"/>
      <c r="Q95" s="104"/>
      <c r="R95" s="104"/>
      <c r="S95" s="104"/>
      <c r="T95" s="104"/>
      <c r="U95" s="104"/>
    </row>
    <row r="96" spans="1:26" ht="15.75" customHeight="1" x14ac:dyDescent="0.4">
      <c r="A96" s="759" t="s">
        <v>57</v>
      </c>
      <c r="B96" s="639"/>
      <c r="C96" s="639"/>
      <c r="D96" s="639"/>
      <c r="E96" s="639"/>
      <c r="G96" s="639"/>
      <c r="H96" s="639"/>
      <c r="I96" s="639"/>
      <c r="J96" s="639"/>
      <c r="K96" s="639"/>
      <c r="L96" s="639"/>
      <c r="M96" s="639"/>
      <c r="N96" s="639"/>
      <c r="O96" s="104"/>
      <c r="P96" s="104"/>
      <c r="Q96" s="104"/>
      <c r="R96" s="104"/>
      <c r="S96" s="104"/>
      <c r="T96" s="104"/>
      <c r="U96" s="104"/>
    </row>
    <row r="97" spans="1:21" ht="15.75" customHeight="1" x14ac:dyDescent="0.35">
      <c r="A97" s="754" t="s">
        <v>370</v>
      </c>
      <c r="B97" s="639"/>
      <c r="C97" s="639"/>
      <c r="D97" s="639"/>
      <c r="E97" s="639"/>
      <c r="G97" s="639"/>
      <c r="H97" s="639"/>
      <c r="I97" s="639"/>
      <c r="J97" s="639"/>
      <c r="K97" s="639"/>
      <c r="L97" s="639"/>
      <c r="M97" s="639"/>
      <c r="N97" s="639"/>
      <c r="O97" s="104"/>
      <c r="P97" s="104"/>
      <c r="Q97" s="104"/>
      <c r="R97" s="104"/>
      <c r="S97" s="104"/>
      <c r="T97" s="104"/>
      <c r="U97" s="104"/>
    </row>
    <row r="98" spans="1:21" ht="15.75" customHeight="1" x14ac:dyDescent="0.35">
      <c r="A98" s="754" t="s">
        <v>371</v>
      </c>
      <c r="B98" s="639"/>
      <c r="C98" s="639"/>
      <c r="D98" s="639"/>
      <c r="E98" s="639"/>
      <c r="G98" s="639"/>
      <c r="H98" s="639"/>
      <c r="I98" s="639"/>
      <c r="J98" s="639"/>
      <c r="K98" s="639"/>
      <c r="L98" s="639"/>
      <c r="M98" s="639"/>
      <c r="N98" s="639"/>
      <c r="O98" s="104"/>
      <c r="P98" s="104"/>
      <c r="Q98" s="104"/>
      <c r="R98" s="104"/>
      <c r="S98" s="104"/>
      <c r="T98" s="104"/>
      <c r="U98" s="104"/>
    </row>
    <row r="99" spans="1:21" ht="15.75" customHeight="1" x14ac:dyDescent="0.35">
      <c r="K99" s="306"/>
      <c r="N99" s="104"/>
      <c r="O99" s="104"/>
      <c r="P99" s="104"/>
      <c r="Q99" s="104"/>
      <c r="R99" s="104"/>
      <c r="S99" s="104"/>
      <c r="T99" s="104"/>
      <c r="U99" s="104"/>
    </row>
    <row r="100" spans="1:21" ht="15.75" customHeight="1" x14ac:dyDescent="0.35">
      <c r="K100" s="306"/>
      <c r="N100" s="104"/>
      <c r="O100" s="104"/>
      <c r="P100" s="104"/>
      <c r="Q100" s="104"/>
      <c r="R100" s="104"/>
      <c r="S100" s="104"/>
      <c r="T100" s="104"/>
      <c r="U100" s="104"/>
    </row>
    <row r="101" spans="1:21" ht="15.75" customHeight="1" x14ac:dyDescent="0.35">
      <c r="K101" s="306"/>
      <c r="N101" s="104"/>
      <c r="O101" s="104"/>
      <c r="P101" s="104"/>
      <c r="Q101" s="104"/>
      <c r="R101" s="104"/>
      <c r="S101" s="104"/>
      <c r="T101" s="104"/>
      <c r="U101" s="104"/>
    </row>
    <row r="102" spans="1:21" ht="15" customHeight="1" x14ac:dyDescent="0.35">
      <c r="K102" s="306"/>
      <c r="L102" s="104"/>
      <c r="N102" s="104"/>
      <c r="O102" s="104"/>
      <c r="P102" s="104"/>
      <c r="Q102" s="104"/>
      <c r="R102" s="104"/>
      <c r="S102" s="104"/>
      <c r="T102" s="104"/>
      <c r="U102" s="104"/>
    </row>
  </sheetData>
  <mergeCells count="195">
    <mergeCell ref="G86:N86"/>
    <mergeCell ref="G87:N87"/>
    <mergeCell ref="G88:N88"/>
    <mergeCell ref="G89:N89"/>
    <mergeCell ref="G90:N90"/>
    <mergeCell ref="G91:N91"/>
    <mergeCell ref="L68:N68"/>
    <mergeCell ref="L69:N69"/>
    <mergeCell ref="A70:E70"/>
    <mergeCell ref="A74:E74"/>
    <mergeCell ref="A75:E75"/>
    <mergeCell ref="A81:E81"/>
    <mergeCell ref="A82:E82"/>
    <mergeCell ref="A86:E86"/>
    <mergeCell ref="A71:E71"/>
    <mergeCell ref="A72:E72"/>
    <mergeCell ref="A73:E73"/>
    <mergeCell ref="G76:N76"/>
    <mergeCell ref="G77:N77"/>
    <mergeCell ref="A48:E48"/>
    <mergeCell ref="A47:E47"/>
    <mergeCell ref="A46:E46"/>
    <mergeCell ref="G45:O45"/>
    <mergeCell ref="G42:N42"/>
    <mergeCell ref="G43:N43"/>
    <mergeCell ref="G44:N44"/>
    <mergeCell ref="G41:N41"/>
    <mergeCell ref="A38:E38"/>
    <mergeCell ref="A2:R2"/>
    <mergeCell ref="A3:R3"/>
    <mergeCell ref="A4:R4"/>
    <mergeCell ref="A5:R5"/>
    <mergeCell ref="A23:E23"/>
    <mergeCell ref="A24:E24"/>
    <mergeCell ref="A25:E25"/>
    <mergeCell ref="A26:E26"/>
    <mergeCell ref="A32:E32"/>
    <mergeCell ref="A6:O6"/>
    <mergeCell ref="D21:E21"/>
    <mergeCell ref="Q21:T21"/>
    <mergeCell ref="G27:N27"/>
    <mergeCell ref="G28:N28"/>
    <mergeCell ref="G29:N29"/>
    <mergeCell ref="G30:N30"/>
    <mergeCell ref="G31:N31"/>
    <mergeCell ref="P93:T93"/>
    <mergeCell ref="P94:T94"/>
    <mergeCell ref="P86:T86"/>
    <mergeCell ref="P87:T87"/>
    <mergeCell ref="P88:T88"/>
    <mergeCell ref="P89:T89"/>
    <mergeCell ref="P90:T90"/>
    <mergeCell ref="P91:T91"/>
    <mergeCell ref="P92:T92"/>
    <mergeCell ref="A1:T1"/>
    <mergeCell ref="A87:E87"/>
    <mergeCell ref="A80:E80"/>
    <mergeCell ref="G84:N84"/>
    <mergeCell ref="G80:N80"/>
    <mergeCell ref="G81:N81"/>
    <mergeCell ref="G82:N82"/>
    <mergeCell ref="G83:N83"/>
    <mergeCell ref="A77:E77"/>
    <mergeCell ref="P76:T76"/>
    <mergeCell ref="P77:T77"/>
    <mergeCell ref="P78:T78"/>
    <mergeCell ref="P79:T79"/>
    <mergeCell ref="P80:T80"/>
    <mergeCell ref="P81:T81"/>
    <mergeCell ref="P82:T82"/>
    <mergeCell ref="P83:T83"/>
    <mergeCell ref="P84:T84"/>
    <mergeCell ref="P85:T85"/>
    <mergeCell ref="A36:E36"/>
    <mergeCell ref="A37:E37"/>
    <mergeCell ref="G40:O40"/>
    <mergeCell ref="G39:N39"/>
    <mergeCell ref="G46:O46"/>
    <mergeCell ref="A43:E43"/>
    <mergeCell ref="A44:E44"/>
    <mergeCell ref="A45:E45"/>
    <mergeCell ref="G25:N25"/>
    <mergeCell ref="A88:E88"/>
    <mergeCell ref="G72:N72"/>
    <mergeCell ref="G73:N73"/>
    <mergeCell ref="G78:N78"/>
    <mergeCell ref="G79:N79"/>
    <mergeCell ref="A33:E33"/>
    <mergeCell ref="A34:E34"/>
    <mergeCell ref="A35:E35"/>
    <mergeCell ref="A56:T56"/>
    <mergeCell ref="A55:P55"/>
    <mergeCell ref="S57:T57"/>
    <mergeCell ref="Q57:R57"/>
    <mergeCell ref="G50:O50"/>
    <mergeCell ref="G49:O49"/>
    <mergeCell ref="G48:O48"/>
    <mergeCell ref="A39:E39"/>
    <mergeCell ref="A40:E40"/>
    <mergeCell ref="A41:E41"/>
    <mergeCell ref="A50:E50"/>
    <mergeCell ref="A49:E49"/>
    <mergeCell ref="G94:N94"/>
    <mergeCell ref="G95:N95"/>
    <mergeCell ref="G96:N96"/>
    <mergeCell ref="G97:N97"/>
    <mergeCell ref="G98:N98"/>
    <mergeCell ref="A78:E78"/>
    <mergeCell ref="A79:E79"/>
    <mergeCell ref="A76:E76"/>
    <mergeCell ref="A85:E85"/>
    <mergeCell ref="A83:E83"/>
    <mergeCell ref="A84:E84"/>
    <mergeCell ref="A96:E96"/>
    <mergeCell ref="A97:E97"/>
    <mergeCell ref="A98:E98"/>
    <mergeCell ref="A89:E89"/>
    <mergeCell ref="A90:E90"/>
    <mergeCell ref="A91:E91"/>
    <mergeCell ref="A92:E92"/>
    <mergeCell ref="A93:E93"/>
    <mergeCell ref="A94:E94"/>
    <mergeCell ref="A95:E95"/>
    <mergeCell ref="G92:N92"/>
    <mergeCell ref="G93:N93"/>
    <mergeCell ref="G85:N85"/>
    <mergeCell ref="P50:T50"/>
    <mergeCell ref="P51:T51"/>
    <mergeCell ref="P52:T52"/>
    <mergeCell ref="P53:T53"/>
    <mergeCell ref="G53:N53"/>
    <mergeCell ref="A51:E51"/>
    <mergeCell ref="P74:T74"/>
    <mergeCell ref="P75:T75"/>
    <mergeCell ref="G74:N74"/>
    <mergeCell ref="G75:N75"/>
    <mergeCell ref="G71:N71"/>
    <mergeCell ref="G69:J69"/>
    <mergeCell ref="P71:T71"/>
    <mergeCell ref="P72:T72"/>
    <mergeCell ref="P73:T73"/>
    <mergeCell ref="A65:B65"/>
    <mergeCell ref="A53:E53"/>
    <mergeCell ref="A52:E52"/>
    <mergeCell ref="Q69:T69"/>
    <mergeCell ref="G68:J68"/>
    <mergeCell ref="D69:E69"/>
    <mergeCell ref="P49:T49"/>
    <mergeCell ref="G32:N32"/>
    <mergeCell ref="G33:N33"/>
    <mergeCell ref="G34:N34"/>
    <mergeCell ref="G35:N35"/>
    <mergeCell ref="G36:N36"/>
    <mergeCell ref="G37:N37"/>
    <mergeCell ref="G38:N38"/>
    <mergeCell ref="G52:N52"/>
    <mergeCell ref="G47:O47"/>
    <mergeCell ref="P45:T45"/>
    <mergeCell ref="P46:T46"/>
    <mergeCell ref="P47:T47"/>
    <mergeCell ref="P48:T48"/>
    <mergeCell ref="P39:T39"/>
    <mergeCell ref="P40:T40"/>
    <mergeCell ref="P41:T41"/>
    <mergeCell ref="P42:T42"/>
    <mergeCell ref="P43:T43"/>
    <mergeCell ref="P44:T44"/>
    <mergeCell ref="P37:T37"/>
    <mergeCell ref="P38:T38"/>
    <mergeCell ref="P32:T32"/>
    <mergeCell ref="P33:T33"/>
    <mergeCell ref="P34:T34"/>
    <mergeCell ref="P35:T35"/>
    <mergeCell ref="P36:T36"/>
    <mergeCell ref="A8:T8"/>
    <mergeCell ref="A7:P7"/>
    <mergeCell ref="A27:E27"/>
    <mergeCell ref="A28:E28"/>
    <mergeCell ref="A29:E29"/>
    <mergeCell ref="A30:E30"/>
    <mergeCell ref="G23:N23"/>
    <mergeCell ref="G24:N24"/>
    <mergeCell ref="P24:T24"/>
    <mergeCell ref="G16:J16"/>
    <mergeCell ref="P23:T23"/>
    <mergeCell ref="P30:T30"/>
    <mergeCell ref="G26:N26"/>
    <mergeCell ref="P25:T25"/>
    <mergeCell ref="P26:T26"/>
    <mergeCell ref="P27:T27"/>
    <mergeCell ref="P28:T28"/>
    <mergeCell ref="P29:T29"/>
    <mergeCell ref="P31:T31"/>
    <mergeCell ref="Q9:R9"/>
    <mergeCell ref="S9:T9"/>
  </mergeCells>
  <conditionalFormatting sqref="Q64">
    <cfRule type="expression" dxfId="23" priority="1">
      <formula>$Q$22="3rd"</formula>
    </cfRule>
  </conditionalFormatting>
  <conditionalFormatting sqref="Q65">
    <cfRule type="expression" dxfId="22" priority="2">
      <formula>$Q$22="2nd"</formula>
    </cfRule>
  </conditionalFormatting>
  <conditionalFormatting sqref="Q66">
    <cfRule type="expression" dxfId="21" priority="3">
      <formula>$Q$22="1st"</formula>
    </cfRule>
  </conditionalFormatting>
  <conditionalFormatting sqref="Q61">
    <cfRule type="expression" dxfId="20" priority="4">
      <formula>$Q$22="KO"</formula>
    </cfRule>
  </conditionalFormatting>
  <conditionalFormatting sqref="Q63">
    <cfRule type="expression" dxfId="19" priority="5">
      <formula>$Q$22="SF"</formula>
    </cfRule>
  </conditionalFormatting>
  <conditionalFormatting sqref="Q62">
    <cfRule type="expression" dxfId="18" priority="6">
      <formula>$Q$22="QF"</formula>
    </cfRule>
  </conditionalFormatting>
  <conditionalFormatting sqref="S61">
    <cfRule type="expression" dxfId="17" priority="7">
      <formula>$S$22="KO"</formula>
    </cfRule>
  </conditionalFormatting>
  <conditionalFormatting sqref="S62">
    <cfRule type="expression" dxfId="16" priority="8">
      <formula>$S$22="QF"</formula>
    </cfRule>
  </conditionalFormatting>
  <conditionalFormatting sqref="S63">
    <cfRule type="expression" dxfId="15" priority="9">
      <formula>$S$22="SF"</formula>
    </cfRule>
  </conditionalFormatting>
  <conditionalFormatting sqref="S64">
    <cfRule type="expression" dxfId="14" priority="10">
      <formula>$S$22="3rd"</formula>
    </cfRule>
  </conditionalFormatting>
  <conditionalFormatting sqref="S65">
    <cfRule type="expression" dxfId="13" priority="11">
      <formula>$S$22="2nd"</formula>
    </cfRule>
  </conditionalFormatting>
  <conditionalFormatting sqref="S66">
    <cfRule type="expression" dxfId="12" priority="12">
      <formula>$S$22="1st"</formula>
    </cfRule>
  </conditionalFormatting>
  <conditionalFormatting sqref="Q16">
    <cfRule type="expression" dxfId="11" priority="13">
      <formula>$Q$5="3rd"</formula>
    </cfRule>
  </conditionalFormatting>
  <conditionalFormatting sqref="Q17">
    <cfRule type="expression" dxfId="10" priority="14">
      <formula>$Q$5="2nd"</formula>
    </cfRule>
  </conditionalFormatting>
  <conditionalFormatting sqref="Q18">
    <cfRule type="expression" dxfId="9" priority="15">
      <formula>$Q$5="1st"</formula>
    </cfRule>
  </conditionalFormatting>
  <conditionalFormatting sqref="S16">
    <cfRule type="expression" dxfId="8" priority="16">
      <formula>$S$5="3rd"</formula>
    </cfRule>
  </conditionalFormatting>
  <conditionalFormatting sqref="S17">
    <cfRule type="expression" dxfId="7" priority="17">
      <formula>$S$5="2nd"</formula>
    </cfRule>
  </conditionalFormatting>
  <conditionalFormatting sqref="S18">
    <cfRule type="expression" dxfId="6" priority="18">
      <formula>$S$5="1st"</formula>
    </cfRule>
  </conditionalFormatting>
  <conditionalFormatting sqref="Q15">
    <cfRule type="expression" dxfId="5" priority="19">
      <formula>$Q$5="SF"</formula>
    </cfRule>
  </conditionalFormatting>
  <conditionalFormatting sqref="Q14">
    <cfRule type="expression" dxfId="4" priority="20">
      <formula>$Q$5="QF"</formula>
    </cfRule>
  </conditionalFormatting>
  <conditionalFormatting sqref="Q13">
    <cfRule type="expression" dxfId="3" priority="21">
      <formula>$Q$5="KO"</formula>
    </cfRule>
  </conditionalFormatting>
  <conditionalFormatting sqref="S13">
    <cfRule type="expression" dxfId="2" priority="22">
      <formula>$S$5="KO"</formula>
    </cfRule>
  </conditionalFormatting>
  <conditionalFormatting sqref="S14">
    <cfRule type="expression" dxfId="1" priority="23">
      <formula>$S$5="QF"</formula>
    </cfRule>
  </conditionalFormatting>
  <conditionalFormatting sqref="S15">
    <cfRule type="expression" dxfId="0" priority="24">
      <formula>$S$5="SF"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Executive summary</vt:lpstr>
      <vt:lpstr>Summary</vt:lpstr>
      <vt:lpstr>US CBA</vt:lpstr>
      <vt:lpstr>USSF finances</vt:lpstr>
      <vt:lpstr>Australia</vt:lpstr>
      <vt:lpstr>Norway</vt:lpstr>
      <vt:lpstr>MNT</vt:lpstr>
      <vt:lpstr>WNT</vt:lpstr>
      <vt:lpstr>ExplainerCBA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Dure</dc:creator>
  <cp:lastModifiedBy>Beau Dure</cp:lastModifiedBy>
  <dcterms:created xsi:type="dcterms:W3CDTF">2019-11-11T20:38:01Z</dcterms:created>
  <dcterms:modified xsi:type="dcterms:W3CDTF">2019-11-14T23:33:38Z</dcterms:modified>
</cp:coreProperties>
</file>