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dures\OneDrive\Documents\US soccer and youth\USSF finance 2019 study\"/>
    </mc:Choice>
  </mc:AlternateContent>
  <xr:revisionPtr revIDLastSave="0" documentId="13_ncr:1_{B841168B-B740-4D08-8CC4-8B7117B0B31B}" xr6:coauthVersionLast="45" xr6:coauthVersionMax="45" xr10:uidLastSave="{00000000-0000-0000-0000-000000000000}"/>
  <bookViews>
    <workbookView xWindow="-98" yWindow="-98" windowWidth="20715" windowHeight="13276" tabRatio="846" activeTab="5" xr2:uid="{00000000-000D-0000-FFFF-FFFF00000000}"/>
  </bookViews>
  <sheets>
    <sheet name="SUMMARY" sheetId="18" r:id="rId1"/>
    <sheet name="WNT pay est" sheetId="15" r:id="rId2"/>
    <sheet name="MNT pay est" sheetId="13" r:id="rId3"/>
    <sheet name="US CBAs" sheetId="4" r:id="rId4"/>
    <sheet name="NT games sample yr" sheetId="10" r:id="rId5"/>
    <sheet name="990 and others" sheetId="5" r:id="rId6"/>
    <sheet name="AGM books" sheetId="23" r:id="rId7"/>
    <sheet name="Attendance+ratings" sheetId="17" r:id="rId8"/>
    <sheet name="WNT 1 table" sheetId="20" r:id="rId9"/>
    <sheet name="MNT 1 table" sheetId="22" r:id="rId10"/>
  </sheets>
  <definedNames>
    <definedName name="_xlnm.Print_Area" localSheetId="4">'NT games sample yr'!$A$1:$M$51</definedName>
  </definedNames>
  <calcPr calcId="181029"/>
  <pivotCaches>
    <pivotCache cacheId="2" r:id="rId11"/>
    <pivotCache cacheId="3" r:id="rId12"/>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45" i="5" l="1"/>
  <c r="P44" i="5"/>
  <c r="P38" i="5"/>
  <c r="O38" i="5"/>
  <c r="N38" i="5"/>
  <c r="P35" i="5"/>
  <c r="R46" i="23" l="1"/>
  <c r="R47" i="23" s="1"/>
  <c r="I259" i="23"/>
  <c r="K259" i="23"/>
  <c r="L259" i="23"/>
  <c r="M259" i="23"/>
  <c r="O259" i="23"/>
  <c r="P259" i="23"/>
  <c r="H259" i="23"/>
  <c r="P104" i="5" l="1"/>
  <c r="L33" i="18" l="1"/>
  <c r="L32" i="18"/>
  <c r="K32" i="18"/>
  <c r="K33" i="18"/>
  <c r="L31" i="18"/>
  <c r="L30" i="18"/>
  <c r="K31" i="18"/>
  <c r="K30" i="18"/>
  <c r="L38" i="18"/>
  <c r="L37" i="18"/>
  <c r="L36" i="18"/>
  <c r="L35" i="18"/>
  <c r="L34" i="18"/>
  <c r="L29" i="18"/>
  <c r="K38" i="18"/>
  <c r="K37" i="18"/>
  <c r="K36" i="18"/>
  <c r="K35" i="18"/>
  <c r="K34" i="18"/>
  <c r="K29" i="18"/>
  <c r="J38" i="18"/>
  <c r="J37" i="18"/>
  <c r="J35" i="18"/>
  <c r="J34" i="18"/>
  <c r="J36" i="18"/>
  <c r="J29" i="18"/>
  <c r="L26" i="18"/>
  <c r="L27" i="18"/>
  <c r="K27" i="18"/>
  <c r="J27" i="18"/>
  <c r="K26" i="18"/>
  <c r="J26" i="18"/>
  <c r="L13" i="18"/>
  <c r="L12" i="18"/>
  <c r="L11" i="18"/>
  <c r="L10" i="18"/>
  <c r="L9" i="18"/>
  <c r="L8" i="18"/>
  <c r="L7" i="18"/>
  <c r="J7" i="18"/>
  <c r="L6" i="18"/>
  <c r="K13" i="18"/>
  <c r="K12" i="18"/>
  <c r="K11" i="18"/>
  <c r="K10" i="18"/>
  <c r="K9" i="18"/>
  <c r="K8" i="18"/>
  <c r="K7" i="18"/>
  <c r="K6" i="18"/>
  <c r="J13" i="18"/>
  <c r="J12" i="18"/>
  <c r="J11" i="18"/>
  <c r="J10" i="18"/>
  <c r="J9" i="18"/>
  <c r="J8" i="18"/>
  <c r="J6" i="18"/>
  <c r="I13" i="18"/>
  <c r="I12" i="18"/>
  <c r="I11" i="18"/>
  <c r="I10" i="18"/>
  <c r="I9" i="18"/>
  <c r="I8" i="18"/>
  <c r="I7" i="18"/>
  <c r="I6" i="18"/>
  <c r="V40" i="20" l="1"/>
  <c r="V41" i="20" s="1"/>
  <c r="V39" i="20"/>
  <c r="T38" i="20"/>
  <c r="V38" i="20" s="1"/>
  <c r="V42" i="20" s="1"/>
  <c r="V36" i="20"/>
  <c r="T35" i="20"/>
  <c r="V35" i="20" s="1"/>
  <c r="T34" i="20"/>
  <c r="V34" i="20" s="1"/>
  <c r="V33" i="20"/>
  <c r="T33" i="20"/>
  <c r="V31" i="20"/>
  <c r="V30" i="20"/>
  <c r="V28" i="20"/>
  <c r="T27" i="20"/>
  <c r="V27" i="20" s="1"/>
  <c r="V26" i="20"/>
  <c r="T26" i="20"/>
  <c r="V24" i="20"/>
  <c r="V23" i="20"/>
  <c r="T22" i="20"/>
  <c r="V22" i="20" s="1"/>
  <c r="T21" i="20"/>
  <c r="V21" i="20" s="1"/>
  <c r="T18" i="20"/>
  <c r="V18" i="20" s="1"/>
  <c r="V19" i="20" s="1"/>
  <c r="V16" i="20"/>
  <c r="T15" i="20"/>
  <c r="V15" i="20" s="1"/>
  <c r="V14" i="20"/>
  <c r="T14" i="20"/>
  <c r="T13" i="20"/>
  <c r="V13" i="20" s="1"/>
  <c r="V12" i="20"/>
  <c r="T12" i="20"/>
  <c r="T9" i="20"/>
  <c r="V9" i="20" s="1"/>
  <c r="V8" i="20"/>
  <c r="T8" i="20"/>
  <c r="T7" i="20"/>
  <c r="V7" i="20" s="1"/>
  <c r="V4" i="20"/>
  <c r="V5" i="20" s="1"/>
  <c r="T4" i="20"/>
  <c r="T239" i="15"/>
  <c r="Q246" i="15"/>
  <c r="V227" i="15"/>
  <c r="K22" i="20"/>
  <c r="O22" i="20" s="1"/>
  <c r="Q22" i="20" s="1"/>
  <c r="K23" i="20"/>
  <c r="O23" i="20" s="1"/>
  <c r="Q23" i="20" s="1"/>
  <c r="M24" i="20"/>
  <c r="O24" i="20" s="1"/>
  <c r="Q24" i="20" s="1"/>
  <c r="K46" i="20"/>
  <c r="O46" i="20" s="1"/>
  <c r="Q46" i="20" s="1"/>
  <c r="K47" i="20"/>
  <c r="O47" i="20" s="1"/>
  <c r="Q47" i="20" s="1"/>
  <c r="M48" i="20"/>
  <c r="O48" i="20" s="1"/>
  <c r="Q48" i="20" s="1"/>
  <c r="K82" i="20"/>
  <c r="O82" i="20" s="1"/>
  <c r="Q82" i="20" s="1"/>
  <c r="K83" i="20"/>
  <c r="O83" i="20" s="1"/>
  <c r="Q83" i="20" s="1"/>
  <c r="M84" i="20"/>
  <c r="O84" i="20" s="1"/>
  <c r="Q84" i="20" s="1"/>
  <c r="K102" i="20"/>
  <c r="O102" i="20" s="1"/>
  <c r="Q102" i="20" s="1"/>
  <c r="K103" i="20"/>
  <c r="O103" i="20" s="1"/>
  <c r="Q103" i="20" s="1"/>
  <c r="M104" i="20"/>
  <c r="O104" i="20" s="1"/>
  <c r="Q104" i="20" s="1"/>
  <c r="K130" i="20"/>
  <c r="O130" i="20" s="1"/>
  <c r="Q130" i="20" s="1"/>
  <c r="K131" i="20"/>
  <c r="O131" i="20" s="1"/>
  <c r="Q131" i="20" s="1"/>
  <c r="M132" i="20"/>
  <c r="O132" i="20" s="1"/>
  <c r="Q132" i="20" s="1"/>
  <c r="K160" i="20"/>
  <c r="O160" i="20" s="1"/>
  <c r="Q160" i="20" s="1"/>
  <c r="K161" i="20"/>
  <c r="O161" i="20" s="1"/>
  <c r="Q161" i="20" s="1"/>
  <c r="M162" i="20"/>
  <c r="O162" i="20" s="1"/>
  <c r="Q162" i="20" s="1"/>
  <c r="K189" i="20"/>
  <c r="O189" i="20" s="1"/>
  <c r="Q189" i="20" s="1"/>
  <c r="K190" i="20"/>
  <c r="O190" i="20" s="1"/>
  <c r="Q190" i="20" s="1"/>
  <c r="M191" i="20"/>
  <c r="O191" i="20" s="1"/>
  <c r="Q191" i="20" s="1"/>
  <c r="K209" i="20"/>
  <c r="M209" i="20" s="1"/>
  <c r="O209" i="20" s="1"/>
  <c r="Q209" i="20" s="1"/>
  <c r="K257" i="20"/>
  <c r="M257" i="20" s="1"/>
  <c r="V10" i="20" l="1"/>
  <c r="M231" i="20"/>
  <c r="O231" i="20" s="1"/>
  <c r="Q231" i="20" s="1"/>
  <c r="O257" i="20"/>
  <c r="Q257" i="20" s="1"/>
  <c r="F111" i="5"/>
  <c r="I44" i="5"/>
  <c r="J44" i="5"/>
  <c r="K44" i="5"/>
  <c r="L44" i="5"/>
  <c r="M44" i="5"/>
  <c r="N44" i="5"/>
  <c r="O44" i="5"/>
  <c r="H44" i="5"/>
  <c r="I35" i="5"/>
  <c r="J35" i="5"/>
  <c r="J45" i="5" s="1"/>
  <c r="K35" i="5"/>
  <c r="K45" i="5" s="1"/>
  <c r="L35" i="5"/>
  <c r="L45" i="5" s="1"/>
  <c r="M35" i="5"/>
  <c r="M45" i="5" s="1"/>
  <c r="N35" i="5"/>
  <c r="N45" i="5" s="1"/>
  <c r="O35" i="5"/>
  <c r="O45" i="5" s="1"/>
  <c r="H35" i="5"/>
  <c r="H45" i="5" s="1"/>
  <c r="O46" i="5"/>
  <c r="N46" i="5"/>
  <c r="I46" i="5"/>
  <c r="J46" i="5"/>
  <c r="K46" i="5"/>
  <c r="L46" i="5"/>
  <c r="M46" i="5"/>
  <c r="H46" i="5"/>
  <c r="G251" i="23"/>
  <c r="I45" i="5" l="1"/>
  <c r="K26" i="20"/>
  <c r="M26" i="20"/>
  <c r="K25" i="20"/>
  <c r="M25" i="20"/>
  <c r="O256" i="20"/>
  <c r="Q256" i="20" s="1"/>
  <c r="O230" i="20"/>
  <c r="Q230" i="20" s="1"/>
  <c r="P229" i="20"/>
  <c r="K229" i="20"/>
  <c r="M229" i="20" s="1"/>
  <c r="O229" i="20" s="1"/>
  <c r="P228" i="20"/>
  <c r="K228" i="20"/>
  <c r="M228" i="20" s="1"/>
  <c r="O228" i="20" s="1"/>
  <c r="O208" i="20"/>
  <c r="Q208" i="20" s="1"/>
  <c r="P206" i="20"/>
  <c r="K206" i="20"/>
  <c r="M206" i="20" s="1"/>
  <c r="P198" i="20"/>
  <c r="K198" i="20"/>
  <c r="M198" i="20" s="1"/>
  <c r="P197" i="20"/>
  <c r="K197" i="20"/>
  <c r="M197" i="20" s="1"/>
  <c r="K188" i="20"/>
  <c r="O188" i="20" s="1"/>
  <c r="Q188" i="20" s="1"/>
  <c r="P181" i="20"/>
  <c r="M181" i="20"/>
  <c r="K181" i="20"/>
  <c r="P180" i="20"/>
  <c r="M180" i="20"/>
  <c r="K180" i="20"/>
  <c r="P179" i="20"/>
  <c r="M179" i="20"/>
  <c r="K179" i="20"/>
  <c r="P178" i="20"/>
  <c r="M178" i="20"/>
  <c r="K178" i="20"/>
  <c r="K159" i="20"/>
  <c r="O159" i="20" s="1"/>
  <c r="Q159" i="20" s="1"/>
  <c r="P149" i="20"/>
  <c r="M149" i="20"/>
  <c r="K149" i="20"/>
  <c r="P148" i="20"/>
  <c r="M148" i="20"/>
  <c r="K148" i="20"/>
  <c r="P147" i="20"/>
  <c r="M147" i="20"/>
  <c r="K147" i="20"/>
  <c r="P146" i="20"/>
  <c r="M146" i="20"/>
  <c r="K146" i="20"/>
  <c r="P145" i="20"/>
  <c r="M145" i="20"/>
  <c r="K145" i="20"/>
  <c r="P144" i="20"/>
  <c r="M144" i="20"/>
  <c r="K144" i="20"/>
  <c r="P143" i="20"/>
  <c r="M143" i="20"/>
  <c r="K143" i="20"/>
  <c r="P138" i="20"/>
  <c r="M138" i="20"/>
  <c r="K138" i="20"/>
  <c r="P137" i="20"/>
  <c r="M137" i="20"/>
  <c r="K137" i="20"/>
  <c r="P136" i="20"/>
  <c r="M136" i="20"/>
  <c r="K136" i="20"/>
  <c r="P135" i="20"/>
  <c r="M135" i="20"/>
  <c r="K135" i="20"/>
  <c r="P134" i="20"/>
  <c r="M134" i="20"/>
  <c r="K134" i="20"/>
  <c r="P133" i="20"/>
  <c r="M133" i="20"/>
  <c r="K133" i="20"/>
  <c r="K129" i="20"/>
  <c r="O129" i="20" s="1"/>
  <c r="Q129" i="20" s="1"/>
  <c r="P128" i="20"/>
  <c r="M128" i="20"/>
  <c r="K128" i="20"/>
  <c r="P127" i="20"/>
  <c r="M127" i="20"/>
  <c r="K127" i="20"/>
  <c r="P126" i="20"/>
  <c r="M126" i="20"/>
  <c r="K126" i="20"/>
  <c r="P125" i="20"/>
  <c r="M125" i="20"/>
  <c r="K125" i="20"/>
  <c r="P114" i="20"/>
  <c r="M114" i="20"/>
  <c r="K114" i="20"/>
  <c r="P111" i="20"/>
  <c r="M111" i="20"/>
  <c r="K111" i="20"/>
  <c r="P110" i="20"/>
  <c r="M110" i="20"/>
  <c r="K110" i="20"/>
  <c r="P109" i="20"/>
  <c r="M109" i="20"/>
  <c r="K109" i="20"/>
  <c r="P108" i="20"/>
  <c r="M108" i="20"/>
  <c r="K108" i="20"/>
  <c r="K101" i="20"/>
  <c r="O101" i="20" s="1"/>
  <c r="Q101" i="20" s="1"/>
  <c r="P93" i="20"/>
  <c r="M93" i="20"/>
  <c r="K93" i="20"/>
  <c r="P92" i="20"/>
  <c r="M92" i="20"/>
  <c r="K92" i="20"/>
  <c r="P91" i="20"/>
  <c r="M91" i="20"/>
  <c r="K91" i="20"/>
  <c r="P90" i="20"/>
  <c r="M90" i="20"/>
  <c r="K90" i="20"/>
  <c r="P89" i="20"/>
  <c r="M89" i="20"/>
  <c r="K89" i="20"/>
  <c r="P88" i="20"/>
  <c r="M88" i="20"/>
  <c r="K88" i="20"/>
  <c r="P87" i="20"/>
  <c r="M87" i="20"/>
  <c r="K87" i="20"/>
  <c r="P86" i="20"/>
  <c r="M86" i="20"/>
  <c r="K86" i="20"/>
  <c r="K81" i="20"/>
  <c r="O81" i="20" s="1"/>
  <c r="Q81" i="20" s="1"/>
  <c r="M80" i="20"/>
  <c r="K80" i="20"/>
  <c r="M78" i="20"/>
  <c r="K78" i="20"/>
  <c r="M76" i="20"/>
  <c r="K76" i="20"/>
  <c r="M74" i="20"/>
  <c r="K74" i="20"/>
  <c r="M72" i="20"/>
  <c r="K72" i="20"/>
  <c r="M70" i="20"/>
  <c r="K70" i="20"/>
  <c r="M69" i="20"/>
  <c r="K69" i="20"/>
  <c r="M68" i="20"/>
  <c r="K68" i="20"/>
  <c r="M67" i="20"/>
  <c r="K67" i="20"/>
  <c r="M66" i="20"/>
  <c r="K66" i="20"/>
  <c r="M65" i="20"/>
  <c r="K65" i="20"/>
  <c r="M63" i="20"/>
  <c r="K63" i="20"/>
  <c r="M62" i="20"/>
  <c r="K62" i="20"/>
  <c r="M60" i="20"/>
  <c r="K60" i="20"/>
  <c r="M59" i="20"/>
  <c r="K59" i="20"/>
  <c r="M58" i="20"/>
  <c r="K58" i="20"/>
  <c r="M57" i="20"/>
  <c r="K57" i="20"/>
  <c r="M56" i="20"/>
  <c r="K56" i="20"/>
  <c r="M55" i="20"/>
  <c r="K55" i="20"/>
  <c r="M53" i="20"/>
  <c r="K53" i="20"/>
  <c r="M52" i="20"/>
  <c r="K52" i="20"/>
  <c r="M51" i="20"/>
  <c r="K51" i="20"/>
  <c r="M50" i="20"/>
  <c r="K50" i="20"/>
  <c r="M49" i="20"/>
  <c r="K49" i="20"/>
  <c r="K45" i="20"/>
  <c r="O45" i="20" s="1"/>
  <c r="Q45" i="20" s="1"/>
  <c r="M44" i="20"/>
  <c r="K44" i="20"/>
  <c r="M43" i="20"/>
  <c r="K43" i="20"/>
  <c r="M41" i="20"/>
  <c r="K41" i="20"/>
  <c r="M40" i="20"/>
  <c r="K40" i="20"/>
  <c r="M39" i="20"/>
  <c r="K39" i="20"/>
  <c r="M38" i="20"/>
  <c r="K38" i="20"/>
  <c r="M37" i="20"/>
  <c r="K37" i="20"/>
  <c r="M36" i="20"/>
  <c r="K36" i="20"/>
  <c r="M34" i="20"/>
  <c r="K34" i="20"/>
  <c r="M32" i="20"/>
  <c r="K32" i="20"/>
  <c r="M31" i="20"/>
  <c r="K31" i="20"/>
  <c r="M30" i="20"/>
  <c r="K30" i="20"/>
  <c r="M29" i="20"/>
  <c r="K29" i="20"/>
  <c r="M28" i="20"/>
  <c r="K28" i="20"/>
  <c r="M27" i="20"/>
  <c r="K27" i="20"/>
  <c r="K21" i="20"/>
  <c r="O21" i="20" s="1"/>
  <c r="Q21" i="20" s="1"/>
  <c r="M20" i="20"/>
  <c r="K20" i="20"/>
  <c r="M19" i="20"/>
  <c r="K19" i="20"/>
  <c r="M18" i="20"/>
  <c r="K18" i="20"/>
  <c r="M17" i="20"/>
  <c r="K17" i="20"/>
  <c r="M16" i="20"/>
  <c r="K16" i="20"/>
  <c r="M15" i="20"/>
  <c r="K15" i="20"/>
  <c r="M14" i="20"/>
  <c r="K14" i="20"/>
  <c r="M12" i="20"/>
  <c r="K12" i="20"/>
  <c r="M10" i="20"/>
  <c r="K10" i="20"/>
  <c r="M8" i="20"/>
  <c r="K8" i="20"/>
  <c r="M6" i="20"/>
  <c r="K6" i="20"/>
  <c r="M5" i="20"/>
  <c r="K5" i="20"/>
  <c r="M4" i="20"/>
  <c r="K4" i="20"/>
  <c r="M3" i="20"/>
  <c r="K3" i="20"/>
  <c r="N4" i="22"/>
  <c r="N5" i="22"/>
  <c r="N6" i="22"/>
  <c r="N7" i="22"/>
  <c r="N8" i="22"/>
  <c r="N9" i="22"/>
  <c r="N10" i="22"/>
  <c r="N11" i="22"/>
  <c r="N12" i="22"/>
  <c r="N13" i="22"/>
  <c r="N14" i="22"/>
  <c r="N15" i="22"/>
  <c r="N16" i="22"/>
  <c r="N3" i="22"/>
  <c r="O200" i="22"/>
  <c r="N224" i="13"/>
  <c r="K224" i="13"/>
  <c r="M224" i="13" s="1"/>
  <c r="O224" i="13" s="1"/>
  <c r="K167" i="22"/>
  <c r="M167" i="22" s="1"/>
  <c r="K168" i="22"/>
  <c r="M168" i="22" s="1"/>
  <c r="K169" i="22"/>
  <c r="K170" i="22"/>
  <c r="M170" i="22" s="1"/>
  <c r="K171" i="22"/>
  <c r="M171" i="22" s="1"/>
  <c r="K172" i="22"/>
  <c r="M172" i="22" s="1"/>
  <c r="K173" i="22"/>
  <c r="K174" i="22"/>
  <c r="M174" i="22" s="1"/>
  <c r="K175" i="22"/>
  <c r="M175" i="22" s="1"/>
  <c r="K176" i="22"/>
  <c r="M176" i="22" s="1"/>
  <c r="K177" i="22"/>
  <c r="M177" i="22" s="1"/>
  <c r="K178" i="22"/>
  <c r="M178" i="22" s="1"/>
  <c r="K179" i="22"/>
  <c r="M179" i="22" s="1"/>
  <c r="K180" i="22"/>
  <c r="M180" i="22" s="1"/>
  <c r="K181" i="22"/>
  <c r="M181" i="22" s="1"/>
  <c r="K182" i="22"/>
  <c r="K183" i="22"/>
  <c r="M183" i="22" s="1"/>
  <c r="K184" i="22"/>
  <c r="M184" i="22" s="1"/>
  <c r="K185" i="22"/>
  <c r="M185" i="22" s="1"/>
  <c r="M173" i="22"/>
  <c r="M182" i="22"/>
  <c r="N185" i="22"/>
  <c r="M169" i="22"/>
  <c r="R28" i="22"/>
  <c r="T28" i="22" s="1"/>
  <c r="T29" i="22" s="1"/>
  <c r="N184" i="22"/>
  <c r="N183" i="22"/>
  <c r="N182" i="22"/>
  <c r="N181" i="22"/>
  <c r="N180" i="22"/>
  <c r="N179" i="22"/>
  <c r="N178" i="22"/>
  <c r="N177" i="22"/>
  <c r="N176" i="22"/>
  <c r="N175" i="22"/>
  <c r="N174" i="22"/>
  <c r="N173" i="22"/>
  <c r="N172" i="22"/>
  <c r="N171" i="22"/>
  <c r="N170" i="22"/>
  <c r="N169" i="22"/>
  <c r="N168" i="22"/>
  <c r="N167" i="22"/>
  <c r="K166" i="22"/>
  <c r="M166" i="22" s="1"/>
  <c r="O166" i="22" s="1"/>
  <c r="N165" i="22"/>
  <c r="K165" i="22"/>
  <c r="M165" i="22" s="1"/>
  <c r="N164" i="22"/>
  <c r="K164" i="22"/>
  <c r="M164" i="22" s="1"/>
  <c r="N163" i="22"/>
  <c r="K163" i="22"/>
  <c r="M163" i="22" s="1"/>
  <c r="N162" i="22"/>
  <c r="K162" i="22"/>
  <c r="M162" i="22" s="1"/>
  <c r="N161" i="22"/>
  <c r="K161" i="22"/>
  <c r="M161" i="22" s="1"/>
  <c r="N160" i="22"/>
  <c r="K160" i="22"/>
  <c r="M160" i="22" s="1"/>
  <c r="N159" i="22"/>
  <c r="K159" i="22"/>
  <c r="M159" i="22" s="1"/>
  <c r="N158" i="22"/>
  <c r="K158" i="22"/>
  <c r="M158" i="22" s="1"/>
  <c r="N157" i="22"/>
  <c r="K157" i="22"/>
  <c r="M157" i="22" s="1"/>
  <c r="N156" i="22"/>
  <c r="K156" i="22"/>
  <c r="M156" i="22" s="1"/>
  <c r="N155" i="22"/>
  <c r="K155" i="22"/>
  <c r="M155" i="22" s="1"/>
  <c r="R25" i="22"/>
  <c r="T25" i="22" s="1"/>
  <c r="T26" i="22" s="1"/>
  <c r="K154" i="22"/>
  <c r="M154" i="22" s="1"/>
  <c r="O154" i="22" s="1"/>
  <c r="K153" i="22"/>
  <c r="M153" i="22" s="1"/>
  <c r="O153" i="22" s="1"/>
  <c r="N152" i="22"/>
  <c r="K152" i="22"/>
  <c r="M152" i="22" s="1"/>
  <c r="N151" i="22"/>
  <c r="K151" i="22"/>
  <c r="M151" i="22" s="1"/>
  <c r="N150" i="22"/>
  <c r="K150" i="22"/>
  <c r="M150" i="22" s="1"/>
  <c r="N149" i="22"/>
  <c r="K149" i="22"/>
  <c r="M149" i="22" s="1"/>
  <c r="N148" i="22"/>
  <c r="K148" i="22"/>
  <c r="M148" i="22" s="1"/>
  <c r="N147" i="22"/>
  <c r="K147" i="22"/>
  <c r="M147" i="22" s="1"/>
  <c r="N146" i="22"/>
  <c r="K146" i="22"/>
  <c r="M146" i="22" s="1"/>
  <c r="N145" i="22"/>
  <c r="K145" i="22"/>
  <c r="M145" i="22" s="1"/>
  <c r="N144" i="22"/>
  <c r="K144" i="22"/>
  <c r="M144" i="22" s="1"/>
  <c r="N143" i="22"/>
  <c r="K143" i="22"/>
  <c r="M143" i="22" s="1"/>
  <c r="N142" i="22"/>
  <c r="K142" i="22"/>
  <c r="M142" i="22" s="1"/>
  <c r="N141" i="22"/>
  <c r="K141" i="22"/>
  <c r="M141" i="22" s="1"/>
  <c r="N140" i="22"/>
  <c r="K140" i="22"/>
  <c r="M140" i="22" s="1"/>
  <c r="N139" i="22"/>
  <c r="K139" i="22"/>
  <c r="M139" i="22" s="1"/>
  <c r="N138" i="22"/>
  <c r="K138" i="22"/>
  <c r="M138" i="22" s="1"/>
  <c r="N137" i="22"/>
  <c r="K137" i="22"/>
  <c r="M137" i="22" s="1"/>
  <c r="N136" i="22"/>
  <c r="K136" i="22"/>
  <c r="M136" i="22" s="1"/>
  <c r="N135" i="22"/>
  <c r="K135" i="22"/>
  <c r="M135" i="22" s="1"/>
  <c r="N134" i="22"/>
  <c r="K134" i="22"/>
  <c r="M134" i="22" s="1"/>
  <c r="R22" i="22"/>
  <c r="T22" i="22" s="1"/>
  <c r="K133" i="22"/>
  <c r="M133" i="22" s="1"/>
  <c r="O133" i="22" s="1"/>
  <c r="R21" i="22"/>
  <c r="T21" i="22" s="1"/>
  <c r="K132" i="22"/>
  <c r="M132" i="22" s="1"/>
  <c r="O132" i="22" s="1"/>
  <c r="N131" i="22"/>
  <c r="K131" i="22"/>
  <c r="M131" i="22" s="1"/>
  <c r="N130" i="22"/>
  <c r="K130" i="22"/>
  <c r="M130" i="22" s="1"/>
  <c r="N129" i="22"/>
  <c r="K129" i="22"/>
  <c r="M129" i="22" s="1"/>
  <c r="N128" i="22"/>
  <c r="K128" i="22"/>
  <c r="M128" i="22" s="1"/>
  <c r="N127" i="22"/>
  <c r="K127" i="22"/>
  <c r="M127" i="22" s="1"/>
  <c r="N126" i="22"/>
  <c r="K126" i="22"/>
  <c r="M126" i="22" s="1"/>
  <c r="N125" i="22"/>
  <c r="K125" i="22"/>
  <c r="M125" i="22" s="1"/>
  <c r="N124" i="22"/>
  <c r="K124" i="22"/>
  <c r="M124" i="22" s="1"/>
  <c r="N123" i="22"/>
  <c r="K123" i="22"/>
  <c r="M123" i="22" s="1"/>
  <c r="N122" i="22"/>
  <c r="K122" i="22"/>
  <c r="M122" i="22" s="1"/>
  <c r="N121" i="22"/>
  <c r="K121" i="22"/>
  <c r="M121" i="22" s="1"/>
  <c r="N120" i="22"/>
  <c r="K120" i="22"/>
  <c r="M120" i="22" s="1"/>
  <c r="N119" i="22"/>
  <c r="K119" i="22"/>
  <c r="M119" i="22" s="1"/>
  <c r="N118" i="22"/>
  <c r="K118" i="22"/>
  <c r="M118" i="22" s="1"/>
  <c r="N117" i="22"/>
  <c r="K117" i="22"/>
  <c r="M117" i="22" s="1"/>
  <c r="N116" i="22"/>
  <c r="K116" i="22"/>
  <c r="M116" i="22" s="1"/>
  <c r="N115" i="22"/>
  <c r="K115" i="22"/>
  <c r="M115" i="22" s="1"/>
  <c r="N114" i="22"/>
  <c r="K114" i="22"/>
  <c r="M114" i="22" s="1"/>
  <c r="N113" i="22"/>
  <c r="K113" i="22"/>
  <c r="M113" i="22" s="1"/>
  <c r="K112" i="22"/>
  <c r="M112" i="22" s="1"/>
  <c r="O112" i="22" s="1"/>
  <c r="N111" i="22"/>
  <c r="K111" i="22"/>
  <c r="M111" i="22" s="1"/>
  <c r="N110" i="22"/>
  <c r="K110" i="22"/>
  <c r="M110" i="22" s="1"/>
  <c r="N109" i="22"/>
  <c r="K109" i="22"/>
  <c r="M109" i="22" s="1"/>
  <c r="N108" i="22"/>
  <c r="K108" i="22"/>
  <c r="M108" i="22" s="1"/>
  <c r="N107" i="22"/>
  <c r="K107" i="22"/>
  <c r="M107" i="22" s="1"/>
  <c r="N106" i="22"/>
  <c r="K106" i="22"/>
  <c r="M106" i="22" s="1"/>
  <c r="N105" i="22"/>
  <c r="K105" i="22"/>
  <c r="M105" i="22" s="1"/>
  <c r="N104" i="22"/>
  <c r="K104" i="22"/>
  <c r="M104" i="22" s="1"/>
  <c r="N103" i="22"/>
  <c r="K103" i="22"/>
  <c r="M103" i="22" s="1"/>
  <c r="N102" i="22"/>
  <c r="K102" i="22"/>
  <c r="M102" i="22" s="1"/>
  <c r="N101" i="22"/>
  <c r="K101" i="22"/>
  <c r="M101" i="22" s="1"/>
  <c r="N100" i="22"/>
  <c r="K100" i="22"/>
  <c r="M100" i="22" s="1"/>
  <c r="N99" i="22"/>
  <c r="K99" i="22"/>
  <c r="M99" i="22" s="1"/>
  <c r="N98" i="22"/>
  <c r="K98" i="22"/>
  <c r="M98" i="22" s="1"/>
  <c r="N97" i="22"/>
  <c r="K97" i="22"/>
  <c r="M97" i="22" s="1"/>
  <c r="N96" i="22"/>
  <c r="K96" i="22"/>
  <c r="M96" i="22" s="1"/>
  <c r="N95" i="22"/>
  <c r="K95" i="22"/>
  <c r="M95" i="22" s="1"/>
  <c r="N94" i="22"/>
  <c r="K94" i="22"/>
  <c r="M94" i="22" s="1"/>
  <c r="N93" i="22"/>
  <c r="K93" i="22"/>
  <c r="M93" i="22" s="1"/>
  <c r="N92" i="22"/>
  <c r="K92" i="22"/>
  <c r="M92" i="22" s="1"/>
  <c r="R18" i="22"/>
  <c r="T18" i="22" s="1"/>
  <c r="K91" i="22"/>
  <c r="M91" i="22" s="1"/>
  <c r="O91" i="22" s="1"/>
  <c r="N90" i="22"/>
  <c r="K90" i="22"/>
  <c r="M90" i="22" s="1"/>
  <c r="T16" i="22"/>
  <c r="N89" i="22"/>
  <c r="K89" i="22"/>
  <c r="M89" i="22" s="1"/>
  <c r="R15" i="22"/>
  <c r="T15" i="22" s="1"/>
  <c r="N88" i="22"/>
  <c r="K88" i="22"/>
  <c r="M88" i="22" s="1"/>
  <c r="N87" i="22"/>
  <c r="K87" i="22"/>
  <c r="M87" i="22" s="1"/>
  <c r="N86" i="22"/>
  <c r="K86" i="22"/>
  <c r="M86" i="22" s="1"/>
  <c r="N85" i="22"/>
  <c r="K85" i="22"/>
  <c r="M85" i="22" s="1"/>
  <c r="N84" i="22"/>
  <c r="K84" i="22"/>
  <c r="M84" i="22" s="1"/>
  <c r="N83" i="22"/>
  <c r="K83" i="22"/>
  <c r="M83" i="22" s="1"/>
  <c r="N82" i="22"/>
  <c r="K82" i="22"/>
  <c r="M82" i="22" s="1"/>
  <c r="N81" i="22"/>
  <c r="K81" i="22"/>
  <c r="M81" i="22" s="1"/>
  <c r="N80" i="22"/>
  <c r="K80" i="22"/>
  <c r="M80" i="22" s="1"/>
  <c r="N79" i="22"/>
  <c r="K79" i="22"/>
  <c r="M79" i="22" s="1"/>
  <c r="N78" i="22"/>
  <c r="K78" i="22"/>
  <c r="M78" i="22" s="1"/>
  <c r="N77" i="22"/>
  <c r="K77" i="22"/>
  <c r="M77" i="22" s="1"/>
  <c r="N76" i="22"/>
  <c r="K76" i="22"/>
  <c r="M76" i="22" s="1"/>
  <c r="T12" i="22"/>
  <c r="K75" i="22"/>
  <c r="M75" i="22" s="1"/>
  <c r="O75" i="22" s="1"/>
  <c r="R11" i="22"/>
  <c r="T11" i="22" s="1"/>
  <c r="K74" i="22"/>
  <c r="M74" i="22" s="1"/>
  <c r="O74" i="22" s="1"/>
  <c r="N73" i="22"/>
  <c r="K73" i="22"/>
  <c r="M73" i="22" s="1"/>
  <c r="N72" i="22"/>
  <c r="K72" i="22"/>
  <c r="M72" i="22" s="1"/>
  <c r="N71" i="22"/>
  <c r="K71" i="22"/>
  <c r="M71" i="22" s="1"/>
  <c r="N70" i="22"/>
  <c r="K70" i="22"/>
  <c r="M70" i="22" s="1"/>
  <c r="N69" i="22"/>
  <c r="K69" i="22"/>
  <c r="M69" i="22" s="1"/>
  <c r="N68" i="22"/>
  <c r="K68" i="22"/>
  <c r="M68" i="22" s="1"/>
  <c r="N67" i="22"/>
  <c r="K67" i="22"/>
  <c r="M67" i="22" s="1"/>
  <c r="N66" i="22"/>
  <c r="K66" i="22"/>
  <c r="M66" i="22" s="1"/>
  <c r="N65" i="22"/>
  <c r="K65" i="22"/>
  <c r="M65" i="22" s="1"/>
  <c r="N64" i="22"/>
  <c r="K64" i="22"/>
  <c r="M64" i="22" s="1"/>
  <c r="N63" i="22"/>
  <c r="K63" i="22"/>
  <c r="M63" i="22" s="1"/>
  <c r="N62" i="22"/>
  <c r="K62" i="22"/>
  <c r="M62" i="22" s="1"/>
  <c r="N61" i="22"/>
  <c r="K61" i="22"/>
  <c r="M61" i="22" s="1"/>
  <c r="N60" i="22"/>
  <c r="K60" i="22"/>
  <c r="M60" i="22" s="1"/>
  <c r="N59" i="22"/>
  <c r="K59" i="22"/>
  <c r="M59" i="22" s="1"/>
  <c r="N58" i="22"/>
  <c r="K58" i="22"/>
  <c r="M58" i="22" s="1"/>
  <c r="N57" i="22"/>
  <c r="K57" i="22"/>
  <c r="M57" i="22" s="1"/>
  <c r="N56" i="22"/>
  <c r="K56" i="22"/>
  <c r="M56" i="22" s="1"/>
  <c r="N55" i="22"/>
  <c r="K55" i="22"/>
  <c r="M55" i="22" s="1"/>
  <c r="N54" i="22"/>
  <c r="K54" i="22"/>
  <c r="M54" i="22" s="1"/>
  <c r="N53" i="22"/>
  <c r="K53" i="22"/>
  <c r="M53" i="22" s="1"/>
  <c r="N52" i="22"/>
  <c r="K52" i="22"/>
  <c r="M52" i="22" s="1"/>
  <c r="N51" i="22"/>
  <c r="K51" i="22"/>
  <c r="M51" i="22" s="1"/>
  <c r="K50" i="22"/>
  <c r="M50" i="22" s="1"/>
  <c r="O50" i="22" s="1"/>
  <c r="K49" i="22"/>
  <c r="M49" i="22" s="1"/>
  <c r="O49" i="22" s="1"/>
  <c r="N48" i="22"/>
  <c r="K48" i="22"/>
  <c r="M48" i="22" s="1"/>
  <c r="N47" i="22"/>
  <c r="K47" i="22"/>
  <c r="M47" i="22" s="1"/>
  <c r="N46" i="22"/>
  <c r="K46" i="22"/>
  <c r="M46" i="22" s="1"/>
  <c r="N45" i="22"/>
  <c r="K45" i="22"/>
  <c r="M45" i="22" s="1"/>
  <c r="N44" i="22"/>
  <c r="K44" i="22"/>
  <c r="M44" i="22" s="1"/>
  <c r="N43" i="22"/>
  <c r="K43" i="22"/>
  <c r="M43" i="22" s="1"/>
  <c r="N42" i="22"/>
  <c r="K42" i="22"/>
  <c r="M42" i="22" s="1"/>
  <c r="N41" i="22"/>
  <c r="K41" i="22"/>
  <c r="M41" i="22" s="1"/>
  <c r="N40" i="22"/>
  <c r="K40" i="22"/>
  <c r="M40" i="22" s="1"/>
  <c r="N39" i="22"/>
  <c r="K39" i="22"/>
  <c r="M39" i="22" s="1"/>
  <c r="N38" i="22"/>
  <c r="K38" i="22"/>
  <c r="M38" i="22" s="1"/>
  <c r="N37" i="22"/>
  <c r="K37" i="22"/>
  <c r="M37" i="22" s="1"/>
  <c r="N36" i="22"/>
  <c r="K36" i="22"/>
  <c r="M36" i="22" s="1"/>
  <c r="N35" i="22"/>
  <c r="K35" i="22"/>
  <c r="M35" i="22" s="1"/>
  <c r="R8" i="22"/>
  <c r="T8" i="22" s="1"/>
  <c r="T9" i="22" s="1"/>
  <c r="K34" i="22"/>
  <c r="M34" i="22" s="1"/>
  <c r="O34" i="22" s="1"/>
  <c r="N33" i="22"/>
  <c r="K33" i="22"/>
  <c r="M33" i="22" s="1"/>
  <c r="N32" i="22"/>
  <c r="K32" i="22"/>
  <c r="M32" i="22" s="1"/>
  <c r="N31" i="22"/>
  <c r="K31" i="22"/>
  <c r="M31" i="22" s="1"/>
  <c r="N30" i="22"/>
  <c r="K30" i="22"/>
  <c r="M30" i="22" s="1"/>
  <c r="N29" i="22"/>
  <c r="K29" i="22"/>
  <c r="M29" i="22" s="1"/>
  <c r="N28" i="22"/>
  <c r="K28" i="22"/>
  <c r="M28" i="22" s="1"/>
  <c r="N27" i="22"/>
  <c r="K27" i="22"/>
  <c r="M27" i="22" s="1"/>
  <c r="N26" i="22"/>
  <c r="K26" i="22"/>
  <c r="M26" i="22" s="1"/>
  <c r="N25" i="22"/>
  <c r="K25" i="22"/>
  <c r="M25" i="22" s="1"/>
  <c r="N24" i="22"/>
  <c r="K24" i="22"/>
  <c r="M24" i="22" s="1"/>
  <c r="N23" i="22"/>
  <c r="K23" i="22"/>
  <c r="M23" i="22" s="1"/>
  <c r="N22" i="22"/>
  <c r="K22" i="22"/>
  <c r="M22" i="22" s="1"/>
  <c r="N21" i="22"/>
  <c r="K21" i="22"/>
  <c r="M21" i="22" s="1"/>
  <c r="N20" i="22"/>
  <c r="K20" i="22"/>
  <c r="M20" i="22" s="1"/>
  <c r="N19" i="22"/>
  <c r="K19" i="22"/>
  <c r="M19" i="22" s="1"/>
  <c r="N18" i="22"/>
  <c r="K18" i="22"/>
  <c r="M18" i="22" s="1"/>
  <c r="N17" i="22"/>
  <c r="K17" i="22"/>
  <c r="M17" i="22" s="1"/>
  <c r="T5" i="22"/>
  <c r="K16" i="22"/>
  <c r="M16" i="22" s="1"/>
  <c r="O16" i="22" s="1"/>
  <c r="R4" i="22"/>
  <c r="T4" i="22" s="1"/>
  <c r="K15" i="22"/>
  <c r="M15" i="22" s="1"/>
  <c r="O15" i="22" s="1"/>
  <c r="K14" i="22"/>
  <c r="M14" i="22" s="1"/>
  <c r="O14" i="22" s="1"/>
  <c r="K13" i="22"/>
  <c r="M13" i="22" s="1"/>
  <c r="O13" i="22" s="1"/>
  <c r="K12" i="22"/>
  <c r="M12" i="22" s="1"/>
  <c r="O12" i="22" s="1"/>
  <c r="K11" i="22"/>
  <c r="M11" i="22" s="1"/>
  <c r="O11" i="22" s="1"/>
  <c r="K10" i="22"/>
  <c r="M10" i="22" s="1"/>
  <c r="O10" i="22" s="1"/>
  <c r="K9" i="22"/>
  <c r="M9" i="22" s="1"/>
  <c r="O9" i="22" s="1"/>
  <c r="K8" i="22"/>
  <c r="M8" i="22" s="1"/>
  <c r="O8" i="22" s="1"/>
  <c r="K7" i="22"/>
  <c r="M7" i="22" s="1"/>
  <c r="O7" i="22" s="1"/>
  <c r="K6" i="22"/>
  <c r="M6" i="22" s="1"/>
  <c r="K5" i="22"/>
  <c r="M5" i="22" s="1"/>
  <c r="O5" i="22" s="1"/>
  <c r="K4" i="22"/>
  <c r="M4" i="22" s="1"/>
  <c r="O4" i="22" s="1"/>
  <c r="K3" i="22"/>
  <c r="M3" i="22" s="1"/>
  <c r="O3" i="22" s="1"/>
  <c r="R224" i="13"/>
  <c r="T224" i="13" s="1"/>
  <c r="T225" i="13" s="1"/>
  <c r="O226" i="13" s="1"/>
  <c r="K206" i="13"/>
  <c r="K207" i="13"/>
  <c r="K208" i="13"/>
  <c r="K209" i="13"/>
  <c r="K210" i="13"/>
  <c r="K211" i="13"/>
  <c r="K212" i="13"/>
  <c r="M212" i="13" s="1"/>
  <c r="K213" i="13"/>
  <c r="M213" i="13" s="1"/>
  <c r="K214" i="13"/>
  <c r="M214" i="13" s="1"/>
  <c r="K215" i="13"/>
  <c r="M215" i="13" s="1"/>
  <c r="K216" i="13"/>
  <c r="M216" i="13" s="1"/>
  <c r="K217" i="13"/>
  <c r="M217" i="13" s="1"/>
  <c r="K218" i="13"/>
  <c r="M218" i="13" s="1"/>
  <c r="K219" i="13"/>
  <c r="M219" i="13" s="1"/>
  <c r="K220" i="13"/>
  <c r="M220" i="13" s="1"/>
  <c r="K222" i="13"/>
  <c r="M222" i="13" s="1"/>
  <c r="K221" i="13"/>
  <c r="K223" i="13"/>
  <c r="M223" i="13" s="1"/>
  <c r="N223" i="13"/>
  <c r="M221" i="13"/>
  <c r="N221" i="13"/>
  <c r="M210" i="13"/>
  <c r="M211" i="13"/>
  <c r="N210" i="13"/>
  <c r="N211" i="13"/>
  <c r="N212" i="13"/>
  <c r="N213" i="13"/>
  <c r="N214" i="13"/>
  <c r="N215" i="13"/>
  <c r="N216" i="13"/>
  <c r="N217" i="13"/>
  <c r="N218" i="13"/>
  <c r="N219" i="13"/>
  <c r="N220" i="13"/>
  <c r="N222" i="13"/>
  <c r="V301" i="15"/>
  <c r="V302" i="15" s="1"/>
  <c r="V300" i="15"/>
  <c r="T299" i="15"/>
  <c r="V299" i="15" s="1"/>
  <c r="O301" i="15"/>
  <c r="K302" i="15"/>
  <c r="M302" i="15" s="1"/>
  <c r="T286" i="15"/>
  <c r="P300" i="15"/>
  <c r="K300" i="15"/>
  <c r="P299" i="15"/>
  <c r="K299" i="15"/>
  <c r="M299" i="15" s="1"/>
  <c r="P298" i="15"/>
  <c r="K298" i="15"/>
  <c r="P297" i="15"/>
  <c r="K297" i="15"/>
  <c r="P296" i="15"/>
  <c r="K296" i="15"/>
  <c r="P295" i="15"/>
  <c r="K295" i="15"/>
  <c r="M295" i="15" s="1"/>
  <c r="P294" i="15"/>
  <c r="K294" i="15"/>
  <c r="M294" i="15" s="1"/>
  <c r="O294" i="15" s="1"/>
  <c r="P293" i="15"/>
  <c r="K293" i="15"/>
  <c r="P292" i="15"/>
  <c r="K292" i="15"/>
  <c r="P291" i="15"/>
  <c r="K291" i="15"/>
  <c r="M291" i="15" s="1"/>
  <c r="P290" i="15"/>
  <c r="K290" i="15"/>
  <c r="M290" i="15" s="1"/>
  <c r="O290" i="15" s="1"/>
  <c r="P289" i="15"/>
  <c r="K289" i="15"/>
  <c r="P288" i="15"/>
  <c r="K288" i="15"/>
  <c r="P287" i="15"/>
  <c r="K287" i="15"/>
  <c r="M287" i="15" s="1"/>
  <c r="P286" i="15"/>
  <c r="K286" i="15"/>
  <c r="M286" i="15" s="1"/>
  <c r="O286" i="15" s="1"/>
  <c r="P285" i="15"/>
  <c r="K285" i="15"/>
  <c r="M285" i="15" s="1"/>
  <c r="O285" i="15" s="1"/>
  <c r="P284" i="15"/>
  <c r="K284" i="15"/>
  <c r="M284" i="15" s="1"/>
  <c r="P283" i="15"/>
  <c r="K283" i="15"/>
  <c r="M283" i="15" s="1"/>
  <c r="P282" i="15"/>
  <c r="K282" i="15"/>
  <c r="M282" i="15" s="1"/>
  <c r="O282" i="15" s="1"/>
  <c r="P281" i="15"/>
  <c r="K281" i="15"/>
  <c r="M281" i="15" s="1"/>
  <c r="O281" i="15" s="1"/>
  <c r="P280" i="15"/>
  <c r="K280" i="15"/>
  <c r="P279" i="15"/>
  <c r="K279" i="15"/>
  <c r="M279" i="15" s="1"/>
  <c r="P278" i="15"/>
  <c r="K278" i="15"/>
  <c r="M278" i="15" s="1"/>
  <c r="O278" i="15" s="1"/>
  <c r="Q278" i="15" s="1"/>
  <c r="P277" i="15"/>
  <c r="K277" i="15"/>
  <c r="M277" i="15" s="1"/>
  <c r="O277" i="15" s="1"/>
  <c r="P232" i="20"/>
  <c r="P233" i="20"/>
  <c r="P234" i="20"/>
  <c r="P235" i="20"/>
  <c r="P236" i="20"/>
  <c r="P237" i="20"/>
  <c r="P238" i="20"/>
  <c r="P239" i="20"/>
  <c r="P240" i="20"/>
  <c r="P241" i="20"/>
  <c r="P242" i="20"/>
  <c r="P243" i="20"/>
  <c r="P244" i="20"/>
  <c r="P245" i="20"/>
  <c r="P246" i="20"/>
  <c r="P247" i="20"/>
  <c r="P248" i="20"/>
  <c r="P249" i="20"/>
  <c r="P250" i="20"/>
  <c r="P251" i="20"/>
  <c r="P252" i="20"/>
  <c r="P253" i="20"/>
  <c r="P254" i="20"/>
  <c r="P255" i="20"/>
  <c r="K232" i="20"/>
  <c r="K233" i="20"/>
  <c r="K234" i="20"/>
  <c r="K235" i="20"/>
  <c r="K236" i="20"/>
  <c r="K237" i="20"/>
  <c r="K238" i="20"/>
  <c r="K239" i="20"/>
  <c r="K240" i="20"/>
  <c r="K241" i="20"/>
  <c r="K242" i="20"/>
  <c r="K243" i="20"/>
  <c r="K244" i="20"/>
  <c r="K245" i="20"/>
  <c r="K246" i="20"/>
  <c r="M246" i="20" s="1"/>
  <c r="K247" i="20"/>
  <c r="K248" i="20"/>
  <c r="K249" i="20"/>
  <c r="K250" i="20"/>
  <c r="K251" i="20"/>
  <c r="K252" i="20"/>
  <c r="K253" i="20"/>
  <c r="K254" i="20"/>
  <c r="K255" i="20"/>
  <c r="V303" i="15" l="1"/>
  <c r="Q304" i="15" s="1"/>
  <c r="O26" i="20"/>
  <c r="Q26" i="20" s="1"/>
  <c r="Q228" i="20"/>
  <c r="Q229" i="20"/>
  <c r="O25" i="20"/>
  <c r="Q25" i="20" s="1"/>
  <c r="O32" i="20"/>
  <c r="Q32" i="20" s="1"/>
  <c r="O34" i="20"/>
  <c r="Q34" i="20" s="1"/>
  <c r="O40" i="20"/>
  <c r="Q40" i="20" s="1"/>
  <c r="O69" i="20"/>
  <c r="Q69" i="20" s="1"/>
  <c r="O39" i="20"/>
  <c r="Q39" i="20" s="1"/>
  <c r="O90" i="20"/>
  <c r="Q90" i="20" s="1"/>
  <c r="O87" i="20"/>
  <c r="Q87" i="20" s="1"/>
  <c r="O127" i="20"/>
  <c r="Q127" i="20" s="1"/>
  <c r="O148" i="20"/>
  <c r="Q148" i="20" s="1"/>
  <c r="O51" i="20"/>
  <c r="Q51" i="20" s="1"/>
  <c r="O53" i="20"/>
  <c r="Q53" i="20" s="1"/>
  <c r="O59" i="20"/>
  <c r="Q59" i="20" s="1"/>
  <c r="O67" i="20"/>
  <c r="Q67" i="20" s="1"/>
  <c r="O114" i="20"/>
  <c r="Q114" i="20" s="1"/>
  <c r="O126" i="20"/>
  <c r="Q126" i="20" s="1"/>
  <c r="O66" i="20"/>
  <c r="Q66" i="20" s="1"/>
  <c r="O134" i="20"/>
  <c r="Q134" i="20" s="1"/>
  <c r="O180" i="20"/>
  <c r="Q180" i="20" s="1"/>
  <c r="O58" i="20"/>
  <c r="Q58" i="20" s="1"/>
  <c r="O74" i="20"/>
  <c r="Q74" i="20" s="1"/>
  <c r="O133" i="20"/>
  <c r="Q133" i="20" s="1"/>
  <c r="O137" i="20"/>
  <c r="Q137" i="20" s="1"/>
  <c r="O31" i="20"/>
  <c r="Q31" i="20" s="1"/>
  <c r="O50" i="20"/>
  <c r="Q50" i="20" s="1"/>
  <c r="O89" i="20"/>
  <c r="Q89" i="20" s="1"/>
  <c r="O93" i="20"/>
  <c r="Q93" i="20" s="1"/>
  <c r="O27" i="20"/>
  <c r="Q27" i="20" s="1"/>
  <c r="O29" i="20"/>
  <c r="Q29" i="20" s="1"/>
  <c r="O38" i="20"/>
  <c r="Q38" i="20" s="1"/>
  <c r="O43" i="20"/>
  <c r="Q43" i="20" s="1"/>
  <c r="O49" i="20"/>
  <c r="Q49" i="20" s="1"/>
  <c r="O56" i="20"/>
  <c r="Q56" i="20" s="1"/>
  <c r="O65" i="20"/>
  <c r="Q65" i="20" s="1"/>
  <c r="O70" i="20"/>
  <c r="Q70" i="20" s="1"/>
  <c r="O72" i="20"/>
  <c r="Q72" i="20" s="1"/>
  <c r="O92" i="20"/>
  <c r="Q92" i="20" s="1"/>
  <c r="O30" i="20"/>
  <c r="Q30" i="20" s="1"/>
  <c r="O37" i="20"/>
  <c r="Q37" i="20" s="1"/>
  <c r="O57" i="20"/>
  <c r="Q57" i="20" s="1"/>
  <c r="O62" i="20"/>
  <c r="Q62" i="20" s="1"/>
  <c r="O78" i="20"/>
  <c r="Q78" i="20" s="1"/>
  <c r="O80" i="20"/>
  <c r="Q80" i="20" s="1"/>
  <c r="O108" i="20"/>
  <c r="Q108" i="20" s="1"/>
  <c r="O149" i="20"/>
  <c r="Q149" i="20" s="1"/>
  <c r="O179" i="20"/>
  <c r="Q179" i="20" s="1"/>
  <c r="O109" i="20"/>
  <c r="Q109" i="20" s="1"/>
  <c r="O138" i="20"/>
  <c r="Q138" i="20" s="1"/>
  <c r="O3" i="20"/>
  <c r="O5" i="20"/>
  <c r="Q5" i="20" s="1"/>
  <c r="O15" i="20"/>
  <c r="Q15" i="20" s="1"/>
  <c r="O17" i="20"/>
  <c r="Q17" i="20" s="1"/>
  <c r="O19" i="20"/>
  <c r="Q19" i="20" s="1"/>
  <c r="O91" i="20"/>
  <c r="Q91" i="20" s="1"/>
  <c r="O136" i="20"/>
  <c r="Q136" i="20" s="1"/>
  <c r="O144" i="20"/>
  <c r="Q144" i="20" s="1"/>
  <c r="O28" i="20"/>
  <c r="Q28" i="20" s="1"/>
  <c r="O36" i="20"/>
  <c r="Q36" i="20" s="1"/>
  <c r="O41" i="20"/>
  <c r="Q41" i="20" s="1"/>
  <c r="O44" i="20"/>
  <c r="Q44" i="20" s="1"/>
  <c r="O52" i="20"/>
  <c r="Q52" i="20" s="1"/>
  <c r="O55" i="20"/>
  <c r="Q55" i="20" s="1"/>
  <c r="O60" i="20"/>
  <c r="Q60" i="20" s="1"/>
  <c r="O63" i="20"/>
  <c r="Q63" i="20" s="1"/>
  <c r="O68" i="20"/>
  <c r="Q68" i="20" s="1"/>
  <c r="O76" i="20"/>
  <c r="Q76" i="20" s="1"/>
  <c r="O110" i="20"/>
  <c r="Q110" i="20" s="1"/>
  <c r="O135" i="20"/>
  <c r="Q135" i="20" s="1"/>
  <c r="O143" i="20"/>
  <c r="Q143" i="20" s="1"/>
  <c r="O145" i="20"/>
  <c r="Q145" i="20" s="1"/>
  <c r="O181" i="20"/>
  <c r="Q181" i="20" s="1"/>
  <c r="O197" i="20"/>
  <c r="Q197" i="20" s="1"/>
  <c r="O86" i="20"/>
  <c r="Q86" i="20" s="1"/>
  <c r="O125" i="20"/>
  <c r="Q125" i="20" s="1"/>
  <c r="O147" i="20"/>
  <c r="Q147" i="20" s="1"/>
  <c r="O178" i="20"/>
  <c r="Q178" i="20" s="1"/>
  <c r="O4" i="20"/>
  <c r="Q4" i="20" s="1"/>
  <c r="O6" i="20"/>
  <c r="Q6" i="20" s="1"/>
  <c r="O8" i="20"/>
  <c r="Q8" i="20" s="1"/>
  <c r="O10" i="20"/>
  <c r="Q10" i="20" s="1"/>
  <c r="O12" i="20"/>
  <c r="Q12" i="20" s="1"/>
  <c r="O14" i="20"/>
  <c r="Q14" i="20" s="1"/>
  <c r="O16" i="20"/>
  <c r="Q16" i="20" s="1"/>
  <c r="O18" i="20"/>
  <c r="Q18" i="20" s="1"/>
  <c r="O20" i="20"/>
  <c r="Q20" i="20" s="1"/>
  <c r="O88" i="20"/>
  <c r="Q88" i="20" s="1"/>
  <c r="O111" i="20"/>
  <c r="Q111" i="20" s="1"/>
  <c r="O146" i="20"/>
  <c r="Q146" i="20" s="1"/>
  <c r="O128" i="20"/>
  <c r="Q128" i="20" s="1"/>
  <c r="O198" i="20"/>
  <c r="Q198" i="20" s="1"/>
  <c r="O206" i="20"/>
  <c r="Q206" i="20" s="1"/>
  <c r="M250" i="20"/>
  <c r="O250" i="20" s="1"/>
  <c r="Q250" i="20" s="1"/>
  <c r="M242" i="20"/>
  <c r="O242" i="20" s="1"/>
  <c r="Q242" i="20" s="1"/>
  <c r="M234" i="20"/>
  <c r="O234" i="20" s="1"/>
  <c r="Q234" i="20" s="1"/>
  <c r="O246" i="20"/>
  <c r="Q246" i="20" s="1"/>
  <c r="M252" i="20"/>
  <c r="O252" i="20" s="1"/>
  <c r="Q252" i="20" s="1"/>
  <c r="M248" i="20"/>
  <c r="O248" i="20" s="1"/>
  <c r="Q248" i="20" s="1"/>
  <c r="M244" i="20"/>
  <c r="O244" i="20" s="1"/>
  <c r="Q244" i="20" s="1"/>
  <c r="M240" i="20"/>
  <c r="O240" i="20" s="1"/>
  <c r="Q240" i="20" s="1"/>
  <c r="M236" i="20"/>
  <c r="O236" i="20" s="1"/>
  <c r="Q236" i="20" s="1"/>
  <c r="M232" i="20"/>
  <c r="O232" i="20" s="1"/>
  <c r="Q232" i="20" s="1"/>
  <c r="M255" i="20"/>
  <c r="O255" i="20" s="1"/>
  <c r="Q255" i="20" s="1"/>
  <c r="M251" i="20"/>
  <c r="O251" i="20" s="1"/>
  <c r="Q251" i="20" s="1"/>
  <c r="M247" i="20"/>
  <c r="O247" i="20" s="1"/>
  <c r="Q247" i="20" s="1"/>
  <c r="M243" i="20"/>
  <c r="O243" i="20" s="1"/>
  <c r="Q243" i="20" s="1"/>
  <c r="M239" i="20"/>
  <c r="O239" i="20" s="1"/>
  <c r="Q239" i="20" s="1"/>
  <c r="M235" i="20"/>
  <c r="O235" i="20" s="1"/>
  <c r="Q235" i="20" s="1"/>
  <c r="M254" i="20"/>
  <c r="O254" i="20" s="1"/>
  <c r="Q254" i="20" s="1"/>
  <c r="M238" i="20"/>
  <c r="O238" i="20" s="1"/>
  <c r="Q238" i="20" s="1"/>
  <c r="M253" i="20"/>
  <c r="O253" i="20" s="1"/>
  <c r="Q253" i="20" s="1"/>
  <c r="M249" i="20"/>
  <c r="O249" i="20" s="1"/>
  <c r="Q249" i="20" s="1"/>
  <c r="M245" i="20"/>
  <c r="O245" i="20" s="1"/>
  <c r="Q245" i="20" s="1"/>
  <c r="M241" i="20"/>
  <c r="O241" i="20" s="1"/>
  <c r="Q241" i="20" s="1"/>
  <c r="M237" i="20"/>
  <c r="O237" i="20" s="1"/>
  <c r="Q237" i="20" s="1"/>
  <c r="M233" i="20"/>
  <c r="O233" i="20" s="1"/>
  <c r="Q233" i="20" s="1"/>
  <c r="N186" i="22"/>
  <c r="O134" i="22"/>
  <c r="O136" i="22"/>
  <c r="O138" i="22"/>
  <c r="O184" i="22"/>
  <c r="O180" i="22"/>
  <c r="O176" i="22"/>
  <c r="O21" i="22"/>
  <c r="O37" i="22"/>
  <c r="O39" i="22"/>
  <c r="O41" i="22"/>
  <c r="O43" i="22"/>
  <c r="O172" i="22"/>
  <c r="O183" i="22"/>
  <c r="O148" i="22"/>
  <c r="O150" i="22"/>
  <c r="O46" i="22"/>
  <c r="O48" i="22"/>
  <c r="O51" i="22"/>
  <c r="O53" i="22"/>
  <c r="O57" i="22"/>
  <c r="O59" i="22"/>
  <c r="O63" i="22"/>
  <c r="O65" i="22"/>
  <c r="O175" i="22"/>
  <c r="O87" i="22"/>
  <c r="O92" i="22"/>
  <c r="O94" i="22"/>
  <c r="O96" i="22"/>
  <c r="O98" i="22"/>
  <c r="O100" i="22"/>
  <c r="O45" i="22"/>
  <c r="O102" i="22"/>
  <c r="O104" i="22"/>
  <c r="O106" i="22"/>
  <c r="O108" i="22"/>
  <c r="O110" i="22"/>
  <c r="O66" i="22"/>
  <c r="O156" i="22"/>
  <c r="O18" i="22"/>
  <c r="T19" i="22"/>
  <c r="T23" i="22"/>
  <c r="O158" i="22"/>
  <c r="O68" i="22"/>
  <c r="O70" i="22"/>
  <c r="O72" i="22"/>
  <c r="O84" i="22"/>
  <c r="O86" i="22"/>
  <c r="O89" i="22"/>
  <c r="O119" i="22"/>
  <c r="O121" i="22"/>
  <c r="O123" i="22"/>
  <c r="O125" i="22"/>
  <c r="O127" i="22"/>
  <c r="O129" i="22"/>
  <c r="O131" i="22"/>
  <c r="O182" i="22"/>
  <c r="O168" i="22"/>
  <c r="O179" i="22"/>
  <c r="O171" i="22"/>
  <c r="O47" i="22"/>
  <c r="O67" i="22"/>
  <c r="O71" i="22"/>
  <c r="O73" i="22"/>
  <c r="T13" i="22"/>
  <c r="O88" i="22"/>
  <c r="O95" i="22"/>
  <c r="O97" i="22"/>
  <c r="O99" i="22"/>
  <c r="O101" i="22"/>
  <c r="O103" i="22"/>
  <c r="O105" i="22"/>
  <c r="O107" i="22"/>
  <c r="O109" i="22"/>
  <c r="O111" i="22"/>
  <c r="O152" i="22"/>
  <c r="O42" i="22"/>
  <c r="O44" i="22"/>
  <c r="O52" i="22"/>
  <c r="O58" i="22"/>
  <c r="O60" i="22"/>
  <c r="O62" i="22"/>
  <c r="O64" i="22"/>
  <c r="O77" i="22"/>
  <c r="O79" i="22"/>
  <c r="O81" i="22"/>
  <c r="O83" i="22"/>
  <c r="O85" i="22"/>
  <c r="O114" i="22"/>
  <c r="O116" i="22"/>
  <c r="O137" i="22"/>
  <c r="O155" i="22"/>
  <c r="O159" i="22"/>
  <c r="O161" i="22"/>
  <c r="O163" i="22"/>
  <c r="O165" i="22"/>
  <c r="O177" i="22"/>
  <c r="O169" i="22"/>
  <c r="O173" i="22"/>
  <c r="O178" i="22"/>
  <c r="O174" i="22"/>
  <c r="O170" i="22"/>
  <c r="O17" i="22"/>
  <c r="O19" i="22"/>
  <c r="O61" i="22"/>
  <c r="O69" i="22"/>
  <c r="O82" i="22"/>
  <c r="O90" i="22"/>
  <c r="O118" i="22"/>
  <c r="O120" i="22"/>
  <c r="O122" i="22"/>
  <c r="O124" i="22"/>
  <c r="O126" i="22"/>
  <c r="O128" i="22"/>
  <c r="O130" i="22"/>
  <c r="O160" i="22"/>
  <c r="O162" i="22"/>
  <c r="O164" i="22"/>
  <c r="O181" i="22"/>
  <c r="O185" i="22"/>
  <c r="O218" i="13"/>
  <c r="T6" i="22"/>
  <c r="O23" i="22"/>
  <c r="O25" i="22"/>
  <c r="O27" i="22"/>
  <c r="O29" i="22"/>
  <c r="O31" i="22"/>
  <c r="O33" i="22"/>
  <c r="O54" i="22"/>
  <c r="O56" i="22"/>
  <c r="O22" i="22"/>
  <c r="O24" i="22"/>
  <c r="O26" i="22"/>
  <c r="O28" i="22"/>
  <c r="O30" i="22"/>
  <c r="O32" i="22"/>
  <c r="O40" i="22"/>
  <c r="O93" i="22"/>
  <c r="O20" i="22"/>
  <c r="O35" i="22"/>
  <c r="O6" i="22"/>
  <c r="M186" i="22"/>
  <c r="O38" i="22"/>
  <c r="O78" i="22"/>
  <c r="O113" i="22"/>
  <c r="O167" i="22"/>
  <c r="O36" i="22"/>
  <c r="O117" i="22"/>
  <c r="O135" i="22"/>
  <c r="O139" i="22"/>
  <c r="O141" i="22"/>
  <c r="O143" i="22"/>
  <c r="O145" i="22"/>
  <c r="O147" i="22"/>
  <c r="O151" i="22"/>
  <c r="O55" i="22"/>
  <c r="O76" i="22"/>
  <c r="O80" i="22"/>
  <c r="O115" i="22"/>
  <c r="O140" i="22"/>
  <c r="O142" i="22"/>
  <c r="O144" i="22"/>
  <c r="O146" i="22"/>
  <c r="O149" i="22"/>
  <c r="O157" i="22"/>
  <c r="O211" i="13"/>
  <c r="O212" i="13"/>
  <c r="O216" i="13"/>
  <c r="O219" i="13"/>
  <c r="O215" i="13"/>
  <c r="O222" i="13"/>
  <c r="O217" i="13"/>
  <c r="O213" i="13"/>
  <c r="O210" i="13"/>
  <c r="O220" i="13"/>
  <c r="O223" i="13"/>
  <c r="O214" i="13"/>
  <c r="O221" i="13"/>
  <c r="Q301" i="15"/>
  <c r="P303" i="15"/>
  <c r="O302" i="15"/>
  <c r="Q302" i="15" s="1"/>
  <c r="Q282" i="15"/>
  <c r="Q286" i="15"/>
  <c r="M298" i="15"/>
  <c r="O298" i="15" s="1"/>
  <c r="Q298" i="15" s="1"/>
  <c r="M297" i="15"/>
  <c r="O297" i="15" s="1"/>
  <c r="Q297" i="15" s="1"/>
  <c r="Q285" i="15"/>
  <c r="Q290" i="15"/>
  <c r="Q294" i="15"/>
  <c r="Q277" i="15"/>
  <c r="O284" i="15"/>
  <c r="Q284" i="15" s="1"/>
  <c r="Q281" i="15"/>
  <c r="O299" i="15"/>
  <c r="Q299" i="15" s="1"/>
  <c r="O283" i="15"/>
  <c r="Q283" i="15" s="1"/>
  <c r="O287" i="15"/>
  <c r="Q287" i="15" s="1"/>
  <c r="M288" i="15"/>
  <c r="O288" i="15" s="1"/>
  <c r="Q288" i="15" s="1"/>
  <c r="O291" i="15"/>
  <c r="Q291" i="15" s="1"/>
  <c r="M292" i="15"/>
  <c r="O292" i="15" s="1"/>
  <c r="Q292" i="15" s="1"/>
  <c r="O295" i="15"/>
  <c r="Q295" i="15" s="1"/>
  <c r="M296" i="15"/>
  <c r="O296" i="15" s="1"/>
  <c r="Q296" i="15" s="1"/>
  <c r="M300" i="15"/>
  <c r="O300" i="15" s="1"/>
  <c r="Q300" i="15" s="1"/>
  <c r="O279" i="15"/>
  <c r="Q279" i="15" s="1"/>
  <c r="M280" i="15"/>
  <c r="O280" i="15" s="1"/>
  <c r="Q280" i="15" s="1"/>
  <c r="M289" i="15"/>
  <c r="O289" i="15" s="1"/>
  <c r="Q289" i="15" s="1"/>
  <c r="M293" i="15"/>
  <c r="O293" i="15" s="1"/>
  <c r="Q293" i="15" s="1"/>
  <c r="D111" i="5"/>
  <c r="C111" i="5"/>
  <c r="Q3" i="20" l="1"/>
  <c r="O186" i="22"/>
  <c r="O202" i="22" s="1"/>
  <c r="Q303" i="15"/>
  <c r="Q305" i="15" s="1"/>
  <c r="O303" i="15"/>
  <c r="B111" i="5"/>
  <c r="P227" i="20"/>
  <c r="K227" i="20"/>
  <c r="P226" i="20"/>
  <c r="K226" i="20"/>
  <c r="P225" i="20"/>
  <c r="K225" i="20"/>
  <c r="M225" i="20" s="1"/>
  <c r="P224" i="20"/>
  <c r="K224" i="20"/>
  <c r="M224" i="20" s="1"/>
  <c r="O224" i="20" s="1"/>
  <c r="P223" i="20"/>
  <c r="K223" i="20"/>
  <c r="M223" i="20" s="1"/>
  <c r="O223" i="20" s="1"/>
  <c r="P222" i="20"/>
  <c r="K222" i="20"/>
  <c r="P221" i="20"/>
  <c r="K221" i="20"/>
  <c r="M221" i="20" s="1"/>
  <c r="P220" i="20"/>
  <c r="K220" i="20"/>
  <c r="M220" i="20" s="1"/>
  <c r="O220" i="20" s="1"/>
  <c r="P219" i="20"/>
  <c r="K219" i="20"/>
  <c r="P218" i="20"/>
  <c r="K218" i="20"/>
  <c r="M218" i="20" s="1"/>
  <c r="O218" i="20" s="1"/>
  <c r="P217" i="20"/>
  <c r="K217" i="20"/>
  <c r="P216" i="20"/>
  <c r="K216" i="20"/>
  <c r="M216" i="20" s="1"/>
  <c r="P215" i="20"/>
  <c r="K215" i="20"/>
  <c r="P214" i="20"/>
  <c r="K214" i="20"/>
  <c r="M214" i="20" s="1"/>
  <c r="P213" i="20"/>
  <c r="K213" i="20"/>
  <c r="M213" i="20" s="1"/>
  <c r="O213" i="20" s="1"/>
  <c r="P212" i="20"/>
  <c r="K212" i="20"/>
  <c r="M212" i="20" s="1"/>
  <c r="P211" i="20"/>
  <c r="K211" i="20"/>
  <c r="M211" i="20" s="1"/>
  <c r="O211" i="20" s="1"/>
  <c r="P210" i="20"/>
  <c r="K210" i="20"/>
  <c r="P207" i="20"/>
  <c r="K207" i="20"/>
  <c r="M207" i="20" s="1"/>
  <c r="P205" i="20"/>
  <c r="K205" i="20"/>
  <c r="M205" i="20" s="1"/>
  <c r="O205" i="20" s="1"/>
  <c r="P204" i="20"/>
  <c r="K204" i="20"/>
  <c r="M204" i="20" s="1"/>
  <c r="P203" i="20"/>
  <c r="K203" i="20"/>
  <c r="P202" i="20"/>
  <c r="K202" i="20"/>
  <c r="P201" i="20"/>
  <c r="K201" i="20"/>
  <c r="M201" i="20" s="1"/>
  <c r="O201" i="20" s="1"/>
  <c r="P200" i="20"/>
  <c r="K200" i="20"/>
  <c r="M200" i="20" s="1"/>
  <c r="P199" i="20"/>
  <c r="K199" i="20"/>
  <c r="M199" i="20" s="1"/>
  <c r="P196" i="20"/>
  <c r="K196" i="20"/>
  <c r="P195" i="20"/>
  <c r="K195" i="20"/>
  <c r="M195" i="20" s="1"/>
  <c r="P194" i="20"/>
  <c r="K194" i="20"/>
  <c r="M194" i="20" s="1"/>
  <c r="O194" i="20" s="1"/>
  <c r="P193" i="20"/>
  <c r="K193" i="20"/>
  <c r="M193" i="20" s="1"/>
  <c r="P192" i="20"/>
  <c r="K192" i="20"/>
  <c r="M192" i="20" s="1"/>
  <c r="O192" i="20" s="1"/>
  <c r="P187" i="20"/>
  <c r="M187" i="20"/>
  <c r="K187" i="20"/>
  <c r="P186" i="20"/>
  <c r="M186" i="20"/>
  <c r="K186" i="20"/>
  <c r="P185" i="20"/>
  <c r="M185" i="20"/>
  <c r="K185" i="20"/>
  <c r="P184" i="20"/>
  <c r="M184" i="20"/>
  <c r="K184" i="20"/>
  <c r="P183" i="20"/>
  <c r="M183" i="20"/>
  <c r="K183" i="20"/>
  <c r="P182" i="20"/>
  <c r="M182" i="20"/>
  <c r="K182" i="20"/>
  <c r="P177" i="20"/>
  <c r="M177" i="20"/>
  <c r="K177" i="20"/>
  <c r="P176" i="20"/>
  <c r="M176" i="20"/>
  <c r="K176" i="20"/>
  <c r="P175" i="20"/>
  <c r="M175" i="20"/>
  <c r="K175" i="20"/>
  <c r="P174" i="20"/>
  <c r="M174" i="20"/>
  <c r="K174" i="20"/>
  <c r="P173" i="20"/>
  <c r="M173" i="20"/>
  <c r="K173" i="20"/>
  <c r="P172" i="20"/>
  <c r="M172" i="20"/>
  <c r="K172" i="20"/>
  <c r="P171" i="20"/>
  <c r="M171" i="20"/>
  <c r="K171" i="20"/>
  <c r="P170" i="20"/>
  <c r="M170" i="20"/>
  <c r="K170" i="20"/>
  <c r="P169" i="20"/>
  <c r="M169" i="20"/>
  <c r="K169" i="20"/>
  <c r="P168" i="20"/>
  <c r="M168" i="20"/>
  <c r="K168" i="20"/>
  <c r="P167" i="20"/>
  <c r="M167" i="20"/>
  <c r="K167" i="20"/>
  <c r="P166" i="20"/>
  <c r="M166" i="20"/>
  <c r="K166" i="20"/>
  <c r="P165" i="20"/>
  <c r="M165" i="20"/>
  <c r="K165" i="20"/>
  <c r="P164" i="20"/>
  <c r="M164" i="20"/>
  <c r="K164" i="20"/>
  <c r="P163" i="20"/>
  <c r="M163" i="20"/>
  <c r="K163" i="20"/>
  <c r="P158" i="20"/>
  <c r="M158" i="20"/>
  <c r="K158" i="20"/>
  <c r="P157" i="20"/>
  <c r="M157" i="20"/>
  <c r="K157" i="20"/>
  <c r="P156" i="20"/>
  <c r="M156" i="20"/>
  <c r="K156" i="20"/>
  <c r="P155" i="20"/>
  <c r="M155" i="20"/>
  <c r="K155" i="20"/>
  <c r="P154" i="20"/>
  <c r="M154" i="20"/>
  <c r="K154" i="20"/>
  <c r="P153" i="20"/>
  <c r="M153" i="20"/>
  <c r="K153" i="20"/>
  <c r="P152" i="20"/>
  <c r="M152" i="20"/>
  <c r="K152" i="20"/>
  <c r="P151" i="20"/>
  <c r="M151" i="20"/>
  <c r="K151" i="20"/>
  <c r="P150" i="20"/>
  <c r="M150" i="20"/>
  <c r="K150" i="20"/>
  <c r="P142" i="20"/>
  <c r="M142" i="20"/>
  <c r="K142" i="20"/>
  <c r="P141" i="20"/>
  <c r="M141" i="20"/>
  <c r="K141" i="20"/>
  <c r="P140" i="20"/>
  <c r="M140" i="20"/>
  <c r="K140" i="20"/>
  <c r="P139" i="20"/>
  <c r="M139" i="20"/>
  <c r="K139" i="20"/>
  <c r="P124" i="20"/>
  <c r="M124" i="20"/>
  <c r="K124" i="20"/>
  <c r="P123" i="20"/>
  <c r="M123" i="20"/>
  <c r="K123" i="20"/>
  <c r="P122" i="20"/>
  <c r="M122" i="20"/>
  <c r="K122" i="20"/>
  <c r="P121" i="20"/>
  <c r="M121" i="20"/>
  <c r="K121" i="20"/>
  <c r="P120" i="20"/>
  <c r="M120" i="20"/>
  <c r="K120" i="20"/>
  <c r="P119" i="20"/>
  <c r="M119" i="20"/>
  <c r="K119" i="20"/>
  <c r="P118" i="20"/>
  <c r="M118" i="20"/>
  <c r="K118" i="20"/>
  <c r="P117" i="20"/>
  <c r="M117" i="20"/>
  <c r="K117" i="20"/>
  <c r="P116" i="20"/>
  <c r="M116" i="20"/>
  <c r="K116" i="20"/>
  <c r="P115" i="20"/>
  <c r="M115" i="20"/>
  <c r="K115" i="20"/>
  <c r="P113" i="20"/>
  <c r="M113" i="20"/>
  <c r="K113" i="20"/>
  <c r="P112" i="20"/>
  <c r="M112" i="20"/>
  <c r="K112" i="20"/>
  <c r="P107" i="20"/>
  <c r="M107" i="20"/>
  <c r="K107" i="20"/>
  <c r="P106" i="20"/>
  <c r="M106" i="20"/>
  <c r="K106" i="20"/>
  <c r="P105" i="20"/>
  <c r="M105" i="20"/>
  <c r="K105" i="20"/>
  <c r="P100" i="20"/>
  <c r="M100" i="20"/>
  <c r="K100" i="20"/>
  <c r="P99" i="20"/>
  <c r="M99" i="20"/>
  <c r="K99" i="20"/>
  <c r="P98" i="20"/>
  <c r="M98" i="20"/>
  <c r="K98" i="20"/>
  <c r="P97" i="20"/>
  <c r="M97" i="20"/>
  <c r="K97" i="20"/>
  <c r="P96" i="20"/>
  <c r="M96" i="20"/>
  <c r="K96" i="20"/>
  <c r="P95" i="20"/>
  <c r="M95" i="20"/>
  <c r="K95" i="20"/>
  <c r="P94" i="20"/>
  <c r="M94" i="20"/>
  <c r="K94" i="20"/>
  <c r="P85" i="20"/>
  <c r="M85" i="20"/>
  <c r="K85" i="20"/>
  <c r="M79" i="20"/>
  <c r="K79" i="20"/>
  <c r="M77" i="20"/>
  <c r="K77" i="20"/>
  <c r="M75" i="20"/>
  <c r="K75" i="20"/>
  <c r="M73" i="20"/>
  <c r="K73" i="20"/>
  <c r="M71" i="20"/>
  <c r="K71" i="20"/>
  <c r="M64" i="20"/>
  <c r="K64" i="20"/>
  <c r="M61" i="20"/>
  <c r="K61" i="20"/>
  <c r="M54" i="20"/>
  <c r="K54" i="20"/>
  <c r="M42" i="20"/>
  <c r="K42" i="20"/>
  <c r="M35" i="20"/>
  <c r="K35" i="20"/>
  <c r="M33" i="20"/>
  <c r="K33" i="20"/>
  <c r="M13" i="20"/>
  <c r="K13" i="20"/>
  <c r="M11" i="20"/>
  <c r="K11" i="20"/>
  <c r="M9" i="20"/>
  <c r="K9" i="20"/>
  <c r="M7" i="20"/>
  <c r="K7" i="20"/>
  <c r="V187" i="15"/>
  <c r="M227" i="20" l="1"/>
  <c r="O227" i="20" s="1"/>
  <c r="Q227" i="20" s="1"/>
  <c r="O157" i="20"/>
  <c r="Q157" i="20" s="1"/>
  <c r="O96" i="20"/>
  <c r="Q96" i="20" s="1"/>
  <c r="Q223" i="20"/>
  <c r="O139" i="20"/>
  <c r="Q139" i="20" s="1"/>
  <c r="O151" i="20"/>
  <c r="Q151" i="20" s="1"/>
  <c r="O112" i="20"/>
  <c r="Q112" i="20" s="1"/>
  <c r="O33" i="20"/>
  <c r="Q33" i="20" s="1"/>
  <c r="O35" i="20"/>
  <c r="Q35" i="20" s="1"/>
  <c r="O98" i="20"/>
  <c r="Q98" i="20" s="1"/>
  <c r="O165" i="20"/>
  <c r="Q165" i="20" s="1"/>
  <c r="O173" i="20"/>
  <c r="Q173" i="20" s="1"/>
  <c r="O185" i="20"/>
  <c r="Q185" i="20" s="1"/>
  <c r="O204" i="20"/>
  <c r="Q204" i="20" s="1"/>
  <c r="Q213" i="20"/>
  <c r="Q201" i="20"/>
  <c r="O163" i="20"/>
  <c r="Q163" i="20" s="1"/>
  <c r="O164" i="20"/>
  <c r="Q164" i="20" s="1"/>
  <c r="O176" i="20"/>
  <c r="Q176" i="20" s="1"/>
  <c r="O142" i="20"/>
  <c r="Q142" i="20" s="1"/>
  <c r="O116" i="20"/>
  <c r="Q116" i="20" s="1"/>
  <c r="O120" i="20"/>
  <c r="Q120" i="20" s="1"/>
  <c r="O124" i="20"/>
  <c r="Q124" i="20" s="1"/>
  <c r="O99" i="20"/>
  <c r="Q99" i="20" s="1"/>
  <c r="O7" i="20"/>
  <c r="Q7" i="20" s="1"/>
  <c r="O9" i="20"/>
  <c r="Q9" i="20" s="1"/>
  <c r="O11" i="20"/>
  <c r="Q11" i="20" s="1"/>
  <c r="O13" i="20"/>
  <c r="Q13" i="20" s="1"/>
  <c r="O140" i="20"/>
  <c r="Q140" i="20" s="1"/>
  <c r="O85" i="20"/>
  <c r="Q85" i="20" s="1"/>
  <c r="O106" i="20"/>
  <c r="Q106" i="20" s="1"/>
  <c r="O107" i="20"/>
  <c r="Q107" i="20" s="1"/>
  <c r="O155" i="20"/>
  <c r="Q155" i="20" s="1"/>
  <c r="O167" i="20"/>
  <c r="Q167" i="20" s="1"/>
  <c r="O177" i="20"/>
  <c r="Q177" i="20" s="1"/>
  <c r="O174" i="20"/>
  <c r="Q174" i="20" s="1"/>
  <c r="O94" i="20"/>
  <c r="Q94" i="20" s="1"/>
  <c r="O100" i="20"/>
  <c r="Q100" i="20" s="1"/>
  <c r="O105" i="20"/>
  <c r="Q105" i="20" s="1"/>
  <c r="O141" i="20"/>
  <c r="Q141" i="20" s="1"/>
  <c r="O150" i="20"/>
  <c r="Q150" i="20" s="1"/>
  <c r="O166" i="20"/>
  <c r="Q166" i="20" s="1"/>
  <c r="O170" i="20"/>
  <c r="Q170" i="20" s="1"/>
  <c r="O175" i="20"/>
  <c r="Q175" i="20" s="1"/>
  <c r="O187" i="20"/>
  <c r="Q187" i="20" s="1"/>
  <c r="Q211" i="20"/>
  <c r="Q218" i="20"/>
  <c r="Q220" i="20"/>
  <c r="O182" i="20"/>
  <c r="Q182" i="20" s="1"/>
  <c r="O216" i="20"/>
  <c r="Q216" i="20" s="1"/>
  <c r="O171" i="20"/>
  <c r="Q171" i="20" s="1"/>
  <c r="O200" i="20"/>
  <c r="Q200" i="20" s="1"/>
  <c r="M203" i="20"/>
  <c r="O203" i="20" s="1"/>
  <c r="Q203" i="20" s="1"/>
  <c r="O118" i="20"/>
  <c r="Q118" i="20" s="1"/>
  <c r="O122" i="20"/>
  <c r="Q122" i="20" s="1"/>
  <c r="O154" i="20"/>
  <c r="Q154" i="20" s="1"/>
  <c r="O156" i="20"/>
  <c r="Q156" i="20" s="1"/>
  <c r="O184" i="20"/>
  <c r="Q184" i="20" s="1"/>
  <c r="O186" i="20"/>
  <c r="Q186" i="20" s="1"/>
  <c r="M196" i="20"/>
  <c r="O196" i="20" s="1"/>
  <c r="Q196" i="20" s="1"/>
  <c r="M210" i="20"/>
  <c r="O210" i="20" s="1"/>
  <c r="Q210" i="20" s="1"/>
  <c r="O212" i="20"/>
  <c r="Q212" i="20" s="1"/>
  <c r="O152" i="20"/>
  <c r="Q152" i="20" s="1"/>
  <c r="O199" i="20"/>
  <c r="Q199" i="20" s="1"/>
  <c r="O42" i="20"/>
  <c r="Q42" i="20" s="1"/>
  <c r="O54" i="20"/>
  <c r="Q54" i="20" s="1"/>
  <c r="O95" i="20"/>
  <c r="Q95" i="20" s="1"/>
  <c r="O97" i="20"/>
  <c r="Q97" i="20" s="1"/>
  <c r="O153" i="20"/>
  <c r="Q153" i="20" s="1"/>
  <c r="O158" i="20"/>
  <c r="Q158" i="20" s="1"/>
  <c r="O168" i="20"/>
  <c r="Q168" i="20" s="1"/>
  <c r="O172" i="20"/>
  <c r="Q172" i="20" s="1"/>
  <c r="O183" i="20"/>
  <c r="Q183" i="20" s="1"/>
  <c r="Q205" i="20"/>
  <c r="O207" i="20"/>
  <c r="Q207" i="20" s="1"/>
  <c r="O214" i="20"/>
  <c r="Q214" i="20" s="1"/>
  <c r="Q224" i="20"/>
  <c r="M222" i="20"/>
  <c r="O222" i="20" s="1"/>
  <c r="Q222" i="20" s="1"/>
  <c r="O61" i="20"/>
  <c r="Q61" i="20" s="1"/>
  <c r="O71" i="20"/>
  <c r="Q71" i="20" s="1"/>
  <c r="O73" i="20"/>
  <c r="Q73" i="20" s="1"/>
  <c r="O75" i="20"/>
  <c r="Q75" i="20" s="1"/>
  <c r="O77" i="20"/>
  <c r="Q77" i="20" s="1"/>
  <c r="O79" i="20"/>
  <c r="Q79" i="20" s="1"/>
  <c r="Q192" i="20"/>
  <c r="O64" i="20"/>
  <c r="Q64" i="20" s="1"/>
  <c r="M226" i="20"/>
  <c r="O226" i="20" s="1"/>
  <c r="Q226" i="20" s="1"/>
  <c r="O169" i="20"/>
  <c r="Q169" i="20" s="1"/>
  <c r="O195" i="20"/>
  <c r="M217" i="20"/>
  <c r="O217" i="20" s="1"/>
  <c r="Q217" i="20" s="1"/>
  <c r="O221" i="20"/>
  <c r="Q221" i="20" s="1"/>
  <c r="O225" i="20"/>
  <c r="Q225" i="20" s="1"/>
  <c r="O113" i="20"/>
  <c r="Q113" i="20" s="1"/>
  <c r="O115" i="20"/>
  <c r="Q115" i="20" s="1"/>
  <c r="O117" i="20"/>
  <c r="Q117" i="20" s="1"/>
  <c r="O119" i="20"/>
  <c r="Q119" i="20" s="1"/>
  <c r="O121" i="20"/>
  <c r="Q121" i="20" s="1"/>
  <c r="O123" i="20"/>
  <c r="Q123" i="20" s="1"/>
  <c r="O193" i="20"/>
  <c r="Q193" i="20" s="1"/>
  <c r="Q194" i="20"/>
  <c r="M202" i="20"/>
  <c r="O202" i="20" s="1"/>
  <c r="Q202" i="20" s="1"/>
  <c r="M215" i="20"/>
  <c r="O215" i="20" s="1"/>
  <c r="Q215" i="20" s="1"/>
  <c r="M219" i="20"/>
  <c r="O219" i="20" s="1"/>
  <c r="Q219" i="20" s="1"/>
  <c r="E63" i="18"/>
  <c r="E57" i="18"/>
  <c r="T270" i="15"/>
  <c r="T269" i="15"/>
  <c r="T251" i="15"/>
  <c r="V251" i="15" s="1"/>
  <c r="T221" i="15"/>
  <c r="V221" i="15" s="1"/>
  <c r="T193" i="15"/>
  <c r="V193" i="15" s="1"/>
  <c r="T186" i="15"/>
  <c r="V186" i="15" s="1"/>
  <c r="T185" i="15"/>
  <c r="V185" i="15" s="1"/>
  <c r="T152" i="15"/>
  <c r="V152" i="15" s="1"/>
  <c r="T94" i="15"/>
  <c r="V94" i="15" s="1"/>
  <c r="T93" i="15"/>
  <c r="V93" i="15" s="1"/>
  <c r="T92" i="15"/>
  <c r="V92" i="15" s="1"/>
  <c r="T61" i="15"/>
  <c r="V61" i="15" s="1"/>
  <c r="T53" i="15"/>
  <c r="V53" i="15" s="1"/>
  <c r="T52" i="15"/>
  <c r="V52" i="15" s="1"/>
  <c r="T51" i="15"/>
  <c r="V51" i="15" s="1"/>
  <c r="T24" i="15"/>
  <c r="V24" i="15" s="1"/>
  <c r="V270" i="15"/>
  <c r="V269" i="15"/>
  <c r="T65" i="15"/>
  <c r="T130" i="15"/>
  <c r="T33" i="15"/>
  <c r="Q121"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K194" i="15"/>
  <c r="O194" i="15" s="1"/>
  <c r="K195" i="15"/>
  <c r="O195" i="15" s="1"/>
  <c r="K196" i="15"/>
  <c r="O196" i="15" s="1"/>
  <c r="K197" i="15"/>
  <c r="K198" i="15"/>
  <c r="O198" i="15" s="1"/>
  <c r="K199" i="15"/>
  <c r="O199" i="15" s="1"/>
  <c r="K200" i="15"/>
  <c r="O200" i="15" s="1"/>
  <c r="K201" i="15"/>
  <c r="O201" i="15" s="1"/>
  <c r="Q201" i="15" s="1"/>
  <c r="K202" i="15"/>
  <c r="O202" i="15" s="1"/>
  <c r="Q202" i="15" s="1"/>
  <c r="K203" i="15"/>
  <c r="O203" i="15" s="1"/>
  <c r="K204" i="15"/>
  <c r="O204" i="15" s="1"/>
  <c r="K205" i="15"/>
  <c r="O205" i="15" s="1"/>
  <c r="K206" i="15"/>
  <c r="O206" i="15" s="1"/>
  <c r="Q206" i="15" s="1"/>
  <c r="K207" i="15"/>
  <c r="O207" i="15" s="1"/>
  <c r="K208" i="15"/>
  <c r="O208" i="15" s="1"/>
  <c r="K209" i="15"/>
  <c r="K210" i="15"/>
  <c r="O210" i="15" s="1"/>
  <c r="K211" i="15"/>
  <c r="O211" i="15" s="1"/>
  <c r="K212" i="15"/>
  <c r="O212" i="15" s="1"/>
  <c r="K213" i="15"/>
  <c r="O213" i="15" s="1"/>
  <c r="K214" i="15"/>
  <c r="K215" i="15"/>
  <c r="O215" i="15" s="1"/>
  <c r="K216" i="15"/>
  <c r="O216" i="15" s="1"/>
  <c r="K217" i="15"/>
  <c r="O217" i="15" s="1"/>
  <c r="Q217" i="15" s="1"/>
  <c r="P193" i="15"/>
  <c r="M193" i="15"/>
  <c r="K193"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58" i="15"/>
  <c r="M158" i="15"/>
  <c r="K158"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25" i="15"/>
  <c r="M125" i="15"/>
  <c r="K125" i="15"/>
  <c r="K101" i="15"/>
  <c r="K102" i="15"/>
  <c r="K103" i="15"/>
  <c r="K104" i="15"/>
  <c r="K105" i="15"/>
  <c r="K106" i="15"/>
  <c r="K107" i="15"/>
  <c r="K108" i="15"/>
  <c r="K109" i="15"/>
  <c r="K110" i="15"/>
  <c r="K111" i="15"/>
  <c r="K112" i="15"/>
  <c r="K113" i="15"/>
  <c r="K114" i="15"/>
  <c r="K115" i="15"/>
  <c r="M101" i="15"/>
  <c r="M102" i="15"/>
  <c r="M103" i="15"/>
  <c r="M104" i="15"/>
  <c r="M105" i="15"/>
  <c r="M106" i="15"/>
  <c r="M107" i="15"/>
  <c r="M108" i="15"/>
  <c r="M109" i="15"/>
  <c r="M110" i="15"/>
  <c r="M111" i="15"/>
  <c r="M112" i="15"/>
  <c r="M113" i="15"/>
  <c r="M114" i="15"/>
  <c r="M115" i="15"/>
  <c r="P101" i="15"/>
  <c r="P102" i="15"/>
  <c r="P103" i="15"/>
  <c r="P104" i="15"/>
  <c r="P105" i="15"/>
  <c r="P106" i="15"/>
  <c r="P107" i="15"/>
  <c r="P108" i="15"/>
  <c r="P109" i="15"/>
  <c r="P110" i="15"/>
  <c r="P111" i="15"/>
  <c r="P112" i="15"/>
  <c r="P113" i="15"/>
  <c r="P114" i="15"/>
  <c r="P115" i="15"/>
  <c r="M100" i="15"/>
  <c r="K100"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M59" i="15"/>
  <c r="K59" i="15"/>
  <c r="K31" i="15"/>
  <c r="M31" i="15"/>
  <c r="K32" i="15"/>
  <c r="M32" i="15"/>
  <c r="K33" i="15"/>
  <c r="M33" i="15"/>
  <c r="K34" i="15"/>
  <c r="M34" i="15"/>
  <c r="K35" i="15"/>
  <c r="M35" i="15"/>
  <c r="K36" i="15"/>
  <c r="M36" i="15"/>
  <c r="K37" i="15"/>
  <c r="M37" i="15"/>
  <c r="K38" i="15"/>
  <c r="M38" i="15"/>
  <c r="K39" i="15"/>
  <c r="M39" i="15"/>
  <c r="K40" i="15"/>
  <c r="M40" i="15"/>
  <c r="K41" i="15"/>
  <c r="M41" i="15"/>
  <c r="K42" i="15"/>
  <c r="M42" i="15"/>
  <c r="K43" i="15"/>
  <c r="M43" i="15"/>
  <c r="K44" i="15"/>
  <c r="M44" i="15"/>
  <c r="K45" i="15"/>
  <c r="M45" i="15"/>
  <c r="K46" i="15"/>
  <c r="M46" i="15"/>
  <c r="K47" i="15"/>
  <c r="M47" i="15"/>
  <c r="K48" i="15"/>
  <c r="M48" i="15"/>
  <c r="K49" i="15"/>
  <c r="M49" i="15"/>
  <c r="K30" i="15"/>
  <c r="M30" i="15"/>
  <c r="M24" i="15"/>
  <c r="O24" i="15" s="1"/>
  <c r="Q24" i="15" s="1"/>
  <c r="M53" i="15"/>
  <c r="O53" i="15" s="1"/>
  <c r="M119" i="15"/>
  <c r="O119" i="15" s="1"/>
  <c r="Q119" i="15" s="1"/>
  <c r="M152" i="15"/>
  <c r="O152" i="15" s="1"/>
  <c r="M187" i="15"/>
  <c r="O187" i="15" s="1"/>
  <c r="Q187" i="15" s="1"/>
  <c r="K244" i="15"/>
  <c r="K220" i="15"/>
  <c r="O220" i="15" s="1"/>
  <c r="Q220" i="15" s="1"/>
  <c r="K219" i="15"/>
  <c r="O219" i="15" s="1"/>
  <c r="Q219" i="15" s="1"/>
  <c r="K218" i="15"/>
  <c r="O218" i="15" s="1"/>
  <c r="Q218" i="15" s="1"/>
  <c r="M221" i="15"/>
  <c r="O221" i="15" s="1"/>
  <c r="K186" i="15"/>
  <c r="O186" i="15" s="1"/>
  <c r="Q186" i="15" s="1"/>
  <c r="K185" i="15"/>
  <c r="O185" i="15" s="1"/>
  <c r="Q185" i="15" s="1"/>
  <c r="K184" i="15"/>
  <c r="O184" i="15" s="1"/>
  <c r="Q184" i="15" s="1"/>
  <c r="K151" i="15"/>
  <c r="O151" i="15" s="1"/>
  <c r="Q151" i="15" s="1"/>
  <c r="K150" i="15"/>
  <c r="O150" i="15" s="1"/>
  <c r="Q150" i="15" s="1"/>
  <c r="K149" i="15"/>
  <c r="O149" i="15" s="1"/>
  <c r="Q149" i="15" s="1"/>
  <c r="K118" i="15"/>
  <c r="O118" i="15" s="1"/>
  <c r="Q118" i="15" s="1"/>
  <c r="K117" i="15"/>
  <c r="O117" i="15" s="1"/>
  <c r="Q117" i="15" s="1"/>
  <c r="K116" i="15"/>
  <c r="O116" i="15" s="1"/>
  <c r="Q116" i="15" s="1"/>
  <c r="M94" i="15"/>
  <c r="O94" i="15" s="1"/>
  <c r="K93" i="15"/>
  <c r="O93" i="15" s="1"/>
  <c r="Q93" i="15" s="1"/>
  <c r="K92" i="15"/>
  <c r="O92" i="15" s="1"/>
  <c r="Q92" i="15" s="1"/>
  <c r="K91" i="15"/>
  <c r="O91" i="15" s="1"/>
  <c r="Q91" i="15" s="1"/>
  <c r="K52" i="15"/>
  <c r="O52" i="15" s="1"/>
  <c r="Q52" i="15" s="1"/>
  <c r="K51" i="15"/>
  <c r="O51" i="15" s="1"/>
  <c r="Q51" i="15" s="1"/>
  <c r="K50" i="15"/>
  <c r="O50" i="15" s="1"/>
  <c r="Q50" i="15" s="1"/>
  <c r="M4" i="15"/>
  <c r="M5" i="15"/>
  <c r="M6" i="15"/>
  <c r="M7" i="15"/>
  <c r="M8" i="15"/>
  <c r="M9" i="15"/>
  <c r="M10" i="15"/>
  <c r="M11" i="15"/>
  <c r="M12" i="15"/>
  <c r="M13" i="15"/>
  <c r="M14" i="15"/>
  <c r="M15" i="15"/>
  <c r="M16" i="15"/>
  <c r="M17" i="15"/>
  <c r="M18" i="15"/>
  <c r="M19" i="15"/>
  <c r="M20" i="15"/>
  <c r="M3" i="15"/>
  <c r="K4" i="15"/>
  <c r="K5" i="15"/>
  <c r="K6" i="15"/>
  <c r="K7" i="15"/>
  <c r="K8" i="15"/>
  <c r="K9" i="15"/>
  <c r="K10" i="15"/>
  <c r="K11" i="15"/>
  <c r="K12" i="15"/>
  <c r="K13" i="15"/>
  <c r="K14" i="15"/>
  <c r="K15" i="15"/>
  <c r="K16" i="15"/>
  <c r="K17" i="15"/>
  <c r="K18" i="15"/>
  <c r="K19" i="15"/>
  <c r="K20" i="15"/>
  <c r="K3" i="15"/>
  <c r="P100" i="15"/>
  <c r="K23" i="15"/>
  <c r="O23" i="15" s="1"/>
  <c r="Q23" i="15" s="1"/>
  <c r="K22" i="15"/>
  <c r="O22" i="15" s="1"/>
  <c r="Q22" i="15" s="1"/>
  <c r="K21" i="15"/>
  <c r="O21" i="15" s="1"/>
  <c r="Q21" i="15" s="1"/>
  <c r="E47" i="18" l="1"/>
  <c r="E51" i="18"/>
  <c r="E55" i="18"/>
  <c r="E61" i="18"/>
  <c r="E48" i="18"/>
  <c r="E56" i="18"/>
  <c r="V272" i="15"/>
  <c r="Q273" i="15" s="1"/>
  <c r="E49" i="18"/>
  <c r="E53" i="18"/>
  <c r="E58" i="18"/>
  <c r="V25" i="15"/>
  <c r="T35" i="15" s="1"/>
  <c r="E50" i="18"/>
  <c r="V153" i="15"/>
  <c r="T162" i="15" s="1"/>
  <c r="M271" i="15"/>
  <c r="O271" i="15" s="1"/>
  <c r="Q271" i="15" s="1"/>
  <c r="M244" i="15"/>
  <c r="O244" i="15" s="1"/>
  <c r="Q244" i="15" s="1"/>
  <c r="E54" i="18"/>
  <c r="T102" i="15"/>
  <c r="V95" i="15"/>
  <c r="Q96" i="15" s="1"/>
  <c r="E52" i="18"/>
  <c r="T258" i="15"/>
  <c r="E60" i="18"/>
  <c r="T198" i="15"/>
  <c r="T104" i="15"/>
  <c r="E46" i="18"/>
  <c r="E59" i="18"/>
  <c r="V54" i="15"/>
  <c r="Q154" i="15"/>
  <c r="V222" i="15"/>
  <c r="Q223" i="15" s="1"/>
  <c r="T160" i="15"/>
  <c r="T128" i="15"/>
  <c r="Q26" i="15"/>
  <c r="Q195" i="20"/>
  <c r="Q258" i="20" s="1"/>
  <c r="E62" i="18"/>
  <c r="V188" i="15"/>
  <c r="O209" i="15"/>
  <c r="Q209" i="15" s="1"/>
  <c r="O197" i="15"/>
  <c r="Q197" i="15" s="1"/>
  <c r="O183" i="15"/>
  <c r="Q183" i="15" s="1"/>
  <c r="O179" i="15"/>
  <c r="Q179" i="15" s="1"/>
  <c r="O175" i="15"/>
  <c r="Q175" i="15" s="1"/>
  <c r="O171" i="15"/>
  <c r="Q171" i="15" s="1"/>
  <c r="O167" i="15"/>
  <c r="Q167" i="15" s="1"/>
  <c r="O147" i="15"/>
  <c r="Q147" i="15" s="1"/>
  <c r="O143" i="15"/>
  <c r="Q143" i="15" s="1"/>
  <c r="O139" i="15"/>
  <c r="Q139" i="15" s="1"/>
  <c r="O135" i="15"/>
  <c r="Q135" i="15" s="1"/>
  <c r="O131" i="15"/>
  <c r="Q131" i="15" s="1"/>
  <c r="O127" i="15"/>
  <c r="Q127" i="15" s="1"/>
  <c r="O107" i="15"/>
  <c r="Q107" i="15" s="1"/>
  <c r="O103" i="15"/>
  <c r="Q103" i="15" s="1"/>
  <c r="P153" i="15"/>
  <c r="P120" i="15"/>
  <c r="O140" i="15"/>
  <c r="Q140" i="15" s="1"/>
  <c r="O177" i="15"/>
  <c r="Q177" i="15" s="1"/>
  <c r="O173" i="15"/>
  <c r="Q173" i="15" s="1"/>
  <c r="O161" i="15"/>
  <c r="Q161" i="15" s="1"/>
  <c r="O59" i="15"/>
  <c r="O88" i="15"/>
  <c r="Q88" i="15" s="1"/>
  <c r="O84" i="15"/>
  <c r="Q84" i="15" s="1"/>
  <c r="O80" i="15"/>
  <c r="Q80" i="15" s="1"/>
  <c r="O76" i="15"/>
  <c r="Q76" i="15" s="1"/>
  <c r="O72" i="15"/>
  <c r="Q72" i="15" s="1"/>
  <c r="O68" i="15"/>
  <c r="Q68" i="15" s="1"/>
  <c r="O64" i="15"/>
  <c r="Q64" i="15" s="1"/>
  <c r="O60" i="15"/>
  <c r="Q60" i="15" s="1"/>
  <c r="O100" i="15"/>
  <c r="O114" i="15"/>
  <c r="Q114" i="15" s="1"/>
  <c r="O110" i="15"/>
  <c r="Q110" i="15" s="1"/>
  <c r="O106" i="15"/>
  <c r="O102" i="15"/>
  <c r="Q102" i="15" s="1"/>
  <c r="O113" i="15"/>
  <c r="Q113" i="15" s="1"/>
  <c r="O109" i="15"/>
  <c r="Q109" i="15" s="1"/>
  <c r="O105" i="15"/>
  <c r="Q105" i="15" s="1"/>
  <c r="O101" i="15"/>
  <c r="Q101" i="15" s="1"/>
  <c r="P188" i="15"/>
  <c r="O214" i="15"/>
  <c r="Q214" i="15" s="1"/>
  <c r="O90" i="15"/>
  <c r="Q90" i="15" s="1"/>
  <c r="O86" i="15"/>
  <c r="Q86" i="15" s="1"/>
  <c r="O82" i="15"/>
  <c r="Q82" i="15" s="1"/>
  <c r="O78" i="15"/>
  <c r="Q78" i="15" s="1"/>
  <c r="O74" i="15"/>
  <c r="Q74" i="15" s="1"/>
  <c r="O70" i="15"/>
  <c r="Q70" i="15" s="1"/>
  <c r="O66" i="15"/>
  <c r="Q66" i="15" s="1"/>
  <c r="O62" i="15"/>
  <c r="Q62" i="15" s="1"/>
  <c r="O146" i="15"/>
  <c r="Q146" i="15" s="1"/>
  <c r="O142" i="15"/>
  <c r="Q142" i="15" s="1"/>
  <c r="O138" i="15"/>
  <c r="Q138" i="15" s="1"/>
  <c r="O134" i="15"/>
  <c r="Q134" i="15" s="1"/>
  <c r="O130" i="15"/>
  <c r="Q130" i="15" s="1"/>
  <c r="O126" i="15"/>
  <c r="Q126" i="15" s="1"/>
  <c r="Q215" i="15"/>
  <c r="Q211" i="15"/>
  <c r="Q203" i="15"/>
  <c r="Q199" i="15"/>
  <c r="Q195" i="15"/>
  <c r="O89" i="15"/>
  <c r="Q89" i="15" s="1"/>
  <c r="O85" i="15"/>
  <c r="Q85" i="15" s="1"/>
  <c r="O81" i="15"/>
  <c r="Q81" i="15" s="1"/>
  <c r="O77" i="15"/>
  <c r="Q77" i="15" s="1"/>
  <c r="O73" i="15"/>
  <c r="Q73" i="15" s="1"/>
  <c r="O69" i="15"/>
  <c r="O65" i="15"/>
  <c r="Q65" i="15" s="1"/>
  <c r="O61" i="15"/>
  <c r="Q61" i="15" s="1"/>
  <c r="P222" i="15"/>
  <c r="Q198" i="15"/>
  <c r="Q213" i="15"/>
  <c r="Q205" i="15"/>
  <c r="O30" i="15"/>
  <c r="O87" i="15"/>
  <c r="Q87" i="15" s="1"/>
  <c r="O83" i="15"/>
  <c r="Q83" i="15" s="1"/>
  <c r="O79" i="15"/>
  <c r="Q79" i="15" s="1"/>
  <c r="O75" i="15"/>
  <c r="Q75" i="15" s="1"/>
  <c r="O71" i="15"/>
  <c r="Q71" i="15" s="1"/>
  <c r="O67" i="15"/>
  <c r="Q67" i="15" s="1"/>
  <c r="O63" i="15"/>
  <c r="Q63" i="15" s="1"/>
  <c r="O176" i="15"/>
  <c r="Q176" i="15" s="1"/>
  <c r="O172" i="15"/>
  <c r="Q172" i="15" s="1"/>
  <c r="O168" i="15"/>
  <c r="Q168" i="15" s="1"/>
  <c r="O164" i="15"/>
  <c r="O160" i="15"/>
  <c r="Q160" i="15" s="1"/>
  <c r="O181" i="15"/>
  <c r="Q181" i="15" s="1"/>
  <c r="O169" i="15"/>
  <c r="Q169" i="15" s="1"/>
  <c r="O165" i="15"/>
  <c r="Q165" i="15" s="1"/>
  <c r="O193" i="15"/>
  <c r="Q207" i="15"/>
  <c r="O115" i="15"/>
  <c r="Q115" i="15" s="1"/>
  <c r="O111" i="15"/>
  <c r="Q111" i="15" s="1"/>
  <c r="Q210" i="15"/>
  <c r="Q194" i="15"/>
  <c r="O48" i="15"/>
  <c r="Q48" i="15" s="1"/>
  <c r="O46" i="15"/>
  <c r="Q46" i="15" s="1"/>
  <c r="O44" i="15"/>
  <c r="Q44" i="15" s="1"/>
  <c r="O42" i="15"/>
  <c r="Q42" i="15" s="1"/>
  <c r="O40" i="15"/>
  <c r="Q40" i="15" s="1"/>
  <c r="O38" i="15"/>
  <c r="Q38" i="15" s="1"/>
  <c r="O36" i="15"/>
  <c r="Q36" i="15" s="1"/>
  <c r="O34" i="15"/>
  <c r="Q34" i="15" s="1"/>
  <c r="O32" i="15"/>
  <c r="Q32" i="15" s="1"/>
  <c r="O125" i="15"/>
  <c r="Q125" i="15" s="1"/>
  <c r="O148" i="15"/>
  <c r="Q148" i="15" s="1"/>
  <c r="O132" i="15"/>
  <c r="O158" i="15"/>
  <c r="O180" i="15"/>
  <c r="Q180" i="15" s="1"/>
  <c r="Q216" i="15"/>
  <c r="Q208" i="15"/>
  <c r="Q204" i="15"/>
  <c r="Q200" i="15"/>
  <c r="O163" i="15"/>
  <c r="Q163" i="15" s="1"/>
  <c r="O159" i="15"/>
  <c r="Q159" i="15" s="1"/>
  <c r="O49" i="15"/>
  <c r="Q49" i="15" s="1"/>
  <c r="O47" i="15"/>
  <c r="Q47" i="15" s="1"/>
  <c r="O45" i="15"/>
  <c r="Q45" i="15" s="1"/>
  <c r="O43" i="15"/>
  <c r="Q43" i="15" s="1"/>
  <c r="O41" i="15"/>
  <c r="Q41" i="15" s="1"/>
  <c r="O39" i="15"/>
  <c r="Q39" i="15" s="1"/>
  <c r="O37" i="15"/>
  <c r="O35" i="15"/>
  <c r="Q35" i="15" s="1"/>
  <c r="O33" i="15"/>
  <c r="Q33" i="15" s="1"/>
  <c r="O31" i="15"/>
  <c r="Q31" i="15" s="1"/>
  <c r="Q212" i="15"/>
  <c r="Q196" i="15"/>
  <c r="O182" i="15"/>
  <c r="Q182" i="15" s="1"/>
  <c r="O178" i="15"/>
  <c r="Q178" i="15" s="1"/>
  <c r="O174" i="15"/>
  <c r="Q174" i="15" s="1"/>
  <c r="O170" i="15"/>
  <c r="Q170" i="15" s="1"/>
  <c r="O166" i="15"/>
  <c r="Q166" i="15" s="1"/>
  <c r="O162" i="15"/>
  <c r="Q162" i="15" s="1"/>
  <c r="O141" i="15"/>
  <c r="Q141" i="15" s="1"/>
  <c r="O137" i="15"/>
  <c r="Q137" i="15" s="1"/>
  <c r="O129" i="15"/>
  <c r="Q129" i="15" s="1"/>
  <c r="O144" i="15"/>
  <c r="Q144" i="15" s="1"/>
  <c r="O136" i="15"/>
  <c r="Q136" i="15" s="1"/>
  <c r="O128" i="15"/>
  <c r="Q128" i="15" s="1"/>
  <c r="O145" i="15"/>
  <c r="Q145" i="15" s="1"/>
  <c r="O133" i="15"/>
  <c r="Q133" i="15" s="1"/>
  <c r="O112" i="15"/>
  <c r="Q112" i="15" s="1"/>
  <c r="O108" i="15"/>
  <c r="Q108" i="15" s="1"/>
  <c r="O104" i="15"/>
  <c r="Q104" i="15" s="1"/>
  <c r="Q53" i="15"/>
  <c r="Q94" i="15"/>
  <c r="Q152" i="15"/>
  <c r="Q221" i="15"/>
  <c r="O18" i="15"/>
  <c r="Q18" i="15" s="1"/>
  <c r="O14" i="15"/>
  <c r="Q14" i="15" s="1"/>
  <c r="O10" i="15"/>
  <c r="Q10" i="15" s="1"/>
  <c r="O6" i="15"/>
  <c r="Q6" i="15" s="1"/>
  <c r="O3" i="15"/>
  <c r="O13" i="15"/>
  <c r="Q13" i="15" s="1"/>
  <c r="O5" i="15"/>
  <c r="Q5" i="15" s="1"/>
  <c r="O17" i="15"/>
  <c r="Q17" i="15" s="1"/>
  <c r="O9" i="15"/>
  <c r="O20" i="15"/>
  <c r="Q20" i="15" s="1"/>
  <c r="O16" i="15"/>
  <c r="Q16" i="15" s="1"/>
  <c r="O12" i="15"/>
  <c r="Q12" i="15" s="1"/>
  <c r="O8" i="15"/>
  <c r="Q8" i="15" s="1"/>
  <c r="O4" i="15"/>
  <c r="Q4" i="15" s="1"/>
  <c r="O19" i="15"/>
  <c r="Q19" i="15" s="1"/>
  <c r="O15" i="15"/>
  <c r="O11" i="15"/>
  <c r="Q11" i="15" s="1"/>
  <c r="O7" i="15"/>
  <c r="Q7" i="15" s="1"/>
  <c r="O243" i="15"/>
  <c r="P228" i="15"/>
  <c r="P229" i="15"/>
  <c r="P230" i="15"/>
  <c r="P231" i="15"/>
  <c r="P232" i="15"/>
  <c r="P233" i="15"/>
  <c r="P234" i="15"/>
  <c r="P235" i="15"/>
  <c r="P236" i="15"/>
  <c r="P237" i="15"/>
  <c r="P238" i="15"/>
  <c r="P239" i="15"/>
  <c r="P240" i="15"/>
  <c r="P241" i="15"/>
  <c r="P242" i="15"/>
  <c r="P227" i="15"/>
  <c r="P251" i="15"/>
  <c r="P252" i="15"/>
  <c r="P253" i="15"/>
  <c r="P254" i="15"/>
  <c r="P255" i="15"/>
  <c r="P256" i="15"/>
  <c r="P257" i="15"/>
  <c r="P258" i="15"/>
  <c r="P259" i="15"/>
  <c r="P260" i="15"/>
  <c r="P261" i="15"/>
  <c r="P262" i="15"/>
  <c r="P263" i="15"/>
  <c r="P264" i="15"/>
  <c r="P265" i="15"/>
  <c r="P266" i="15"/>
  <c r="P267" i="15"/>
  <c r="P268" i="15"/>
  <c r="P269" i="15"/>
  <c r="P250" i="15"/>
  <c r="O270" i="15"/>
  <c r="K228" i="15"/>
  <c r="K229" i="15"/>
  <c r="M229" i="15" s="1"/>
  <c r="K230" i="15"/>
  <c r="M230" i="15" s="1"/>
  <c r="K231" i="15"/>
  <c r="M231" i="15" s="1"/>
  <c r="K232" i="15"/>
  <c r="M232" i="15" s="1"/>
  <c r="K233" i="15"/>
  <c r="M233" i="15" s="1"/>
  <c r="K234" i="15"/>
  <c r="M234" i="15" s="1"/>
  <c r="K235" i="15"/>
  <c r="M235" i="15" s="1"/>
  <c r="K236" i="15"/>
  <c r="K237" i="15"/>
  <c r="M237" i="15" s="1"/>
  <c r="K238" i="15"/>
  <c r="M238" i="15" s="1"/>
  <c r="K239" i="15"/>
  <c r="M239" i="15" s="1"/>
  <c r="K240" i="15"/>
  <c r="M240" i="15" s="1"/>
  <c r="K241" i="15"/>
  <c r="M241" i="15" s="1"/>
  <c r="K242" i="15"/>
  <c r="M242" i="15" s="1"/>
  <c r="K250" i="15"/>
  <c r="K251" i="15"/>
  <c r="M251" i="15" s="1"/>
  <c r="O251" i="15" s="1"/>
  <c r="K252" i="15"/>
  <c r="K253" i="15"/>
  <c r="K254" i="15"/>
  <c r="K255" i="15"/>
  <c r="M255" i="15" s="1"/>
  <c r="O255" i="15" s="1"/>
  <c r="K256" i="15"/>
  <c r="K257" i="15"/>
  <c r="K258" i="15"/>
  <c r="K259" i="15"/>
  <c r="K260" i="15"/>
  <c r="K261" i="15"/>
  <c r="K262" i="15"/>
  <c r="K263" i="15"/>
  <c r="K264" i="15"/>
  <c r="K265" i="15"/>
  <c r="K266" i="15"/>
  <c r="K267" i="15"/>
  <c r="K268" i="15"/>
  <c r="K269" i="15"/>
  <c r="K227" i="15"/>
  <c r="M227" i="15" s="1"/>
  <c r="R209" i="13"/>
  <c r="R142" i="13"/>
  <c r="R67" i="13"/>
  <c r="K159" i="13"/>
  <c r="M159" i="13" s="1"/>
  <c r="O159" i="13" s="1"/>
  <c r="K185" i="13"/>
  <c r="M185" i="13" s="1"/>
  <c r="O185" i="13" s="1"/>
  <c r="K184" i="13"/>
  <c r="M184" i="13" s="1"/>
  <c r="O184" i="13" s="1"/>
  <c r="K158" i="13"/>
  <c r="M158" i="13" s="1"/>
  <c r="O158" i="13" s="1"/>
  <c r="K135" i="13"/>
  <c r="M135" i="13" s="1"/>
  <c r="O135" i="13" s="1"/>
  <c r="K88" i="13"/>
  <c r="M88" i="13" s="1"/>
  <c r="O88" i="13" s="1"/>
  <c r="K87" i="13"/>
  <c r="M87" i="13" s="1"/>
  <c r="O87" i="13" s="1"/>
  <c r="K60" i="13"/>
  <c r="M60" i="13" s="1"/>
  <c r="O60" i="13" s="1"/>
  <c r="K59" i="13"/>
  <c r="M59" i="13" s="1"/>
  <c r="O59" i="13" s="1"/>
  <c r="M207" i="13"/>
  <c r="N207" i="13"/>
  <c r="M208" i="13"/>
  <c r="N208" i="13"/>
  <c r="M209" i="13"/>
  <c r="N209" i="13"/>
  <c r="N206" i="13"/>
  <c r="M206" i="13"/>
  <c r="M225" i="13" s="1"/>
  <c r="K39" i="13"/>
  <c r="M39" i="13" s="1"/>
  <c r="O39" i="13" s="1"/>
  <c r="R159" i="13"/>
  <c r="T159" i="13" s="1"/>
  <c r="R158" i="13"/>
  <c r="T158" i="13" s="1"/>
  <c r="R185" i="13"/>
  <c r="T185" i="13" s="1"/>
  <c r="T186" i="13" s="1"/>
  <c r="K202" i="13"/>
  <c r="K179" i="13"/>
  <c r="K180" i="13"/>
  <c r="K181" i="13"/>
  <c r="K182" i="13"/>
  <c r="K183" i="13"/>
  <c r="K191" i="13"/>
  <c r="K192" i="13"/>
  <c r="K193" i="13"/>
  <c r="K194" i="13"/>
  <c r="K195" i="13"/>
  <c r="K196" i="13"/>
  <c r="K197" i="13"/>
  <c r="K198" i="13"/>
  <c r="K199" i="13"/>
  <c r="K200" i="13"/>
  <c r="K201" i="13"/>
  <c r="K153" i="13"/>
  <c r="K154" i="13"/>
  <c r="K155" i="13"/>
  <c r="K156" i="13"/>
  <c r="K157" i="13"/>
  <c r="K165" i="13"/>
  <c r="K166" i="13"/>
  <c r="K167" i="13"/>
  <c r="K168" i="13"/>
  <c r="K169" i="13"/>
  <c r="K170" i="13"/>
  <c r="K171" i="13"/>
  <c r="K172" i="13"/>
  <c r="K173" i="13"/>
  <c r="K174" i="13"/>
  <c r="K175" i="13"/>
  <c r="K176" i="13"/>
  <c r="K177" i="13"/>
  <c r="K178" i="13"/>
  <c r="K134" i="13"/>
  <c r="K139" i="13"/>
  <c r="K140" i="13"/>
  <c r="K141" i="13"/>
  <c r="K142" i="13"/>
  <c r="K143" i="13"/>
  <c r="K144" i="13"/>
  <c r="K145" i="13"/>
  <c r="K146" i="13"/>
  <c r="K147" i="13"/>
  <c r="K148" i="13"/>
  <c r="K149" i="13"/>
  <c r="K150" i="13"/>
  <c r="K151" i="13"/>
  <c r="K152" i="13"/>
  <c r="K128" i="13"/>
  <c r="K129" i="13"/>
  <c r="K130" i="13"/>
  <c r="K131" i="13"/>
  <c r="K132" i="13"/>
  <c r="K133" i="13"/>
  <c r="K122" i="13"/>
  <c r="K123" i="13"/>
  <c r="K124" i="13"/>
  <c r="K125" i="13"/>
  <c r="K126" i="13"/>
  <c r="K127" i="13"/>
  <c r="K116" i="13"/>
  <c r="K117" i="13"/>
  <c r="K118" i="13"/>
  <c r="K119" i="13"/>
  <c r="K120" i="13"/>
  <c r="K121" i="13"/>
  <c r="K115" i="13"/>
  <c r="M115" i="13" s="1"/>
  <c r="N195" i="13"/>
  <c r="N196" i="13"/>
  <c r="N197" i="13"/>
  <c r="N198" i="13"/>
  <c r="N199" i="13"/>
  <c r="N200" i="13"/>
  <c r="N201" i="13"/>
  <c r="N127" i="13"/>
  <c r="N128" i="13"/>
  <c r="N129" i="13"/>
  <c r="N130" i="13"/>
  <c r="N131" i="13"/>
  <c r="N132" i="13"/>
  <c r="N133" i="13"/>
  <c r="N134" i="13"/>
  <c r="N139" i="13"/>
  <c r="N140" i="13"/>
  <c r="N141" i="13"/>
  <c r="N142" i="13"/>
  <c r="N143" i="13"/>
  <c r="N144" i="13"/>
  <c r="N145" i="13"/>
  <c r="N146" i="13"/>
  <c r="N147" i="13"/>
  <c r="N148" i="13"/>
  <c r="N149" i="13"/>
  <c r="N150" i="13"/>
  <c r="N151" i="13"/>
  <c r="N152" i="13"/>
  <c r="N153" i="13"/>
  <c r="N154" i="13"/>
  <c r="N155" i="13"/>
  <c r="N156" i="13"/>
  <c r="N157" i="13"/>
  <c r="N165" i="13"/>
  <c r="N166" i="13"/>
  <c r="N167" i="13"/>
  <c r="N168" i="13"/>
  <c r="N169" i="13"/>
  <c r="N170" i="13"/>
  <c r="N171" i="13"/>
  <c r="N172" i="13"/>
  <c r="N173" i="13"/>
  <c r="N174" i="13"/>
  <c r="N175" i="13"/>
  <c r="N176" i="13"/>
  <c r="N177" i="13"/>
  <c r="N178" i="13"/>
  <c r="N179" i="13"/>
  <c r="N180" i="13"/>
  <c r="N181" i="13"/>
  <c r="N182" i="13"/>
  <c r="N183" i="13"/>
  <c r="N191" i="13"/>
  <c r="N192" i="13"/>
  <c r="N193" i="13"/>
  <c r="N194" i="13"/>
  <c r="N118" i="13"/>
  <c r="N119" i="13"/>
  <c r="N120" i="13"/>
  <c r="N121" i="13"/>
  <c r="N122" i="13"/>
  <c r="N123" i="13"/>
  <c r="N124" i="13"/>
  <c r="N125" i="13"/>
  <c r="N126" i="13"/>
  <c r="N116" i="13"/>
  <c r="N117" i="13"/>
  <c r="N115" i="13"/>
  <c r="T107" i="13"/>
  <c r="R109" i="13"/>
  <c r="T109" i="13" s="1"/>
  <c r="R106" i="13"/>
  <c r="T106" i="13" s="1"/>
  <c r="R87" i="13"/>
  <c r="T87" i="13" s="1"/>
  <c r="T88" i="13"/>
  <c r="R39" i="13"/>
  <c r="T39" i="13" s="1"/>
  <c r="N35" i="13"/>
  <c r="N36" i="13"/>
  <c r="N37" i="13"/>
  <c r="N38" i="13"/>
  <c r="N45" i="13"/>
  <c r="N46" i="13"/>
  <c r="N47" i="13"/>
  <c r="N48" i="13"/>
  <c r="N49" i="13"/>
  <c r="N50" i="13"/>
  <c r="N51" i="13"/>
  <c r="N52" i="13"/>
  <c r="N53" i="13"/>
  <c r="N54" i="13"/>
  <c r="N55" i="13"/>
  <c r="N56" i="13"/>
  <c r="N57" i="13"/>
  <c r="N58" i="13"/>
  <c r="N64" i="13"/>
  <c r="N65" i="13"/>
  <c r="N66" i="13"/>
  <c r="N67" i="13"/>
  <c r="N68" i="13"/>
  <c r="N69" i="13"/>
  <c r="N70" i="13"/>
  <c r="N71" i="13"/>
  <c r="N72" i="13"/>
  <c r="N73" i="13"/>
  <c r="N74" i="13"/>
  <c r="N75" i="13"/>
  <c r="N76" i="13"/>
  <c r="N77" i="13"/>
  <c r="N78" i="13"/>
  <c r="N79" i="13"/>
  <c r="N80" i="13"/>
  <c r="N81" i="13"/>
  <c r="N82" i="13"/>
  <c r="N83" i="13"/>
  <c r="N84" i="13"/>
  <c r="N85" i="13"/>
  <c r="N86" i="13"/>
  <c r="N94" i="13"/>
  <c r="N95" i="13"/>
  <c r="N96" i="13"/>
  <c r="N97" i="13"/>
  <c r="N98" i="13"/>
  <c r="N99" i="13"/>
  <c r="N100" i="13"/>
  <c r="N101" i="13"/>
  <c r="N102" i="13"/>
  <c r="N103" i="13"/>
  <c r="N104" i="13"/>
  <c r="N105" i="13"/>
  <c r="N106" i="13"/>
  <c r="N107" i="13"/>
  <c r="N108" i="13"/>
  <c r="N23" i="13"/>
  <c r="N24" i="13"/>
  <c r="N25" i="13"/>
  <c r="N26" i="13"/>
  <c r="N27" i="13"/>
  <c r="N28" i="13"/>
  <c r="N29" i="13"/>
  <c r="N30" i="13"/>
  <c r="N31" i="13"/>
  <c r="N32" i="13"/>
  <c r="N33" i="13"/>
  <c r="N34" i="13"/>
  <c r="N22" i="13"/>
  <c r="K109" i="13"/>
  <c r="K101" i="13"/>
  <c r="K102" i="13"/>
  <c r="K103" i="13"/>
  <c r="K100" i="13"/>
  <c r="K85" i="13"/>
  <c r="K86" i="13"/>
  <c r="K94" i="13"/>
  <c r="K95" i="13"/>
  <c r="K96" i="13"/>
  <c r="K97" i="13"/>
  <c r="K98" i="13"/>
  <c r="K99" i="13"/>
  <c r="K104" i="13"/>
  <c r="K105" i="13"/>
  <c r="K106" i="13"/>
  <c r="K107" i="13"/>
  <c r="K108" i="13"/>
  <c r="K74" i="13"/>
  <c r="K75" i="13"/>
  <c r="K76" i="13"/>
  <c r="K77" i="13"/>
  <c r="K78" i="13"/>
  <c r="K79" i="13"/>
  <c r="K80" i="13"/>
  <c r="K81" i="13"/>
  <c r="K82" i="13"/>
  <c r="K83" i="13"/>
  <c r="K84" i="13"/>
  <c r="K58" i="13"/>
  <c r="K64" i="13"/>
  <c r="K65" i="13"/>
  <c r="K66" i="13"/>
  <c r="K67" i="13"/>
  <c r="K68" i="13"/>
  <c r="K69" i="13"/>
  <c r="K70" i="13"/>
  <c r="K71" i="13"/>
  <c r="K72" i="13"/>
  <c r="K73" i="13"/>
  <c r="K51" i="13"/>
  <c r="K52" i="13"/>
  <c r="K53" i="13"/>
  <c r="K54" i="13"/>
  <c r="K55" i="13"/>
  <c r="K56" i="13"/>
  <c r="K57" i="13"/>
  <c r="K46" i="13"/>
  <c r="K47" i="13"/>
  <c r="K48" i="13"/>
  <c r="K49" i="13"/>
  <c r="K50" i="13"/>
  <c r="K35" i="13"/>
  <c r="K36" i="13"/>
  <c r="K37" i="13"/>
  <c r="K38" i="13"/>
  <c r="K45" i="13"/>
  <c r="K31" i="13"/>
  <c r="K32" i="13"/>
  <c r="K33" i="13"/>
  <c r="K34" i="13"/>
  <c r="K26" i="13"/>
  <c r="K27" i="13"/>
  <c r="K28" i="13"/>
  <c r="K29" i="13"/>
  <c r="K30" i="13"/>
  <c r="K23" i="13"/>
  <c r="K24" i="13"/>
  <c r="K25" i="13"/>
  <c r="K22" i="13"/>
  <c r="T16" i="13"/>
  <c r="B47" i="18" s="1"/>
  <c r="R15" i="13"/>
  <c r="T15" i="13" s="1"/>
  <c r="B46" i="18" s="1"/>
  <c r="K4" i="13"/>
  <c r="K5" i="13"/>
  <c r="K6" i="13"/>
  <c r="K7" i="13"/>
  <c r="K8" i="13"/>
  <c r="K9" i="13"/>
  <c r="K10" i="13"/>
  <c r="K11" i="13"/>
  <c r="K12" i="13"/>
  <c r="K13" i="13"/>
  <c r="K14" i="13"/>
  <c r="K15" i="13"/>
  <c r="K16" i="13"/>
  <c r="K3" i="13"/>
  <c r="T284" i="15" l="1"/>
  <c r="N225" i="13"/>
  <c r="R207" i="13"/>
  <c r="R116" i="13"/>
  <c r="R65" i="13"/>
  <c r="E64" i="18"/>
  <c r="T237" i="15"/>
  <c r="Q55" i="15"/>
  <c r="T67" i="15"/>
  <c r="B52" i="18"/>
  <c r="B53" i="18"/>
  <c r="O187" i="13"/>
  <c r="R194" i="13"/>
  <c r="B49" i="18"/>
  <c r="T160" i="13"/>
  <c r="B54" i="18"/>
  <c r="R140" i="13"/>
  <c r="R192" i="13"/>
  <c r="B51" i="18"/>
  <c r="R166" i="13"/>
  <c r="B55" i="18"/>
  <c r="B50" i="18"/>
  <c r="Q189" i="15"/>
  <c r="T200" i="15"/>
  <c r="R95" i="13"/>
  <c r="T256" i="15"/>
  <c r="T159" i="15"/>
  <c r="T161" i="15" s="1"/>
  <c r="T163" i="15" s="1"/>
  <c r="Q164" i="15"/>
  <c r="T197" i="15"/>
  <c r="T199" i="15" s="1"/>
  <c r="T32" i="15"/>
  <c r="Q37" i="15"/>
  <c r="T64" i="15"/>
  <c r="T66" i="15" s="1"/>
  <c r="Q69" i="15"/>
  <c r="T101" i="15"/>
  <c r="T103" i="15" s="1"/>
  <c r="T105" i="15" s="1"/>
  <c r="Q106" i="15"/>
  <c r="T127" i="15"/>
  <c r="T129" i="15" s="1"/>
  <c r="T131" i="15" s="1"/>
  <c r="Q9" i="15"/>
  <c r="Q3" i="15"/>
  <c r="O25" i="15"/>
  <c r="Q15" i="15"/>
  <c r="B56" i="18"/>
  <c r="Q30" i="15"/>
  <c r="O54" i="15"/>
  <c r="Q59" i="15"/>
  <c r="O95" i="15"/>
  <c r="Q100" i="15"/>
  <c r="O120" i="15"/>
  <c r="Q132" i="15"/>
  <c r="Q153" i="15" s="1"/>
  <c r="O153" i="15"/>
  <c r="Q158" i="15"/>
  <c r="O188" i="15"/>
  <c r="Q193" i="15"/>
  <c r="Q222" i="15" s="1"/>
  <c r="O222" i="15"/>
  <c r="Q255" i="15"/>
  <c r="Q251" i="15"/>
  <c r="P245" i="15"/>
  <c r="Q243" i="15"/>
  <c r="O230" i="15"/>
  <c r="M236" i="15"/>
  <c r="O236" i="15" s="1"/>
  <c r="Q236" i="15" s="1"/>
  <c r="O241" i="15"/>
  <c r="Q241" i="15" s="1"/>
  <c r="O237" i="15"/>
  <c r="Q237" i="15" s="1"/>
  <c r="O233" i="15"/>
  <c r="Q233" i="15" s="1"/>
  <c r="P272" i="15"/>
  <c r="M228" i="15"/>
  <c r="O228" i="15" s="1"/>
  <c r="Q228" i="15" s="1"/>
  <c r="O240" i="15"/>
  <c r="Q240" i="15" s="1"/>
  <c r="O232" i="15"/>
  <c r="Q232" i="15" s="1"/>
  <c r="O227" i="15"/>
  <c r="Q227" i="15" s="1"/>
  <c r="O239" i="15"/>
  <c r="Q239" i="15" s="1"/>
  <c r="O235" i="15"/>
  <c r="Q235" i="15" s="1"/>
  <c r="O231" i="15"/>
  <c r="Q231" i="15" s="1"/>
  <c r="O229" i="15"/>
  <c r="Q229" i="15" s="1"/>
  <c r="O242" i="15"/>
  <c r="Q242" i="15" s="1"/>
  <c r="O238" i="15"/>
  <c r="Q238" i="15" s="1"/>
  <c r="O234" i="15"/>
  <c r="Q234" i="15" s="1"/>
  <c r="Q270" i="15"/>
  <c r="M267" i="15"/>
  <c r="O267" i="15" s="1"/>
  <c r="Q267" i="15" s="1"/>
  <c r="M263" i="15"/>
  <c r="O263" i="15" s="1"/>
  <c r="Q263" i="15" s="1"/>
  <c r="M259" i="15"/>
  <c r="O259" i="15" s="1"/>
  <c r="Q259" i="15" s="1"/>
  <c r="M250" i="15"/>
  <c r="O250" i="15" s="1"/>
  <c r="M266" i="15"/>
  <c r="O266" i="15" s="1"/>
  <c r="Q266" i="15" s="1"/>
  <c r="M262" i="15"/>
  <c r="O262" i="15" s="1"/>
  <c r="Q262" i="15" s="1"/>
  <c r="M258" i="15"/>
  <c r="O258" i="15" s="1"/>
  <c r="Q258" i="15" s="1"/>
  <c r="M254" i="15"/>
  <c r="O254" i="15" s="1"/>
  <c r="M269" i="15"/>
  <c r="O269" i="15" s="1"/>
  <c r="Q269" i="15" s="1"/>
  <c r="M265" i="15"/>
  <c r="O265" i="15" s="1"/>
  <c r="Q265" i="15" s="1"/>
  <c r="M261" i="15"/>
  <c r="O261" i="15" s="1"/>
  <c r="Q261" i="15" s="1"/>
  <c r="M257" i="15"/>
  <c r="O257" i="15" s="1"/>
  <c r="Q257" i="15" s="1"/>
  <c r="M253" i="15"/>
  <c r="O253" i="15" s="1"/>
  <c r="Q253" i="15" s="1"/>
  <c r="M268" i="15"/>
  <c r="O268" i="15" s="1"/>
  <c r="Q268" i="15" s="1"/>
  <c r="M264" i="15"/>
  <c r="O264" i="15" s="1"/>
  <c r="Q264" i="15" s="1"/>
  <c r="M260" i="15"/>
  <c r="O260" i="15" s="1"/>
  <c r="Q260" i="15" s="1"/>
  <c r="M256" i="15"/>
  <c r="O256" i="15" s="1"/>
  <c r="Q256" i="15" s="1"/>
  <c r="M252" i="15"/>
  <c r="O252" i="15" s="1"/>
  <c r="Q252" i="15" s="1"/>
  <c r="T89" i="13"/>
  <c r="T17" i="13"/>
  <c r="T40" i="13"/>
  <c r="N203" i="13"/>
  <c r="N186" i="13"/>
  <c r="N89" i="13"/>
  <c r="N160" i="13"/>
  <c r="N136" i="13"/>
  <c r="N110" i="13"/>
  <c r="N61" i="13"/>
  <c r="O206" i="13"/>
  <c r="O209" i="13"/>
  <c r="O207" i="13"/>
  <c r="O208" i="13"/>
  <c r="R46" i="13"/>
  <c r="N40" i="13"/>
  <c r="R23" i="13"/>
  <c r="T110" i="13"/>
  <c r="Q188" i="15" l="1"/>
  <c r="Q190" i="15" s="1"/>
  <c r="Q254" i="15"/>
  <c r="T283" i="15"/>
  <c r="T285" i="15" s="1"/>
  <c r="T287" i="15" s="1"/>
  <c r="O225" i="13"/>
  <c r="O227" i="13" s="1"/>
  <c r="Q120" i="15"/>
  <c r="Q122" i="15" s="1"/>
  <c r="Q54" i="15"/>
  <c r="Q56" i="15" s="1"/>
  <c r="Q95" i="15"/>
  <c r="Q97" i="15" s="1"/>
  <c r="T68" i="15"/>
  <c r="O161" i="13"/>
  <c r="R168" i="13"/>
  <c r="E41" i="18"/>
  <c r="Q224" i="15"/>
  <c r="E42" i="18"/>
  <c r="Q155" i="15"/>
  <c r="E40" i="18"/>
  <c r="T201" i="15"/>
  <c r="T236" i="15"/>
  <c r="T238" i="15" s="1"/>
  <c r="T240" i="15" s="1"/>
  <c r="Q230" i="15"/>
  <c r="T255" i="15"/>
  <c r="T34" i="15"/>
  <c r="T36" i="15" s="1"/>
  <c r="Q25" i="15"/>
  <c r="O90" i="13"/>
  <c r="R97" i="13"/>
  <c r="O111" i="13"/>
  <c r="R118" i="13"/>
  <c r="O18" i="13"/>
  <c r="R25" i="13"/>
  <c r="O41" i="13"/>
  <c r="B48" i="18"/>
  <c r="B64" i="18" s="1"/>
  <c r="R48" i="13"/>
  <c r="O245" i="15"/>
  <c r="Q250" i="15"/>
  <c r="Q272" i="15" s="1"/>
  <c r="O272" i="15"/>
  <c r="Q245" i="15"/>
  <c r="K87" i="4"/>
  <c r="K88" i="4"/>
  <c r="K89" i="4"/>
  <c r="K90" i="4"/>
  <c r="K86" i="4"/>
  <c r="J83" i="4"/>
  <c r="J84" i="4"/>
  <c r="J82" i="4"/>
  <c r="F107" i="4"/>
  <c r="F108" i="4"/>
  <c r="F109" i="4"/>
  <c r="F110" i="4"/>
  <c r="F111" i="4"/>
  <c r="F112" i="4"/>
  <c r="F106" i="4"/>
  <c r="B107" i="4"/>
  <c r="B108" i="4"/>
  <c r="B109" i="4"/>
  <c r="B110" i="4"/>
  <c r="B111" i="4"/>
  <c r="B112" i="4"/>
  <c r="B113" i="4"/>
  <c r="B106" i="4"/>
  <c r="G113" i="4"/>
  <c r="F113" i="4" s="1"/>
  <c r="C113" i="4"/>
  <c r="E39" i="18" l="1"/>
  <c r="T257" i="15"/>
  <c r="E37" i="18"/>
  <c r="E38" i="18"/>
  <c r="Q247" i="15"/>
  <c r="E43" i="18"/>
  <c r="Q274" i="15"/>
  <c r="E44" i="18"/>
  <c r="Q27" i="15"/>
  <c r="E36" i="18"/>
  <c r="J50" i="4"/>
  <c r="J49" i="4"/>
  <c r="J48" i="4"/>
  <c r="J45" i="4"/>
  <c r="J46" i="4"/>
  <c r="G48" i="4"/>
  <c r="F48" i="4" s="1"/>
  <c r="G33" i="4"/>
  <c r="G34" i="4"/>
  <c r="G35" i="4"/>
  <c r="G36" i="4"/>
  <c r="C36" i="4"/>
  <c r="C35" i="4"/>
  <c r="C34" i="4"/>
  <c r="G50" i="4"/>
  <c r="G49" i="4"/>
  <c r="G46" i="4"/>
  <c r="G45" i="4"/>
  <c r="C46" i="4"/>
  <c r="C45" i="4"/>
  <c r="B48" i="4"/>
  <c r="K41" i="4"/>
  <c r="K40" i="4"/>
  <c r="K39" i="4"/>
  <c r="K31" i="4"/>
  <c r="K30" i="4"/>
  <c r="J44" i="4"/>
  <c r="G44" i="4"/>
  <c r="F44" i="4" s="1"/>
  <c r="B44" i="4"/>
  <c r="G41" i="4"/>
  <c r="G40" i="4"/>
  <c r="G39" i="4"/>
  <c r="G38" i="4"/>
  <c r="G31" i="4"/>
  <c r="G30" i="4"/>
  <c r="C50" i="4"/>
  <c r="C49" i="4"/>
  <c r="C41" i="4"/>
  <c r="C40" i="4"/>
  <c r="C39" i="4"/>
  <c r="C31" i="4"/>
  <c r="C30" i="4"/>
  <c r="T259" i="15" l="1"/>
  <c r="E45" i="18"/>
  <c r="E68" i="18" l="1"/>
  <c r="E65" i="18"/>
  <c r="E67" i="18"/>
  <c r="M3" i="13"/>
  <c r="M4" i="13"/>
  <c r="O4" i="13" s="1"/>
  <c r="M5" i="13"/>
  <c r="O5" i="13" s="1"/>
  <c r="M6" i="13"/>
  <c r="M7" i="13"/>
  <c r="O7" i="13" s="1"/>
  <c r="M8" i="13"/>
  <c r="O8" i="13" s="1"/>
  <c r="M9" i="13"/>
  <c r="O9" i="13" s="1"/>
  <c r="M10" i="13"/>
  <c r="O10" i="13" s="1"/>
  <c r="M11" i="13"/>
  <c r="O11" i="13" s="1"/>
  <c r="M12" i="13"/>
  <c r="O12" i="13" s="1"/>
  <c r="M13" i="13"/>
  <c r="O13" i="13" s="1"/>
  <c r="M14" i="13"/>
  <c r="O14" i="13" s="1"/>
  <c r="M15" i="13"/>
  <c r="O15" i="13" s="1"/>
  <c r="M16" i="13"/>
  <c r="O16" i="13" s="1"/>
  <c r="M22" i="13"/>
  <c r="M23" i="13"/>
  <c r="M24" i="13"/>
  <c r="M25" i="13"/>
  <c r="M26" i="13"/>
  <c r="O26" i="13" s="1"/>
  <c r="M27" i="13"/>
  <c r="O27" i="13" s="1"/>
  <c r="M28" i="13"/>
  <c r="O28" i="13" s="1"/>
  <c r="M29" i="13"/>
  <c r="O29" i="13" s="1"/>
  <c r="M30" i="13"/>
  <c r="O30" i="13" s="1"/>
  <c r="M31" i="13"/>
  <c r="O31" i="13" s="1"/>
  <c r="M32" i="13"/>
  <c r="M33" i="13"/>
  <c r="M34" i="13"/>
  <c r="O34" i="13" s="1"/>
  <c r="M35" i="13"/>
  <c r="M36" i="13"/>
  <c r="M37" i="13"/>
  <c r="O37" i="13" s="1"/>
  <c r="M38" i="13"/>
  <c r="O38" i="13" s="1"/>
  <c r="M45" i="13"/>
  <c r="M46" i="13"/>
  <c r="O46" i="13" s="1"/>
  <c r="M47" i="13"/>
  <c r="O47" i="13" s="1"/>
  <c r="M48" i="13"/>
  <c r="M49" i="13"/>
  <c r="M50" i="13"/>
  <c r="O50" i="13" s="1"/>
  <c r="M51" i="13"/>
  <c r="M52" i="13"/>
  <c r="O52" i="13" s="1"/>
  <c r="M53" i="13"/>
  <c r="O53" i="13" s="1"/>
  <c r="M54" i="13"/>
  <c r="O54" i="13" s="1"/>
  <c r="M55" i="13"/>
  <c r="M56" i="13"/>
  <c r="O56" i="13" s="1"/>
  <c r="M57" i="13"/>
  <c r="M58" i="13"/>
  <c r="O58" i="13" s="1"/>
  <c r="M64" i="13"/>
  <c r="M65" i="13"/>
  <c r="O65" i="13" s="1"/>
  <c r="M66" i="13"/>
  <c r="M67" i="13"/>
  <c r="O67" i="13" s="1"/>
  <c r="M68" i="13"/>
  <c r="M69" i="13"/>
  <c r="M70" i="13"/>
  <c r="O70" i="13" s="1"/>
  <c r="M71" i="13"/>
  <c r="M72" i="13"/>
  <c r="M73" i="13"/>
  <c r="O73" i="13" s="1"/>
  <c r="M74" i="13"/>
  <c r="O74" i="13" s="1"/>
  <c r="M75" i="13"/>
  <c r="O75" i="13" s="1"/>
  <c r="M76" i="13"/>
  <c r="O76" i="13" s="1"/>
  <c r="M77" i="13"/>
  <c r="O77" i="13" s="1"/>
  <c r="M78" i="13"/>
  <c r="O78" i="13" s="1"/>
  <c r="M79" i="13"/>
  <c r="O79" i="13" s="1"/>
  <c r="M80" i="13"/>
  <c r="O80" i="13" s="1"/>
  <c r="M81" i="13"/>
  <c r="O81" i="13" s="1"/>
  <c r="M82" i="13"/>
  <c r="M83" i="13"/>
  <c r="M84" i="13"/>
  <c r="O84" i="13" s="1"/>
  <c r="M85" i="13"/>
  <c r="O85" i="13" s="1"/>
  <c r="M86" i="13"/>
  <c r="O86" i="13" s="1"/>
  <c r="M94" i="13"/>
  <c r="M95" i="13"/>
  <c r="O95" i="13" s="1"/>
  <c r="M96" i="13"/>
  <c r="M97" i="13"/>
  <c r="M98" i="13"/>
  <c r="M99" i="13"/>
  <c r="M100" i="13"/>
  <c r="O100" i="13" s="1"/>
  <c r="M101" i="13"/>
  <c r="O101" i="13" s="1"/>
  <c r="M102" i="13"/>
  <c r="O102" i="13" s="1"/>
  <c r="M103" i="13"/>
  <c r="O103" i="13" s="1"/>
  <c r="M104" i="13"/>
  <c r="O104" i="13" s="1"/>
  <c r="M105" i="13"/>
  <c r="M106" i="13"/>
  <c r="M107" i="13"/>
  <c r="O107" i="13" s="1"/>
  <c r="M108" i="13"/>
  <c r="O108" i="13" s="1"/>
  <c r="M109" i="13"/>
  <c r="O109" i="13" s="1"/>
  <c r="O115" i="13"/>
  <c r="M116" i="13"/>
  <c r="M117" i="13"/>
  <c r="O117" i="13" s="1"/>
  <c r="M118" i="13"/>
  <c r="O118" i="13" s="1"/>
  <c r="M119" i="13"/>
  <c r="M120" i="13"/>
  <c r="O120" i="13" s="1"/>
  <c r="M121" i="13"/>
  <c r="O121" i="13" s="1"/>
  <c r="M122" i="13"/>
  <c r="M123" i="13"/>
  <c r="O123" i="13" s="1"/>
  <c r="M124" i="13"/>
  <c r="O124" i="13" s="1"/>
  <c r="M125" i="13"/>
  <c r="O125" i="13" s="1"/>
  <c r="M126" i="13"/>
  <c r="O126" i="13" s="1"/>
  <c r="M127" i="13"/>
  <c r="O127" i="13" s="1"/>
  <c r="M128" i="13"/>
  <c r="O128" i="13" s="1"/>
  <c r="M129" i="13"/>
  <c r="M130" i="13"/>
  <c r="M131" i="13"/>
  <c r="M132" i="13"/>
  <c r="M133" i="13"/>
  <c r="M134" i="13"/>
  <c r="O134" i="13" s="1"/>
  <c r="M139" i="13"/>
  <c r="M140" i="13"/>
  <c r="M141" i="13"/>
  <c r="O141" i="13" s="1"/>
  <c r="M142" i="13"/>
  <c r="M143" i="13"/>
  <c r="M144" i="13"/>
  <c r="M145" i="13"/>
  <c r="M146" i="13"/>
  <c r="O146" i="13" s="1"/>
  <c r="M147" i="13"/>
  <c r="O147" i="13" s="1"/>
  <c r="M148" i="13"/>
  <c r="O148" i="13" s="1"/>
  <c r="M149" i="13"/>
  <c r="O149" i="13" s="1"/>
  <c r="M150" i="13"/>
  <c r="O150" i="13" s="1"/>
  <c r="M151" i="13"/>
  <c r="O151" i="13" s="1"/>
  <c r="M152" i="13"/>
  <c r="O152" i="13" s="1"/>
  <c r="M153" i="13"/>
  <c r="O153" i="13" s="1"/>
  <c r="M154" i="13"/>
  <c r="O154" i="13" s="1"/>
  <c r="M155" i="13"/>
  <c r="M156" i="13"/>
  <c r="M157" i="13"/>
  <c r="O157" i="13" s="1"/>
  <c r="M165" i="13"/>
  <c r="M166" i="13"/>
  <c r="M167" i="13"/>
  <c r="M168" i="13"/>
  <c r="O168" i="13" s="1"/>
  <c r="M169" i="13"/>
  <c r="M170" i="13"/>
  <c r="M171" i="13"/>
  <c r="O171" i="13" s="1"/>
  <c r="M172" i="13"/>
  <c r="M173" i="13"/>
  <c r="O173" i="13" s="1"/>
  <c r="M174" i="13"/>
  <c r="O174" i="13" s="1"/>
  <c r="M175" i="13"/>
  <c r="O175" i="13" s="1"/>
  <c r="M176" i="13"/>
  <c r="O176" i="13" s="1"/>
  <c r="M177" i="13"/>
  <c r="O177" i="13" s="1"/>
  <c r="M178" i="13"/>
  <c r="O178" i="13" s="1"/>
  <c r="M179" i="13"/>
  <c r="M180" i="13"/>
  <c r="O180" i="13" s="1"/>
  <c r="M181" i="13"/>
  <c r="M182" i="13"/>
  <c r="O182" i="13" s="1"/>
  <c r="M183" i="13"/>
  <c r="O183" i="13" s="1"/>
  <c r="M191" i="13"/>
  <c r="M192" i="13"/>
  <c r="M193" i="13"/>
  <c r="M194" i="13"/>
  <c r="O194" i="13" s="1"/>
  <c r="M195" i="13"/>
  <c r="O195" i="13" s="1"/>
  <c r="M196" i="13"/>
  <c r="M197" i="13"/>
  <c r="M198" i="13"/>
  <c r="M199" i="13"/>
  <c r="M200" i="13"/>
  <c r="O200" i="13" s="1"/>
  <c r="M201" i="13"/>
  <c r="O201" i="13" s="1"/>
  <c r="M202" i="13"/>
  <c r="O202" i="13" s="1"/>
  <c r="R206" i="13" l="1"/>
  <c r="R208" i="13" s="1"/>
  <c r="R210" i="13" s="1"/>
  <c r="R139" i="13"/>
  <c r="R141" i="13"/>
  <c r="R143" i="13" s="1"/>
  <c r="R191" i="13"/>
  <c r="R193" i="13" s="1"/>
  <c r="R195" i="13" s="1"/>
  <c r="O68" i="13"/>
  <c r="R94" i="13"/>
  <c r="R96" i="13" s="1"/>
  <c r="R98" i="13" s="1"/>
  <c r="O143" i="13"/>
  <c r="R165" i="13"/>
  <c r="R167" i="13" s="1"/>
  <c r="R169" i="13" s="1"/>
  <c r="R115" i="13"/>
  <c r="R117" i="13" s="1"/>
  <c r="R119" i="13" s="1"/>
  <c r="R64" i="13"/>
  <c r="R66" i="13" s="1"/>
  <c r="R68" i="13" s="1"/>
  <c r="M61" i="13"/>
  <c r="M186" i="13"/>
  <c r="O191" i="13"/>
  <c r="M203" i="13"/>
  <c r="M160" i="13"/>
  <c r="M136" i="13"/>
  <c r="M110" i="13"/>
  <c r="M89" i="13"/>
  <c r="R45" i="13"/>
  <c r="R47" i="13" s="1"/>
  <c r="R49" i="13" s="1"/>
  <c r="M40" i="13"/>
  <c r="M17" i="13"/>
  <c r="O6" i="13"/>
  <c r="R22" i="13"/>
  <c r="R24" i="13" s="1"/>
  <c r="R26" i="13" s="1"/>
  <c r="O3" i="13"/>
  <c r="O99" i="13"/>
  <c r="O145" i="13"/>
  <c r="O69" i="13"/>
  <c r="O24" i="13"/>
  <c r="O22" i="13"/>
  <c r="O172" i="13"/>
  <c r="O165" i="13"/>
  <c r="O156" i="13"/>
  <c r="O66" i="13"/>
  <c r="O199" i="13"/>
  <c r="O181" i="13"/>
  <c r="O144" i="13"/>
  <c r="O139" i="13"/>
  <c r="O119" i="13"/>
  <c r="O96" i="13"/>
  <c r="O140" i="13"/>
  <c r="O98" i="13"/>
  <c r="O82" i="13"/>
  <c r="O72" i="13"/>
  <c r="O57" i="13"/>
  <c r="O196" i="13"/>
  <c r="O192" i="13"/>
  <c r="O142" i="13"/>
  <c r="O64" i="13"/>
  <c r="O179" i="13"/>
  <c r="O169" i="13"/>
  <c r="O130" i="13"/>
  <c r="O122" i="13"/>
  <c r="O94" i="13"/>
  <c r="O51" i="13"/>
  <c r="O33" i="13"/>
  <c r="O25" i="13"/>
  <c r="O97" i="13"/>
  <c r="O83" i="13"/>
  <c r="O198" i="13"/>
  <c r="O197" i="13"/>
  <c r="O170" i="13"/>
  <c r="O131" i="13"/>
  <c r="O45" i="13"/>
  <c r="O55" i="13"/>
  <c r="O48" i="13"/>
  <c r="O35" i="13"/>
  <c r="O167" i="13"/>
  <c r="O49" i="13"/>
  <c r="O36" i="13"/>
  <c r="O116" i="13"/>
  <c r="O23" i="13"/>
  <c r="O166" i="13"/>
  <c r="O155" i="13"/>
  <c r="O133" i="13"/>
  <c r="O105" i="13"/>
  <c r="O71" i="13"/>
  <c r="O193" i="13"/>
  <c r="O132" i="13"/>
  <c r="O129" i="13"/>
  <c r="O106" i="13"/>
  <c r="O32" i="13"/>
  <c r="I111" i="5"/>
  <c r="J111" i="5"/>
  <c r="K111" i="5"/>
  <c r="L111" i="5"/>
  <c r="M111" i="5"/>
  <c r="H111" i="5"/>
  <c r="J26" i="10"/>
  <c r="J27" i="10"/>
  <c r="J28" i="10"/>
  <c r="J29" i="10"/>
  <c r="J33" i="10"/>
  <c r="J34" i="10"/>
  <c r="J35" i="10"/>
  <c r="J36" i="10"/>
  <c r="J37" i="10"/>
  <c r="J38" i="10"/>
  <c r="J39" i="10"/>
  <c r="J44" i="10"/>
  <c r="J21" i="10"/>
  <c r="J20" i="10"/>
  <c r="J10" i="10"/>
  <c r="L10" i="10" s="1"/>
  <c r="J11" i="10"/>
  <c r="L11" i="10" s="1"/>
  <c r="J12" i="10"/>
  <c r="J13" i="10"/>
  <c r="J14" i="10"/>
  <c r="J15" i="10"/>
  <c r="J16" i="10"/>
  <c r="L16" i="10" s="1"/>
  <c r="J17" i="10"/>
  <c r="L17" i="10" s="1"/>
  <c r="J18" i="10"/>
  <c r="J19" i="10"/>
  <c r="L19" i="10" s="1"/>
  <c r="J22" i="10"/>
  <c r="J8" i="10"/>
  <c r="K39" i="10"/>
  <c r="L39" i="10" s="1"/>
  <c r="H39" i="10"/>
  <c r="L38" i="10"/>
  <c r="K38" i="10"/>
  <c r="H38" i="10"/>
  <c r="C30" i="10"/>
  <c r="E30" i="10" s="1"/>
  <c r="C31" i="10"/>
  <c r="C32" i="10"/>
  <c r="L44" i="10"/>
  <c r="K9" i="10"/>
  <c r="L9" i="10" s="1"/>
  <c r="K12" i="10"/>
  <c r="L12" i="10" s="1"/>
  <c r="K13" i="10"/>
  <c r="L13" i="10" s="1"/>
  <c r="K14" i="10"/>
  <c r="L14" i="10" s="1"/>
  <c r="K15" i="10"/>
  <c r="L15" i="10" s="1"/>
  <c r="K18" i="10"/>
  <c r="L18" i="10" s="1"/>
  <c r="K19" i="10"/>
  <c r="K20" i="10"/>
  <c r="L20" i="10" s="1"/>
  <c r="K21" i="10"/>
  <c r="L21" i="10" s="1"/>
  <c r="K22" i="10"/>
  <c r="L22" i="10" s="1"/>
  <c r="K26" i="10"/>
  <c r="K27" i="10"/>
  <c r="L27" i="10" s="1"/>
  <c r="K28" i="10"/>
  <c r="L28" i="10" s="1"/>
  <c r="K29" i="10"/>
  <c r="L29" i="10" s="1"/>
  <c r="K30" i="10"/>
  <c r="K31" i="10"/>
  <c r="K32" i="10"/>
  <c r="K33" i="10"/>
  <c r="L33" i="10" s="1"/>
  <c r="K34" i="10"/>
  <c r="L34" i="10" s="1"/>
  <c r="K35" i="10"/>
  <c r="L35" i="10" s="1"/>
  <c r="K36" i="10"/>
  <c r="L36" i="10" s="1"/>
  <c r="K37" i="10"/>
  <c r="L37" i="10" s="1"/>
  <c r="K41" i="10"/>
  <c r="K42" i="10"/>
  <c r="K43" i="10"/>
  <c r="K8" i="10"/>
  <c r="L8" i="10" s="1"/>
  <c r="E29" i="10"/>
  <c r="H29" i="10" s="1"/>
  <c r="E28" i="10"/>
  <c r="H28" i="10" s="1"/>
  <c r="E27" i="10"/>
  <c r="H27" i="10" s="1"/>
  <c r="E26" i="10"/>
  <c r="H26" i="10" s="1"/>
  <c r="G42" i="10"/>
  <c r="G43" i="10"/>
  <c r="J43" i="10" s="1"/>
  <c r="G41" i="10"/>
  <c r="J41" i="10" s="1"/>
  <c r="F42" i="10"/>
  <c r="F43" i="10"/>
  <c r="F41" i="10"/>
  <c r="C43" i="10"/>
  <c r="C42" i="10"/>
  <c r="E42" i="10" s="1"/>
  <c r="H42" i="10" s="1"/>
  <c r="C41" i="10"/>
  <c r="E41" i="10" s="1"/>
  <c r="E43" i="10"/>
  <c r="H43" i="10" s="1"/>
  <c r="E40" i="10"/>
  <c r="H40" i="10" s="1"/>
  <c r="E33" i="10"/>
  <c r="H33" i="10" s="1"/>
  <c r="E34" i="10"/>
  <c r="H34" i="10" s="1"/>
  <c r="E35" i="10"/>
  <c r="G31" i="10"/>
  <c r="G32" i="10"/>
  <c r="G30" i="10"/>
  <c r="J30" i="10" s="1"/>
  <c r="F31" i="10"/>
  <c r="F45" i="10" s="1"/>
  <c r="F32" i="10"/>
  <c r="F30" i="10"/>
  <c r="E31" i="10"/>
  <c r="H31" i="10" s="1"/>
  <c r="E32" i="10"/>
  <c r="H44" i="10"/>
  <c r="H37" i="10"/>
  <c r="H36" i="10"/>
  <c r="F23" i="10"/>
  <c r="G23" i="10"/>
  <c r="E23" i="10"/>
  <c r="H9" i="10"/>
  <c r="H10" i="10"/>
  <c r="H11" i="10"/>
  <c r="H12" i="10"/>
  <c r="H13" i="10"/>
  <c r="H14" i="10"/>
  <c r="H15" i="10"/>
  <c r="H16" i="10"/>
  <c r="H17" i="10"/>
  <c r="H18" i="10"/>
  <c r="H19" i="10"/>
  <c r="H20" i="10"/>
  <c r="H21" i="10"/>
  <c r="H22" i="10"/>
  <c r="H8" i="10"/>
  <c r="O203" i="13" l="1"/>
  <c r="O186" i="13"/>
  <c r="O136" i="13"/>
  <c r="O160" i="13"/>
  <c r="O110" i="13"/>
  <c r="O89" i="13"/>
  <c r="O61" i="13"/>
  <c r="B38" i="18" s="1"/>
  <c r="O40" i="13"/>
  <c r="B37" i="18" s="1"/>
  <c r="O17" i="13"/>
  <c r="G45" i="10"/>
  <c r="J42" i="10"/>
  <c r="K45" i="10"/>
  <c r="J23" i="10"/>
  <c r="J31" i="10"/>
  <c r="K23" i="10"/>
  <c r="H30" i="10"/>
  <c r="L43" i="10"/>
  <c r="L32" i="10"/>
  <c r="H41" i="10"/>
  <c r="L42" i="10"/>
  <c r="L31" i="10"/>
  <c r="J32" i="10"/>
  <c r="J45" i="10" s="1"/>
  <c r="L26" i="10"/>
  <c r="H32" i="10"/>
  <c r="L41" i="10"/>
  <c r="L30" i="10"/>
  <c r="L23" i="10"/>
  <c r="H23" i="10"/>
  <c r="E45" i="10"/>
  <c r="H35" i="10"/>
  <c r="H45" i="10" s="1"/>
  <c r="B41" i="18" l="1"/>
  <c r="B44" i="18"/>
  <c r="O162" i="13"/>
  <c r="B42" i="18"/>
  <c r="O91" i="13"/>
  <c r="B39" i="18"/>
  <c r="O188" i="13"/>
  <c r="B43" i="18"/>
  <c r="O19" i="13"/>
  <c r="B36" i="18"/>
  <c r="O112" i="13"/>
  <c r="B40" i="18"/>
  <c r="O42" i="13"/>
  <c r="L45" i="10"/>
  <c r="L76" i="5"/>
  <c r="M76" i="5"/>
  <c r="N76" i="5"/>
  <c r="O76" i="5"/>
  <c r="K76" i="5"/>
  <c r="J76" i="5"/>
  <c r="B45" i="18" l="1"/>
  <c r="N104" i="5"/>
  <c r="O104" i="5"/>
  <c r="B65" i="18" l="1"/>
  <c r="B68" i="18"/>
  <c r="P46" i="5"/>
</calcChain>
</file>

<file path=xl/sharedStrings.xml><?xml version="1.0" encoding="utf-8"?>
<sst xmlns="http://schemas.openxmlformats.org/spreadsheetml/2006/main" count="6805" uniqueCount="1086">
  <si>
    <t>Salaries</t>
  </si>
  <si>
    <t>World Cup</t>
  </si>
  <si>
    <t>Olympics</t>
  </si>
  <si>
    <t>Win</t>
  </si>
  <si>
    <t>Fourth place</t>
  </si>
  <si>
    <t>Draw</t>
  </si>
  <si>
    <t>Individual</t>
  </si>
  <si>
    <t>Third place</t>
  </si>
  <si>
    <t>Loss</t>
  </si>
  <si>
    <t>Point/grp</t>
  </si>
  <si>
    <t>Runner-up</t>
  </si>
  <si>
    <t>Champion</t>
  </si>
  <si>
    <t>Semifinals</t>
  </si>
  <si>
    <t>Likenesses</t>
  </si>
  <si>
    <t>Attendance</t>
  </si>
  <si>
    <t>Opponent</t>
  </si>
  <si>
    <t>Res</t>
  </si>
  <si>
    <t>No.</t>
  </si>
  <si>
    <t>Players</t>
  </si>
  <si>
    <t>Scotland</t>
  </si>
  <si>
    <t>W</t>
  </si>
  <si>
    <t>Friendly camp</t>
  </si>
  <si>
    <t>WCQ camp</t>
  </si>
  <si>
    <t>Iceland</t>
  </si>
  <si>
    <t>Total</t>
  </si>
  <si>
    <t>China</t>
  </si>
  <si>
    <t>Sweden</t>
  </si>
  <si>
    <t>Germany</t>
  </si>
  <si>
    <t>T1</t>
  </si>
  <si>
    <t>Canada</t>
  </si>
  <si>
    <t>Netherlands</t>
  </si>
  <si>
    <t>T2</t>
  </si>
  <si>
    <t>Honduras</t>
  </si>
  <si>
    <t>L</t>
  </si>
  <si>
    <t>South Korea</t>
  </si>
  <si>
    <t>Mexico</t>
  </si>
  <si>
    <t>Costa Rica</t>
  </si>
  <si>
    <t>Australia</t>
  </si>
  <si>
    <t>New Zealand</t>
  </si>
  <si>
    <t>Belgium</t>
  </si>
  <si>
    <t>Jamaica</t>
  </si>
  <si>
    <t>Brazil</t>
  </si>
  <si>
    <t>Panama</t>
  </si>
  <si>
    <t>Guatemala</t>
  </si>
  <si>
    <t>Belize</t>
  </si>
  <si>
    <t>Cuba</t>
  </si>
  <si>
    <t>El Salvador</t>
  </si>
  <si>
    <t>Bosnia</t>
  </si>
  <si>
    <t>Austria</t>
  </si>
  <si>
    <t>Russia</t>
  </si>
  <si>
    <t>Japan</t>
  </si>
  <si>
    <t>Denmark</t>
  </si>
  <si>
    <t>North Korea</t>
  </si>
  <si>
    <t>France</t>
  </si>
  <si>
    <t>Ukraine</t>
  </si>
  <si>
    <t>Switzerland</t>
  </si>
  <si>
    <t>Azerbaijan</t>
  </si>
  <si>
    <t>Turkey</t>
  </si>
  <si>
    <t>Nigeria</t>
  </si>
  <si>
    <t>Haiti</t>
  </si>
  <si>
    <t>Argentina</t>
  </si>
  <si>
    <t>England</t>
  </si>
  <si>
    <t>Norway</t>
  </si>
  <si>
    <t>Ecuador</t>
  </si>
  <si>
    <t>Colombia</t>
  </si>
  <si>
    <t>Ireland</t>
  </si>
  <si>
    <t>Chile</t>
  </si>
  <si>
    <t>Peru</t>
  </si>
  <si>
    <t>Under-23s and three overage players can play in Oly; bonuses aren't stated in CBA</t>
  </si>
  <si>
    <t>The USOC awards $37,500 to gold medalists, $22,500 for silver, $15,000 bronze</t>
  </si>
  <si>
    <t>Players Association determines how pool bonus is split</t>
  </si>
  <si>
    <t>Puerto Rico</t>
  </si>
  <si>
    <t>Bolivia</t>
  </si>
  <si>
    <t>Paraguay</t>
  </si>
  <si>
    <t>South Africa</t>
  </si>
  <si>
    <t>Serbia</t>
  </si>
  <si>
    <t>Venezuela</t>
  </si>
  <si>
    <t>Ghana</t>
  </si>
  <si>
    <t>Thailand</t>
  </si>
  <si>
    <t>Martinique</t>
  </si>
  <si>
    <t>Nicaragua</t>
  </si>
  <si>
    <t>Romania</t>
  </si>
  <si>
    <t>Portugal</t>
  </si>
  <si>
    <t>D</t>
  </si>
  <si>
    <t>Italy</t>
  </si>
  <si>
    <t>2015 (WWC)</t>
  </si>
  <si>
    <t>2013 (WCQ)</t>
  </si>
  <si>
    <t>2014 (WC)</t>
  </si>
  <si>
    <t>2016 (Copa)</t>
  </si>
  <si>
    <t>2017 (WCQ)</t>
  </si>
  <si>
    <t>TOTAL</t>
  </si>
  <si>
    <t>Team</t>
  </si>
  <si>
    <t>https://www.scribd.com/document/434618327/USSF-Original-Complaint</t>
  </si>
  <si>
    <t>unknown</t>
  </si>
  <si>
    <t>Attendance and ratings</t>
  </si>
  <si>
    <t>Compiled from media guides and other U.S. Soccer documents</t>
  </si>
  <si>
    <t>2011 (WWC)</t>
  </si>
  <si>
    <t>2010 (WC)</t>
  </si>
  <si>
    <t>FY ending ...</t>
  </si>
  <si>
    <t>Men's National Team revenue</t>
  </si>
  <si>
    <t>Men's National Team expenses</t>
  </si>
  <si>
    <t>Men's National Team net</t>
  </si>
  <si>
    <t>Women's National Team revenue</t>
  </si>
  <si>
    <t>Women's National Team expenses</t>
  </si>
  <si>
    <t>Women's National Team net</t>
  </si>
  <si>
    <t>Total revenue</t>
  </si>
  <si>
    <t>Executive compensation</t>
  </si>
  <si>
    <t>Other salaries and wages</t>
  </si>
  <si>
    <t>Net income</t>
  </si>
  <si>
    <t>Net assets</t>
  </si>
  <si>
    <t>Total functional expenses</t>
  </si>
  <si>
    <t>Referee program revenue</t>
  </si>
  <si>
    <t>Referee program expense</t>
  </si>
  <si>
    <t>Coaching program revenue</t>
  </si>
  <si>
    <t>Coaching program expense</t>
  </si>
  <si>
    <t>CEO: Dan Flynn</t>
  </si>
  <si>
    <t>CAO: Brian Remedi</t>
  </si>
  <si>
    <t>CFO: Eric Gleason</t>
  </si>
  <si>
    <t>Legal: Lisa Levine</t>
  </si>
  <si>
    <t>Legal: Lydia Wahlke</t>
  </si>
  <si>
    <t>Managing Dir Admin: Tom King</t>
  </si>
  <si>
    <t>WNT coach: Jill Ellis</t>
  </si>
  <si>
    <t>Chief Med: George Chiampas</t>
  </si>
  <si>
    <t>U20M coach: Tab Ramos</t>
  </si>
  <si>
    <t>Top-paid player (gold for W, blue for M)</t>
  </si>
  <si>
    <t>Employees making &gt;$100,000</t>
  </si>
  <si>
    <t>Part VII, line 2</t>
  </si>
  <si>
    <t>Source doc</t>
  </si>
  <si>
    <t>990 Part VIII</t>
  </si>
  <si>
    <t>990 Part IX, line 5</t>
  </si>
  <si>
    <t>990 Part IX, line 7</t>
  </si>
  <si>
    <t>Natl team / Intl games / Open Cup</t>
  </si>
  <si>
    <t>990 Part III</t>
  </si>
  <si>
    <t>MNT int: Dave Sarachan (10/17 to 2018)</t>
  </si>
  <si>
    <t>MNT coach: Juergen Klinsmann (to 11/16)</t>
  </si>
  <si>
    <t>MNT asst: Andreas Herzog (to 11/16)</t>
  </si>
  <si>
    <t>Director of Events: Paul Marstaller</t>
  </si>
  <si>
    <t>Legal: Gregory Fike</t>
  </si>
  <si>
    <t>Membership dues</t>
  </si>
  <si>
    <t>990 Part VII</t>
  </si>
  <si>
    <t>990 Part VIII, 2a-e</t>
  </si>
  <si>
    <t>WNT coach: Tom Sermanni</t>
  </si>
  <si>
    <t>WNT coach: Pia Sundhage</t>
  </si>
  <si>
    <t>MNT coach: Bob Bradley</t>
  </si>
  <si>
    <t>U20M coach: Thomas Rongen</t>
  </si>
  <si>
    <t>* International game income</t>
  </si>
  <si>
    <t>* Open Cup</t>
  </si>
  <si>
    <t>Sponsorship, TV, licensing, royalties</t>
  </si>
  <si>
    <t>* National team game revenue</t>
  </si>
  <si>
    <t>U.S. Olympic Committee funding</t>
  </si>
  <si>
    <t>Other prog serv revenue (some NT?)</t>
  </si>
  <si>
    <t>Other prog serv expense (some NT?)</t>
  </si>
  <si>
    <t>USSF revenue/expense overview (from 990s)</t>
  </si>
  <si>
    <t>Total expenses</t>
  </si>
  <si>
    <t>USSF revenue/expense overview (from Audited Financials)</t>
  </si>
  <si>
    <t>* Via Soccer United Marketing</t>
  </si>
  <si>
    <t>* Via Nike</t>
  </si>
  <si>
    <t>Audited Financial note: Most third-party sponsorship, TV, licensing and royalty revenues (excluding Nike) are paid to SUM, and SUM pays the Federation annual guaranteed compensation.</t>
  </si>
  <si>
    <t>Audited (see note)</t>
  </si>
  <si>
    <t>Audited Financial</t>
  </si>
  <si>
    <t>In FY 2017, these numbers are consolidated with CA2016 Marketing Inc., which provided marketing for Copa America Centenario</t>
  </si>
  <si>
    <t>Explanation of why 990s and Audited Financials differ: https://www.wegnercpas.com/differences-between-financial-statements-irs-form-990/</t>
  </si>
  <si>
    <t>National team expenses breakdown (from Audited Financials)</t>
  </si>
  <si>
    <t>Youth National Teams/Player Development</t>
  </si>
  <si>
    <t>Men's National Team</t>
  </si>
  <si>
    <t>Women's National Team</t>
  </si>
  <si>
    <t>National Team Coaching</t>
  </si>
  <si>
    <t>Equipment and supplies</t>
  </si>
  <si>
    <t>Paralympic National Team</t>
  </si>
  <si>
    <t>NWSL</t>
  </si>
  <si>
    <t>Futsal National Team</t>
  </si>
  <si>
    <t>Beach Soccer National Team</t>
  </si>
  <si>
    <t>National Training Center</t>
  </si>
  <si>
    <t>TOTAL NT EXPENSES</t>
  </si>
  <si>
    <t>Copa America Centenario</t>
  </si>
  <si>
    <t>2016-17 Audited Financial says Copa America had $189,672,599 unrestricted LOC assets vs. $165,764 expenses; also $1,200,000 Marketing Unrestricted vs. $871,850 expenses</t>
  </si>
  <si>
    <t>TOTAL REVENUE (Sum of AGM figures)</t>
  </si>
  <si>
    <t>TOTAL REVENUE (Audited Financials)</t>
  </si>
  <si>
    <t>In some years, YNT expense on 990 equals *total* NT expense on Audited Financial (broken down below). Here, I've gone with Audited Financial.</t>
  </si>
  <si>
    <t>* International games</t>
  </si>
  <si>
    <t>No explanation yet as to why men's and women's expenses are so different between AGM breakdown and Audited Financials</t>
  </si>
  <si>
    <t>2014 USOC added $140,000 in temporarily restricted revenue</t>
  </si>
  <si>
    <t>PLAYER-GENERATED ESTIMATE</t>
  </si>
  <si>
    <t>Tournament bonuses</t>
  </si>
  <si>
    <t>WNT</t>
  </si>
  <si>
    <t>MNT</t>
  </si>
  <si>
    <t>May</t>
  </si>
  <si>
    <t>June</t>
  </si>
  <si>
    <t>Sept</t>
  </si>
  <si>
    <t>Oct</t>
  </si>
  <si>
    <t>Nov</t>
  </si>
  <si>
    <t>Jan</t>
  </si>
  <si>
    <t>Feb</t>
  </si>
  <si>
    <t>March</t>
  </si>
  <si>
    <t>Type</t>
  </si>
  <si>
    <t>H friendly</t>
  </si>
  <si>
    <t>Avg ticket</t>
  </si>
  <si>
    <t>Revenue</t>
  </si>
  <si>
    <t>A friendly</t>
  </si>
  <si>
    <t>Event Expense</t>
  </si>
  <si>
    <t>Team Exp</t>
  </si>
  <si>
    <t>Jan camp</t>
  </si>
  <si>
    <t>April</t>
  </si>
  <si>
    <t>Aug</t>
  </si>
  <si>
    <t>TON</t>
  </si>
  <si>
    <t>WWCQ (5g)</t>
  </si>
  <si>
    <t>SBC</t>
  </si>
  <si>
    <t>ACTUAL</t>
  </si>
  <si>
    <t>not played</t>
  </si>
  <si>
    <t>not budgeted</t>
  </si>
  <si>
    <t>Expense?</t>
  </si>
  <si>
    <t>WWC qual</t>
  </si>
  <si>
    <t>H friendly - event exp est: $400K</t>
  </si>
  <si>
    <t>Attend</t>
  </si>
  <si>
    <t>Event Exp</t>
  </si>
  <si>
    <t>NET</t>
  </si>
  <si>
    <t>Total salaries and wages</t>
  </si>
  <si>
    <t>World Cup roster bonus</t>
  </si>
  <si>
    <t>x</t>
  </si>
  <si>
    <t>Game pay</t>
  </si>
  <si>
    <t>Friendly</t>
  </si>
  <si>
    <t>Mar</t>
  </si>
  <si>
    <t>Sep</t>
  </si>
  <si>
    <t>Jun</t>
  </si>
  <si>
    <t>Game/attendance subtotal</t>
  </si>
  <si>
    <t>Bosnia-Herzegovina</t>
  </si>
  <si>
    <t>T&amp;T</t>
  </si>
  <si>
    <t>WCQ Hex</t>
  </si>
  <si>
    <t>Trinidad &amp; Tobago</t>
  </si>
  <si>
    <t>Gold Cup</t>
  </si>
  <si>
    <t>Jul</t>
  </si>
  <si>
    <t>Attendance bonus</t>
  </si>
  <si>
    <t>World Cup knockout round</t>
  </si>
  <si>
    <t>World Cup qualification</t>
  </si>
  <si>
    <t>WCQ SF</t>
  </si>
  <si>
    <t>NA</t>
  </si>
  <si>
    <t>St. Vincent</t>
  </si>
  <si>
    <t>St. Vincent/Gren</t>
  </si>
  <si>
    <t>Copa America</t>
  </si>
  <si>
    <t>Mass.</t>
  </si>
  <si>
    <t>Apr</t>
  </si>
  <si>
    <t>TEAM PAY</t>
  </si>
  <si>
    <t>Att bonus</t>
  </si>
  <si>
    <t>Per player</t>
  </si>
  <si>
    <t>AB?</t>
  </si>
  <si>
    <t>State/Country</t>
  </si>
  <si>
    <t>Tier</t>
  </si>
  <si>
    <t>Year</t>
  </si>
  <si>
    <t>Day</t>
  </si>
  <si>
    <t>Month</t>
  </si>
  <si>
    <t>Czech Republic</t>
  </si>
  <si>
    <t>Cyprus</t>
  </si>
  <si>
    <t>Antigua</t>
  </si>
  <si>
    <t>Antigua &amp; Barbuda</t>
  </si>
  <si>
    <t>Slovenia</t>
  </si>
  <si>
    <t>Guadeloupe</t>
  </si>
  <si>
    <t>Spain</t>
  </si>
  <si>
    <t>Poland</t>
  </si>
  <si>
    <t>Algeria</t>
  </si>
  <si>
    <t>http://voices.washingtonpost.com/soccerinsider/2010/02/big_bonuses_at_stake_for_world.html</t>
  </si>
  <si>
    <t>WC qual</t>
  </si>
  <si>
    <t>Oly qual</t>
  </si>
  <si>
    <t>Dec</t>
  </si>
  <si>
    <t>500s</t>
  </si>
  <si>
    <t>Dom Republic</t>
  </si>
  <si>
    <t>Finland</t>
  </si>
  <si>
    <t>2012 Victory Tour</t>
  </si>
  <si>
    <t>2011 Victory Tour</t>
  </si>
  <si>
    <t>20 players in 2017</t>
  </si>
  <si>
    <t>USSF national team projection compared with actual attendance</t>
  </si>
  <si>
    <t>"Actual" figures don't take into account any change in expenses or ticket prices. All we know is attendance, so "net" is estimated</t>
  </si>
  <si>
    <t>NT games sample yr</t>
  </si>
  <si>
    <t>Gives a sample breakdown of how USSF projects NT games in a given year, then compares attendance estimates with actual, creating a rough estimate of actual game revenue</t>
  </si>
  <si>
    <t>drops 1 player per year</t>
  </si>
  <si>
    <t>Non-salaried players</t>
  </si>
  <si>
    <t>Note: Attendance bonuses are for PAID attendance, so they will be lower than what's shown here</t>
  </si>
  <si>
    <t>Per paid ticket/home friendlies</t>
  </si>
  <si>
    <t>First camp, 10 days or less</t>
  </si>
  <si>
    <t>First camp, more than 10 days</t>
  </si>
  <si>
    <t>Future camps, &lt;=10 days</t>
  </si>
  <si>
    <t>Future camps, &gt;10 days</t>
  </si>
  <si>
    <t>Win: 5th-8th ranked team</t>
  </si>
  <si>
    <t>Win: Other</t>
  </si>
  <si>
    <t>Win: Top 4 team / Canada</t>
  </si>
  <si>
    <t>Draw: Top 4 / Canada</t>
  </si>
  <si>
    <t>Draw: 5th-8th ranked team</t>
  </si>
  <si>
    <t>Draw: Other</t>
  </si>
  <si>
    <t>Friendly bonuses</t>
  </si>
  <si>
    <t>Roster, 8th time or higher</t>
  </si>
  <si>
    <t>World Cup roster</t>
  </si>
  <si>
    <t>Other bonuses and benefits</t>
  </si>
  <si>
    <t>Schedule notes</t>
  </si>
  <si>
    <t>US CBAs</t>
  </si>
  <si>
    <t>Tier 1 (min 18)</t>
  </si>
  <si>
    <t>Tier 3 (max 4 unless total&gt;24)</t>
  </si>
  <si>
    <t>Floater pay per week</t>
  </si>
  <si>
    <t>Roster, first 3 times</t>
  </si>
  <si>
    <t>Roster, 4th time or higher</t>
  </si>
  <si>
    <t>Tier 2 (usually 2)</t>
  </si>
  <si>
    <t>complex</t>
  </si>
  <si>
    <t>tbd</t>
  </si>
  <si>
    <t>CBA signing bonus</t>
  </si>
  <si>
    <t>Sponsor appearance</t>
  </si>
  <si>
    <t>WOMEN'S NATIONAL TEAM</t>
  </si>
  <si>
    <t>2009-12 (from 2005 CBA)</t>
  </si>
  <si>
    <t>2013-16 MOU</t>
  </si>
  <si>
    <t>2017-21 CBA</t>
  </si>
  <si>
    <t>Tournament win bonus</t>
  </si>
  <si>
    <t>SheBelieves, others</t>
  </si>
  <si>
    <t>VICTORY TOUR</t>
  </si>
  <si>
    <t>Source:</t>
  </si>
  <si>
    <t>All players</t>
  </si>
  <si>
    <t>Miscellaneous</t>
  </si>
  <si>
    <t>NWSL (current CBA)</t>
  </si>
  <si>
    <t>Some players on NWSL salary (minimum 22) are not on WNT salary . Tier 1 starts at $67,500 in 2017, then a $2,500 raise each year. Tier 2 is $5,000 less than Tier 1</t>
  </si>
  <si>
    <t>Medalists from the World Cup and Olympics get an extra bonus for a 4-game tour. All players get win and draw bonuses, and non-salaried players get game pay.</t>
  </si>
  <si>
    <t>Applies only to paid tickets at home friendlies. Split among gameday roster</t>
  </si>
  <si>
    <t>Post-event tour / Victory Tour</t>
  </si>
  <si>
    <t>Federation will aim to have for at least 16 games in non-Oly/WWC years. In Oly/WWC years, 12 games + tournament. ID camps may be held (and are being held) for inexperienced WNT players</t>
  </si>
  <si>
    <t>With salaries: Injury pay, severance, paid maternity leave, nanny service, insurance, 401(k). Per diem will rise to match MNT's when MNT gets new deal</t>
  </si>
  <si>
    <t>Commercial bonuses</t>
  </si>
  <si>
    <t>Revenue bonus awarded if SUM revenue exceeds target. TV bonus if ratings exceed target. Sponsor appearances: $4k for WNT event; $2.5k for NWSL event</t>
  </si>
  <si>
    <t>WORLD CUP (23 players)</t>
  </si>
  <si>
    <t>OLYMPICS (18 players)</t>
  </si>
  <si>
    <t>Qual bonus (20 players)</t>
  </si>
  <si>
    <t>MEN'S NATIONAL TEAM</t>
  </si>
  <si>
    <t>Win: Top 10 team / Mexico</t>
  </si>
  <si>
    <t>Win: 11th-25th ranked team</t>
  </si>
  <si>
    <t>Draw: Top 10 team / Mexico</t>
  </si>
  <si>
    <t>Draw: 11th-25th ranked team</t>
  </si>
  <si>
    <t>Camp call-ins</t>
  </si>
  <si>
    <t>Win: Top 25 team / Mexico</t>
  </si>
  <si>
    <t>Gold (10 games)</t>
  </si>
  <si>
    <t>Silver (3 games)</t>
  </si>
  <si>
    <t>Bronze (3 games)</t>
  </si>
  <si>
    <t>(already paid)</t>
  </si>
  <si>
    <t>Olympic roster</t>
  </si>
  <si>
    <t>Gold (4 games)</t>
  </si>
  <si>
    <t>Silver (4 games)</t>
  </si>
  <si>
    <t>Bronze (4 games)</t>
  </si>
  <si>
    <t>Roster, first 7 (250k raise in 2019)</t>
  </si>
  <si>
    <t xml:space="preserve">World Cup/Oly qualifier </t>
  </si>
  <si>
    <t>Win (each game)</t>
  </si>
  <si>
    <t>2011-14</t>
  </si>
  <si>
    <t>2015-present</t>
  </si>
  <si>
    <t>World Cup qualifying: SF</t>
  </si>
  <si>
    <t>World Cup qualifying: Hex</t>
  </si>
  <si>
    <t>Qualifying (pool)</t>
  </si>
  <si>
    <t>Per paid ticket/home</t>
  </si>
  <si>
    <t>Home friendlies and home World Cup qualifiers, but NOT Gold Cup or Copa</t>
  </si>
  <si>
    <t>Max (win, 9 pts in group)</t>
  </si>
  <si>
    <t>World Cup per-game pay</t>
  </si>
  <si>
    <t>Team would get group-stage points bonus AND knockout round bonus</t>
  </si>
  <si>
    <t>Team would get two previous bonuses AND quarterfinal bonus</t>
  </si>
  <si>
    <t>Team would get three previous bonuses AND semifinal bonus</t>
  </si>
  <si>
    <t>Team would get group points, KO round, quarterfinal, semifinal AND third place</t>
  </si>
  <si>
    <t>Team would get group points, KO round, quarterfinal, semifinal AND runner-up (not third place)</t>
  </si>
  <si>
    <t>Team would get group points, KO round, quarterfinal, semifinal AND champion (not third or runner-up)_</t>
  </si>
  <si>
    <t>With World Cup qualification</t>
  </si>
  <si>
    <t>Roster (23 players)</t>
  </si>
  <si>
    <t>Per-game pay (23 players)</t>
  </si>
  <si>
    <t>Sponsor appearance, each (10)</t>
  </si>
  <si>
    <t>https://www.scribd.com/document/404240562/Men-s-soccer-team-CBA-2011-2018</t>
  </si>
  <si>
    <t>To give an example of USSF budgets. Projections taken from FY '19 budgeting, page 82 of 2018 Annual General Meeting book (link below)</t>
  </si>
  <si>
    <r>
      <t xml:space="preserve">Expense? </t>
    </r>
    <r>
      <rPr>
        <sz val="9"/>
        <color rgb="FF000000"/>
        <rFont val="Arial"/>
        <family val="2"/>
      </rPr>
      <t>Column is Event Exp + Team Exp</t>
    </r>
  </si>
  <si>
    <t>https://www.ussoccer.com/governance/previous-agm-locations/2018-annual-general-meeting</t>
  </si>
  <si>
    <t>Note incongruity at bottom</t>
  </si>
  <si>
    <t>INCONGRUITY: Here are the projected final numbers for FY 2019 from the 2019 Annual General Meeting book (p. 86), published two months before FY 2019's end</t>
  </si>
  <si>
    <t>Projected prof (loss)</t>
  </si>
  <si>
    <t>Also: I checked with USSF and learned they received $1 million in MNT away friendlies, far more than projected</t>
  </si>
  <si>
    <t>Each friendly leading up to Cup</t>
  </si>
  <si>
    <t>(Partial numbers for 2006; source below)</t>
  </si>
  <si>
    <t>Knockout round</t>
  </si>
  <si>
    <t>Quarterfinals</t>
  </si>
  <si>
    <t>Quarterfinals (added to KO rd)</t>
  </si>
  <si>
    <t>Semifinals (added to KO, QF)</t>
  </si>
  <si>
    <t>Final (added to KO, QF, SF)</t>
  </si>
  <si>
    <t>Champion (again, added)</t>
  </si>
  <si>
    <t>Source is Steven Goff:</t>
  </si>
  <si>
    <t>Estimate for 2010: 20% raise</t>
  </si>
  <si>
    <t>2010 is rough estimate: See US CBAs tab</t>
  </si>
  <si>
    <t>2011 bonuses</t>
  </si>
  <si>
    <t>Gold Cup champion</t>
  </si>
  <si>
    <t>Gold Cup runner-up</t>
  </si>
  <si>
    <t>2014 bonuses</t>
  </si>
  <si>
    <t>World Cup group-stage pts</t>
  </si>
  <si>
    <t>Points</t>
  </si>
  <si>
    <t>Per-point</t>
  </si>
  <si>
    <t>2017 bonus</t>
  </si>
  <si>
    <t>2016 bonuses</t>
  </si>
  <si>
    <t>Copa America KO round</t>
  </si>
  <si>
    <t>Copa America 4th place</t>
  </si>
  <si>
    <t>Training camp without making gameday roster (estimated 10)</t>
  </si>
  <si>
    <t>FISCAL YEAR 2011</t>
  </si>
  <si>
    <t>Attendance bonuses</t>
  </si>
  <si>
    <t>Total event pay</t>
  </si>
  <si>
    <t>FY 2011 TOTAL</t>
  </si>
  <si>
    <t>2010 bonuses</t>
  </si>
  <si>
    <t>Add bonuses</t>
  </si>
  <si>
    <t>FISCAL YEAR 2012</t>
  </si>
  <si>
    <t>FY 2012 TOTAL</t>
  </si>
  <si>
    <t>World Cup qualifier training camp without making gameday roster (estimated 10)</t>
  </si>
  <si>
    <t>2013 bonuses</t>
  </si>
  <si>
    <t>FISCAL YEAR 2013</t>
  </si>
  <si>
    <t>FY 2013 TOTAL</t>
  </si>
  <si>
    <t>FISCAL YEAR 2014</t>
  </si>
  <si>
    <t>FY 2014 TOTAL</t>
  </si>
  <si>
    <t>FISCAL YEAR 2015</t>
  </si>
  <si>
    <t>FY 2015 TOTAL</t>
  </si>
  <si>
    <t>FISCAL YEAR 2016</t>
  </si>
  <si>
    <t>FY 2016 TOTAL</t>
  </si>
  <si>
    <t>FISCAL YEAR 2017</t>
  </si>
  <si>
    <t>FY 2017 TOTAL</t>
  </si>
  <si>
    <t>FISCAL YEAR 2018</t>
  </si>
  <si>
    <t>FY 2018 TOTAL</t>
  </si>
  <si>
    <t>FISCAL YEAR 2019</t>
  </si>
  <si>
    <t>2010 World Cup knockout round</t>
  </si>
  <si>
    <t>2011 Gold Cup runner-up</t>
  </si>
  <si>
    <t>2013 Gold Cup champion</t>
  </si>
  <si>
    <t>2013 World Cup qualification</t>
  </si>
  <si>
    <t>2014 World Cup knockout round</t>
  </si>
  <si>
    <t>2016 Copa America 4th place</t>
  </si>
  <si>
    <t>2017 Gold Cup champion</t>
  </si>
  <si>
    <t>Tournament bonus subtotal</t>
  </si>
  <si>
    <t>Brazil (win PKs)</t>
  </si>
  <si>
    <t>Japan (loss PKs)</t>
  </si>
  <si>
    <t>Salaried</t>
  </si>
  <si>
    <t>Non-salaried</t>
  </si>
  <si>
    <t>SheBelieves Cup</t>
  </si>
  <si>
    <t>Tournament of Nations</t>
  </si>
  <si>
    <t>No.2</t>
  </si>
  <si>
    <t>Tier 1 salaries</t>
  </si>
  <si>
    <t>Tier 2 salaries</t>
  </si>
  <si>
    <t>Tier 3 salaries</t>
  </si>
  <si>
    <t>Estimated floater (camp) weeks</t>
  </si>
  <si>
    <t>Camps</t>
  </si>
  <si>
    <t>Mallory Pugh not yet professional</t>
  </si>
  <si>
    <t>Morgan Brian not yet professional</t>
  </si>
  <si>
    <t>Used only 22 players all year</t>
  </si>
  <si>
    <t>Alex Morgan not yet professional</t>
  </si>
  <si>
    <t>WOMEN'S NATIONAL TEAM: Estimated pay based on actual results and CBAs</t>
  </si>
  <si>
    <t>MEN'S NATIONAL TEAM: Estimated pay based on actual results and CBAs</t>
  </si>
  <si>
    <t>World Cup runner-up</t>
  </si>
  <si>
    <t>Olympic qualification</t>
  </si>
  <si>
    <t>TOTAL (incl. Oly qualifier)</t>
  </si>
  <si>
    <t>2012 bonus</t>
  </si>
  <si>
    <t>2014 bonus</t>
  </si>
  <si>
    <t>2015 bonuses</t>
  </si>
  <si>
    <t>2012 / FY 2012 bonus</t>
  </si>
  <si>
    <t>2016 / FY 2016 bonus</t>
  </si>
  <si>
    <t>2016 bonus</t>
  </si>
  <si>
    <t>2018 / FY 2018 bonus</t>
  </si>
  <si>
    <t>2018 bonuses</t>
  </si>
  <si>
    <t>TOTAL (incl. SheBelieves)</t>
  </si>
  <si>
    <t>Victory Tour</t>
  </si>
  <si>
    <t>Olympic gold</t>
  </si>
  <si>
    <t>World Cup champion</t>
  </si>
  <si>
    <t>CBA signing bonuses</t>
  </si>
  <si>
    <t>2010 World Cup qualification</t>
  </si>
  <si>
    <t>2011 World Cup roster bonus</t>
  </si>
  <si>
    <t>2010 World Cup roster</t>
  </si>
  <si>
    <t>2014 World Cup roster</t>
  </si>
  <si>
    <t>2014 World Cup group-stage points</t>
  </si>
  <si>
    <t>2016 Copa America knockout round</t>
  </si>
  <si>
    <t>2011 World Cup runner-up</t>
  </si>
  <si>
    <t>2012 Olympic qualification</t>
  </si>
  <si>
    <t>2012 Olympic roster</t>
  </si>
  <si>
    <t>2012 Olympic gold medal</t>
  </si>
  <si>
    <t>2014 World Cup qualification</t>
  </si>
  <si>
    <t>2015 World Cup roster bonus</t>
  </si>
  <si>
    <t>2015 World Cup champion</t>
  </si>
  <si>
    <t>2015 Victory Tour</t>
  </si>
  <si>
    <t>2016 Olympic qualification</t>
  </si>
  <si>
    <t>2016 Olympic roster</t>
  </si>
  <si>
    <t>2018 SheBelieves Cup</t>
  </si>
  <si>
    <t>2018 Tournament of Nations</t>
  </si>
  <si>
    <t>2018 World Cup qualification</t>
  </si>
  <si>
    <t>TON: Tierna Davidson still not professional</t>
  </si>
  <si>
    <t>WWC qual: Hailie Mace not yet professional</t>
  </si>
  <si>
    <t>NWSL pay estimate</t>
  </si>
  <si>
    <t>Open letter</t>
  </si>
  <si>
    <t>USA/Calif.</t>
  </si>
  <si>
    <t>USA/Fla.</t>
  </si>
  <si>
    <t>USA/Conn.</t>
  </si>
  <si>
    <t>USA/Pa.</t>
  </si>
  <si>
    <t>USA/N.J.</t>
  </si>
  <si>
    <t>USA/Tenn.</t>
  </si>
  <si>
    <t>USA/Ill.</t>
  </si>
  <si>
    <t>USA/Mass.</t>
  </si>
  <si>
    <t>USA/Mich.</t>
  </si>
  <si>
    <t>USA/Kan.</t>
  </si>
  <si>
    <t>USA/D.C.</t>
  </si>
  <si>
    <t>USA/Texas</t>
  </si>
  <si>
    <t>USA/Ariz.</t>
  </si>
  <si>
    <t>USA/Md.</t>
  </si>
  <si>
    <t>USA/Ohio</t>
  </si>
  <si>
    <t>USA/Colo.</t>
  </si>
  <si>
    <t>USA/Wash.</t>
  </si>
  <si>
    <t>USA/Utah</t>
  </si>
  <si>
    <t>USA/Ore.</t>
  </si>
  <si>
    <t>USA/Ga.</t>
  </si>
  <si>
    <t>USA/Mo.</t>
  </si>
  <si>
    <t>USA/N.C.</t>
  </si>
  <si>
    <t>USA/Ala.</t>
  </si>
  <si>
    <t>USA/Kansas</t>
  </si>
  <si>
    <t>USA/La.</t>
  </si>
  <si>
    <t>USA/Minn.</t>
  </si>
  <si>
    <t>USA/N.Y.</t>
  </si>
  <si>
    <t>USA/Neb.</t>
  </si>
  <si>
    <t>Guyana</t>
  </si>
  <si>
    <t>Trinidad and Tobago</t>
  </si>
  <si>
    <t>Curacao</t>
  </si>
  <si>
    <t>Uruguay</t>
  </si>
  <si>
    <t>Nations League</t>
  </si>
  <si>
    <t> Australia</t>
  </si>
  <si>
    <t> Belgium</t>
  </si>
  <si>
    <t> South Africa</t>
  </si>
  <si>
    <t> New Zealand</t>
  </si>
  <si>
    <t> Mexico</t>
  </si>
  <si>
    <t> Republic of Ireland</t>
  </si>
  <si>
    <t> Portugal</t>
  </si>
  <si>
    <t> South Korea</t>
  </si>
  <si>
    <t> Sweden</t>
  </si>
  <si>
    <t> Costa Rica</t>
  </si>
  <si>
    <t> Japan</t>
  </si>
  <si>
    <t> England</t>
  </si>
  <si>
    <t> Brazil</t>
  </si>
  <si>
    <t>General U.S. Soccer Federation finances</t>
  </si>
  <si>
    <t>Revenue breakdown</t>
  </si>
  <si>
    <t>Not all categories; just highlighting a few specifics. Some figures updated from next year's "prior year" 990 - these reflect small corrections.</t>
  </si>
  <si>
    <t>Basic national team game revenue/expense chart (from Annual General Meeting books)</t>
  </si>
  <si>
    <t>Legal</t>
  </si>
  <si>
    <t>Travel</t>
  </si>
  <si>
    <t>2001 source</t>
  </si>
  <si>
    <t>Expense breakdown</t>
  </si>
  <si>
    <t>990 line 3</t>
  </si>
  <si>
    <t>Note assets were $6,683,668 on 8/31/2000</t>
  </si>
  <si>
    <t xml:space="preserve">MNT coach: Bruce Arena </t>
  </si>
  <si>
    <t>WNT coach: April Heinrichs</t>
  </si>
  <si>
    <t>Managing Dir Events: Emilio Pozzi</t>
  </si>
  <si>
    <t>MNT asst: Dave Sarachan</t>
  </si>
  <si>
    <t>U17M coach: John Ellinger</t>
  </si>
  <si>
    <t>23 over $50k</t>
  </si>
  <si>
    <t>Legal: McLaughlin and Stern</t>
  </si>
  <si>
    <t>Audit/consult: Ernst and Young</t>
  </si>
  <si>
    <t>990 Part III statement</t>
  </si>
  <si>
    <t>All NT (YNT/MNT/WNT) expenses</t>
  </si>
  <si>
    <t>Legal: Alison Korkoras</t>
  </si>
  <si>
    <t>990 Part V</t>
  </si>
  <si>
    <t>Only salary (W-2/1099-MISC); not "other compensation," which is five figures for many.</t>
  </si>
  <si>
    <t>Deputy exec dir 2001</t>
  </si>
  <si>
    <t>CFO: Rich Matthys</t>
  </si>
  <si>
    <t>Legal: John Collins</t>
  </si>
  <si>
    <t>Former counsel 2001</t>
  </si>
  <si>
    <t>990 Part VII statement</t>
  </si>
  <si>
    <t>National team income</t>
  </si>
  <si>
    <t>Various: Jay Berhalter</t>
  </si>
  <si>
    <t>Legal: Latham and Watkins</t>
  </si>
  <si>
    <t>Ref consult: Esse Baharmast</t>
  </si>
  <si>
    <t>Legal: Tim Pinto</t>
  </si>
  <si>
    <t>missing</t>
  </si>
  <si>
    <t>34 over $50k</t>
  </si>
  <si>
    <t>24 over $50k</t>
  </si>
  <si>
    <t>Legal: Venable, Baetjer and Howard</t>
  </si>
  <si>
    <t>Sometimes called managing NT director</t>
  </si>
  <si>
    <t>USA/MIch.</t>
  </si>
  <si>
    <t>Republic of Ireland</t>
  </si>
  <si>
    <t>Emily Fox not yet professional</t>
  </si>
  <si>
    <t>2019 bonuses</t>
  </si>
  <si>
    <t>World Cup championship</t>
  </si>
  <si>
    <t>Addl. Victory Tour game</t>
  </si>
  <si>
    <t>FY 2019 TOTAL</t>
  </si>
  <si>
    <t>Cayman Islands</t>
  </si>
  <si>
    <t>2019 bonus</t>
  </si>
  <si>
    <t>2011 training camp without making gameday roster (estimated 10)</t>
  </si>
  <si>
    <t>2012 training camp without making gameday roster (estimated 10)</t>
  </si>
  <si>
    <t>2012 World Cup qualifier training camp without making gameday roster (estimated 10)</t>
  </si>
  <si>
    <t>2013 training camp without making gameday roster (estimated 10)</t>
  </si>
  <si>
    <t>2013 World Cup qualifier training camp without making gameday roster (estimated 10)</t>
  </si>
  <si>
    <t>2014 training camp without making gameday roster (estimated 10)</t>
  </si>
  <si>
    <t>2015 training camp without making gameday roster (estimated 10)</t>
  </si>
  <si>
    <t>2016 training camp without making gameday roster (estimated 10)</t>
  </si>
  <si>
    <t>2016 World Cup qualifier training camp without making gameday roster (estimated 10)</t>
  </si>
  <si>
    <t>2017 training camp without making gameday roster (estimated 10)</t>
  </si>
  <si>
    <t>2017 World Cup qualifier training camp without making gameday roster (estimated 10)</t>
  </si>
  <si>
    <t>2018 training camp without making gameday roster (estimated 10)</t>
  </si>
  <si>
    <t>2019 training camp without making gameday roster (estimated 10)</t>
  </si>
  <si>
    <t>2019 Gold Cup runner-up</t>
  </si>
  <si>
    <t>ALL BONUSES</t>
  </si>
  <si>
    <t>TOTAL FOR THE 2010s</t>
  </si>
  <si>
    <t>Other selected expenses on 990s</t>
  </si>
  <si>
    <t>At the 2017 AGM, Sunil Gulati said (p. 34 of transcript) that in 1986, 57% of revenue was from registration and intl games. Now 82% of revenue is "tied directly to Men's and Women's National Team events and the sponsorship and television around that</t>
  </si>
  <si>
    <t>One goal here: Figure out how much USSF revenue is generated by players. In Australia, which will use "player-generated revenue" as the basis for its "equal pay" deal, that's estimated as roughly 16% of total revenue, though A-League/W-League may account for some of the rest</t>
  </si>
  <si>
    <t xml:space="preserve"> From Annual General Meeting books; not broken down further than this. Comparable line item included from Audited Financials. Note AGM details on another tab</t>
  </si>
  <si>
    <t>ANNUAL GENERAL MEETING: BUDGET REPORTS</t>
  </si>
  <si>
    <t>The AGM "book" provides a different, detailed look at finances than the 990s and the Audited Financial Statements provide</t>
  </si>
  <si>
    <t>GENERAL</t>
  </si>
  <si>
    <t>OPERATING REVENUE AND EXPENSE</t>
  </si>
  <si>
    <t>FY 2012</t>
  </si>
  <si>
    <t>FY 2013</t>
  </si>
  <si>
    <t>FY 2014</t>
  </si>
  <si>
    <t>FY 2015</t>
  </si>
  <si>
    <t>FY2016</t>
  </si>
  <si>
    <t>FY2017</t>
  </si>
  <si>
    <t>FY2018</t>
  </si>
  <si>
    <t>FY2019</t>
  </si>
  <si>
    <t>FY2020</t>
  </si>
  <si>
    <t>Budget</t>
  </si>
  <si>
    <t>Projected</t>
  </si>
  <si>
    <t>Variance</t>
  </si>
  <si>
    <t>Registration</t>
  </si>
  <si>
    <t>Development Fundraising</t>
  </si>
  <si>
    <t>Marketing Sponsorship</t>
  </si>
  <si>
    <t>NT, NT Games and Int. Games</t>
  </si>
  <si>
    <t>Referee</t>
  </si>
  <si>
    <t>Coaching</t>
  </si>
  <si>
    <t>Services</t>
  </si>
  <si>
    <t>Other Designated Revenue</t>
  </si>
  <si>
    <t>Other Revenue</t>
  </si>
  <si>
    <t>Total Operating Revenue</t>
  </si>
  <si>
    <t>Expenses</t>
  </si>
  <si>
    <t>Committees, BOD and AGM</t>
  </si>
  <si>
    <t>General &amp; Administrative</t>
  </si>
  <si>
    <t>NT •  NT Games -  Intl Games</t>
  </si>
  <si>
    <t>Player Development</t>
  </si>
  <si>
    <t>National Training Center Operations</t>
  </si>
  <si>
    <t>Coaching Department</t>
  </si>
  <si>
    <t>Marketing, Sponsorship and Broadcasting</t>
  </si>
  <si>
    <t>Various</t>
  </si>
  <si>
    <t>Other  Expense  - Undistributed Airfare</t>
  </si>
  <si>
    <t>Total Operating Expenses</t>
  </si>
  <si>
    <t>NET OPERATING SURPLUS (DEFICIT)</t>
  </si>
  <si>
    <t>NON-OPERATING NON-CASH SUMMARY</t>
  </si>
  <si>
    <t>Interest/Investment Income</t>
  </si>
  <si>
    <t>Designated Revenue</t>
  </si>
  <si>
    <t>‐</t>
  </si>
  <si>
    <t>Nike Equipment Allotment</t>
  </si>
  <si>
    <t>Total Non-Operating Revenue</t>
  </si>
  <si>
    <t>Capital Improvements</t>
  </si>
  <si>
    <t>Depreciation</t>
  </si>
  <si>
    <t>Restricted Gifts</t>
  </si>
  <si>
    <t>NTC Depreciation/Amortization</t>
  </si>
  <si>
    <t>Year End Adjustments</t>
  </si>
  <si>
    <t>Severance</t>
  </si>
  <si>
    <t>PRO VAR</t>
  </si>
  <si>
    <t>World Cup Bid Support</t>
  </si>
  <si>
    <t>Membership Grant Program</t>
  </si>
  <si>
    <t>Total Non-Operating Expenses</t>
  </si>
  <si>
    <t>NET NON-OPERATING SURPLUS (DEFICIT)</t>
  </si>
  <si>
    <t>ALL-INCLUSIVE SURPLUS (DEFICIT)</t>
  </si>
  <si>
    <t>-</t>
  </si>
  <si>
    <t>REVENUE DETAIL</t>
  </si>
  <si>
    <t>Player Registration-USASA</t>
  </si>
  <si>
    <t>Player Registration-US Youth Soccer</t>
  </si>
  <si>
    <t>Player Registration-AYSO</t>
  </si>
  <si>
    <t>Player Registration-SAY</t>
  </si>
  <si>
    <t>Player Registration-FUTSAL</t>
  </si>
  <si>
    <t>Player Registration-Y-LEAGUE</t>
  </si>
  <si>
    <t>Affiliate Members Registratons</t>
  </si>
  <si>
    <t>Professional Fees-MLS</t>
  </si>
  <si>
    <t>Player Registration-US Club Soccer</t>
  </si>
  <si>
    <t>Professional Fees- D3 &amp; Other</t>
  </si>
  <si>
    <t>Professional Fees - Women's Pro</t>
  </si>
  <si>
    <t>ProAm Players</t>
  </si>
  <si>
    <t>Pro League Registration</t>
  </si>
  <si>
    <t>Player Registration-USSSA</t>
  </si>
  <si>
    <t>Registration Fees Total</t>
  </si>
  <si>
    <t>Mktg./Sponsorship/TV/Licensing</t>
  </si>
  <si>
    <t>Retail (M-10)</t>
  </si>
  <si>
    <t>Web Store (M-10)</t>
  </si>
  <si>
    <t>Marketing and Sponsorship Total</t>
  </si>
  <si>
    <t>MNT Event Revenue</t>
  </si>
  <si>
    <t>Men's World Cup (NG‐02)</t>
  </si>
  <si>
    <t>MNT Team Expenses (why under revenue?)</t>
  </si>
  <si>
    <t>WNT Games</t>
  </si>
  <si>
    <t>WCup Games Expense (NG-02; why under revenue?)</t>
  </si>
  <si>
    <t>Women's WC Team (WG-03)</t>
  </si>
  <si>
    <t>World Cup WNT Event Revenue</t>
  </si>
  <si>
    <t>Int'l Games Sanction Fees</t>
  </si>
  <si>
    <t>Open Cup</t>
  </si>
  <si>
    <t>WWC Qualifying (NT-08)</t>
  </si>
  <si>
    <t>Youth Qualifying Tournament</t>
  </si>
  <si>
    <t>Women's World Cup qual (not NT-08??)</t>
  </si>
  <si>
    <t>Player Development - Designated</t>
  </si>
  <si>
    <t xml:space="preserve">NT, NT Games and Int'l Games Total                  </t>
  </si>
  <si>
    <t>Referee and Coaching</t>
  </si>
  <si>
    <t>Coaching Programs</t>
  </si>
  <si>
    <t>Referee Program</t>
  </si>
  <si>
    <t>Referee and Coaching Total</t>
  </si>
  <si>
    <t>Membership Services (I-17)</t>
  </si>
  <si>
    <t>Annual General Meeting (I-13)</t>
  </si>
  <si>
    <t>Services Total</t>
  </si>
  <si>
    <t>OTHER DESIGNATED REVENUE (1-97)</t>
  </si>
  <si>
    <t>DEVELOPMENT ACADEMY (OT-16)</t>
  </si>
  <si>
    <t>LEGAL DEPARTMENT (G-03)</t>
  </si>
  <si>
    <t>MISCELLANEOUS (A-99)</t>
  </si>
  <si>
    <t>Other National Teams</t>
  </si>
  <si>
    <t>NATIONAL TRAINING CENTER (NTC01)</t>
  </si>
  <si>
    <t>Other Revenue Total</t>
  </si>
  <si>
    <t>Total  Operating Revenue</t>
  </si>
  <si>
    <t>Non-operating, non-cash</t>
  </si>
  <si>
    <t>Nike Equipment Allotment (NT-99)</t>
  </si>
  <si>
    <t>Restricted Revenue</t>
  </si>
  <si>
    <t>Extraordinary Income - Copa America</t>
  </si>
  <si>
    <t>Total Non Operating Income</t>
  </si>
  <si>
    <t>TOTAL REVENUE</t>
  </si>
  <si>
    <t>EXPENSE DETAIL</t>
  </si>
  <si>
    <t>AGM  BOD and Committees</t>
  </si>
  <si>
    <t>ANNUAL GENERAL MEETING (M‐02)</t>
  </si>
  <si>
    <t/>
  </si>
  <si>
    <t>NAT'L BOARD OF DIRS (V‐05)</t>
  </si>
  <si>
    <r>
      <t>Comm</t>
    </r>
    <r>
      <rPr>
        <b/>
        <i/>
        <sz val="9"/>
        <color rgb="FF494949"/>
        <rFont val="Calibri"/>
        <family val="2"/>
        <scheme val="minor"/>
      </rPr>
      <t>i</t>
    </r>
    <r>
      <rPr>
        <b/>
        <i/>
        <sz val="9"/>
        <color rgb="FF242424"/>
        <rFont val="Calibri"/>
        <family val="2"/>
        <scheme val="minor"/>
      </rPr>
      <t>ttee Expenses</t>
    </r>
  </si>
  <si>
    <t>APPEALS COMMITTEE (V-06)</t>
  </si>
  <si>
    <t>BUDGET COMMITTEE (V-07)</t>
  </si>
  <si>
    <t>CREDENTIALS COMMITTEE (V-09)</t>
  </si>
  <si>
    <t>YOUTH TASK FORCE (V-11)</t>
  </si>
  <si>
    <t>HALL OF FAME (V-12)</t>
  </si>
  <si>
    <t>MEDICAL ADVISORY COMMITTEE (V-16)</t>
  </si>
  <si>
    <t>WOMEN'S DEVELOPMENT (V-19)</t>
  </si>
  <si>
    <t>GRIEVANCE COMMITTEE (V-20)</t>
  </si>
  <si>
    <t>GOVERNANCE (V-21)</t>
  </si>
  <si>
    <t>INTERNATIONAL RELATIONS (V-23)</t>
  </si>
  <si>
    <t>YOUTH COUNCIL (V-25)</t>
  </si>
  <si>
    <t>DISABLED SOCCER COMMITTEE (V-26)</t>
  </si>
  <si>
    <t>WOMEN'S TECHNICAL COMMITTEE (V-27)</t>
  </si>
  <si>
    <t>TECHNICAL COMMITTEE (V-28)</t>
  </si>
  <si>
    <t>WERNER FRICKER MEMORIAL TF (V-29)</t>
  </si>
  <si>
    <t>PROFESSIONAL LEAGUE TASK FORCE (V-3</t>
  </si>
  <si>
    <t>ATHLETES COUNCIL (V-33)</t>
  </si>
  <si>
    <t>MEMBERSHIP COMMITTEE (V-35)</t>
  </si>
  <si>
    <t>FAN COUNCIL(V-36)</t>
  </si>
  <si>
    <t>PRO LEAGUE STANDARDS TASKFORCE (V‐31)</t>
  </si>
  <si>
    <t>Committees Total</t>
  </si>
  <si>
    <t>Elected Official's Expenses</t>
  </si>
  <si>
    <t>OFFICE OF THE PRESIDENT (V‐01)</t>
  </si>
  <si>
    <t>OFFICE OF THE V. P. (V‐02)</t>
  </si>
  <si>
    <t>OFFICE OF THE TREASURER (V‐03)</t>
  </si>
  <si>
    <t>Elected Officials Total</t>
  </si>
  <si>
    <t>Special/Other Meetings</t>
  </si>
  <si>
    <t>ATHLETE'S MEETING  (S-18)</t>
  </si>
  <si>
    <t>AGM, BOD, and Committees Total</t>
  </si>
  <si>
    <t>General and Administrative</t>
  </si>
  <si>
    <t xml:space="preserve">Administration  </t>
  </si>
  <si>
    <t>NATIONAL OFFICE (A-01)</t>
  </si>
  <si>
    <t>FINANCE (A-02)</t>
  </si>
  <si>
    <t>COMMUNICATIONS (A-03)</t>
  </si>
  <si>
    <t>TECHNOLOGY (A-04 TOTAL)</t>
  </si>
  <si>
    <t>TALENT HR (A-05)</t>
  </si>
  <si>
    <t>MEMBER PROGRAMS (REGISTRATION/COMPETITION)</t>
  </si>
  <si>
    <t>PUBLICATIONS (A-07</t>
  </si>
  <si>
    <t>CERTIFIED AUDIT/TAXES  (A-08)</t>
  </si>
  <si>
    <t>INTERNATIONAL RELATIONS (A-11)</t>
  </si>
  <si>
    <t>Administration Total</t>
  </si>
  <si>
    <t>General Management</t>
  </si>
  <si>
    <t>SECRETARY GENERAL (G-01)</t>
  </si>
  <si>
    <t>GIFTS TEAM/PROTOCOL (G-02)</t>
  </si>
  <si>
    <t>OUTSIDE LEGAL FEES (G-04)</t>
  </si>
  <si>
    <t>DEVELOPMENT TOTAL (G-05 TOTAL)</t>
  </si>
  <si>
    <t>General Management Total</t>
  </si>
  <si>
    <t>Other General and Administrative</t>
  </si>
  <si>
    <t>FIFA\CONCACAF (S‐01)</t>
  </si>
  <si>
    <t>INSURANCE (S‐02)</t>
  </si>
  <si>
    <t>RETIREMENT BENEFIT (S‐03)</t>
  </si>
  <si>
    <t>INTERNATIONAL GAMES (I‐07)</t>
  </si>
  <si>
    <t>Other General and Administrative Total</t>
  </si>
  <si>
    <t>General and Administrative Total</t>
  </si>
  <si>
    <t>Undistributed Airfare (S-07)</t>
  </si>
  <si>
    <t>Year-End Adjustments (Z=99)</t>
  </si>
  <si>
    <t>National Teams</t>
  </si>
  <si>
    <t>NT administration</t>
  </si>
  <si>
    <t>MEN'S NATL TEAM ADMIN (NT-01)</t>
  </si>
  <si>
    <t>NT COACHING STAFF (NT-04)</t>
  </si>
  <si>
    <t>WOMEN'S NATL TEAM ADMIN (0T-09)</t>
  </si>
  <si>
    <t>NT administration total</t>
  </si>
  <si>
    <t>National Team Events</t>
  </si>
  <si>
    <t>EVENT MANAGEMENT (NT-07)</t>
  </si>
  <si>
    <t>Women's WC Non-Team Expenses (WG-03A)</t>
  </si>
  <si>
    <t>WORLD CUP GAMES EXPENSE(NG-02)</t>
  </si>
  <si>
    <t>OPEN CUP (S-31)</t>
  </si>
  <si>
    <t>NWSL (NT-10)</t>
  </si>
  <si>
    <t>Men's National Team         </t>
  </si>
  <si>
    <t>MNT Event Expense (NE-1)</t>
  </si>
  <si>
    <t>MNT Team Expense (NG-1)</t>
  </si>
  <si>
    <t>MNT Non-Game (NG-3)</t>
  </si>
  <si>
    <t>Men's National Team Total</t>
  </si>
  <si>
    <t xml:space="preserve">Women's National Team </t>
  </si>
  <si>
    <t>WNT Non-Game (WE-3)</t>
  </si>
  <si>
    <t>WNT Events (WE-99)</t>
  </si>
  <si>
    <t>WNT Team Expenses (WG-3)</t>
  </si>
  <si>
    <t>Women's National Team Total</t>
  </si>
  <si>
    <t> Women's World Cup Qualifying    </t>
  </si>
  <si>
    <t>Women's World Cup Qualifying(WE-02)</t>
  </si>
  <si>
    <t>Extended National Teams Total</t>
  </si>
  <si>
    <t>Non-Cash Expense</t>
  </si>
  <si>
    <t>NIKE ALLOTMENT (NT-99)</t>
  </si>
  <si>
    <t>Total National Teams Expense</t>
  </si>
  <si>
    <t> Non-Cash Expense  </t>
  </si>
  <si>
    <t xml:space="preserve"> Nike Equipment Allotment</t>
  </si>
  <si>
    <t>NT expense plus Nike allotment</t>
  </si>
  <si>
    <t>Youth Teams Administration</t>
  </si>
  <si>
    <t>Youth Teams Administration (OT-01)</t>
  </si>
  <si>
    <t>OLYMPIC TEAMS ADMIN</t>
  </si>
  <si>
    <t>Youth Team National Staff Coaches (OT-02)</t>
  </si>
  <si>
    <t>Youth Teams Administration Total</t>
  </si>
  <si>
    <t>Men's Teams</t>
  </si>
  <si>
    <t>Men's Teams Total</t>
  </si>
  <si>
    <t>Women's Teams</t>
  </si>
  <si>
    <t>Women's Teams Total</t>
  </si>
  <si>
    <t>Medical Supplies (OT-14)</t>
  </si>
  <si>
    <t>Youth Qualifying Tournament (OT-15)</t>
  </si>
  <si>
    <t>Sports Medicine/High Performance (OT-28)</t>
  </si>
  <si>
    <t>Sports Medicine (OT-288 Total)</t>
  </si>
  <si>
    <t>High Performance Admin (OT-28D Total)</t>
  </si>
  <si>
    <t>SPORTS SCIENCE (OT-28A)</t>
  </si>
  <si>
    <t>PERFORMANCE ANALYSIS (OT-28C)</t>
  </si>
  <si>
    <t>RECOGNIZE TO RECOVER (OT28R)</t>
  </si>
  <si>
    <t>Program Performance Total</t>
  </si>
  <si>
    <t>Women's Training Centers (OT-17)</t>
  </si>
  <si>
    <t>Youth Technical Director (OT-18)</t>
  </si>
  <si>
    <t>Development Programs</t>
  </si>
  <si>
    <t>TECHNICAL WORKSHOPS (OT-23)</t>
  </si>
  <si>
    <t>TECHNICAL DEVELOPMENT (OT-18)</t>
  </si>
  <si>
    <t>Scouting (OT-19)</t>
  </si>
  <si>
    <t>MEN'S SCOUTING (OT-19)</t>
  </si>
  <si>
    <t>WOMEN'S SCOUTING (OT-17)</t>
  </si>
  <si>
    <t>Development Programs Total</t>
  </si>
  <si>
    <t>Player Development Total</t>
  </si>
  <si>
    <t xml:space="preserve">Coaching Department </t>
  </si>
  <si>
    <t>National Coaching Staff (C-01)</t>
  </si>
  <si>
    <t>Technical Advisors (C-02 TOTAL)</t>
  </si>
  <si>
    <t>Digital Coaching Center (C-03)</t>
  </si>
  <si>
    <t>Coaching Symposium/Kansas City (C-04)</t>
  </si>
  <si>
    <t>Coaching School (C-05)</t>
  </si>
  <si>
    <t>Coach Dev/Continuing Ed (C-11)</t>
  </si>
  <si>
    <t>Misc./Educational Tools (C-13)</t>
  </si>
  <si>
    <t>Coaching Department Total</t>
  </si>
  <si>
    <t>Referee Department</t>
  </si>
  <si>
    <t>Referee Department (R-01 TOTAL)</t>
  </si>
  <si>
    <t>Assessment Management (R-02 TOTAL)</t>
  </si>
  <si>
    <t>Referee Administration</t>
  </si>
  <si>
    <t>Referee Performance</t>
  </si>
  <si>
    <t>Referee ID &amp; Training</t>
  </si>
  <si>
    <t>Referee Education (R-04 TOTAL)</t>
  </si>
  <si>
    <t>PRO (R-05)</t>
  </si>
  <si>
    <t>Referee Department Total</t>
  </si>
  <si>
    <t>Federation Services (M-05)</t>
  </si>
  <si>
    <t>Sponsor Services (M-06)</t>
  </si>
  <si>
    <t>Brand (M-068)</t>
  </si>
  <si>
    <t>Corporate Partnerships (M-06C)</t>
  </si>
  <si>
    <t>Fan Experience (prev M-08B) (M-06F)</t>
  </si>
  <si>
    <t>Licensing (M-06L)</t>
  </si>
  <si>
    <t>Retail (M-06R)</t>
  </si>
  <si>
    <t>TV Broadcast (M-06T)</t>
  </si>
  <si>
    <t>New Media Production (M-07)</t>
  </si>
  <si>
    <t>Member Programs (M-088)</t>
  </si>
  <si>
    <t>Analytics (M-09)</t>
  </si>
  <si>
    <t>Digital Revamp (M-11)</t>
  </si>
  <si>
    <t>Retail Web Store (M-10)</t>
  </si>
  <si>
    <t>Sponsorship/Licensing/TV</t>
  </si>
  <si>
    <t>Marketing, Sponsorship, Broadcast Total</t>
  </si>
  <si>
    <t>Men's World Cup revenue</t>
  </si>
  <si>
    <t>Women's World Cup revenue</t>
  </si>
  <si>
    <t>"MNT expenses" (listed under revenue)</t>
  </si>
  <si>
    <t>WWC qualifying expenses</t>
  </si>
  <si>
    <t>World Cup total</t>
  </si>
  <si>
    <t>OVERALL NT NET</t>
  </si>
  <si>
    <t>World Cup net</t>
  </si>
  <si>
    <t>WWC qualifying revenue</t>
  </si>
  <si>
    <t>Cannot emphasize enough: This does NOT include sponsorship</t>
  </si>
  <si>
    <t>990 front page</t>
  </si>
  <si>
    <t>YNT coach: John Hackworth</t>
  </si>
  <si>
    <t>U23M coach/MNT asst: Glenn Myernick</t>
  </si>
  <si>
    <t>WNT coach: Greg Ryan</t>
  </si>
  <si>
    <t>Legal: Jenner &amp; Black</t>
  </si>
  <si>
    <t>Contractors (from 990s)</t>
  </si>
  <si>
    <t>Employee pay (from 990s)</t>
  </si>
  <si>
    <t>Other income (990s and Audited Financials)</t>
  </si>
  <si>
    <t>Legal: Littler Mendelson</t>
  </si>
  <si>
    <t>Listed on 990 under Program Service Revenue. Doesn't include youth, coaching, referee programs.</t>
  </si>
  <si>
    <t>Most third-party sponsorship, TV, licensing and royalty revenues (excluding Nike) are paid to SUM, and SUM pays the Federation annual guaranteed compensation.</t>
  </si>
  <si>
    <t>ALL national team (including youth) revenue/expense chart (from 990s)</t>
  </si>
  <si>
    <t>990 Part IX</t>
  </si>
  <si>
    <t xml:space="preserve">Potential player-generated revenue sources (990 and Audited Financials) </t>
  </si>
  <si>
    <t>Compare with Annual General Meeting books below. 990 form states "Included in this amount are all expenses related to player development."</t>
  </si>
  <si>
    <t>Medical: GTC Sports</t>
  </si>
  <si>
    <t>Sod install: Thomas Turfgrass</t>
  </si>
  <si>
    <t>Legal: Covington &amp; Burling</t>
  </si>
  <si>
    <t>MNT trainer: James Hashimoto</t>
  </si>
  <si>
    <t>Coaching consultant: James Hoffman</t>
  </si>
  <si>
    <t>Legal: Pepper Hamilton</t>
  </si>
  <si>
    <t>Management/event management</t>
  </si>
  <si>
    <t>Change in net assets excl. investment $</t>
  </si>
  <si>
    <t>2011 through 2018 are done to show context for other tabs. I added the earliest years for which 990s are available (2001-03), then the first with an Audited Financial Statement (2006), to show growth</t>
  </si>
  <si>
    <t>Men's World Cup</t>
  </si>
  <si>
    <t>Women's World Cup</t>
  </si>
  <si>
    <t>Men's Olympic Team (U23)</t>
  </si>
  <si>
    <t>Revenue/expense from non-national team sources (from 990s and Audited Financials)</t>
  </si>
  <si>
    <t>Att</t>
  </si>
  <si>
    <t>NoNS</t>
  </si>
  <si>
    <t>(Multiple Items)</t>
  </si>
  <si>
    <t>Game type</t>
  </si>
  <si>
    <t>Women's attendance</t>
  </si>
  <si>
    <t>Home average</t>
  </si>
  <si>
    <t>WC qualification</t>
  </si>
  <si>
    <t>By game type</t>
  </si>
  <si>
    <t>Men's attendance</t>
  </si>
  <si>
    <t>2012 bonuses</t>
  </si>
  <si>
    <t xml:space="preserve">TOTAL </t>
  </si>
  <si>
    <t>2010 bonus</t>
  </si>
  <si>
    <t>2016 (Oly/Copa))</t>
  </si>
  <si>
    <t>Oly qualification</t>
  </si>
  <si>
    <t>All</t>
  </si>
  <si>
    <t>W/o World Cup</t>
  </si>
  <si>
    <t>Women's ratings</t>
  </si>
  <si>
    <t>Men's ratings</t>
  </si>
  <si>
    <t>Also see Jonathan Tannenwald's list of highest-rated U.S. games</t>
  </si>
  <si>
    <t>https://www.inquirer.com/philly/blogs/thegoalkeeper/most-watched-soccer-games-united-states-world-cup-copa-america.html</t>
  </si>
  <si>
    <t>(all event pay, all SUM money, 75% of Nike money)</t>
  </si>
  <si>
    <t>ABOUT</t>
  </si>
  <si>
    <t>TAB-BY-TAB</t>
  </si>
  <si>
    <t>WNT pay est/MNT pay est</t>
  </si>
  <si>
    <t>Shows women's and men's national team results dating back to 2010 and applies the CBAs that existed at the time</t>
  </si>
  <si>
    <t>Details on each team's most recent collective bargaining agreement(s)</t>
  </si>
  <si>
    <t>990 and others</t>
  </si>
  <si>
    <t>Financial details from U.S. Soccer's 990 forms and Audited Financial Statements, plus one section from Annual General Meeting reports</t>
  </si>
  <si>
    <t>AGM books</t>
  </si>
  <si>
    <t>Much more year-by-year detail from AGM reports</t>
  </si>
  <si>
    <t>Computed average attendance for WNT and MNT games, along with USSF-reported TV ratings data</t>
  </si>
  <si>
    <t>WNT 1 table/MNT 1 table</t>
  </si>
  <si>
    <t>The information from the pay estimate tabs, presented in a single table to help readers analyze the data</t>
  </si>
  <si>
    <t>DISCLAIMERS</t>
  </si>
  <si>
    <t>Data input</t>
  </si>
  <si>
    <t>Where possible, actual data is imported, but some things had to be entered manually</t>
  </si>
  <si>
    <t>WNT: Salaried players</t>
  </si>
  <si>
    <t>Number of players per game</t>
  </si>
  <si>
    <t>Typical MNT friendlies have 20 players. WNT friendlies often have 18, but various tournaments (including SheBelieves Cup) have more</t>
  </si>
  <si>
    <t>This is not publicized, so I've had to guess, based mostly on number of games played. Through 2016, "floaters" had to be offered contract if they were on four gameday rosters</t>
  </si>
  <si>
    <t>College players</t>
  </si>
  <si>
    <t>Sponsorship money</t>
  </si>
  <si>
    <t>REPORT ERRORS</t>
  </si>
  <si>
    <t>duresport at gmail</t>
  </si>
  <si>
    <t>TOTAL: ALL-INCLUSIVE</t>
  </si>
  <si>
    <t>Total (not including NWSL)</t>
  </si>
  <si>
    <t>https://www.ussoccer.com/governance/board-of-directors/us-soccer-president-carlos-cordeiro/open-letter-july-29-2019-finding-common-ground</t>
  </si>
  <si>
    <t>Bonus subtotal</t>
  </si>
  <si>
    <t>WNT/NWSL pay (w/o bonuses)</t>
  </si>
  <si>
    <t>Fiscal years</t>
  </si>
  <si>
    <t>Totals for each fiscal year are included on the WNT pay est and MNT pay est tabs</t>
  </si>
  <si>
    <t xml:space="preserve">MNT/WNT revenue numbers don't include sponsorship, to the unions' chagrin. But some of that money is earmarked for other things, and some is intended for many programs. </t>
  </si>
  <si>
    <t>Game pay includes attendance bonuses. "Open letter" column is comparison with Carlos Cordeiro letter (link below)</t>
  </si>
  <si>
    <t>Open letter URL</t>
  </si>
  <si>
    <t>Not included in women's pay</t>
  </si>
  <si>
    <t>Maternity, severance, housing, SUM bonuses, TV ratings bonuses, other benefits</t>
  </si>
  <si>
    <t>USSF FINANCES</t>
  </si>
  <si>
    <t>Details on "AGM books" and "990 and others" tabs</t>
  </si>
  <si>
    <t>This is an attempt to compile information about U.S. Soccer Federation finances from its publicly available documents: IRS Form 990s, Audited Financial Statements, media guides, and Annual General Meeting reports</t>
  </si>
  <si>
    <t>This page</t>
  </si>
  <si>
    <t>Some info at a glance and a guide to what's in the rest of the document</t>
  </si>
  <si>
    <t>SNAPSHOT: WHERE THE MONEY GOES</t>
  </si>
  <si>
    <t>NATIONAL TEAMS: ESTIMATED GAME PAY AND BONUSES</t>
  </si>
  <si>
    <t>Men's NT</t>
  </si>
  <si>
    <t>Women's NT</t>
  </si>
  <si>
    <t>Some WNT players were still in college (or, in Mallory Pugh's case, high school) for some games and could not be paid. I've attempted to account for this.</t>
  </si>
  <si>
    <t>Available money</t>
  </si>
  <si>
    <t>FY 2001 (Aug)</t>
  </si>
  <si>
    <t>FY 2011 (March)</t>
  </si>
  <si>
    <t>Program</t>
  </si>
  <si>
    <t>Source</t>
  </si>
  <si>
    <t>FY 2018 (March)</t>
  </si>
  <si>
    <t>990 forms</t>
  </si>
  <si>
    <t>All national teams (incl youth)</t>
  </si>
  <si>
    <t>Referee program</t>
  </si>
  <si>
    <t>Coaching program</t>
  </si>
  <si>
    <t>SOURCES</t>
  </si>
  <si>
    <t>https://www.ussoccer.com/governance/financial-information</t>
  </si>
  <si>
    <t>https://www.ussoccer.com/governance/previous-agm-locations</t>
  </si>
  <si>
    <t>https://projects.propublica.org/nonprofits/organizations/135591991</t>
  </si>
  <si>
    <t>Annual General Meeting, with budgets</t>
  </si>
  <si>
    <t>https://www.ussoccer.com/media-services/media-guide</t>
  </si>
  <si>
    <t>USSF media guides</t>
  </si>
  <si>
    <t>990s and Audited Financials, 2006-present</t>
  </si>
  <si>
    <t>990s prior to 2006</t>
  </si>
  <si>
    <t>Others as noted on tabs</t>
  </si>
  <si>
    <t xml:space="preserve">U.S. Soccer has made frequent reference to a five-year strategic plan that would spend its assets down from $162m to $50m. It has not released details. One thing we DO know is that the federation is accepting grant appliations. At the 2017 Annual General Meeting, Sunil Gulati referred to this as an "incubator program." This year, that program has received 53 applications from 38 members (up 230% from 2018), with the requests adding up to a total of $6.7 million (up 514% from 2018). </t>
  </si>
  <si>
    <t>Men's national team</t>
  </si>
  <si>
    <t>Women's national team</t>
  </si>
  <si>
    <t>* FY 2011 included men's World Cup preparation</t>
  </si>
  <si>
    <t>Other program services</t>
  </si>
  <si>
    <t>U.S. Open Cup</t>
  </si>
  <si>
    <t>Occupancy</t>
  </si>
  <si>
    <t>Management</t>
  </si>
  <si>
    <t>National BOD and committees</t>
  </si>
  <si>
    <t>Annual General Meeting</t>
  </si>
  <si>
    <t>This is a quick look at where the federation has spent money over the years. Some of the programs overlap (all NTs with MNT/WNT, management with other programs, etc.)</t>
  </si>
  <si>
    <t>Opponent Team Appearances</t>
  </si>
  <si>
    <t>Other Programming</t>
  </si>
  <si>
    <t>National Training Center Development</t>
  </si>
  <si>
    <t>Innovate to Grow (ITG)</t>
  </si>
  <si>
    <t>USL (I-25)</t>
  </si>
  <si>
    <t>NISA (I-34)</t>
  </si>
  <si>
    <t>Women's WC Non-Team (WG-03A)</t>
  </si>
  <si>
    <t>Fund Raising - Restricted (G-05)</t>
  </si>
  <si>
    <t>RULES COMMITTEE (V-15)</t>
  </si>
  <si>
    <t>DIVERSITY COMMITTEE (V-22)</t>
  </si>
  <si>
    <t>LIFE MEMBER TASK FORCE (V-32)</t>
  </si>
  <si>
    <t>AMBASSADORS (G-06)</t>
  </si>
  <si>
    <t>HALL OF FAME OPS (G-07)</t>
  </si>
  <si>
    <t>U-14 Boys (OT-20)</t>
  </si>
  <si>
    <t>U-15 Boys (OT-10)</t>
  </si>
  <si>
    <t>U-16 Boys (OT-24)</t>
  </si>
  <si>
    <t>U-17 Men (OT-03)</t>
  </si>
  <si>
    <t>U-18 Men (OT-11)</t>
  </si>
  <si>
    <t>U-19 Men (OT-25)</t>
  </si>
  <si>
    <t>U-20 Men (OT-04)</t>
  </si>
  <si>
    <t>U-23 Men (OT-05)</t>
  </si>
  <si>
    <t>U-14 Girls (OT-21)</t>
  </si>
  <si>
    <t>U-15 Girls (OT-06)</t>
  </si>
  <si>
    <t>U-16 Girls (OT-26)</t>
  </si>
  <si>
    <t>U-17 Women (OT-12)</t>
  </si>
  <si>
    <t>U-18 Women (OT-13)</t>
  </si>
  <si>
    <t>U-19 Women (OT-27)</t>
  </si>
  <si>
    <t>U-20 Women (OT-07)</t>
  </si>
  <si>
    <t>U-23 Women (OT-08)</t>
  </si>
  <si>
    <t>Youth National Teams Total</t>
  </si>
  <si>
    <t>Club Development</t>
  </si>
  <si>
    <t>Talent Identification</t>
  </si>
  <si>
    <t>Development Academy</t>
  </si>
  <si>
    <t>SHOWCASE #1 (OT16A)</t>
  </si>
  <si>
    <t>SHOWCASE #2 (OT16B)</t>
  </si>
  <si>
    <t>SHOWCASE #3 (OT16C)</t>
  </si>
  <si>
    <t>SHOWCASE #4 (OT16D)</t>
  </si>
  <si>
    <t>SHOWCASE #5 (OT16E)</t>
  </si>
  <si>
    <t>FINALS WEEK (OT16F)</t>
  </si>
  <si>
    <t>GENERAL ACADEMY EXPENSES (OT16G)</t>
  </si>
  <si>
    <t>COACH EDUCATION (OT16K)</t>
  </si>
  <si>
    <t>INTERNATIONAL GAMES (OT16N)</t>
  </si>
  <si>
    <t>GIRLS YOUTH DEVELOPMENT (OT16P)</t>
  </si>
  <si>
    <t>U-13 AND U-14 EVENTS (OT16Q)</t>
  </si>
  <si>
    <t>SCOUTING (OT16S)</t>
  </si>
  <si>
    <t>ID CAMPS</t>
  </si>
  <si>
    <t>Development Academy (OT-16 TOTAL)</t>
  </si>
  <si>
    <t>Referee - Coaching - Marketing</t>
  </si>
  <si>
    <t>Other programming</t>
  </si>
  <si>
    <t>Centralized Training Program</t>
  </si>
  <si>
    <t>ENT Operations (ENT01)</t>
  </si>
  <si>
    <t>Men's Futsal (ENT02 Total)</t>
  </si>
  <si>
    <t>Men's Paralympic (ENT03 Total)</t>
  </si>
  <si>
    <t>Men's Beach (ENT04 Total)</t>
  </si>
  <si>
    <t>Women's Beach (ENT05 Total)</t>
  </si>
  <si>
    <t>FY2021</t>
  </si>
  <si>
    <t>2021 Budget</t>
  </si>
  <si>
    <t>vs 2020 Project</t>
  </si>
  <si>
    <t>Wrapped into "Other Programming"</t>
  </si>
  <si>
    <t>NWSL and Open Cup moved from this category to "Other Programming"</t>
  </si>
  <si>
    <t>Digital Revamp (now IT Infrastructure)</t>
  </si>
  <si>
    <t>retroactively added to FY2018</t>
  </si>
  <si>
    <t>Professional Fees- D2 League (NASL)</t>
  </si>
  <si>
    <t>Other Affiliate (I-33)</t>
  </si>
  <si>
    <t>Fan Experience (M-06F)</t>
  </si>
  <si>
    <t>Designated Sponsorship Revenue (I-98)</t>
  </si>
  <si>
    <t>Totals through FY 2017 include Open Cup, NWSL and Extended National Teams</t>
  </si>
  <si>
    <t>2019 AGM book had $900,000 FY2020 budget and $1,700,000 projected</t>
  </si>
  <si>
    <t>2019 AGM book had $13,500 budget, $0 projected for 2019</t>
  </si>
  <si>
    <t>in 2019 book, FY2018 had $4,060 for Player Development line item. That disapeared, but identical number appeared here. Accounting change?</t>
  </si>
  <si>
    <t>in 2019 book, 2,000,000 had been budgeted for FY19, but projected was 1,500.</t>
  </si>
  <si>
    <t>Program Performance/High Performance</t>
  </si>
  <si>
    <t>New category as of 2020 book</t>
  </si>
  <si>
    <t>Extended National Teams (formerly Other NT)</t>
  </si>
  <si>
    <t>NT from AGM</t>
  </si>
  <si>
    <t>Drilling down on NT numbers from AGM book (not the budget breakdown)</t>
  </si>
  <si>
    <t>Marketing and Sponsorship   </t>
  </si>
  <si>
    <t>FY2020 budget</t>
  </si>
  <si>
    <t>FY2020 var</t>
  </si>
  <si>
    <t>FY2021 budget</t>
  </si>
  <si>
    <t>2021 v 2020</t>
  </si>
  <si>
    <t>2012-16 totals include development/fund raising</t>
  </si>
  <si>
    <t>Wrapped into "Other Revenue" since 2014</t>
  </si>
  <si>
    <t>New in 2020 book; retroactive figures to 2018</t>
  </si>
  <si>
    <t>not accounted for in 2020 AGM book; figures here from 2019 and are somehow not in total for non-operating expenses</t>
  </si>
  <si>
    <t>FY2020 proj</t>
  </si>
  <si>
    <t>Tech advisors/club development</t>
  </si>
  <si>
    <t>SheBelieves (WG-05)</t>
  </si>
  <si>
    <t>Tech Advisors/Club Dev (OT-22)</t>
  </si>
  <si>
    <t>Marketing, Sponsorship, Broadcast</t>
  </si>
  <si>
    <t>Referee Instructor Management (R-03)</t>
  </si>
  <si>
    <t>World Cup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</si>
</sst>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quot;$&quot;#,##0.00"/>
    <numFmt numFmtId="166" formatCode="_([$$-409]* #,##0_);_([$$-409]* \(#,##0\);_([$$-409]* &quot;-&quot;??_);_(@_)"/>
    <numFmt numFmtId="167" formatCode="&quot;$&quot;#,##0.000"/>
    <numFmt numFmtId="168" formatCode="_(* #,##0_);_(* \(#,##0\);_(* &quot;-&quot;??_);_(@_)"/>
    <numFmt numFmtId="169" formatCode="_([$$-409]* #,##0.00_);_([$$-409]* \(#,##0.00\);_([$$-409]* &quot;-&quot;??_);_(@_)"/>
    <numFmt numFmtId="170" formatCode="_(&quot;$&quot;* #,##0_);_(&quot;$&quot;* \(#,##0\);_(&quot;$&quot;* &quot;-&quot;??_);_(@_)"/>
    <numFmt numFmtId="171" formatCode="_(&quot;$&quot;* #,##0.000_);_(&quot;$&quot;* \(#,##0.000\);_(&quot;$&quot;* &quot;-&quot;??_);_(@_)"/>
  </numFmts>
  <fonts count="99" x14ac:knownFonts="1">
    <font>
      <sz val="10"/>
      <color rgb="FF000000"/>
      <name val="Arial"/>
    </font>
    <font>
      <b/>
      <sz val="10"/>
      <name val="Arial"/>
      <family val="2"/>
    </font>
    <font>
      <sz val="10"/>
      <name val="Arial"/>
      <family val="2"/>
    </font>
    <font>
      <sz val="10"/>
      <name val="Arial"/>
      <family val="2"/>
    </font>
    <font>
      <i/>
      <sz val="10"/>
      <name val="Arial"/>
      <family val="2"/>
    </font>
    <font>
      <sz val="8"/>
      <name val="Arial"/>
      <family val="2"/>
    </font>
    <font>
      <i/>
      <sz val="9"/>
      <name val="Arial"/>
      <family val="2"/>
    </font>
    <font>
      <b/>
      <i/>
      <sz val="10"/>
      <name val="Arial"/>
      <family val="2"/>
    </font>
    <font>
      <i/>
      <sz val="10"/>
      <name val="Arial"/>
      <family val="2"/>
    </font>
    <font>
      <sz val="10"/>
      <name val="Arial"/>
      <family val="2"/>
    </font>
    <font>
      <sz val="9"/>
      <color rgb="FF000000"/>
      <name val="Arial"/>
      <family val="2"/>
    </font>
    <font>
      <b/>
      <sz val="10"/>
      <name val="Arial"/>
      <family val="2"/>
    </font>
    <font>
      <i/>
      <sz val="10"/>
      <name val="Arial"/>
      <family val="2"/>
    </font>
    <font>
      <sz val="10"/>
      <color rgb="FF000000"/>
      <name val="Arial"/>
      <family val="2"/>
    </font>
    <font>
      <b/>
      <sz val="10"/>
      <color rgb="FF000000"/>
      <name val="Arial"/>
      <family val="2"/>
    </font>
    <font>
      <i/>
      <sz val="9"/>
      <name val="Arial"/>
      <family val="2"/>
    </font>
    <font>
      <b/>
      <sz val="9"/>
      <name val="Arial"/>
      <family val="2"/>
    </font>
    <font>
      <sz val="9"/>
      <name val="Arial"/>
      <family val="2"/>
    </font>
    <font>
      <sz val="9"/>
      <color rgb="FF000000"/>
      <name val="Arial"/>
      <family val="2"/>
    </font>
    <font>
      <b/>
      <sz val="9"/>
      <color rgb="FF000000"/>
      <name val="Arial"/>
      <family val="2"/>
    </font>
    <font>
      <b/>
      <sz val="14"/>
      <color rgb="FF000000"/>
      <name val="Arial"/>
      <family val="2"/>
    </font>
    <font>
      <u/>
      <sz val="10"/>
      <color theme="10"/>
      <name val="Arial"/>
      <family val="2"/>
    </font>
    <font>
      <u/>
      <sz val="9"/>
      <color theme="10"/>
      <name val="Arial"/>
      <family val="2"/>
    </font>
    <font>
      <sz val="10"/>
      <color rgb="FF000000"/>
      <name val="Arial"/>
      <family val="2"/>
    </font>
    <font>
      <i/>
      <sz val="9"/>
      <color rgb="FF000000"/>
      <name val="Arial"/>
      <family val="2"/>
    </font>
    <font>
      <i/>
      <sz val="10"/>
      <color rgb="FF000000"/>
      <name val="Arial"/>
      <family val="2"/>
    </font>
    <font>
      <sz val="9"/>
      <color rgb="FFC00000"/>
      <name val="Arial"/>
      <family val="2"/>
    </font>
    <font>
      <sz val="9"/>
      <color theme="1"/>
      <name val="Arial"/>
      <family val="2"/>
    </font>
    <font>
      <sz val="8"/>
      <color rgb="FF000000"/>
      <name val="Arial"/>
      <family val="2"/>
    </font>
    <font>
      <b/>
      <sz val="14"/>
      <color theme="0"/>
      <name val="Arial"/>
      <family val="2"/>
    </font>
    <font>
      <b/>
      <i/>
      <sz val="10"/>
      <color rgb="FF000000"/>
      <name val="Arial"/>
      <family val="2"/>
    </font>
    <font>
      <b/>
      <i/>
      <sz val="9"/>
      <color rgb="FF000000"/>
      <name val="Arial"/>
      <family val="2"/>
    </font>
    <font>
      <u/>
      <sz val="8"/>
      <color theme="10"/>
      <name val="Arial"/>
      <family val="2"/>
    </font>
    <font>
      <b/>
      <i/>
      <sz val="9"/>
      <color theme="1"/>
      <name val="Arial"/>
      <family val="2"/>
    </font>
    <font>
      <sz val="9"/>
      <color theme="0"/>
      <name val="Arial"/>
      <family val="2"/>
    </font>
    <font>
      <sz val="10"/>
      <color theme="1"/>
      <name val="Arial"/>
      <family val="2"/>
    </font>
    <font>
      <b/>
      <sz val="9"/>
      <color theme="0"/>
      <name val="Arial"/>
      <family val="2"/>
    </font>
    <font>
      <b/>
      <sz val="14"/>
      <name val="Calibri"/>
      <family val="2"/>
      <scheme val="minor"/>
    </font>
    <font>
      <sz val="9"/>
      <color rgb="FF000000"/>
      <name val="Calibri Light"/>
      <family val="2"/>
      <scheme val="major"/>
    </font>
    <font>
      <sz val="9"/>
      <name val="Calibri"/>
      <family val="2"/>
      <scheme val="minor"/>
    </font>
    <font>
      <sz val="9"/>
      <color rgb="FF000000"/>
      <name val="Calibri"/>
      <family val="2"/>
      <scheme val="minor"/>
    </font>
    <font>
      <sz val="12"/>
      <color theme="0"/>
      <name val="Calibri"/>
      <family val="2"/>
      <scheme val="minor"/>
    </font>
    <font>
      <b/>
      <sz val="9"/>
      <name val="Calibri"/>
      <family val="2"/>
      <scheme val="minor"/>
    </font>
    <font>
      <b/>
      <sz val="9"/>
      <color rgb="FF242424"/>
      <name val="Calibri"/>
      <family val="2"/>
      <scheme val="minor"/>
    </font>
    <font>
      <b/>
      <sz val="9"/>
      <color rgb="FF000000"/>
      <name val="Calibri"/>
      <family val="2"/>
      <scheme val="minor"/>
    </font>
    <font>
      <b/>
      <sz val="9"/>
      <color rgb="FF151515"/>
      <name val="Calibri"/>
      <family val="2"/>
      <scheme val="minor"/>
    </font>
    <font>
      <b/>
      <sz val="9"/>
      <color rgb="FF000000"/>
      <name val="Calibri Light"/>
      <family val="2"/>
      <scheme val="major"/>
    </font>
    <font>
      <b/>
      <sz val="9"/>
      <color rgb="FFF63F3F"/>
      <name val="Calibri"/>
      <family val="2"/>
      <scheme val="minor"/>
    </font>
    <font>
      <b/>
      <sz val="9"/>
      <color rgb="FF4D4D4D"/>
      <name val="Calibri"/>
      <family val="2"/>
      <scheme val="minor"/>
    </font>
    <font>
      <sz val="9"/>
      <color rgb="FF4D4D4D"/>
      <name val="Calibri"/>
      <family val="2"/>
      <scheme val="minor"/>
    </font>
    <font>
      <b/>
      <sz val="9"/>
      <color rgb="FF5D5D5D"/>
      <name val="Calibri"/>
      <family val="2"/>
      <scheme val="minor"/>
    </font>
    <font>
      <b/>
      <sz val="9"/>
      <color rgb="FF232323"/>
      <name val="Calibri"/>
      <family val="2"/>
      <scheme val="minor"/>
    </font>
    <font>
      <b/>
      <sz val="9"/>
      <color rgb="FF313131"/>
      <name val="Calibri"/>
      <family val="2"/>
      <scheme val="minor"/>
    </font>
    <font>
      <b/>
      <sz val="9"/>
      <name val="Calibri Light"/>
      <family val="2"/>
      <scheme val="major"/>
    </font>
    <font>
      <sz val="9"/>
      <color rgb="FF000080"/>
      <name val="Calibri"/>
      <family val="2"/>
      <scheme val="minor"/>
    </font>
    <font>
      <b/>
      <sz val="9"/>
      <color rgb="FF8E8E8E"/>
      <name val="Calibri"/>
      <family val="2"/>
      <scheme val="minor"/>
    </font>
    <font>
      <sz val="9"/>
      <color rgb="FF232323"/>
      <name val="Calibri"/>
      <family val="2"/>
      <scheme val="minor"/>
    </font>
    <font>
      <b/>
      <i/>
      <sz val="9"/>
      <color rgb="FF242424"/>
      <name val="Calibri"/>
      <family val="2"/>
      <scheme val="minor"/>
    </font>
    <font>
      <b/>
      <i/>
      <sz val="9"/>
      <color rgb="FF494949"/>
      <name val="Calibri"/>
      <family val="2"/>
      <scheme val="minor"/>
    </font>
    <font>
      <b/>
      <i/>
      <sz val="9"/>
      <name val="Calibri"/>
      <family val="2"/>
      <scheme val="minor"/>
    </font>
    <font>
      <b/>
      <i/>
      <sz val="9"/>
      <color rgb="FF008000"/>
      <name val="Calibri"/>
      <family val="2"/>
      <scheme val="minor"/>
    </font>
    <font>
      <b/>
      <i/>
      <sz val="9"/>
      <color rgb="FF000080"/>
      <name val="Calibri"/>
      <family val="2"/>
      <scheme val="minor"/>
    </font>
    <font>
      <b/>
      <i/>
      <sz val="9"/>
      <color rgb="FF000000"/>
      <name val="Calibri Light"/>
      <family val="2"/>
      <scheme val="major"/>
    </font>
    <font>
      <sz val="9"/>
      <color rgb="FF008000"/>
      <name val="Calibri"/>
      <family val="2"/>
      <scheme val="minor"/>
    </font>
    <font>
      <i/>
      <sz val="9"/>
      <color rgb="FF008000"/>
      <name val="Calibri"/>
      <family val="2"/>
      <scheme val="minor"/>
    </font>
    <font>
      <i/>
      <sz val="9"/>
      <color rgb="FF000080"/>
      <name val="Calibri"/>
      <family val="2"/>
      <scheme val="minor"/>
    </font>
    <font>
      <i/>
      <sz val="9"/>
      <name val="Calibri"/>
      <family val="2"/>
      <scheme val="minor"/>
    </font>
    <font>
      <i/>
      <sz val="9"/>
      <color rgb="FF000000"/>
      <name val="Calibri Light"/>
      <family val="2"/>
      <scheme val="major"/>
    </font>
    <font>
      <b/>
      <sz val="9"/>
      <color rgb="FF008000"/>
      <name val="Calibri"/>
      <family val="2"/>
      <scheme val="minor"/>
    </font>
    <font>
      <b/>
      <sz val="9"/>
      <color rgb="FF000080"/>
      <name val="Calibri"/>
      <family val="2"/>
      <scheme val="minor"/>
    </font>
    <font>
      <b/>
      <sz val="9"/>
      <color rgb="FFF63B3D"/>
      <name val="Calibri"/>
      <family val="2"/>
      <scheme val="minor"/>
    </font>
    <font>
      <b/>
      <sz val="9"/>
      <color rgb="FF494949"/>
      <name val="Calibri"/>
      <family val="2"/>
      <scheme val="minor"/>
    </font>
    <font>
      <sz val="9"/>
      <color rgb="FF242424"/>
      <name val="Calibri"/>
      <family val="2"/>
      <scheme val="minor"/>
    </font>
    <font>
      <sz val="9"/>
      <color rgb="FFF74444"/>
      <name val="Calibri"/>
      <family val="2"/>
      <scheme val="minor"/>
    </font>
    <font>
      <sz val="9"/>
      <color rgb="FF595959"/>
      <name val="Calibri"/>
      <family val="2"/>
      <scheme val="minor"/>
    </font>
    <font>
      <sz val="9"/>
      <color rgb="FF747474"/>
      <name val="Calibri"/>
      <family val="2"/>
      <scheme val="minor"/>
    </font>
    <font>
      <sz val="9"/>
      <color rgb="FF494949"/>
      <name val="Calibri"/>
      <family val="2"/>
      <scheme val="minor"/>
    </font>
    <font>
      <sz val="9"/>
      <color rgb="FFF68C8C"/>
      <name val="Calibri"/>
      <family val="2"/>
      <scheme val="minor"/>
    </font>
    <font>
      <b/>
      <sz val="9"/>
      <color rgb="FFF75959"/>
      <name val="Calibri"/>
      <family val="2"/>
      <scheme val="minor"/>
    </font>
    <font>
      <sz val="9"/>
      <color rgb="FF4B4B4B"/>
      <name val="Calibri"/>
      <family val="2"/>
      <scheme val="minor"/>
    </font>
    <font>
      <sz val="9"/>
      <color rgb="FFF77272"/>
      <name val="Calibri"/>
      <family val="2"/>
      <scheme val="minor"/>
    </font>
    <font>
      <sz val="9"/>
      <color rgb="FF606060"/>
      <name val="Calibri"/>
      <family val="2"/>
      <scheme val="minor"/>
    </font>
    <font>
      <sz val="9"/>
      <color rgb="FFF68989"/>
      <name val="Calibri"/>
      <family val="2"/>
      <scheme val="minor"/>
    </font>
    <font>
      <b/>
      <sz val="9"/>
      <color rgb="FFF9383A"/>
      <name val="Calibri"/>
      <family val="2"/>
      <scheme val="minor"/>
    </font>
    <font>
      <b/>
      <sz val="9"/>
      <color theme="1"/>
      <name val="Calibri"/>
      <family val="2"/>
      <scheme val="minor"/>
    </font>
    <font>
      <sz val="9"/>
      <color theme="1"/>
      <name val="Calibri"/>
      <family val="2"/>
      <scheme val="minor"/>
    </font>
    <font>
      <i/>
      <sz val="9"/>
      <color rgb="FF000000"/>
      <name val="Calibri"/>
      <family val="2"/>
      <scheme val="minor"/>
    </font>
    <font>
      <b/>
      <i/>
      <sz val="9"/>
      <color rgb="FF000000"/>
      <name val="Calibri"/>
      <family val="2"/>
      <scheme val="minor"/>
    </font>
    <font>
      <b/>
      <i/>
      <sz val="9"/>
      <color theme="1"/>
      <name val="Calibri"/>
      <family val="2"/>
      <scheme val="minor"/>
    </font>
    <font>
      <i/>
      <sz val="9"/>
      <color theme="1"/>
      <name val="Calibri"/>
      <family val="2"/>
      <scheme val="minor"/>
    </font>
    <font>
      <b/>
      <i/>
      <sz val="9"/>
      <color rgb="FF232323"/>
      <name val="Calibri"/>
      <family val="2"/>
      <scheme val="minor"/>
    </font>
    <font>
      <b/>
      <sz val="14"/>
      <color rgb="FF000000"/>
      <name val="Calibri"/>
      <family val="2"/>
      <scheme val="minor"/>
    </font>
    <font>
      <sz val="10"/>
      <color rgb="FF000000"/>
      <name val="Calibri"/>
      <family val="2"/>
      <scheme val="minor"/>
    </font>
    <font>
      <b/>
      <sz val="11"/>
      <name val="Calibri"/>
      <family val="2"/>
      <scheme val="minor"/>
    </font>
    <font>
      <sz val="9"/>
      <color rgb="FFFF0000"/>
      <name val="Calibri"/>
      <family val="2"/>
      <scheme val="minor"/>
    </font>
    <font>
      <sz val="9"/>
      <color rgb="FFC00000"/>
      <name val="Calibri"/>
      <family val="2"/>
      <scheme val="minor"/>
    </font>
    <font>
      <b/>
      <sz val="9"/>
      <color rgb="FFC00000"/>
      <name val="Calibri"/>
      <family val="2"/>
      <scheme val="minor"/>
    </font>
    <font>
      <i/>
      <sz val="9"/>
      <color rgb="FFC00000"/>
      <name val="Calibri"/>
      <family val="2"/>
      <scheme val="minor"/>
    </font>
    <font>
      <sz val="10"/>
      <name val="Calibri"/>
      <family val="2"/>
      <scheme val="minor"/>
    </font>
  </fonts>
  <fills count="37">
    <fill>
      <patternFill patternType="none"/>
    </fill>
    <fill>
      <patternFill patternType="gray125"/>
    </fill>
    <fill>
      <patternFill patternType="solid">
        <fgColor rgb="FFFFF2CC"/>
        <bgColor rgb="FFFFF2CC"/>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79998168889431442"/>
        <bgColor rgb="FFFFF2CC"/>
      </patternFill>
    </fill>
    <fill>
      <patternFill patternType="solid">
        <fgColor theme="7" tint="0.79998168889431442"/>
        <bgColor rgb="FFD8D8D8"/>
      </patternFill>
    </fill>
    <fill>
      <patternFill patternType="solid">
        <fgColor theme="9" tint="0.79998168889431442"/>
        <bgColor rgb="FFFFF2CC"/>
      </patternFill>
    </fill>
    <fill>
      <patternFill patternType="solid">
        <fgColor theme="0" tint="-0.14999847407452621"/>
        <bgColor indexed="64"/>
      </patternFill>
    </fill>
    <fill>
      <patternFill patternType="solid">
        <fgColor theme="7" tint="0.79998168889431442"/>
        <bgColor rgb="FFD9EAD3"/>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1" tint="0.249977111117893"/>
        <bgColor indexed="64"/>
      </patternFill>
    </fill>
    <fill>
      <patternFill patternType="solid">
        <fgColor theme="7" tint="0.79998168889431442"/>
        <bgColor rgb="FFD9D9D9"/>
      </patternFill>
    </fill>
    <fill>
      <patternFill patternType="solid">
        <fgColor theme="9" tint="0.79998168889431442"/>
        <bgColor rgb="FFD9D9D9"/>
      </patternFill>
    </fill>
    <fill>
      <patternFill patternType="solid">
        <fgColor theme="1" tint="0.34998626667073579"/>
        <bgColor indexed="64"/>
      </patternFill>
    </fill>
    <fill>
      <patternFill patternType="solid">
        <fgColor theme="7" tint="0.79998168889431442"/>
        <bgColor rgb="FFC5E0B3"/>
      </patternFill>
    </fill>
    <fill>
      <patternFill patternType="solid">
        <fgColor theme="7" tint="0.79998168889431442"/>
        <bgColor rgb="FFA8D08D"/>
      </patternFill>
    </fill>
    <fill>
      <patternFill patternType="solid">
        <fgColor theme="1"/>
        <bgColor indexed="64"/>
      </patternFill>
    </fill>
    <fill>
      <patternFill patternType="solid">
        <fgColor theme="1"/>
        <bgColor rgb="FFD9D9D9"/>
      </patternFill>
    </fill>
    <fill>
      <patternFill patternType="solid">
        <fgColor theme="7" tint="0.79998168889431442"/>
        <bgColor rgb="FFB6D7A8"/>
      </patternFill>
    </fill>
    <fill>
      <patternFill patternType="solid">
        <fgColor theme="9" tint="0.79998168889431442"/>
        <bgColor rgb="FFB6D7A8"/>
      </patternFill>
    </fill>
    <fill>
      <patternFill patternType="solid">
        <fgColor theme="6" tint="0.79998168889431442"/>
        <bgColor indexed="64"/>
      </patternFill>
    </fill>
    <fill>
      <patternFill patternType="solid">
        <fgColor theme="7"/>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2"/>
        <bgColor indexed="64"/>
      </patternFill>
    </fill>
    <fill>
      <patternFill patternType="solid">
        <fgColor theme="9"/>
        <bgColor indexed="64"/>
      </patternFill>
    </fill>
    <fill>
      <patternFill patternType="solid">
        <fgColor rgb="FFFFB3B5"/>
        <bgColor indexed="64"/>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theme="0"/>
      </left>
      <right/>
      <top style="thick">
        <color theme="0"/>
      </top>
      <bottom/>
      <diagonal/>
    </border>
    <border>
      <left style="thin">
        <color theme="0"/>
      </left>
      <right/>
      <top style="thin">
        <color theme="0"/>
      </top>
      <bottom/>
      <diagonal/>
    </border>
    <border>
      <left/>
      <right/>
      <top style="thick">
        <color theme="0"/>
      </top>
      <bottom/>
      <diagonal/>
    </border>
    <border>
      <left/>
      <right/>
      <top style="thin">
        <color theme="0"/>
      </top>
      <bottom/>
      <diagonal/>
    </border>
  </borders>
  <cellStyleXfs count="8">
    <xf numFmtId="0" fontId="0" fillId="0" borderId="0"/>
    <xf numFmtId="44" fontId="13" fillId="0" borderId="0" applyFont="0" applyFill="0" applyBorder="0" applyAlignment="0" applyProtection="0"/>
    <xf numFmtId="0" fontId="21" fillId="0" borderId="0" applyNumberFormat="0" applyFill="0" applyBorder="0" applyAlignment="0" applyProtection="0"/>
    <xf numFmtId="43" fontId="13" fillId="0" borderId="0" applyFont="0" applyFill="0" applyBorder="0" applyAlignment="0" applyProtection="0"/>
    <xf numFmtId="0" fontId="13" fillId="0" borderId="6"/>
    <xf numFmtId="44" fontId="13" fillId="0" borderId="6" applyFont="0" applyFill="0" applyBorder="0" applyAlignment="0" applyProtection="0"/>
    <xf numFmtId="43" fontId="13" fillId="0" borderId="6" applyFont="0" applyFill="0" applyBorder="0" applyAlignment="0" applyProtection="0"/>
    <xf numFmtId="0" fontId="21" fillId="0" borderId="6" applyNumberFormat="0" applyFill="0" applyBorder="0" applyAlignment="0" applyProtection="0"/>
  </cellStyleXfs>
  <cellXfs count="1057">
    <xf numFmtId="0" fontId="0" fillId="0" borderId="0" xfId="0" applyFont="1" applyAlignment="1"/>
    <xf numFmtId="0" fontId="1" fillId="0" borderId="0" xfId="0" applyFont="1"/>
    <xf numFmtId="0" fontId="0" fillId="0" borderId="0" xfId="0" applyFont="1"/>
    <xf numFmtId="0" fontId="1" fillId="0" borderId="0" xfId="0" applyFont="1" applyAlignment="1">
      <alignment horizontal="left"/>
    </xf>
    <xf numFmtId="0" fontId="2" fillId="0" borderId="0" xfId="0" applyFont="1" applyAlignment="1">
      <alignment horizontal="left"/>
    </xf>
    <xf numFmtId="0" fontId="2" fillId="0" borderId="0" xfId="0" applyFont="1"/>
    <xf numFmtId="0" fontId="17" fillId="0" borderId="0" xfId="0" applyFont="1" applyAlignment="1">
      <alignment vertical="top"/>
    </xf>
    <xf numFmtId="3" fontId="18" fillId="0" borderId="0" xfId="0" applyNumberFormat="1" applyFont="1" applyAlignment="1">
      <alignment vertical="top"/>
    </xf>
    <xf numFmtId="0" fontId="18" fillId="0" borderId="0" xfId="0" applyFont="1" applyAlignment="1"/>
    <xf numFmtId="170" fontId="17" fillId="0" borderId="0" xfId="1" applyNumberFormat="1" applyFont="1" applyAlignment="1">
      <alignment vertical="center"/>
    </xf>
    <xf numFmtId="0" fontId="17" fillId="0" borderId="0" xfId="0" applyFont="1" applyAlignment="1">
      <alignment vertical="top"/>
    </xf>
    <xf numFmtId="0" fontId="0" fillId="0" borderId="0" xfId="0" applyFont="1" applyAlignment="1"/>
    <xf numFmtId="0" fontId="18" fillId="0" borderId="0" xfId="0" applyFont="1" applyAlignment="1"/>
    <xf numFmtId="0" fontId="0" fillId="0" borderId="0" xfId="0" applyFont="1" applyAlignment="1"/>
    <xf numFmtId="4" fontId="18" fillId="0" borderId="0" xfId="0" applyNumberFormat="1" applyFont="1" applyAlignment="1">
      <alignment vertical="top"/>
    </xf>
    <xf numFmtId="0" fontId="17" fillId="0" borderId="0" xfId="0" applyFont="1" applyAlignment="1">
      <alignment horizontal="right" vertical="top"/>
    </xf>
    <xf numFmtId="14" fontId="19" fillId="9" borderId="0" xfId="0" applyNumberFormat="1" applyFont="1" applyFill="1" applyAlignment="1">
      <alignment horizontal="right"/>
    </xf>
    <xf numFmtId="0" fontId="16" fillId="0" borderId="0" xfId="0" applyFont="1" applyFill="1" applyAlignment="1">
      <alignment horizontal="center" vertical="top"/>
    </xf>
    <xf numFmtId="0" fontId="0" fillId="0" borderId="0" xfId="0" applyFont="1" applyFill="1" applyAlignment="1"/>
    <xf numFmtId="170" fontId="16" fillId="9" borderId="0" xfId="1" applyNumberFormat="1" applyFont="1" applyFill="1" applyAlignment="1"/>
    <xf numFmtId="14" fontId="16" fillId="9" borderId="0" xfId="1" applyNumberFormat="1" applyFont="1" applyFill="1" applyAlignment="1">
      <alignment horizontal="right"/>
    </xf>
    <xf numFmtId="14" fontId="16" fillId="9" borderId="0" xfId="0" applyNumberFormat="1" applyFont="1" applyFill="1" applyAlignment="1">
      <alignment horizontal="right"/>
    </xf>
    <xf numFmtId="170" fontId="17" fillId="5" borderId="0" xfId="1" applyNumberFormat="1" applyFont="1" applyFill="1" applyAlignment="1">
      <alignment horizontal="right"/>
    </xf>
    <xf numFmtId="170" fontId="17" fillId="0" borderId="0" xfId="1" applyNumberFormat="1" applyFont="1" applyFill="1" applyAlignment="1"/>
    <xf numFmtId="170" fontId="17" fillId="0" borderId="0" xfId="1" applyNumberFormat="1" applyFont="1" applyFill="1" applyAlignment="1">
      <alignment horizontal="right"/>
    </xf>
    <xf numFmtId="170" fontId="17" fillId="13" borderId="0" xfId="1" applyNumberFormat="1" applyFont="1" applyFill="1" applyAlignment="1">
      <alignment horizontal="right"/>
    </xf>
    <xf numFmtId="170" fontId="17" fillId="14" borderId="0" xfId="1" applyNumberFormat="1" applyFont="1" applyFill="1" applyAlignment="1"/>
    <xf numFmtId="170" fontId="18" fillId="14" borderId="0" xfId="1" applyNumberFormat="1" applyFont="1" applyFill="1" applyAlignment="1"/>
    <xf numFmtId="170" fontId="0" fillId="0" borderId="0" xfId="1" applyNumberFormat="1" applyFont="1" applyFill="1" applyAlignment="1"/>
    <xf numFmtId="170" fontId="0" fillId="5" borderId="0" xfId="1" applyNumberFormat="1" applyFont="1" applyFill="1" applyAlignment="1"/>
    <xf numFmtId="170" fontId="16" fillId="14" borderId="0" xfId="1" applyNumberFormat="1" applyFont="1" applyFill="1" applyAlignment="1">
      <alignment horizontal="right"/>
    </xf>
    <xf numFmtId="170" fontId="0" fillId="0" borderId="0" xfId="1" applyNumberFormat="1" applyFont="1" applyAlignment="1"/>
    <xf numFmtId="0" fontId="14" fillId="0" borderId="0" xfId="0" applyFont="1" applyAlignment="1"/>
    <xf numFmtId="0" fontId="0" fillId="3" borderId="0" xfId="0" applyFont="1" applyFill="1" applyAlignment="1"/>
    <xf numFmtId="170" fontId="26" fillId="13" borderId="0" xfId="1" applyNumberFormat="1" applyFont="1" applyFill="1" applyAlignment="1">
      <alignment horizontal="right"/>
    </xf>
    <xf numFmtId="0" fontId="19" fillId="0" borderId="0" xfId="0" applyFont="1" applyAlignment="1"/>
    <xf numFmtId="0" fontId="0" fillId="0" borderId="0" xfId="0" applyFont="1" applyAlignment="1"/>
    <xf numFmtId="0" fontId="28" fillId="0" borderId="0" xfId="0" applyFont="1" applyAlignment="1"/>
    <xf numFmtId="0" fontId="0" fillId="0" borderId="0" xfId="0"/>
    <xf numFmtId="0" fontId="0" fillId="0" borderId="6" xfId="4" applyFont="1"/>
    <xf numFmtId="0" fontId="18" fillId="0" borderId="6" xfId="4" applyFont="1"/>
    <xf numFmtId="0" fontId="0" fillId="18" borderId="6" xfId="4" applyFont="1" applyFill="1"/>
    <xf numFmtId="170" fontId="0" fillId="0" borderId="6" xfId="5" applyNumberFormat="1" applyFont="1" applyAlignment="1"/>
    <xf numFmtId="168" fontId="0" fillId="0" borderId="6" xfId="6" applyNumberFormat="1" applyFont="1" applyAlignment="1">
      <alignment horizontal="right"/>
    </xf>
    <xf numFmtId="49" fontId="0" fillId="0" borderId="6" xfId="4" applyNumberFormat="1" applyFont="1" applyAlignment="1">
      <alignment horizontal="right"/>
    </xf>
    <xf numFmtId="170" fontId="18" fillId="0" borderId="6" xfId="5" applyNumberFormat="1" applyFont="1" applyAlignment="1"/>
    <xf numFmtId="6" fontId="18" fillId="0" borderId="6" xfId="4" applyNumberFormat="1" applyFont="1"/>
    <xf numFmtId="0" fontId="19" fillId="0" borderId="6" xfId="4" applyFont="1"/>
    <xf numFmtId="3" fontId="18" fillId="0" borderId="6" xfId="4" applyNumberFormat="1" applyFont="1"/>
    <xf numFmtId="49" fontId="18" fillId="0" borderId="6" xfId="4" applyNumberFormat="1" applyFont="1"/>
    <xf numFmtId="49" fontId="18" fillId="0" borderId="6" xfId="4" applyNumberFormat="1" applyFont="1" applyAlignment="1">
      <alignment horizontal="right"/>
    </xf>
    <xf numFmtId="170" fontId="19" fillId="0" borderId="6" xfId="4" applyNumberFormat="1" applyFont="1"/>
    <xf numFmtId="166" fontId="19" fillId="0" borderId="6" xfId="4" applyNumberFormat="1" applyFont="1"/>
    <xf numFmtId="49" fontId="19" fillId="0" borderId="6" xfId="4" applyNumberFormat="1" applyFont="1"/>
    <xf numFmtId="166" fontId="24" fillId="0" borderId="6" xfId="4" applyNumberFormat="1" applyFont="1"/>
    <xf numFmtId="170" fontId="24" fillId="0" borderId="6" xfId="5" applyNumberFormat="1" applyFont="1" applyAlignment="1"/>
    <xf numFmtId="0" fontId="24" fillId="0" borderId="6" xfId="4" applyFont="1"/>
    <xf numFmtId="168" fontId="18" fillId="0" borderId="6" xfId="6" applyNumberFormat="1" applyFont="1" applyAlignment="1"/>
    <xf numFmtId="49" fontId="24" fillId="0" borderId="6" xfId="4" applyNumberFormat="1" applyFont="1"/>
    <xf numFmtId="166" fontId="18" fillId="0" borderId="6" xfId="4" applyNumberFormat="1" applyFont="1"/>
    <xf numFmtId="170" fontId="18" fillId="0" borderId="6" xfId="4" applyNumberFormat="1" applyFont="1"/>
    <xf numFmtId="0" fontId="18" fillId="18" borderId="6" xfId="4" applyFont="1" applyFill="1"/>
    <xf numFmtId="0" fontId="19" fillId="18" borderId="6" xfId="4" applyFont="1" applyFill="1"/>
    <xf numFmtId="170" fontId="19" fillId="0" borderId="6" xfId="5" applyNumberFormat="1" applyFont="1" applyAlignment="1"/>
    <xf numFmtId="168" fontId="19" fillId="0" borderId="6" xfId="6" applyNumberFormat="1" applyFont="1" applyAlignment="1">
      <alignment horizontal="right"/>
    </xf>
    <xf numFmtId="49" fontId="19" fillId="0" borderId="6" xfId="4" applyNumberFormat="1" applyFont="1" applyAlignment="1">
      <alignment horizontal="right"/>
    </xf>
    <xf numFmtId="0" fontId="22" fillId="0" borderId="6" xfId="7" applyFont="1" applyAlignment="1"/>
    <xf numFmtId="0" fontId="23" fillId="18" borderId="6" xfId="4" applyFont="1" applyFill="1"/>
    <xf numFmtId="0" fontId="0" fillId="21" borderId="6" xfId="4" applyFont="1" applyFill="1"/>
    <xf numFmtId="17" fontId="18" fillId="0" borderId="6" xfId="4" applyNumberFormat="1" applyFont="1"/>
    <xf numFmtId="3" fontId="19" fillId="0" borderId="6" xfId="4" applyNumberFormat="1" applyFont="1"/>
    <xf numFmtId="16" fontId="18" fillId="0" borderId="6" xfId="4" applyNumberFormat="1" applyFont="1"/>
    <xf numFmtId="0" fontId="0" fillId="0" borderId="0" xfId="0" applyFont="1" applyAlignment="1"/>
    <xf numFmtId="0" fontId="1" fillId="0" borderId="0" xfId="0" applyFont="1" applyAlignment="1"/>
    <xf numFmtId="0" fontId="2" fillId="0" borderId="0" xfId="0" applyFont="1" applyAlignment="1"/>
    <xf numFmtId="0" fontId="12" fillId="0" borderId="0" xfId="0" applyFont="1" applyAlignment="1"/>
    <xf numFmtId="0" fontId="2" fillId="0" borderId="0" xfId="0" applyFont="1"/>
    <xf numFmtId="0" fontId="2" fillId="0" borderId="0" xfId="0" applyFont="1" applyAlignment="1">
      <alignment horizontal="left"/>
    </xf>
    <xf numFmtId="0" fontId="13" fillId="0" borderId="0" xfId="0" applyFont="1" applyAlignment="1"/>
    <xf numFmtId="0" fontId="10" fillId="0" borderId="6" xfId="4" applyFont="1"/>
    <xf numFmtId="0" fontId="0" fillId="0" borderId="0" xfId="0" applyFont="1" applyAlignment="1"/>
    <xf numFmtId="0" fontId="2" fillId="0" borderId="0" xfId="0" applyFont="1"/>
    <xf numFmtId="0" fontId="1" fillId="0" borderId="0" xfId="0" applyFont="1" applyAlignment="1"/>
    <xf numFmtId="0" fontId="3" fillId="0" borderId="1" xfId="0" applyFont="1" applyBorder="1" applyAlignment="1"/>
    <xf numFmtId="0" fontId="0" fillId="24" borderId="0" xfId="0" applyFont="1" applyFill="1" applyAlignment="1"/>
    <xf numFmtId="164" fontId="2" fillId="0" borderId="4" xfId="0" applyNumberFormat="1" applyFont="1" applyFill="1" applyBorder="1" applyAlignment="1">
      <alignment horizontal="left" vertical="top"/>
    </xf>
    <xf numFmtId="164" fontId="2" fillId="0" borderId="4" xfId="0" applyNumberFormat="1" applyFont="1" applyFill="1" applyBorder="1" applyAlignment="1">
      <alignment horizontal="right" vertical="top"/>
    </xf>
    <xf numFmtId="0" fontId="29" fillId="12" borderId="0" xfId="0" applyFont="1" applyFill="1" applyAlignment="1">
      <alignment horizontal="center" vertical="center"/>
    </xf>
    <xf numFmtId="164" fontId="2" fillId="0" borderId="4" xfId="0" applyNumberFormat="1" applyFont="1" applyFill="1" applyBorder="1" applyAlignment="1">
      <alignment vertical="top"/>
    </xf>
    <xf numFmtId="0" fontId="1" fillId="0" borderId="4" xfId="0" applyFont="1" applyFill="1" applyBorder="1" applyAlignment="1">
      <alignment horizontal="left" vertical="top"/>
    </xf>
    <xf numFmtId="0" fontId="0" fillId="0" borderId="0" xfId="0" applyFont="1" applyAlignment="1">
      <alignment vertical="center"/>
    </xf>
    <xf numFmtId="0" fontId="14" fillId="24" borderId="0" xfId="0" applyFont="1" applyFill="1" applyAlignment="1">
      <alignment horizontal="center" vertical="center"/>
    </xf>
    <xf numFmtId="0" fontId="0" fillId="0" borderId="0" xfId="0" applyFont="1" applyFill="1" applyAlignment="1">
      <alignment vertical="center"/>
    </xf>
    <xf numFmtId="0" fontId="14" fillId="0" borderId="0" xfId="0" applyFont="1" applyFill="1" applyAlignment="1">
      <alignment vertical="center"/>
    </xf>
    <xf numFmtId="0" fontId="1" fillId="0" borderId="4" xfId="0" applyFont="1" applyFill="1" applyBorder="1" applyAlignment="1">
      <alignment horizontal="left" vertical="center"/>
    </xf>
    <xf numFmtId="164" fontId="2" fillId="0" borderId="4" xfId="0" applyNumberFormat="1" applyFont="1" applyFill="1" applyBorder="1" applyAlignment="1">
      <alignment horizontal="left" vertical="center"/>
    </xf>
    <xf numFmtId="0" fontId="0" fillId="24" borderId="0" xfId="0" applyFont="1" applyFill="1" applyAlignment="1">
      <alignment vertical="center"/>
    </xf>
    <xf numFmtId="164" fontId="6" fillId="0" borderId="4" xfId="0" applyNumberFormat="1" applyFont="1" applyFill="1" applyBorder="1" applyAlignment="1">
      <alignment horizontal="left" vertical="center"/>
    </xf>
    <xf numFmtId="164" fontId="1" fillId="0" borderId="4" xfId="0" applyNumberFormat="1" applyFont="1" applyFill="1" applyBorder="1" applyAlignment="1">
      <alignment horizontal="left" vertical="center"/>
    </xf>
    <xf numFmtId="164" fontId="2" fillId="25" borderId="6" xfId="0" applyNumberFormat="1" applyFont="1" applyFill="1" applyBorder="1" applyAlignment="1">
      <alignment horizontal="right" vertical="center"/>
    </xf>
    <xf numFmtId="164" fontId="2" fillId="24" borderId="6" xfId="0" applyNumberFormat="1" applyFont="1" applyFill="1" applyBorder="1" applyAlignment="1">
      <alignment horizontal="right" vertical="center"/>
    </xf>
    <xf numFmtId="0" fontId="13" fillId="0" borderId="0" xfId="0" applyFont="1" applyFill="1" applyAlignment="1">
      <alignment vertical="center"/>
    </xf>
    <xf numFmtId="164" fontId="2" fillId="0" borderId="6" xfId="0" applyNumberFormat="1" applyFont="1" applyFill="1" applyBorder="1" applyAlignment="1">
      <alignment horizontal="left" vertical="center"/>
    </xf>
    <xf numFmtId="164" fontId="1" fillId="0" borderId="6" xfId="0" applyNumberFormat="1" applyFont="1" applyFill="1" applyBorder="1" applyAlignment="1">
      <alignment horizontal="left" vertical="center"/>
    </xf>
    <xf numFmtId="164" fontId="2" fillId="0" borderId="4" xfId="0" applyNumberFormat="1" applyFont="1" applyFill="1" applyBorder="1" applyAlignment="1">
      <alignment vertical="center"/>
    </xf>
    <xf numFmtId="164" fontId="1" fillId="0" borderId="4" xfId="0" applyNumberFormat="1" applyFont="1" applyFill="1" applyBorder="1" applyAlignment="1">
      <alignment vertical="center"/>
    </xf>
    <xf numFmtId="164" fontId="2" fillId="0" borderId="6" xfId="0" applyNumberFormat="1" applyFont="1" applyFill="1" applyBorder="1" applyAlignment="1">
      <alignment vertical="center"/>
    </xf>
    <xf numFmtId="164" fontId="1" fillId="0" borderId="6" xfId="0" applyNumberFormat="1" applyFont="1" applyFill="1" applyBorder="1" applyAlignment="1">
      <alignment vertical="center"/>
    </xf>
    <xf numFmtId="164" fontId="4" fillId="0" borderId="6" xfId="0" applyNumberFormat="1" applyFont="1" applyFill="1" applyBorder="1" applyAlignment="1">
      <alignment vertical="center"/>
    </xf>
    <xf numFmtId="164" fontId="4" fillId="0" borderId="4" xfId="0" applyNumberFormat="1" applyFont="1" applyFill="1" applyBorder="1" applyAlignment="1">
      <alignment horizontal="left" vertical="center"/>
    </xf>
    <xf numFmtId="164" fontId="1" fillId="0" borderId="2" xfId="0" applyNumberFormat="1" applyFont="1" applyFill="1" applyBorder="1" applyAlignment="1">
      <alignment horizontal="left" vertical="center"/>
    </xf>
    <xf numFmtId="164" fontId="2" fillId="0" borderId="2" xfId="0" applyNumberFormat="1" applyFont="1" applyFill="1" applyBorder="1" applyAlignment="1">
      <alignment horizontal="left" vertical="center"/>
    </xf>
    <xf numFmtId="164" fontId="2" fillId="0" borderId="4" xfId="0" applyNumberFormat="1" applyFont="1" applyFill="1" applyBorder="1" applyAlignment="1">
      <alignment horizontal="left"/>
    </xf>
    <xf numFmtId="164" fontId="4" fillId="0" borderId="2" xfId="0" applyNumberFormat="1" applyFont="1" applyFill="1" applyBorder="1" applyAlignment="1">
      <alignment horizontal="left"/>
    </xf>
    <xf numFmtId="0" fontId="4" fillId="0" borderId="3" xfId="0" applyFont="1" applyFill="1" applyBorder="1" applyAlignment="1"/>
    <xf numFmtId="0" fontId="1" fillId="0" borderId="6" xfId="0" applyFont="1" applyFill="1" applyBorder="1" applyAlignment="1"/>
    <xf numFmtId="164" fontId="7" fillId="0" borderId="4" xfId="0" applyNumberFormat="1" applyFont="1" applyFill="1" applyBorder="1" applyAlignment="1">
      <alignment horizontal="left" vertical="top"/>
    </xf>
    <xf numFmtId="0" fontId="2" fillId="0" borderId="4" xfId="0" applyFont="1" applyFill="1" applyBorder="1" applyAlignment="1">
      <alignment horizontal="left" vertical="top"/>
    </xf>
    <xf numFmtId="0" fontId="1" fillId="0" borderId="0" xfId="0" applyFont="1" applyFill="1" applyAlignment="1">
      <alignment vertical="top"/>
    </xf>
    <xf numFmtId="164" fontId="8" fillId="0" borderId="4" xfId="0" applyNumberFormat="1" applyFont="1" applyFill="1" applyBorder="1" applyAlignment="1">
      <alignment horizontal="right" vertical="top"/>
    </xf>
    <xf numFmtId="164" fontId="8" fillId="0" borderId="3" xfId="0" applyNumberFormat="1" applyFont="1" applyFill="1" applyBorder="1" applyAlignment="1">
      <alignment horizontal="right" vertical="top"/>
    </xf>
    <xf numFmtId="164" fontId="9" fillId="0" borderId="5" xfId="0" applyNumberFormat="1" applyFont="1" applyFill="1" applyBorder="1" applyAlignment="1">
      <alignment horizontal="right" vertical="top"/>
    </xf>
    <xf numFmtId="167" fontId="9" fillId="0" borderId="6" xfId="0" applyNumberFormat="1" applyFont="1" applyFill="1" applyBorder="1" applyAlignment="1">
      <alignment horizontal="right" vertical="top"/>
    </xf>
    <xf numFmtId="164" fontId="4" fillId="0" borderId="4" xfId="0" applyNumberFormat="1" applyFont="1" applyFill="1" applyBorder="1" applyAlignment="1">
      <alignment vertical="top"/>
    </xf>
    <xf numFmtId="167" fontId="2" fillId="0" borderId="4" xfId="0" applyNumberFormat="1" applyFont="1" applyFill="1" applyBorder="1" applyAlignment="1">
      <alignment horizontal="right" vertical="top"/>
    </xf>
    <xf numFmtId="0" fontId="5" fillId="0" borderId="2" xfId="0" applyFont="1" applyFill="1" applyBorder="1" applyAlignment="1">
      <alignment horizontal="left" vertical="top"/>
    </xf>
    <xf numFmtId="170" fontId="0" fillId="0" borderId="0" xfId="1" applyNumberFormat="1" applyFont="1" applyAlignment="1">
      <alignment vertical="center"/>
    </xf>
    <xf numFmtId="170" fontId="0" fillId="0" borderId="0" xfId="1" applyNumberFormat="1" applyFont="1" applyFill="1" applyAlignment="1">
      <alignment vertical="center"/>
    </xf>
    <xf numFmtId="170" fontId="13" fillId="0" borderId="0" xfId="1" applyNumberFormat="1" applyFont="1" applyFill="1" applyAlignment="1">
      <alignment vertical="center"/>
    </xf>
    <xf numFmtId="170" fontId="1" fillId="0" borderId="0" xfId="1" applyNumberFormat="1" applyFont="1" applyAlignment="1"/>
    <xf numFmtId="170" fontId="14" fillId="0" borderId="0" xfId="1" applyNumberFormat="1" applyFont="1" applyAlignment="1"/>
    <xf numFmtId="170" fontId="1" fillId="0" borderId="6" xfId="1" applyNumberFormat="1" applyFont="1" applyFill="1" applyBorder="1" applyAlignment="1"/>
    <xf numFmtId="170" fontId="13" fillId="0" borderId="0" xfId="1" applyNumberFormat="1" applyFont="1" applyAlignment="1"/>
    <xf numFmtId="170" fontId="2" fillId="0" borderId="0" xfId="1" applyNumberFormat="1" applyFont="1" applyAlignment="1"/>
    <xf numFmtId="0" fontId="13" fillId="0" borderId="0" xfId="0" applyFont="1" applyAlignment="1">
      <alignment vertical="center"/>
    </xf>
    <xf numFmtId="170" fontId="0" fillId="0" borderId="0" xfId="0" applyNumberFormat="1" applyFont="1" applyAlignment="1"/>
    <xf numFmtId="44" fontId="0" fillId="0" borderId="0" xfId="0" applyNumberFormat="1" applyFont="1" applyAlignment="1">
      <alignment vertical="center"/>
    </xf>
    <xf numFmtId="170" fontId="14" fillId="0" borderId="0" xfId="0" applyNumberFormat="1" applyFont="1" applyAlignment="1"/>
    <xf numFmtId="170" fontId="2" fillId="6" borderId="4" xfId="1" applyNumberFormat="1" applyFont="1" applyFill="1" applyBorder="1" applyAlignment="1">
      <alignment horizontal="right" vertical="center"/>
    </xf>
    <xf numFmtId="170" fontId="0" fillId="5" borderId="0" xfId="1" applyNumberFormat="1" applyFont="1" applyFill="1" applyAlignment="1">
      <alignment vertical="center"/>
    </xf>
    <xf numFmtId="170" fontId="2" fillId="4" borderId="4" xfId="1" applyNumberFormat="1" applyFont="1" applyFill="1" applyBorder="1" applyAlignment="1">
      <alignment horizontal="right" vertical="center"/>
    </xf>
    <xf numFmtId="170" fontId="2" fillId="5" borderId="4" xfId="1" applyNumberFormat="1" applyFont="1" applyFill="1" applyBorder="1" applyAlignment="1">
      <alignment horizontal="right" vertical="center"/>
    </xf>
    <xf numFmtId="170" fontId="0" fillId="4" borderId="0" xfId="1" applyNumberFormat="1" applyFont="1" applyFill="1" applyAlignment="1">
      <alignment vertical="center"/>
    </xf>
    <xf numFmtId="170" fontId="13" fillId="5" borderId="0" xfId="1" applyNumberFormat="1" applyFont="1" applyFill="1" applyAlignment="1">
      <alignment vertical="center"/>
    </xf>
    <xf numFmtId="170" fontId="0" fillId="4" borderId="0" xfId="1" applyNumberFormat="1" applyFont="1" applyFill="1" applyAlignment="1"/>
    <xf numFmtId="171" fontId="0" fillId="5" borderId="0" xfId="1" applyNumberFormat="1" applyFont="1" applyFill="1" applyAlignment="1">
      <alignment vertical="center"/>
    </xf>
    <xf numFmtId="171" fontId="4" fillId="20" borderId="4" xfId="1" applyNumberFormat="1" applyFont="1" applyFill="1" applyBorder="1" applyAlignment="1">
      <alignment horizontal="right" vertical="center"/>
    </xf>
    <xf numFmtId="170" fontId="2" fillId="8" borderId="4" xfId="1" applyNumberFormat="1" applyFont="1" applyFill="1" applyBorder="1" applyAlignment="1">
      <alignment horizontal="right" vertical="center"/>
    </xf>
    <xf numFmtId="170" fontId="2" fillId="23" borderId="4" xfId="1" applyNumberFormat="1" applyFont="1" applyFill="1" applyBorder="1" applyAlignment="1">
      <alignment horizontal="right" vertical="center"/>
    </xf>
    <xf numFmtId="170" fontId="2" fillId="2" borderId="4" xfId="1" applyNumberFormat="1" applyFont="1" applyFill="1" applyBorder="1" applyAlignment="1">
      <alignment horizontal="right" vertical="center"/>
    </xf>
    <xf numFmtId="170" fontId="2" fillId="2" borderId="6" xfId="1" applyNumberFormat="1" applyFont="1" applyFill="1" applyBorder="1" applyAlignment="1">
      <alignment horizontal="right" vertical="center"/>
    </xf>
    <xf numFmtId="170" fontId="4" fillId="20" borderId="4" xfId="1" applyNumberFormat="1" applyFont="1" applyFill="1" applyBorder="1" applyAlignment="1">
      <alignment horizontal="right" vertical="center"/>
    </xf>
    <xf numFmtId="170" fontId="4" fillId="20" borderId="6" xfId="1" applyNumberFormat="1" applyFont="1" applyFill="1" applyBorder="1" applyAlignment="1">
      <alignment horizontal="right" vertical="center"/>
    </xf>
    <xf numFmtId="170" fontId="2" fillId="10" borderId="4" xfId="1" applyNumberFormat="1" applyFont="1" applyFill="1" applyBorder="1" applyAlignment="1">
      <alignment horizontal="right" vertical="center"/>
    </xf>
    <xf numFmtId="170" fontId="4" fillId="20" borderId="4" xfId="1" applyNumberFormat="1" applyFont="1" applyFill="1" applyBorder="1" applyAlignment="1">
      <alignment vertical="center"/>
    </xf>
    <xf numFmtId="170" fontId="2" fillId="8" borderId="6" xfId="1" applyNumberFormat="1" applyFont="1" applyFill="1" applyBorder="1" applyAlignment="1">
      <alignment horizontal="right" vertical="center"/>
    </xf>
    <xf numFmtId="170" fontId="2" fillId="2" borderId="6" xfId="1" applyNumberFormat="1" applyFont="1" applyFill="1" applyBorder="1" applyAlignment="1">
      <alignment horizontal="right"/>
    </xf>
    <xf numFmtId="170" fontId="2" fillId="19" borderId="4" xfId="1" applyNumberFormat="1" applyFont="1" applyFill="1" applyBorder="1" applyAlignment="1">
      <alignment horizontal="right" vertical="center"/>
    </xf>
    <xf numFmtId="170" fontId="2" fillId="7" borderId="4" xfId="1" applyNumberFormat="1" applyFont="1" applyFill="1" applyBorder="1" applyAlignment="1">
      <alignment horizontal="right" vertical="center"/>
    </xf>
    <xf numFmtId="170" fontId="4" fillId="19" borderId="4" xfId="1" applyNumberFormat="1" applyFont="1" applyFill="1" applyBorder="1" applyAlignment="1">
      <alignment horizontal="right" vertical="center"/>
    </xf>
    <xf numFmtId="170" fontId="2" fillId="22" borderId="4" xfId="1" applyNumberFormat="1" applyFont="1" applyFill="1" applyBorder="1" applyAlignment="1">
      <alignment horizontal="right" vertical="center"/>
    </xf>
    <xf numFmtId="170" fontId="2" fillId="6" borderId="6" xfId="1" applyNumberFormat="1" applyFont="1" applyFill="1" applyBorder="1" applyAlignment="1">
      <alignment horizontal="right" vertical="center"/>
    </xf>
    <xf numFmtId="170" fontId="1" fillId="19" borderId="4" xfId="1" applyNumberFormat="1" applyFont="1" applyFill="1" applyBorder="1" applyAlignment="1">
      <alignment horizontal="left" vertical="center"/>
    </xf>
    <xf numFmtId="170" fontId="1" fillId="4" borderId="3" xfId="1" applyNumberFormat="1" applyFont="1" applyFill="1" applyBorder="1" applyAlignment="1">
      <alignment vertical="center"/>
    </xf>
    <xf numFmtId="170" fontId="13" fillId="4" borderId="0" xfId="1" applyNumberFormat="1" applyFont="1" applyFill="1" applyAlignment="1">
      <alignment vertical="center"/>
    </xf>
    <xf numFmtId="0" fontId="30" fillId="4" borderId="0" xfId="0" applyFont="1" applyFill="1" applyAlignment="1">
      <alignment horizontal="right" vertical="center"/>
    </xf>
    <xf numFmtId="0" fontId="30" fillId="5" borderId="0" xfId="0" applyFont="1" applyFill="1" applyAlignment="1">
      <alignment horizontal="right" vertical="center"/>
    </xf>
    <xf numFmtId="0" fontId="14" fillId="24" borderId="0" xfId="0" applyFont="1" applyFill="1" applyAlignment="1">
      <alignment horizontal="right" vertical="center"/>
    </xf>
    <xf numFmtId="0" fontId="14" fillId="24" borderId="6" xfId="0" applyFont="1" applyFill="1" applyBorder="1" applyAlignment="1">
      <alignment horizontal="right" vertical="center"/>
    </xf>
    <xf numFmtId="0" fontId="14" fillId="0" borderId="0" xfId="0" applyFont="1" applyFill="1" applyAlignment="1">
      <alignment horizontal="left" vertical="center"/>
    </xf>
    <xf numFmtId="44" fontId="2" fillId="8" borderId="4" xfId="1" applyNumberFormat="1" applyFont="1" applyFill="1" applyBorder="1" applyAlignment="1">
      <alignment horizontal="right"/>
    </xf>
    <xf numFmtId="0" fontId="0" fillId="0" borderId="0" xfId="0" applyFont="1" applyAlignment="1"/>
    <xf numFmtId="0" fontId="1" fillId="24" borderId="6" xfId="0" applyFont="1" applyFill="1" applyBorder="1" applyAlignment="1">
      <alignment horizontal="right" vertical="center"/>
    </xf>
    <xf numFmtId="170" fontId="1" fillId="0" borderId="4" xfId="1" applyNumberFormat="1" applyFont="1" applyFill="1" applyBorder="1" applyAlignment="1">
      <alignment horizontal="right" vertical="center"/>
    </xf>
    <xf numFmtId="164" fontId="4" fillId="0" borderId="4" xfId="0" applyNumberFormat="1" applyFont="1" applyFill="1" applyBorder="1" applyAlignment="1">
      <alignment horizontal="right" vertical="center"/>
    </xf>
    <xf numFmtId="170" fontId="2" fillId="0" borderId="4" xfId="1" applyNumberFormat="1" applyFont="1" applyFill="1" applyBorder="1" applyAlignment="1">
      <alignment horizontal="right" vertical="center"/>
    </xf>
    <xf numFmtId="164" fontId="2" fillId="0" borderId="4" xfId="0" applyNumberFormat="1" applyFont="1" applyFill="1" applyBorder="1" applyAlignment="1">
      <alignment horizontal="right" vertical="center"/>
    </xf>
    <xf numFmtId="3" fontId="2" fillId="0" borderId="4" xfId="0" applyNumberFormat="1" applyFont="1" applyFill="1" applyBorder="1" applyAlignment="1">
      <alignment horizontal="right" vertical="center"/>
    </xf>
    <xf numFmtId="164" fontId="7" fillId="0" borderId="4" xfId="0" applyNumberFormat="1" applyFont="1" applyFill="1" applyBorder="1" applyAlignment="1">
      <alignment horizontal="left" vertical="center"/>
    </xf>
    <xf numFmtId="1" fontId="2" fillId="0" borderId="4" xfId="0" applyNumberFormat="1" applyFont="1" applyFill="1" applyBorder="1" applyAlignment="1">
      <alignment horizontal="right" vertical="center"/>
    </xf>
    <xf numFmtId="170" fontId="4" fillId="0" borderId="4" xfId="1" applyNumberFormat="1" applyFont="1" applyFill="1" applyBorder="1" applyAlignment="1">
      <alignment horizontal="right" vertical="center"/>
    </xf>
    <xf numFmtId="170" fontId="1" fillId="4" borderId="4" xfId="1" applyNumberFormat="1" applyFont="1" applyFill="1" applyBorder="1" applyAlignment="1">
      <alignment horizontal="right" vertical="center"/>
    </xf>
    <xf numFmtId="164" fontId="4" fillId="0" borderId="4" xfId="0" applyNumberFormat="1" applyFont="1" applyFill="1" applyBorder="1" applyAlignment="1">
      <alignment horizontal="center" vertical="center"/>
    </xf>
    <xf numFmtId="0" fontId="2" fillId="0" borderId="0" xfId="0" applyFont="1" applyFill="1" applyAlignment="1">
      <alignment vertical="center"/>
    </xf>
    <xf numFmtId="170" fontId="2" fillId="0" borderId="0" xfId="1" applyNumberFormat="1" applyFont="1" applyFill="1" applyAlignment="1">
      <alignment vertical="center"/>
    </xf>
    <xf numFmtId="170" fontId="2" fillId="4" borderId="6" xfId="1" applyNumberFormat="1" applyFont="1" applyFill="1" applyBorder="1" applyAlignment="1">
      <alignment horizontal="right" vertical="center"/>
    </xf>
    <xf numFmtId="0" fontId="3" fillId="0" borderId="0" xfId="0" applyFont="1" applyFill="1" applyAlignment="1">
      <alignment vertical="center"/>
    </xf>
    <xf numFmtId="170" fontId="9" fillId="6" borderId="5" xfId="1" applyNumberFormat="1" applyFont="1" applyFill="1" applyBorder="1" applyAlignment="1">
      <alignment horizontal="right" vertical="center"/>
    </xf>
    <xf numFmtId="170" fontId="9" fillId="26" borderId="5" xfId="1" applyNumberFormat="1" applyFont="1" applyFill="1" applyBorder="1" applyAlignment="1">
      <alignment horizontal="right" vertical="center"/>
    </xf>
    <xf numFmtId="170" fontId="9" fillId="8" borderId="6" xfId="1" applyNumberFormat="1" applyFont="1" applyFill="1" applyBorder="1" applyAlignment="1">
      <alignment horizontal="right" vertical="center"/>
    </xf>
    <xf numFmtId="164" fontId="4" fillId="0" borderId="4" xfId="0" applyNumberFormat="1" applyFont="1" applyFill="1" applyBorder="1" applyAlignment="1">
      <alignment vertical="center"/>
    </xf>
    <xf numFmtId="170" fontId="2" fillId="27" borderId="4" xfId="1" applyNumberFormat="1" applyFont="1" applyFill="1" applyBorder="1" applyAlignment="1">
      <alignment horizontal="right" vertical="center"/>
    </xf>
    <xf numFmtId="0" fontId="0" fillId="0" borderId="4" xfId="0" applyFont="1" applyFill="1" applyBorder="1" applyAlignment="1">
      <alignment vertical="center"/>
    </xf>
    <xf numFmtId="44" fontId="0" fillId="5" borderId="0" xfId="1" applyNumberFormat="1" applyFont="1" applyFill="1" applyAlignment="1">
      <alignment vertical="center"/>
    </xf>
    <xf numFmtId="1" fontId="19" fillId="0" borderId="6" xfId="4" applyNumberFormat="1" applyFont="1" applyAlignment="1">
      <alignment horizontal="right"/>
    </xf>
    <xf numFmtId="1" fontId="18" fillId="0" borderId="6" xfId="4" applyNumberFormat="1" applyFont="1" applyAlignment="1">
      <alignment horizontal="right"/>
    </xf>
    <xf numFmtId="1" fontId="0" fillId="0" borderId="6" xfId="4" applyNumberFormat="1" applyFont="1" applyAlignment="1">
      <alignment horizontal="right"/>
    </xf>
    <xf numFmtId="0" fontId="18" fillId="0" borderId="6" xfId="4" applyNumberFormat="1" applyFont="1" applyAlignment="1">
      <alignment horizontal="right"/>
    </xf>
    <xf numFmtId="0" fontId="10" fillId="0" borderId="0" xfId="0" applyFont="1"/>
    <xf numFmtId="0" fontId="10" fillId="0" borderId="0" xfId="0" applyFont="1" applyAlignment="1"/>
    <xf numFmtId="0" fontId="19" fillId="4" borderId="6" xfId="0" applyFont="1" applyFill="1" applyBorder="1" applyAlignment="1"/>
    <xf numFmtId="0" fontId="10" fillId="4" borderId="6" xfId="0" applyFont="1" applyFill="1" applyBorder="1" applyAlignment="1"/>
    <xf numFmtId="3" fontId="10" fillId="0" borderId="0" xfId="0" applyNumberFormat="1" applyFont="1" applyAlignment="1"/>
    <xf numFmtId="170" fontId="10" fillId="0" borderId="0" xfId="1" applyNumberFormat="1" applyFont="1" applyAlignment="1"/>
    <xf numFmtId="170" fontId="10" fillId="0" borderId="0" xfId="0" applyNumberFormat="1" applyFont="1" applyAlignment="1"/>
    <xf numFmtId="168" fontId="10" fillId="4" borderId="6" xfId="3" applyNumberFormat="1" applyFont="1" applyFill="1" applyBorder="1" applyAlignment="1"/>
    <xf numFmtId="170" fontId="10" fillId="4" borderId="6" xfId="1" applyNumberFormat="1" applyFont="1" applyFill="1" applyBorder="1" applyAlignment="1"/>
    <xf numFmtId="170" fontId="10" fillId="4" borderId="6" xfId="0" applyNumberFormat="1" applyFont="1" applyFill="1" applyBorder="1" applyAlignment="1"/>
    <xf numFmtId="170" fontId="19" fillId="0" borderId="0" xfId="0" applyNumberFormat="1" applyFont="1" applyAlignment="1"/>
    <xf numFmtId="168" fontId="19" fillId="4" borderId="6" xfId="3" applyNumberFormat="1" applyFont="1" applyFill="1" applyBorder="1" applyAlignment="1"/>
    <xf numFmtId="170" fontId="19" fillId="4" borderId="6" xfId="0" applyNumberFormat="1" applyFont="1" applyFill="1" applyBorder="1" applyAlignment="1"/>
    <xf numFmtId="168" fontId="10" fillId="0" borderId="0" xfId="3" applyNumberFormat="1" applyFont="1" applyAlignment="1"/>
    <xf numFmtId="0" fontId="10" fillId="17" borderId="6" xfId="0" applyFont="1" applyFill="1" applyBorder="1" applyAlignment="1"/>
    <xf numFmtId="168" fontId="10" fillId="17" borderId="0" xfId="0" applyNumberFormat="1" applyFont="1" applyFill="1" applyAlignment="1"/>
    <xf numFmtId="0" fontId="10" fillId="17" borderId="0" xfId="0" applyFont="1" applyFill="1" applyAlignment="1"/>
    <xf numFmtId="165" fontId="2" fillId="24" borderId="6" xfId="0" applyNumberFormat="1" applyFont="1" applyFill="1" applyBorder="1" applyAlignment="1">
      <alignment horizontal="right" vertical="center"/>
    </xf>
    <xf numFmtId="0" fontId="3" fillId="24" borderId="6" xfId="0" applyFont="1" applyFill="1" applyBorder="1" applyAlignment="1">
      <alignment vertical="center"/>
    </xf>
    <xf numFmtId="0" fontId="3" fillId="24" borderId="0" xfId="0" applyFont="1" applyFill="1" applyAlignment="1">
      <alignment vertical="center"/>
    </xf>
    <xf numFmtId="164" fontId="13" fillId="0" borderId="4" xfId="0" applyNumberFormat="1" applyFont="1" applyFill="1" applyBorder="1" applyAlignment="1">
      <alignment horizontal="left" vertical="center"/>
    </xf>
    <xf numFmtId="0" fontId="13" fillId="0" borderId="0" xfId="0" applyFont="1" applyFill="1" applyAlignment="1">
      <alignment horizontal="left" vertical="center"/>
    </xf>
    <xf numFmtId="0" fontId="3" fillId="0" borderId="1" xfId="0" applyFont="1" applyFill="1" applyBorder="1" applyAlignment="1">
      <alignment vertical="center"/>
    </xf>
    <xf numFmtId="0" fontId="3" fillId="0" borderId="3" xfId="0" applyFont="1" applyFill="1" applyBorder="1" applyAlignment="1">
      <alignment vertical="center"/>
    </xf>
    <xf numFmtId="170" fontId="5" fillId="0" borderId="2" xfId="1" applyNumberFormat="1" applyFont="1" applyFill="1" applyBorder="1" applyAlignment="1">
      <alignment horizontal="left" vertical="center"/>
    </xf>
    <xf numFmtId="170" fontId="3" fillId="0" borderId="1" xfId="1" applyNumberFormat="1" applyFont="1" applyFill="1" applyBorder="1" applyAlignment="1">
      <alignment vertical="center"/>
    </xf>
    <xf numFmtId="170" fontId="3" fillId="0" borderId="0" xfId="1" applyNumberFormat="1" applyFont="1" applyFill="1" applyAlignment="1">
      <alignment vertical="center"/>
    </xf>
    <xf numFmtId="170" fontId="11" fillId="0" borderId="0" xfId="1" applyNumberFormat="1" applyFont="1" applyFill="1" applyAlignment="1">
      <alignment vertical="center"/>
    </xf>
    <xf numFmtId="164" fontId="25" fillId="0" borderId="4" xfId="0" applyNumberFormat="1" applyFont="1" applyFill="1" applyBorder="1" applyAlignment="1">
      <alignment horizontal="left" vertical="center"/>
    </xf>
    <xf numFmtId="168" fontId="18" fillId="0" borderId="6" xfId="3" applyNumberFormat="1" applyFont="1" applyBorder="1"/>
    <xf numFmtId="170" fontId="10" fillId="0" borderId="6" xfId="1" applyNumberFormat="1" applyFont="1" applyBorder="1"/>
    <xf numFmtId="170" fontId="16" fillId="0" borderId="6" xfId="1" applyNumberFormat="1" applyFont="1" applyBorder="1" applyAlignment="1">
      <alignment horizontal="left"/>
    </xf>
    <xf numFmtId="170" fontId="17" fillId="0" borderId="6" xfId="1" applyNumberFormat="1" applyFont="1" applyBorder="1" applyAlignment="1">
      <alignment horizontal="left"/>
    </xf>
    <xf numFmtId="170" fontId="19" fillId="0" borderId="6" xfId="1" applyNumberFormat="1" applyFont="1" applyBorder="1"/>
    <xf numFmtId="0" fontId="19" fillId="0" borderId="6" xfId="4" applyFont="1" applyFill="1"/>
    <xf numFmtId="0" fontId="18" fillId="0" borderId="6" xfId="4" applyFont="1" applyFill="1"/>
    <xf numFmtId="166" fontId="18" fillId="0" borderId="6" xfId="4" applyNumberFormat="1" applyFont="1" applyFill="1"/>
    <xf numFmtId="166" fontId="19" fillId="0" borderId="6" xfId="4" applyNumberFormat="1" applyFont="1" applyFill="1"/>
    <xf numFmtId="170" fontId="18" fillId="0" borderId="6" xfId="5" applyNumberFormat="1" applyFont="1" applyFill="1" applyAlignment="1"/>
    <xf numFmtId="170" fontId="17" fillId="0" borderId="6" xfId="5" applyNumberFormat="1" applyFont="1" applyFill="1" applyBorder="1" applyAlignment="1">
      <alignment horizontal="left"/>
    </xf>
    <xf numFmtId="170" fontId="19" fillId="0" borderId="6" xfId="5" applyNumberFormat="1" applyFont="1" applyFill="1" applyAlignment="1"/>
    <xf numFmtId="166" fontId="16" fillId="0" borderId="6" xfId="4" applyNumberFormat="1" applyFont="1" applyFill="1" applyAlignment="1">
      <alignment horizontal="left"/>
    </xf>
    <xf numFmtId="168" fontId="18" fillId="0" borderId="6" xfId="3" applyNumberFormat="1" applyFont="1" applyFill="1" applyBorder="1"/>
    <xf numFmtId="170" fontId="10" fillId="0" borderId="6" xfId="1" applyNumberFormat="1" applyFont="1" applyFill="1" applyBorder="1"/>
    <xf numFmtId="166" fontId="17" fillId="0" borderId="6" xfId="4" applyNumberFormat="1" applyFont="1" applyFill="1" applyAlignment="1">
      <alignment horizontal="left"/>
    </xf>
    <xf numFmtId="166" fontId="15" fillId="0" borderId="6" xfId="4" applyNumberFormat="1" applyFont="1" applyFill="1" applyAlignment="1">
      <alignment horizontal="left"/>
    </xf>
    <xf numFmtId="169" fontId="17" fillId="0" borderId="6" xfId="4" applyNumberFormat="1" applyFont="1" applyFill="1" applyAlignment="1">
      <alignment horizontal="left"/>
    </xf>
    <xf numFmtId="0" fontId="17" fillId="0" borderId="6" xfId="4" applyFont="1" applyFill="1"/>
    <xf numFmtId="168" fontId="16" fillId="0" borderId="6" xfId="3" applyNumberFormat="1" applyFont="1" applyFill="1" applyBorder="1" applyAlignment="1">
      <alignment horizontal="left"/>
    </xf>
    <xf numFmtId="168" fontId="17" fillId="0" borderId="6" xfId="3" applyNumberFormat="1" applyFont="1" applyFill="1" applyBorder="1" applyAlignment="1">
      <alignment horizontal="left"/>
    </xf>
    <xf numFmtId="170" fontId="17" fillId="0" borderId="6" xfId="1" applyNumberFormat="1" applyFont="1" applyFill="1" applyBorder="1" applyAlignment="1">
      <alignment horizontal="left"/>
    </xf>
    <xf numFmtId="166" fontId="17" fillId="0" borderId="6" xfId="4" applyNumberFormat="1" applyFont="1" applyFill="1" applyAlignment="1">
      <alignment horizontal="right"/>
    </xf>
    <xf numFmtId="0" fontId="18" fillId="0" borderId="6" xfId="4" applyFont="1" applyAlignment="1">
      <alignment vertical="center"/>
    </xf>
    <xf numFmtId="170" fontId="18" fillId="0" borderId="6" xfId="5" applyNumberFormat="1" applyFont="1" applyAlignment="1">
      <alignment vertical="center"/>
    </xf>
    <xf numFmtId="170" fontId="10" fillId="0" borderId="6" xfId="1" applyNumberFormat="1" applyFont="1" applyBorder="1" applyAlignment="1">
      <alignment vertical="center"/>
    </xf>
    <xf numFmtId="0" fontId="19" fillId="0" borderId="6" xfId="4" applyFont="1" applyAlignment="1">
      <alignment vertical="center"/>
    </xf>
    <xf numFmtId="170" fontId="10" fillId="0" borderId="6" xfId="5" applyNumberFormat="1" applyFont="1" applyAlignment="1">
      <alignment horizontal="right" vertical="center"/>
    </xf>
    <xf numFmtId="170" fontId="10" fillId="0" borderId="6" xfId="1" applyNumberFormat="1" applyFont="1" applyBorder="1" applyAlignment="1">
      <alignment horizontal="right" vertical="center"/>
    </xf>
    <xf numFmtId="168" fontId="18" fillId="0" borderId="6" xfId="3" applyNumberFormat="1" applyFont="1" applyBorder="1" applyAlignment="1">
      <alignment vertical="center"/>
    </xf>
    <xf numFmtId="170" fontId="19" fillId="0" borderId="6" xfId="1" applyNumberFormat="1" applyFont="1" applyBorder="1" applyAlignment="1">
      <alignment vertical="center"/>
    </xf>
    <xf numFmtId="166" fontId="16" fillId="0" borderId="6" xfId="4" applyNumberFormat="1" applyFont="1" applyFill="1" applyAlignment="1">
      <alignment horizontal="left" vertical="center"/>
    </xf>
    <xf numFmtId="168" fontId="18" fillId="0" borderId="6" xfId="3" applyNumberFormat="1" applyFont="1" applyFill="1" applyBorder="1" applyAlignment="1">
      <alignment vertical="center"/>
    </xf>
    <xf numFmtId="170" fontId="10" fillId="0" borderId="6" xfId="1" applyNumberFormat="1" applyFont="1" applyFill="1" applyBorder="1" applyAlignment="1">
      <alignment vertical="center"/>
    </xf>
    <xf numFmtId="166" fontId="17" fillId="0" borderId="6" xfId="4" applyNumberFormat="1" applyFont="1" applyFill="1" applyAlignment="1">
      <alignment horizontal="left" vertical="center"/>
    </xf>
    <xf numFmtId="170" fontId="19" fillId="0" borderId="6" xfId="5" applyNumberFormat="1" applyFont="1" applyAlignment="1">
      <alignment horizontal="right" vertical="center"/>
    </xf>
    <xf numFmtId="170" fontId="19" fillId="0" borderId="6" xfId="1" applyNumberFormat="1" applyFont="1" applyBorder="1" applyAlignment="1">
      <alignment horizontal="right" vertical="center"/>
    </xf>
    <xf numFmtId="169" fontId="17" fillId="0" borderId="6" xfId="4" applyNumberFormat="1" applyFont="1" applyFill="1" applyAlignment="1">
      <alignment horizontal="left" vertical="center"/>
    </xf>
    <xf numFmtId="0" fontId="17" fillId="0" borderId="6" xfId="4" applyFont="1" applyFill="1" applyAlignment="1">
      <alignment vertical="center"/>
    </xf>
    <xf numFmtId="168" fontId="16" fillId="0" borderId="6" xfId="3" applyNumberFormat="1" applyFont="1" applyFill="1" applyBorder="1" applyAlignment="1">
      <alignment horizontal="left" vertical="center"/>
    </xf>
    <xf numFmtId="168" fontId="17" fillId="0" borderId="6" xfId="3" applyNumberFormat="1" applyFont="1" applyFill="1" applyBorder="1" applyAlignment="1">
      <alignment horizontal="left" vertical="center"/>
    </xf>
    <xf numFmtId="170" fontId="17" fillId="0" borderId="6" xfId="1" applyNumberFormat="1" applyFont="1" applyFill="1" applyBorder="1" applyAlignment="1">
      <alignment horizontal="left" vertical="center"/>
    </xf>
    <xf numFmtId="0" fontId="19" fillId="0" borderId="6" xfId="4" applyFont="1" applyAlignment="1">
      <alignment horizontal="right" vertical="center"/>
    </xf>
    <xf numFmtId="170" fontId="18" fillId="0" borderId="6" xfId="1" applyNumberFormat="1" applyFont="1" applyBorder="1"/>
    <xf numFmtId="170" fontId="18" fillId="0" borderId="6" xfId="4" applyNumberFormat="1" applyFont="1" applyFill="1"/>
    <xf numFmtId="170" fontId="19" fillId="0" borderId="6" xfId="4" applyNumberFormat="1" applyFont="1" applyFill="1"/>
    <xf numFmtId="6" fontId="18" fillId="0" borderId="6" xfId="4" applyNumberFormat="1" applyFont="1" applyFill="1"/>
    <xf numFmtId="0" fontId="10" fillId="0" borderId="6" xfId="4" applyFont="1" applyAlignment="1">
      <alignment horizontal="left" vertical="center"/>
    </xf>
    <xf numFmtId="0" fontId="17" fillId="0" borderId="6" xfId="4" applyNumberFormat="1" applyFont="1" applyFill="1" applyAlignment="1">
      <alignment horizontal="left" vertical="center"/>
    </xf>
    <xf numFmtId="0" fontId="17" fillId="0" borderId="6" xfId="4" applyNumberFormat="1" applyFont="1" applyFill="1" applyAlignment="1">
      <alignment horizontal="left"/>
    </xf>
    <xf numFmtId="0" fontId="16" fillId="0" borderId="6" xfId="4" applyNumberFormat="1" applyFont="1" applyFill="1" applyAlignment="1">
      <alignment horizontal="left" vertical="center"/>
    </xf>
    <xf numFmtId="0" fontId="19" fillId="0" borderId="6" xfId="4" applyNumberFormat="1" applyFont="1" applyAlignment="1"/>
    <xf numFmtId="0" fontId="15" fillId="0" borderId="6" xfId="4" applyNumberFormat="1" applyFont="1" applyFill="1" applyAlignment="1">
      <alignment horizontal="left" vertical="center"/>
    </xf>
    <xf numFmtId="0" fontId="19" fillId="5" borderId="6" xfId="4" applyFont="1" applyFill="1" applyAlignment="1">
      <alignment vertical="center"/>
    </xf>
    <xf numFmtId="0" fontId="18" fillId="5" borderId="6" xfId="4" applyFont="1" applyFill="1" applyAlignment="1">
      <alignment vertical="center"/>
    </xf>
    <xf numFmtId="0" fontId="24" fillId="5" borderId="6" xfId="4" applyFont="1" applyFill="1" applyAlignment="1">
      <alignment vertical="center"/>
    </xf>
    <xf numFmtId="166" fontId="24" fillId="5" borderId="6" xfId="4" applyNumberFormat="1" applyFont="1" applyFill="1" applyAlignment="1">
      <alignment vertical="center"/>
    </xf>
    <xf numFmtId="0" fontId="6" fillId="5" borderId="6" xfId="4" applyNumberFormat="1" applyFont="1" applyFill="1" applyAlignment="1">
      <alignment horizontal="left" vertical="center"/>
    </xf>
    <xf numFmtId="0" fontId="17" fillId="5" borderId="6" xfId="4" applyNumberFormat="1" applyFont="1" applyFill="1" applyAlignment="1">
      <alignment horizontal="left" vertical="center"/>
    </xf>
    <xf numFmtId="166" fontId="17" fillId="5" borderId="6" xfId="4" applyNumberFormat="1" applyFont="1" applyFill="1" applyAlignment="1">
      <alignment horizontal="left" vertical="center"/>
    </xf>
    <xf numFmtId="0" fontId="16" fillId="5" borderId="6" xfId="4" applyNumberFormat="1" applyFont="1" applyFill="1" applyAlignment="1">
      <alignment horizontal="left" vertical="center"/>
    </xf>
    <xf numFmtId="166" fontId="16" fillId="5" borderId="6" xfId="4" applyNumberFormat="1" applyFont="1" applyFill="1" applyAlignment="1">
      <alignment horizontal="left" vertical="center"/>
    </xf>
    <xf numFmtId="0" fontId="10" fillId="0" borderId="6" xfId="0" applyNumberFormat="1" applyFont="1" applyFill="1" applyBorder="1" applyAlignment="1" applyProtection="1"/>
    <xf numFmtId="0" fontId="10" fillId="0" borderId="6" xfId="0" applyNumberFormat="1" applyFont="1" applyFill="1" applyBorder="1" applyAlignment="1" applyProtection="1">
      <alignment horizontal="right"/>
    </xf>
    <xf numFmtId="0" fontId="10" fillId="0" borderId="0" xfId="0" applyNumberFormat="1" applyFont="1" applyAlignment="1"/>
    <xf numFmtId="166" fontId="10" fillId="0" borderId="6" xfId="0" applyNumberFormat="1" applyFont="1" applyFill="1" applyBorder="1" applyAlignment="1" applyProtection="1"/>
    <xf numFmtId="0" fontId="24" fillId="0" borderId="0" xfId="0" applyNumberFormat="1" applyFont="1" applyAlignment="1"/>
    <xf numFmtId="166" fontId="24" fillId="0" borderId="6" xfId="0" applyNumberFormat="1" applyFont="1" applyFill="1" applyBorder="1" applyAlignment="1" applyProtection="1"/>
    <xf numFmtId="0" fontId="19" fillId="0" borderId="0" xfId="0" applyNumberFormat="1" applyFont="1" applyAlignment="1"/>
    <xf numFmtId="166" fontId="19" fillId="0" borderId="6" xfId="0" applyNumberFormat="1" applyFont="1" applyFill="1" applyBorder="1" applyAlignment="1" applyProtection="1"/>
    <xf numFmtId="168" fontId="18" fillId="0" borderId="6" xfId="3" applyNumberFormat="1" applyFont="1" applyBorder="1" applyAlignment="1">
      <alignment horizontal="right"/>
    </xf>
    <xf numFmtId="170" fontId="10" fillId="0" borderId="6" xfId="0" applyNumberFormat="1" applyFont="1" applyFill="1" applyBorder="1" applyAlignment="1" applyProtection="1"/>
    <xf numFmtId="0" fontId="14" fillId="0" borderId="6" xfId="4" applyFont="1"/>
    <xf numFmtId="168" fontId="19" fillId="0" borderId="6" xfId="3" applyNumberFormat="1" applyFont="1" applyBorder="1" applyAlignment="1">
      <alignment vertical="center"/>
    </xf>
    <xf numFmtId="170" fontId="18" fillId="0" borderId="6" xfId="1" applyNumberFormat="1" applyFont="1" applyBorder="1" applyAlignment="1"/>
    <xf numFmtId="0" fontId="31" fillId="0" borderId="6" xfId="4" applyFont="1"/>
    <xf numFmtId="0" fontId="13" fillId="0" borderId="6" xfId="0" applyNumberFormat="1" applyFont="1" applyFill="1" applyBorder="1" applyAlignment="1" applyProtection="1"/>
    <xf numFmtId="170" fontId="27" fillId="0" borderId="7" xfId="4" applyNumberFormat="1" applyFont="1" applyFill="1" applyBorder="1" applyAlignment="1"/>
    <xf numFmtId="170" fontId="27" fillId="0" borderId="8" xfId="4" applyNumberFormat="1" applyFont="1" applyFill="1" applyBorder="1" applyAlignment="1"/>
    <xf numFmtId="170" fontId="34" fillId="0" borderId="10" xfId="0" applyNumberFormat="1" applyFont="1" applyFill="1" applyBorder="1" applyAlignment="1" applyProtection="1"/>
    <xf numFmtId="170" fontId="31" fillId="0" borderId="6" xfId="1" applyNumberFormat="1" applyFont="1" applyBorder="1"/>
    <xf numFmtId="170" fontId="31" fillId="0" borderId="6" xfId="4" applyNumberFormat="1" applyFont="1"/>
    <xf numFmtId="0" fontId="10" fillId="0" borderId="6" xfId="4" applyFont="1" applyFill="1"/>
    <xf numFmtId="0" fontId="10" fillId="0" borderId="11" xfId="4" applyFont="1" applyFill="1" applyBorder="1"/>
    <xf numFmtId="170" fontId="33" fillId="0" borderId="8" xfId="4" applyNumberFormat="1" applyFont="1" applyFill="1" applyBorder="1" applyAlignment="1"/>
    <xf numFmtId="170" fontId="33" fillId="0" borderId="7" xfId="4" applyNumberFormat="1" applyFont="1" applyFill="1" applyBorder="1" applyAlignment="1"/>
    <xf numFmtId="0" fontId="31" fillId="0" borderId="6" xfId="4" applyFont="1" applyFill="1"/>
    <xf numFmtId="3" fontId="31" fillId="0" borderId="6" xfId="4" applyNumberFormat="1" applyFont="1" applyFill="1"/>
    <xf numFmtId="3" fontId="31" fillId="0" borderId="6" xfId="4" applyNumberFormat="1" applyFont="1"/>
    <xf numFmtId="170" fontId="19" fillId="0" borderId="6" xfId="1" applyNumberFormat="1" applyFont="1" applyBorder="1" applyAlignment="1"/>
    <xf numFmtId="170" fontId="27" fillId="0" borderId="7" xfId="1" applyNumberFormat="1" applyFont="1" applyFill="1" applyBorder="1" applyAlignment="1"/>
    <xf numFmtId="170" fontId="10" fillId="0" borderId="6" xfId="4" applyNumberFormat="1" applyFont="1"/>
    <xf numFmtId="0" fontId="31" fillId="0" borderId="6" xfId="0" applyNumberFormat="1" applyFont="1" applyFill="1" applyBorder="1" applyAlignment="1" applyProtection="1"/>
    <xf numFmtId="0" fontId="31" fillId="0" borderId="0" xfId="0" applyNumberFormat="1" applyFont="1" applyAlignment="1"/>
    <xf numFmtId="170" fontId="34" fillId="0" borderId="9" xfId="0" applyNumberFormat="1" applyFont="1" applyFill="1" applyBorder="1" applyAlignment="1" applyProtection="1"/>
    <xf numFmtId="0" fontId="10" fillId="0" borderId="6" xfId="4" applyFont="1" applyAlignment="1">
      <alignment vertical="center"/>
    </xf>
    <xf numFmtId="0" fontId="18" fillId="0" borderId="6" xfId="4" applyFont="1" applyAlignment="1">
      <alignment horizontal="right"/>
    </xf>
    <xf numFmtId="168" fontId="10" fillId="0" borderId="6" xfId="3" applyNumberFormat="1" applyFont="1" applyBorder="1"/>
    <xf numFmtId="170" fontId="10" fillId="0" borderId="6" xfId="5" applyNumberFormat="1" applyFont="1" applyAlignment="1">
      <alignment vertical="center"/>
    </xf>
    <xf numFmtId="168" fontId="10" fillId="0" borderId="6" xfId="3" applyNumberFormat="1" applyFont="1" applyBorder="1" applyAlignment="1">
      <alignment vertical="center"/>
    </xf>
    <xf numFmtId="0" fontId="10" fillId="5" borderId="6" xfId="4" applyFont="1" applyFill="1" applyAlignment="1">
      <alignment vertical="center"/>
    </xf>
    <xf numFmtId="168" fontId="10" fillId="0" borderId="6" xfId="3" applyNumberFormat="1" applyFont="1" applyFill="1" applyBorder="1" applyAlignment="1">
      <alignment vertical="center"/>
    </xf>
    <xf numFmtId="166" fontId="10" fillId="0" borderId="6" xfId="4" applyNumberFormat="1" applyFont="1"/>
    <xf numFmtId="170" fontId="10" fillId="0" borderId="6" xfId="5" applyNumberFormat="1" applyFont="1" applyAlignment="1"/>
    <xf numFmtId="0" fontId="10" fillId="0" borderId="6" xfId="4" applyFont="1" applyFill="1" applyAlignment="1">
      <alignment vertical="center"/>
    </xf>
    <xf numFmtId="8" fontId="10" fillId="0" borderId="6" xfId="4" applyNumberFormat="1" applyFont="1" applyFill="1"/>
    <xf numFmtId="0" fontId="0" fillId="0" borderId="0" xfId="0" applyFont="1" applyAlignment="1"/>
    <xf numFmtId="0" fontId="0" fillId="0" borderId="0" xfId="0" applyFont="1" applyAlignment="1">
      <alignment vertical="center"/>
    </xf>
    <xf numFmtId="0" fontId="24" fillId="0" borderId="0" xfId="0" applyFont="1" applyAlignment="1"/>
    <xf numFmtId="0" fontId="10" fillId="0" borderId="0" xfId="0" applyFont="1" applyAlignment="1"/>
    <xf numFmtId="0" fontId="16" fillId="0" borderId="0" xfId="0" applyFont="1" applyFill="1" applyAlignment="1">
      <alignment horizontal="center" vertical="top"/>
    </xf>
    <xf numFmtId="0" fontId="0" fillId="0" borderId="0" xfId="0" applyFont="1" applyAlignment="1"/>
    <xf numFmtId="0" fontId="10" fillId="0" borderId="0" xfId="0" applyFont="1" applyAlignment="1"/>
    <xf numFmtId="170" fontId="10" fillId="0" borderId="6" xfId="1" applyNumberFormat="1" applyFont="1" applyBorder="1" applyAlignment="1"/>
    <xf numFmtId="0" fontId="19" fillId="0" borderId="6" xfId="4" applyFont="1" applyAlignment="1"/>
    <xf numFmtId="170" fontId="10" fillId="0" borderId="6" xfId="5" applyNumberFormat="1" applyFont="1" applyAlignment="1">
      <alignment horizontal="right"/>
    </xf>
    <xf numFmtId="170" fontId="10" fillId="0" borderId="6" xfId="1" applyNumberFormat="1" applyFont="1" applyBorder="1" applyAlignment="1">
      <alignment horizontal="right"/>
    </xf>
    <xf numFmtId="0" fontId="10" fillId="0" borderId="6" xfId="4" applyFont="1" applyAlignment="1"/>
    <xf numFmtId="168" fontId="10" fillId="0" borderId="6" xfId="3" applyNumberFormat="1" applyFont="1" applyBorder="1" applyAlignment="1"/>
    <xf numFmtId="170" fontId="19" fillId="0" borderId="0" xfId="1" applyNumberFormat="1" applyFont="1" applyAlignment="1"/>
    <xf numFmtId="0" fontId="10" fillId="0" borderId="0" xfId="1" applyNumberFormat="1" applyFont="1" applyAlignment="1"/>
    <xf numFmtId="0" fontId="0" fillId="0" borderId="0" xfId="0" pivotButton="1" applyFont="1" applyAlignment="1"/>
    <xf numFmtId="168" fontId="27" fillId="0" borderId="7" xfId="6" applyNumberFormat="1" applyFont="1" applyFill="1" applyBorder="1" applyAlignment="1"/>
    <xf numFmtId="0" fontId="27" fillId="0" borderId="6" xfId="4" applyNumberFormat="1" applyFont="1" applyFill="1" applyBorder="1" applyAlignment="1"/>
    <xf numFmtId="168" fontId="27" fillId="0" borderId="6" xfId="6" applyNumberFormat="1" applyFont="1" applyFill="1" applyBorder="1" applyAlignment="1"/>
    <xf numFmtId="16" fontId="10" fillId="0" borderId="6" xfId="4" applyNumberFormat="1" applyFont="1"/>
    <xf numFmtId="0" fontId="18" fillId="0" borderId="0" xfId="0" applyFont="1" applyAlignment="1">
      <alignment vertical="center"/>
    </xf>
    <xf numFmtId="14" fontId="19" fillId="0" borderId="0" xfId="0" applyNumberFormat="1" applyFont="1" applyAlignment="1"/>
    <xf numFmtId="170" fontId="10" fillId="0" borderId="0" xfId="1" applyNumberFormat="1" applyFont="1" applyFill="1" applyAlignment="1"/>
    <xf numFmtId="0" fontId="10" fillId="0" borderId="0" xfId="1" applyNumberFormat="1" applyFont="1" applyFill="1" applyAlignment="1"/>
    <xf numFmtId="0" fontId="10" fillId="0" borderId="0" xfId="0" applyFont="1" applyAlignment="1">
      <alignment vertical="center"/>
    </xf>
    <xf numFmtId="170" fontId="10" fillId="0" borderId="0" xfId="1" applyNumberFormat="1" applyFont="1" applyFill="1" applyAlignment="1">
      <alignment vertical="center"/>
    </xf>
    <xf numFmtId="0" fontId="10" fillId="0" borderId="0" xfId="0" applyFont="1" applyFill="1" applyAlignment="1"/>
    <xf numFmtId="0" fontId="17" fillId="0" borderId="6" xfId="4" applyNumberFormat="1" applyFont="1" applyFill="1" applyAlignment="1">
      <alignment horizontal="left"/>
    </xf>
    <xf numFmtId="0" fontId="0" fillId="0" borderId="0" xfId="0" applyFont="1" applyAlignment="1"/>
    <xf numFmtId="0" fontId="27" fillId="0" borderId="13" xfId="4" applyNumberFormat="1" applyFont="1" applyFill="1" applyBorder="1" applyAlignment="1"/>
    <xf numFmtId="0" fontId="27" fillId="0" borderId="10" xfId="0" applyNumberFormat="1" applyFont="1" applyFill="1" applyBorder="1" applyAlignment="1" applyProtection="1"/>
    <xf numFmtId="3" fontId="10" fillId="0" borderId="6" xfId="3" applyNumberFormat="1" applyFont="1" applyFill="1" applyBorder="1"/>
    <xf numFmtId="170" fontId="27" fillId="0" borderId="13" xfId="1" applyNumberFormat="1" applyFont="1" applyFill="1" applyBorder="1"/>
    <xf numFmtId="170" fontId="27" fillId="0" borderId="13" xfId="4" applyNumberFormat="1" applyFont="1" applyFill="1" applyBorder="1" applyAlignment="1"/>
    <xf numFmtId="0" fontId="0" fillId="0" borderId="6" xfId="4" applyFont="1" applyFill="1"/>
    <xf numFmtId="0" fontId="13" fillId="0" borderId="6" xfId="4" applyFont="1" applyFill="1"/>
    <xf numFmtId="0" fontId="10" fillId="0" borderId="0" xfId="0" applyNumberFormat="1" applyFont="1" applyFill="1" applyAlignment="1"/>
    <xf numFmtId="0" fontId="27" fillId="0" borderId="10" xfId="0" applyNumberFormat="1" applyFont="1" applyFill="1" applyBorder="1" applyAlignment="1"/>
    <xf numFmtId="0" fontId="13" fillId="0" borderId="0" xfId="0" applyFont="1" applyFill="1" applyAlignment="1"/>
    <xf numFmtId="49" fontId="36" fillId="0" borderId="6" xfId="4" applyNumberFormat="1" applyFont="1" applyFill="1" applyBorder="1" applyAlignment="1"/>
    <xf numFmtId="49" fontId="36" fillId="0" borderId="10" xfId="4" applyNumberFormat="1" applyFont="1" applyFill="1" applyBorder="1" applyAlignment="1">
      <alignment horizontal="right"/>
    </xf>
    <xf numFmtId="49" fontId="36" fillId="0" borderId="10" xfId="4" applyNumberFormat="1" applyFont="1" applyFill="1" applyBorder="1" applyAlignment="1"/>
    <xf numFmtId="168" fontId="36" fillId="0" borderId="10" xfId="6" applyNumberFormat="1" applyFont="1" applyFill="1" applyBorder="1" applyAlignment="1">
      <alignment horizontal="right"/>
    </xf>
    <xf numFmtId="0" fontId="36" fillId="0" borderId="10" xfId="4" applyNumberFormat="1" applyFont="1" applyFill="1" applyBorder="1" applyAlignment="1"/>
    <xf numFmtId="170" fontId="36" fillId="0" borderId="10" xfId="1" applyNumberFormat="1" applyFont="1" applyFill="1" applyBorder="1"/>
    <xf numFmtId="170" fontId="36" fillId="0" borderId="10" xfId="1" applyNumberFormat="1" applyFont="1" applyFill="1" applyBorder="1" applyAlignment="1"/>
    <xf numFmtId="16" fontId="10" fillId="0" borderId="6" xfId="4" applyNumberFormat="1" applyFont="1" applyFill="1"/>
    <xf numFmtId="170" fontId="10" fillId="0" borderId="6" xfId="4" applyNumberFormat="1" applyFont="1" applyFill="1"/>
    <xf numFmtId="0" fontId="31" fillId="0" borderId="11" xfId="4" applyFont="1" applyFill="1" applyBorder="1"/>
    <xf numFmtId="170" fontId="33" fillId="0" borderId="7" xfId="1" applyNumberFormat="1" applyFont="1" applyFill="1" applyBorder="1" applyAlignment="1"/>
    <xf numFmtId="170" fontId="31" fillId="0" borderId="6" xfId="4" applyNumberFormat="1" applyFont="1" applyFill="1"/>
    <xf numFmtId="0" fontId="14" fillId="0" borderId="6" xfId="4" applyFont="1" applyFill="1"/>
    <xf numFmtId="3" fontId="31" fillId="0" borderId="6" xfId="3" applyNumberFormat="1" applyFont="1" applyFill="1" applyBorder="1"/>
    <xf numFmtId="0" fontId="30" fillId="0" borderId="6" xfId="4" applyFont="1" applyFill="1"/>
    <xf numFmtId="170" fontId="33" fillId="0" borderId="15" xfId="1" applyNumberFormat="1" applyFont="1" applyFill="1" applyBorder="1"/>
    <xf numFmtId="170" fontId="33" fillId="0" borderId="15" xfId="4" applyNumberFormat="1" applyFont="1" applyFill="1" applyBorder="1" applyAlignment="1"/>
    <xf numFmtId="170" fontId="33" fillId="0" borderId="13" xfId="1" applyNumberFormat="1" applyFont="1" applyFill="1" applyBorder="1"/>
    <xf numFmtId="49" fontId="10" fillId="0" borderId="6" xfId="4" applyNumberFormat="1" applyFont="1" applyFill="1"/>
    <xf numFmtId="1" fontId="10" fillId="0" borderId="6" xfId="4" applyNumberFormat="1" applyFont="1" applyFill="1" applyAlignment="1">
      <alignment horizontal="right"/>
    </xf>
    <xf numFmtId="49" fontId="10" fillId="0" borderId="6" xfId="4" applyNumberFormat="1" applyFont="1" applyFill="1" applyAlignment="1">
      <alignment horizontal="right"/>
    </xf>
    <xf numFmtId="168" fontId="10" fillId="0" borderId="6" xfId="3" applyNumberFormat="1" applyFont="1" applyBorder="1" applyAlignment="1">
      <alignment horizontal="right"/>
    </xf>
    <xf numFmtId="166" fontId="10" fillId="0" borderId="6" xfId="4" applyNumberFormat="1" applyFont="1" applyFill="1"/>
    <xf numFmtId="166" fontId="10" fillId="5" borderId="6" xfId="4" applyNumberFormat="1" applyFont="1" applyFill="1" applyAlignment="1">
      <alignment vertical="center"/>
    </xf>
    <xf numFmtId="49" fontId="10" fillId="0" borderId="6" xfId="4" applyNumberFormat="1" applyFont="1"/>
    <xf numFmtId="0" fontId="19" fillId="0" borderId="6" xfId="4" applyFont="1" applyFill="1" applyAlignment="1">
      <alignment vertical="center"/>
    </xf>
    <xf numFmtId="0" fontId="18" fillId="0" borderId="6" xfId="4" applyFont="1" applyFill="1" applyAlignment="1">
      <alignment vertical="center"/>
    </xf>
    <xf numFmtId="0" fontId="24" fillId="0" borderId="6" xfId="4" applyFont="1" applyFill="1" applyAlignment="1">
      <alignment vertical="center"/>
    </xf>
    <xf numFmtId="166" fontId="24" fillId="0" borderId="6" xfId="4" applyNumberFormat="1" applyFont="1" applyFill="1" applyAlignment="1">
      <alignment vertical="center"/>
    </xf>
    <xf numFmtId="0" fontId="6" fillId="0" borderId="6" xfId="4" applyNumberFormat="1" applyFont="1" applyFill="1" applyAlignment="1">
      <alignment horizontal="left" vertical="center"/>
    </xf>
    <xf numFmtId="170" fontId="19" fillId="0" borderId="6" xfId="1" applyNumberFormat="1" applyFont="1" applyFill="1" applyBorder="1"/>
    <xf numFmtId="166" fontId="10" fillId="0" borderId="6" xfId="4" applyNumberFormat="1" applyFont="1" applyFill="1" applyAlignment="1">
      <alignment vertical="center"/>
    </xf>
    <xf numFmtId="0" fontId="19" fillId="29" borderId="6" xfId="4" applyFont="1" applyFill="1" applyAlignment="1">
      <alignment vertical="center"/>
    </xf>
    <xf numFmtId="170" fontId="19" fillId="29" borderId="6" xfId="5" applyNumberFormat="1" applyFont="1" applyFill="1" applyAlignment="1">
      <alignment horizontal="right" vertical="center"/>
    </xf>
    <xf numFmtId="170" fontId="19" fillId="29" borderId="6" xfId="1" applyNumberFormat="1" applyFont="1" applyFill="1" applyBorder="1" applyAlignment="1">
      <alignment horizontal="right" vertical="center"/>
    </xf>
    <xf numFmtId="0" fontId="19" fillId="29" borderId="6" xfId="4" applyNumberFormat="1" applyFont="1" applyFill="1" applyAlignment="1"/>
    <xf numFmtId="0" fontId="24" fillId="0" borderId="6" xfId="4" applyFont="1" applyFill="1"/>
    <xf numFmtId="170" fontId="24" fillId="0" borderId="6" xfId="4" applyNumberFormat="1" applyFont="1" applyFill="1"/>
    <xf numFmtId="166" fontId="24" fillId="0" borderId="6" xfId="4" applyNumberFormat="1" applyFont="1" applyFill="1"/>
    <xf numFmtId="49" fontId="24" fillId="0" borderId="6" xfId="4" applyNumberFormat="1" applyFont="1" applyFill="1"/>
    <xf numFmtId="170" fontId="19" fillId="0" borderId="6" xfId="5" applyNumberFormat="1" applyFont="1" applyFill="1" applyAlignment="1">
      <alignment horizontal="right" vertical="center"/>
    </xf>
    <xf numFmtId="170" fontId="19" fillId="0" borderId="6" xfId="1" applyNumberFormat="1" applyFont="1" applyFill="1" applyBorder="1" applyAlignment="1">
      <alignment horizontal="right" vertical="center"/>
    </xf>
    <xf numFmtId="168" fontId="19" fillId="0" borderId="6" xfId="3" applyNumberFormat="1" applyFont="1" applyFill="1" applyBorder="1" applyAlignment="1">
      <alignment vertical="center"/>
    </xf>
    <xf numFmtId="170" fontId="19" fillId="0" borderId="6" xfId="1" applyNumberFormat="1" applyFont="1" applyFill="1" applyBorder="1" applyAlignment="1">
      <alignment vertical="center"/>
    </xf>
    <xf numFmtId="0" fontId="19" fillId="0" borderId="6" xfId="4" applyNumberFormat="1" applyFont="1" applyFill="1" applyAlignment="1"/>
    <xf numFmtId="0" fontId="19" fillId="0" borderId="6" xfId="4" applyFont="1" applyFill="1" applyAlignment="1">
      <alignment horizontal="right" vertical="center"/>
    </xf>
    <xf numFmtId="170" fontId="18" fillId="0" borderId="6" xfId="5" applyNumberFormat="1" applyFont="1" applyFill="1" applyAlignment="1">
      <alignment vertical="center"/>
    </xf>
    <xf numFmtId="0" fontId="18" fillId="0" borderId="6" xfId="4" applyFont="1" applyAlignment="1"/>
    <xf numFmtId="0" fontId="13" fillId="0" borderId="6" xfId="4" applyFont="1" applyAlignment="1"/>
    <xf numFmtId="1" fontId="18" fillId="0" borderId="6" xfId="3" applyNumberFormat="1" applyFont="1" applyBorder="1" applyAlignment="1"/>
    <xf numFmtId="0" fontId="0" fillId="0" borderId="6" xfId="4" applyFont="1" applyAlignment="1"/>
    <xf numFmtId="1" fontId="18" fillId="0" borderId="6" xfId="3" applyNumberFormat="1" applyFont="1" applyFill="1" applyBorder="1" applyAlignment="1"/>
    <xf numFmtId="1" fontId="18" fillId="0" borderId="6" xfId="4" applyNumberFormat="1" applyFont="1" applyAlignment="1"/>
    <xf numFmtId="0" fontId="10" fillId="0" borderId="6" xfId="4" applyFont="1" applyAlignment="1">
      <alignment horizontal="left"/>
    </xf>
    <xf numFmtId="170" fontId="19" fillId="0" borderId="6" xfId="5" applyNumberFormat="1" applyFont="1" applyFill="1" applyAlignment="1">
      <alignment horizontal="left" vertical="center"/>
    </xf>
    <xf numFmtId="168" fontId="18" fillId="0" borderId="6" xfId="6" applyNumberFormat="1" applyFont="1" applyAlignment="1">
      <alignment horizontal="right"/>
    </xf>
    <xf numFmtId="170" fontId="0" fillId="0" borderId="0" xfId="0" applyNumberFormat="1" applyFont="1" applyFill="1" applyAlignment="1"/>
    <xf numFmtId="170" fontId="18" fillId="13" borderId="0" xfId="0" applyNumberFormat="1" applyFont="1" applyFill="1" applyAlignment="1">
      <alignment horizontal="right"/>
    </xf>
    <xf numFmtId="0" fontId="0" fillId="0" borderId="0" xfId="0" applyFont="1" applyAlignment="1"/>
    <xf numFmtId="0" fontId="10" fillId="0" borderId="0" xfId="0" applyFont="1" applyAlignment="1"/>
    <xf numFmtId="0" fontId="0" fillId="0" borderId="0" xfId="0" applyFont="1" applyAlignment="1"/>
    <xf numFmtId="0" fontId="0" fillId="0" borderId="0" xfId="0" applyFont="1" applyAlignment="1">
      <alignment vertical="center"/>
    </xf>
    <xf numFmtId="0" fontId="10" fillId="0" borderId="0" xfId="0" applyFont="1" applyAlignment="1"/>
    <xf numFmtId="170" fontId="38" fillId="0" borderId="6" xfId="4" applyNumberFormat="1" applyFont="1" applyAlignment="1">
      <alignment horizontal="left" vertical="center"/>
    </xf>
    <xf numFmtId="0" fontId="13" fillId="0" borderId="6" xfId="4"/>
    <xf numFmtId="170" fontId="39" fillId="0" borderId="6" xfId="4" applyNumberFormat="1" applyFont="1" applyAlignment="1">
      <alignment horizontal="left" vertical="center"/>
    </xf>
    <xf numFmtId="170" fontId="40" fillId="0" borderId="6" xfId="4" applyNumberFormat="1" applyFont="1" applyAlignment="1">
      <alignment horizontal="left" vertical="center"/>
    </xf>
    <xf numFmtId="170" fontId="42" fillId="15" borderId="6" xfId="4" applyNumberFormat="1" applyFont="1" applyFill="1" applyAlignment="1">
      <alignment horizontal="left" vertical="center" wrapText="1"/>
    </xf>
    <xf numFmtId="170" fontId="42" fillId="15" borderId="6" xfId="4" applyNumberFormat="1" applyFont="1" applyFill="1" applyAlignment="1">
      <alignment horizontal="left" vertical="center"/>
    </xf>
    <xf numFmtId="170" fontId="42" fillId="24" borderId="6" xfId="4" applyNumberFormat="1" applyFont="1" applyFill="1" applyAlignment="1">
      <alignment horizontal="left" vertical="center"/>
    </xf>
    <xf numFmtId="170" fontId="43" fillId="15" borderId="6" xfId="4" applyNumberFormat="1" applyFont="1" applyFill="1" applyAlignment="1">
      <alignment horizontal="left" vertical="center"/>
    </xf>
    <xf numFmtId="0" fontId="13" fillId="15" borderId="6" xfId="4" applyFill="1"/>
    <xf numFmtId="170" fontId="42" fillId="0" borderId="6" xfId="4" applyNumberFormat="1" applyFont="1" applyAlignment="1">
      <alignment horizontal="left" vertical="center" wrapText="1"/>
    </xf>
    <xf numFmtId="170" fontId="40" fillId="0" borderId="6" xfId="4" applyNumberFormat="1" applyFont="1" applyAlignment="1">
      <alignment horizontal="left" vertical="center" wrapText="1"/>
    </xf>
    <xf numFmtId="170" fontId="42" fillId="0" borderId="6" xfId="4" applyNumberFormat="1" applyFont="1" applyAlignment="1">
      <alignment horizontal="left" vertical="center"/>
    </xf>
    <xf numFmtId="170" fontId="43" fillId="0" borderId="6" xfId="4" applyNumberFormat="1" applyFont="1" applyAlignment="1">
      <alignment horizontal="left" vertical="center"/>
    </xf>
    <xf numFmtId="170" fontId="39" fillId="0" borderId="6" xfId="4" applyNumberFormat="1" applyFont="1" applyAlignment="1">
      <alignment horizontal="left" vertical="center" wrapText="1"/>
    </xf>
    <xf numFmtId="170" fontId="39" fillId="0" borderId="6" xfId="4" applyNumberFormat="1" applyFont="1" applyAlignment="1">
      <alignment horizontal="left" vertical="center" shrinkToFit="1"/>
    </xf>
    <xf numFmtId="170" fontId="39" fillId="0" borderId="6" xfId="5" applyNumberFormat="1" applyFont="1" applyFill="1" applyBorder="1" applyAlignment="1">
      <alignment horizontal="left" vertical="center"/>
    </xf>
    <xf numFmtId="170" fontId="39" fillId="24" borderId="6" xfId="5" applyNumberFormat="1" applyFont="1" applyFill="1" applyBorder="1" applyAlignment="1">
      <alignment horizontal="left" vertical="center"/>
    </xf>
    <xf numFmtId="0" fontId="2" fillId="0" borderId="6" xfId="4" applyFont="1"/>
    <xf numFmtId="170" fontId="39" fillId="24" borderId="6" xfId="4" applyNumberFormat="1" applyFont="1" applyFill="1" applyAlignment="1">
      <alignment horizontal="left" vertical="center"/>
    </xf>
    <xf numFmtId="170" fontId="44" fillId="5" borderId="6" xfId="4" applyNumberFormat="1" applyFont="1" applyFill="1" applyAlignment="1">
      <alignment horizontal="left" vertical="center" shrinkToFit="1"/>
    </xf>
    <xf numFmtId="170" fontId="42" fillId="5" borderId="6" xfId="5" applyNumberFormat="1" applyFont="1" applyFill="1" applyBorder="1" applyAlignment="1">
      <alignment horizontal="left" vertical="center"/>
    </xf>
    <xf numFmtId="170" fontId="42" fillId="24" borderId="6" xfId="5" applyNumberFormat="1" applyFont="1" applyFill="1" applyBorder="1" applyAlignment="1">
      <alignment horizontal="left" vertical="center"/>
    </xf>
    <xf numFmtId="170" fontId="45" fillId="5" borderId="6" xfId="5" applyNumberFormat="1" applyFont="1" applyFill="1" applyBorder="1" applyAlignment="1">
      <alignment horizontal="left" vertical="center"/>
    </xf>
    <xf numFmtId="170" fontId="43" fillId="5" borderId="6" xfId="5" applyNumberFormat="1" applyFont="1" applyFill="1" applyBorder="1" applyAlignment="1">
      <alignment horizontal="left" vertical="center"/>
    </xf>
    <xf numFmtId="170" fontId="46" fillId="0" borderId="6" xfId="4" applyNumberFormat="1" applyFont="1" applyAlignment="1">
      <alignment horizontal="left" vertical="center"/>
    </xf>
    <xf numFmtId="0" fontId="14" fillId="5" borderId="6" xfId="4" applyFont="1" applyFill="1"/>
    <xf numFmtId="170" fontId="40" fillId="0" borderId="6" xfId="4" applyNumberFormat="1" applyFont="1" applyAlignment="1">
      <alignment horizontal="left" vertical="center" shrinkToFit="1"/>
    </xf>
    <xf numFmtId="170" fontId="40" fillId="0" borderId="6" xfId="5" applyNumberFormat="1" applyFont="1" applyFill="1" applyBorder="1" applyAlignment="1">
      <alignment horizontal="left" vertical="center"/>
    </xf>
    <xf numFmtId="170" fontId="44" fillId="30" borderId="6" xfId="4" applyNumberFormat="1" applyFont="1" applyFill="1" applyAlignment="1">
      <alignment horizontal="left" vertical="center" shrinkToFit="1"/>
    </xf>
    <xf numFmtId="170" fontId="42" fillId="30" borderId="6" xfId="5" applyNumberFormat="1" applyFont="1" applyFill="1" applyBorder="1" applyAlignment="1">
      <alignment horizontal="left" vertical="center"/>
    </xf>
    <xf numFmtId="170" fontId="39" fillId="30" borderId="6" xfId="4" applyNumberFormat="1" applyFont="1" applyFill="1" applyAlignment="1">
      <alignment horizontal="left" vertical="center"/>
    </xf>
    <xf numFmtId="170" fontId="43" fillId="30" borderId="6" xfId="5" applyNumberFormat="1" applyFont="1" applyFill="1" applyBorder="1" applyAlignment="1">
      <alignment horizontal="left" vertical="center"/>
    </xf>
    <xf numFmtId="0" fontId="14" fillId="30" borderId="6" xfId="4" applyFont="1" applyFill="1"/>
    <xf numFmtId="170" fontId="44" fillId="31" borderId="6" xfId="4" applyNumberFormat="1" applyFont="1" applyFill="1" applyAlignment="1">
      <alignment horizontal="left" vertical="center" shrinkToFit="1"/>
    </xf>
    <xf numFmtId="170" fontId="42" fillId="31" borderId="6" xfId="5" applyNumberFormat="1" applyFont="1" applyFill="1" applyBorder="1" applyAlignment="1">
      <alignment horizontal="left" vertical="center"/>
    </xf>
    <xf numFmtId="170" fontId="47" fillId="31" borderId="6" xfId="5" applyNumberFormat="1" applyFont="1" applyFill="1" applyBorder="1" applyAlignment="1">
      <alignment horizontal="left" vertical="center"/>
    </xf>
    <xf numFmtId="0" fontId="13" fillId="31" borderId="6" xfId="4" applyFill="1"/>
    <xf numFmtId="170" fontId="44" fillId="5" borderId="6" xfId="4" applyNumberFormat="1" applyFont="1" applyFill="1" applyAlignment="1">
      <alignment horizontal="left" vertical="center"/>
    </xf>
    <xf numFmtId="170" fontId="42" fillId="5" borderId="6" xfId="4" applyNumberFormat="1" applyFont="1" applyFill="1" applyAlignment="1">
      <alignment horizontal="left" vertical="center"/>
    </xf>
    <xf numFmtId="170" fontId="43" fillId="5" borderId="6" xfId="4" applyNumberFormat="1" applyFont="1" applyFill="1" applyAlignment="1">
      <alignment horizontal="left" vertical="center"/>
    </xf>
    <xf numFmtId="0" fontId="13" fillId="5" borderId="6" xfId="4" applyFill="1"/>
    <xf numFmtId="170" fontId="42" fillId="30" borderId="6" xfId="4" applyNumberFormat="1" applyFont="1" applyFill="1" applyAlignment="1">
      <alignment horizontal="left" vertical="center"/>
    </xf>
    <xf numFmtId="170" fontId="44" fillId="30" borderId="6" xfId="4" applyNumberFormat="1" applyFont="1" applyFill="1" applyAlignment="1">
      <alignment horizontal="left" vertical="center"/>
    </xf>
    <xf numFmtId="170" fontId="43" fillId="30" borderId="6" xfId="4" applyNumberFormat="1" applyFont="1" applyFill="1" applyAlignment="1">
      <alignment horizontal="left" vertical="center"/>
    </xf>
    <xf numFmtId="0" fontId="13" fillId="30" borderId="6" xfId="4" applyFill="1"/>
    <xf numFmtId="170" fontId="42" fillId="31" borderId="6" xfId="4" applyNumberFormat="1" applyFont="1" applyFill="1" applyAlignment="1">
      <alignment horizontal="left" vertical="center"/>
    </xf>
    <xf numFmtId="170" fontId="43" fillId="31" borderId="6" xfId="4" applyNumberFormat="1" applyFont="1" applyFill="1" applyAlignment="1">
      <alignment horizontal="left" vertical="center"/>
    </xf>
    <xf numFmtId="170" fontId="48" fillId="31" borderId="6" xfId="4" applyNumberFormat="1" applyFont="1" applyFill="1" applyAlignment="1">
      <alignment horizontal="left" vertical="center"/>
    </xf>
    <xf numFmtId="170" fontId="44" fillId="0" borderId="6" xfId="4" applyNumberFormat="1" applyFont="1" applyAlignment="1">
      <alignment horizontal="left" vertical="center" shrinkToFit="1"/>
    </xf>
    <xf numFmtId="170" fontId="49" fillId="0" borderId="6" xfId="4" applyNumberFormat="1" applyFont="1" applyAlignment="1">
      <alignment horizontal="left" vertical="center"/>
    </xf>
    <xf numFmtId="170" fontId="42" fillId="32" borderId="6" xfId="4" applyNumberFormat="1" applyFont="1" applyFill="1" applyAlignment="1">
      <alignment horizontal="left" vertical="center" wrapText="1"/>
    </xf>
    <xf numFmtId="170" fontId="44" fillId="32" borderId="6" xfId="4" applyNumberFormat="1" applyFont="1" applyFill="1" applyAlignment="1">
      <alignment horizontal="left" vertical="center" shrinkToFit="1"/>
    </xf>
    <xf numFmtId="170" fontId="42" fillId="24" borderId="6" xfId="4" applyNumberFormat="1" applyFont="1" applyFill="1" applyAlignment="1">
      <alignment horizontal="left" vertical="center" wrapText="1"/>
    </xf>
    <xf numFmtId="170" fontId="47" fillId="32" borderId="6" xfId="4" applyNumberFormat="1" applyFont="1" applyFill="1" applyAlignment="1">
      <alignment horizontal="left" vertical="center" wrapText="1"/>
    </xf>
    <xf numFmtId="170" fontId="50" fillId="32" borderId="6" xfId="4" applyNumberFormat="1" applyFont="1" applyFill="1" applyAlignment="1">
      <alignment horizontal="left" vertical="center"/>
    </xf>
    <xf numFmtId="0" fontId="14" fillId="32" borderId="6" xfId="4" applyFont="1" applyFill="1"/>
    <xf numFmtId="170" fontId="51" fillId="5" borderId="6" xfId="4" applyNumberFormat="1" applyFont="1" applyFill="1" applyAlignment="1">
      <alignment horizontal="left" vertical="center"/>
    </xf>
    <xf numFmtId="170" fontId="52" fillId="5" borderId="6" xfId="4" applyNumberFormat="1" applyFont="1" applyFill="1" applyAlignment="1">
      <alignment horizontal="left" vertical="center"/>
    </xf>
    <xf numFmtId="170" fontId="51" fillId="0" borderId="6" xfId="4" applyNumberFormat="1" applyFont="1" applyAlignment="1">
      <alignment horizontal="left" vertical="center"/>
    </xf>
    <xf numFmtId="170" fontId="52" fillId="0" borderId="6" xfId="4" applyNumberFormat="1" applyFont="1" applyAlignment="1">
      <alignment horizontal="left" vertical="center"/>
    </xf>
    <xf numFmtId="170" fontId="44" fillId="5" borderId="6" xfId="4" applyNumberFormat="1" applyFont="1" applyFill="1" applyAlignment="1">
      <alignment horizontal="left" vertical="center" wrapText="1"/>
    </xf>
    <xf numFmtId="170" fontId="44" fillId="0" borderId="6" xfId="4" applyNumberFormat="1" applyFont="1" applyAlignment="1">
      <alignment horizontal="left" vertical="center" wrapText="1"/>
    </xf>
    <xf numFmtId="170" fontId="44" fillId="0" borderId="6" xfId="4" applyNumberFormat="1" applyFont="1" applyAlignment="1">
      <alignment horizontal="left" vertical="center"/>
    </xf>
    <xf numFmtId="170" fontId="42" fillId="5" borderId="6" xfId="4" applyNumberFormat="1" applyFont="1" applyFill="1" applyAlignment="1">
      <alignment horizontal="left" vertical="center" shrinkToFit="1"/>
    </xf>
    <xf numFmtId="170" fontId="53" fillId="0" borderId="6" xfId="4" applyNumberFormat="1" applyFont="1" applyAlignment="1">
      <alignment horizontal="left" vertical="center"/>
    </xf>
    <xf numFmtId="0" fontId="1" fillId="0" borderId="6" xfId="4" applyFont="1"/>
    <xf numFmtId="0" fontId="1" fillId="5" borderId="6" xfId="4" applyFont="1" applyFill="1"/>
    <xf numFmtId="170" fontId="54" fillId="0" borderId="6" xfId="4" applyNumberFormat="1" applyFont="1" applyAlignment="1">
      <alignment horizontal="left" vertical="center" shrinkToFit="1"/>
    </xf>
    <xf numFmtId="170" fontId="55" fillId="5" borderId="6" xfId="4" applyNumberFormat="1" applyFont="1" applyFill="1" applyAlignment="1">
      <alignment horizontal="left" vertical="center"/>
    </xf>
    <xf numFmtId="170" fontId="42" fillId="13" borderId="6" xfId="4" applyNumberFormat="1" applyFont="1" applyFill="1" applyAlignment="1">
      <alignment horizontal="left" vertical="center" wrapText="1"/>
    </xf>
    <xf numFmtId="170" fontId="44" fillId="13" borderId="6" xfId="4" applyNumberFormat="1" applyFont="1" applyFill="1" applyAlignment="1">
      <alignment horizontal="left" vertical="center" wrapText="1"/>
    </xf>
    <xf numFmtId="170" fontId="44" fillId="13" borderId="6" xfId="4" applyNumberFormat="1" applyFont="1" applyFill="1" applyAlignment="1">
      <alignment horizontal="left" vertical="center" shrinkToFit="1"/>
    </xf>
    <xf numFmtId="170" fontId="51" fillId="13" borderId="6" xfId="4" applyNumberFormat="1" applyFont="1" applyFill="1" applyAlignment="1">
      <alignment horizontal="left" vertical="center" wrapText="1"/>
    </xf>
    <xf numFmtId="0" fontId="14" fillId="13" borderId="6" xfId="4" applyFont="1" applyFill="1"/>
    <xf numFmtId="170" fontId="39" fillId="24" borderId="6" xfId="4" applyNumberFormat="1" applyFont="1" applyFill="1" applyAlignment="1">
      <alignment horizontal="left" vertical="center" wrapText="1"/>
    </xf>
    <xf numFmtId="170" fontId="56" fillId="0" borderId="6" xfId="4" applyNumberFormat="1" applyFont="1" applyAlignment="1">
      <alignment horizontal="left" vertical="center" wrapText="1"/>
    </xf>
    <xf numFmtId="170" fontId="42" fillId="13" borderId="6" xfId="4" applyNumberFormat="1" applyFont="1" applyFill="1" applyAlignment="1">
      <alignment horizontal="left" vertical="center"/>
    </xf>
    <xf numFmtId="170" fontId="42" fillId="33" borderId="6" xfId="4" applyNumberFormat="1" applyFont="1" applyFill="1" applyAlignment="1">
      <alignment horizontal="left" vertical="center"/>
    </xf>
    <xf numFmtId="170" fontId="44" fillId="33" borderId="6" xfId="4" applyNumberFormat="1" applyFont="1" applyFill="1" applyAlignment="1">
      <alignment horizontal="left" vertical="center" shrinkToFit="1"/>
    </xf>
    <xf numFmtId="170" fontId="42" fillId="33" borderId="6" xfId="4" applyNumberFormat="1" applyFont="1" applyFill="1" applyAlignment="1">
      <alignment horizontal="left" vertical="center" wrapText="1"/>
    </xf>
    <xf numFmtId="0" fontId="14" fillId="33" borderId="6" xfId="4" applyFont="1" applyFill="1"/>
    <xf numFmtId="170" fontId="57" fillId="0" borderId="6" xfId="4" applyNumberFormat="1" applyFont="1" applyAlignment="1">
      <alignment horizontal="left" vertical="center"/>
    </xf>
    <xf numFmtId="170" fontId="59" fillId="0" borderId="6" xfId="4" applyNumberFormat="1" applyFont="1" applyAlignment="1">
      <alignment horizontal="left" vertical="center" wrapText="1"/>
    </xf>
    <xf numFmtId="170" fontId="60" fillId="0" borderId="6" xfId="4" applyNumberFormat="1" applyFont="1" applyAlignment="1">
      <alignment horizontal="left" vertical="center" shrinkToFit="1"/>
    </xf>
    <xf numFmtId="170" fontId="61" fillId="0" borderId="6" xfId="4" applyNumberFormat="1" applyFont="1" applyAlignment="1">
      <alignment horizontal="left" vertical="center" shrinkToFit="1"/>
    </xf>
    <xf numFmtId="170" fontId="59" fillId="0" borderId="6" xfId="4" applyNumberFormat="1" applyFont="1" applyAlignment="1">
      <alignment horizontal="left" vertical="center" shrinkToFit="1"/>
    </xf>
    <xf numFmtId="170" fontId="59" fillId="0" borderId="6" xfId="4" applyNumberFormat="1" applyFont="1" applyAlignment="1">
      <alignment horizontal="left" vertical="center"/>
    </xf>
    <xf numFmtId="170" fontId="59" fillId="24" borderId="6" xfId="4" applyNumberFormat="1" applyFont="1" applyFill="1" applyAlignment="1">
      <alignment horizontal="left" vertical="center"/>
    </xf>
    <xf numFmtId="170" fontId="62" fillId="0" borderId="6" xfId="4" applyNumberFormat="1" applyFont="1" applyAlignment="1">
      <alignment horizontal="left" vertical="center"/>
    </xf>
    <xf numFmtId="0" fontId="30" fillId="0" borderId="6" xfId="4" applyFont="1"/>
    <xf numFmtId="170" fontId="63" fillId="0" borderId="6" xfId="4" applyNumberFormat="1" applyFont="1" applyAlignment="1">
      <alignment horizontal="left" vertical="center" shrinkToFit="1"/>
    </xf>
    <xf numFmtId="170" fontId="64" fillId="0" borderId="6" xfId="4" applyNumberFormat="1" applyFont="1" applyAlignment="1">
      <alignment horizontal="left" vertical="center" shrinkToFit="1"/>
    </xf>
    <xf numFmtId="170" fontId="65" fillId="0" borderId="6" xfId="4" applyNumberFormat="1" applyFont="1" applyAlignment="1">
      <alignment horizontal="left" vertical="center" shrinkToFit="1"/>
    </xf>
    <xf numFmtId="170" fontId="66" fillId="0" borderId="6" xfId="4" applyNumberFormat="1" applyFont="1" applyAlignment="1">
      <alignment horizontal="left" vertical="center" shrinkToFit="1"/>
    </xf>
    <xf numFmtId="170" fontId="66" fillId="0" borderId="6" xfId="4" applyNumberFormat="1" applyFont="1" applyAlignment="1">
      <alignment horizontal="left" vertical="center"/>
    </xf>
    <xf numFmtId="170" fontId="66" fillId="24" borderId="6" xfId="4" applyNumberFormat="1" applyFont="1" applyFill="1" applyAlignment="1">
      <alignment horizontal="left" vertical="center"/>
    </xf>
    <xf numFmtId="170" fontId="67" fillId="0" borderId="6" xfId="4" applyNumberFormat="1" applyFont="1" applyAlignment="1">
      <alignment horizontal="left" vertical="center"/>
    </xf>
    <xf numFmtId="0" fontId="25" fillId="0" borderId="6" xfId="4" applyFont="1"/>
    <xf numFmtId="170" fontId="39" fillId="0" borderId="6" xfId="5" applyNumberFormat="1" applyFont="1" applyFill="1" applyAlignment="1">
      <alignment vertical="center"/>
    </xf>
    <xf numFmtId="170" fontId="42" fillId="0" borderId="6" xfId="4" applyNumberFormat="1" applyFont="1" applyAlignment="1">
      <alignment horizontal="left" vertical="center" shrinkToFit="1"/>
    </xf>
    <xf numFmtId="170" fontId="59" fillId="0" borderId="6" xfId="5" applyNumberFormat="1" applyFont="1" applyFill="1" applyAlignment="1">
      <alignment vertical="center"/>
    </xf>
    <xf numFmtId="0" fontId="4" fillId="0" borderId="6" xfId="4" applyFont="1"/>
    <xf numFmtId="0" fontId="13" fillId="4" borderId="6" xfId="4" applyFill="1"/>
    <xf numFmtId="170" fontId="66" fillId="0" borderId="6" xfId="4" applyNumberFormat="1" applyFont="1" applyAlignment="1">
      <alignment horizontal="left" vertical="center" wrapText="1"/>
    </xf>
    <xf numFmtId="170" fontId="71" fillId="0" borderId="6" xfId="4" applyNumberFormat="1" applyFont="1" applyAlignment="1">
      <alignment horizontal="left" vertical="center" wrapText="1"/>
    </xf>
    <xf numFmtId="170" fontId="43" fillId="0" borderId="6" xfId="4" applyNumberFormat="1" applyFont="1" applyAlignment="1">
      <alignment horizontal="left" vertical="center" wrapText="1"/>
    </xf>
    <xf numFmtId="170" fontId="72" fillId="0" borderId="6" xfId="4" applyNumberFormat="1" applyFont="1" applyAlignment="1">
      <alignment horizontal="left" vertical="center"/>
    </xf>
    <xf numFmtId="170" fontId="73" fillId="0" borderId="6" xfId="4" applyNumberFormat="1" applyFont="1" applyAlignment="1">
      <alignment horizontal="left" vertical="center"/>
    </xf>
    <xf numFmtId="170" fontId="74" fillId="0" borderId="6" xfId="4" applyNumberFormat="1" applyFont="1" applyAlignment="1">
      <alignment horizontal="left" vertical="center"/>
    </xf>
    <xf numFmtId="170" fontId="75" fillId="0" borderId="6" xfId="4" applyNumberFormat="1" applyFont="1" applyAlignment="1">
      <alignment horizontal="left" vertical="center"/>
    </xf>
    <xf numFmtId="170" fontId="76" fillId="0" borderId="6" xfId="4" applyNumberFormat="1" applyFont="1" applyAlignment="1">
      <alignment horizontal="left" vertical="center"/>
    </xf>
    <xf numFmtId="170" fontId="77" fillId="0" borderId="6" xfId="4" applyNumberFormat="1" applyFont="1" applyAlignment="1">
      <alignment horizontal="left" vertical="center"/>
    </xf>
    <xf numFmtId="0" fontId="2" fillId="24" borderId="6" xfId="4" applyFont="1" applyFill="1"/>
    <xf numFmtId="170" fontId="78" fillId="0" borderId="6" xfId="4" applyNumberFormat="1" applyFont="1" applyAlignment="1">
      <alignment horizontal="left" vertical="center" wrapText="1"/>
    </xf>
    <xf numFmtId="170" fontId="79" fillId="0" borderId="6" xfId="4" applyNumberFormat="1" applyFont="1" applyAlignment="1">
      <alignment horizontal="left" vertical="center"/>
    </xf>
    <xf numFmtId="170" fontId="80" fillId="0" borderId="6" xfId="4" applyNumberFormat="1" applyFont="1" applyAlignment="1">
      <alignment horizontal="left" vertical="center"/>
    </xf>
    <xf numFmtId="170" fontId="81" fillId="0" borderId="6" xfId="4" applyNumberFormat="1" applyFont="1" applyAlignment="1">
      <alignment horizontal="left" vertical="center"/>
    </xf>
    <xf numFmtId="170" fontId="82" fillId="0" borderId="6" xfId="4" applyNumberFormat="1" applyFont="1" applyAlignment="1">
      <alignment horizontal="left" vertical="center"/>
    </xf>
    <xf numFmtId="170" fontId="67" fillId="0" borderId="6" xfId="4" applyNumberFormat="1" applyFont="1" applyAlignment="1">
      <alignment horizontal="left" vertical="center" wrapText="1"/>
    </xf>
    <xf numFmtId="0" fontId="30" fillId="30" borderId="6" xfId="4" applyFont="1" applyFill="1"/>
    <xf numFmtId="0" fontId="39" fillId="0" borderId="6" xfId="4" applyFont="1" applyAlignment="1">
      <alignment horizontal="left" vertical="center"/>
    </xf>
    <xf numFmtId="0" fontId="24" fillId="0" borderId="6" xfId="4" applyFont="1" applyAlignment="1">
      <alignment horizontal="left" vertical="center"/>
    </xf>
    <xf numFmtId="170" fontId="39" fillId="4" borderId="6" xfId="4" applyNumberFormat="1" applyFont="1" applyFill="1" applyAlignment="1">
      <alignment horizontal="left" vertical="center"/>
    </xf>
    <xf numFmtId="170" fontId="42" fillId="34" borderId="6" xfId="4" applyNumberFormat="1" applyFont="1" applyFill="1" applyAlignment="1">
      <alignment horizontal="left" vertical="center"/>
    </xf>
    <xf numFmtId="170" fontId="39" fillId="34" borderId="6" xfId="4" applyNumberFormat="1" applyFont="1" applyFill="1" applyAlignment="1">
      <alignment horizontal="left" vertical="center"/>
    </xf>
    <xf numFmtId="170" fontId="16" fillId="5" borderId="0" xfId="1" applyNumberFormat="1" applyFont="1" applyFill="1" applyAlignment="1">
      <alignment horizontal="right"/>
    </xf>
    <xf numFmtId="170" fontId="16" fillId="13" borderId="0" xfId="1" applyNumberFormat="1" applyFont="1" applyFill="1" applyAlignment="1">
      <alignment horizontal="right"/>
    </xf>
    <xf numFmtId="0" fontId="14" fillId="13" borderId="0" xfId="0" applyFont="1" applyFill="1" applyAlignment="1"/>
    <xf numFmtId="0" fontId="0" fillId="5" borderId="0" xfId="0" applyFont="1" applyFill="1" applyAlignment="1"/>
    <xf numFmtId="0" fontId="14" fillId="0" borderId="0" xfId="0" applyFont="1" applyFill="1" applyAlignment="1"/>
    <xf numFmtId="170" fontId="19" fillId="0" borderId="0" xfId="1" applyNumberFormat="1" applyFont="1" applyFill="1" applyAlignment="1"/>
    <xf numFmtId="170" fontId="17" fillId="30" borderId="0" xfId="1" applyNumberFormat="1" applyFont="1" applyFill="1" applyAlignment="1">
      <alignment horizontal="right"/>
    </xf>
    <xf numFmtId="0" fontId="0" fillId="0" borderId="0" xfId="0" applyFont="1" applyAlignment="1"/>
    <xf numFmtId="0" fontId="10" fillId="0" borderId="0" xfId="0" applyFont="1" applyAlignment="1"/>
    <xf numFmtId="0" fontId="10" fillId="3" borderId="0" xfId="1" applyNumberFormat="1" applyFont="1" applyFill="1" applyAlignment="1">
      <alignment vertical="center"/>
    </xf>
    <xf numFmtId="0" fontId="10" fillId="0" borderId="0" xfId="0" applyNumberFormat="1" applyFont="1" applyAlignment="1">
      <alignment vertical="center"/>
    </xf>
    <xf numFmtId="170" fontId="10" fillId="0" borderId="0" xfId="1" applyNumberFormat="1" applyFont="1" applyAlignment="1">
      <alignment vertical="center"/>
    </xf>
    <xf numFmtId="42" fontId="36" fillId="0" borderId="10" xfId="1" applyNumberFormat="1" applyFont="1" applyFill="1" applyBorder="1"/>
    <xf numFmtId="42" fontId="18" fillId="0" borderId="6" xfId="1" applyNumberFormat="1" applyFont="1" applyBorder="1"/>
    <xf numFmtId="0" fontId="10" fillId="15" borderId="6" xfId="0" applyNumberFormat="1" applyFont="1" applyFill="1" applyBorder="1" applyAlignment="1" applyProtection="1"/>
    <xf numFmtId="0" fontId="27" fillId="15" borderId="10" xfId="0" applyNumberFormat="1" applyFont="1" applyFill="1" applyBorder="1" applyAlignment="1" applyProtection="1"/>
    <xf numFmtId="0" fontId="13" fillId="15" borderId="0" xfId="0" applyFont="1" applyFill="1" applyAlignment="1"/>
    <xf numFmtId="0" fontId="10" fillId="15" borderId="0" xfId="0" applyNumberFormat="1" applyFont="1" applyFill="1" applyAlignment="1"/>
    <xf numFmtId="0" fontId="13" fillId="15" borderId="6" xfId="0" applyNumberFormat="1" applyFont="1" applyFill="1" applyBorder="1" applyAlignment="1" applyProtection="1"/>
    <xf numFmtId="42" fontId="27" fillId="15" borderId="10" xfId="0" applyNumberFormat="1" applyFont="1" applyFill="1" applyBorder="1" applyAlignment="1"/>
    <xf numFmtId="0" fontId="27" fillId="15" borderId="10" xfId="0" applyNumberFormat="1" applyFont="1" applyFill="1" applyBorder="1" applyAlignment="1"/>
    <xf numFmtId="170" fontId="27" fillId="15" borderId="10" xfId="0" applyNumberFormat="1" applyFont="1" applyFill="1" applyBorder="1" applyAlignment="1" applyProtection="1"/>
    <xf numFmtId="0" fontId="18" fillId="0" borderId="14" xfId="4" applyFont="1" applyBorder="1" applyProtection="1"/>
    <xf numFmtId="0" fontId="18" fillId="0" borderId="12" xfId="4" applyFont="1" applyBorder="1" applyProtection="1"/>
    <xf numFmtId="42" fontId="18" fillId="0" borderId="12" xfId="1" applyNumberFormat="1" applyFont="1" applyBorder="1" applyProtection="1"/>
    <xf numFmtId="170" fontId="18" fillId="0" borderId="12" xfId="1" applyNumberFormat="1" applyFont="1" applyBorder="1" applyProtection="1"/>
    <xf numFmtId="170" fontId="18" fillId="0" borderId="12" xfId="4" applyNumberFormat="1" applyFont="1" applyBorder="1" applyProtection="1"/>
    <xf numFmtId="0" fontId="18" fillId="0" borderId="6" xfId="4" applyFont="1" applyBorder="1" applyProtection="1"/>
    <xf numFmtId="0" fontId="18" fillId="0" borderId="0" xfId="4" applyFont="1" applyBorder="1" applyProtection="1"/>
    <xf numFmtId="42" fontId="18" fillId="0" borderId="6" xfId="1" applyNumberFormat="1" applyFont="1" applyBorder="1" applyProtection="1"/>
    <xf numFmtId="170" fontId="18" fillId="0" borderId="6" xfId="1" applyNumberFormat="1" applyFont="1" applyBorder="1" applyProtection="1"/>
    <xf numFmtId="170" fontId="18" fillId="0" borderId="6" xfId="4" applyNumberFormat="1" applyFont="1" applyBorder="1" applyProtection="1"/>
    <xf numFmtId="170" fontId="18" fillId="0" borderId="0" xfId="1" applyNumberFormat="1" applyFont="1" applyBorder="1" applyProtection="1"/>
    <xf numFmtId="0" fontId="18" fillId="0" borderId="6" xfId="4" applyFont="1" applyProtection="1"/>
    <xf numFmtId="0" fontId="18" fillId="0" borderId="10" xfId="4" applyFont="1" applyBorder="1" applyProtection="1"/>
    <xf numFmtId="42" fontId="18" fillId="0" borderId="10" xfId="1" applyNumberFormat="1" applyFont="1" applyBorder="1" applyProtection="1"/>
    <xf numFmtId="170" fontId="18" fillId="0" borderId="10" xfId="1" applyNumberFormat="1" applyFont="1" applyBorder="1" applyProtection="1"/>
    <xf numFmtId="170" fontId="18" fillId="0" borderId="10" xfId="4" applyNumberFormat="1" applyFont="1" applyBorder="1" applyProtection="1"/>
    <xf numFmtId="0" fontId="18" fillId="0" borderId="15" xfId="4" applyFont="1" applyBorder="1" applyProtection="1"/>
    <xf numFmtId="0" fontId="18" fillId="0" borderId="13" xfId="4" applyFont="1" applyBorder="1" applyProtection="1"/>
    <xf numFmtId="42" fontId="18" fillId="0" borderId="13" xfId="1" applyNumberFormat="1" applyFont="1" applyBorder="1" applyProtection="1"/>
    <xf numFmtId="170" fontId="18" fillId="0" borderId="13" xfId="1" applyNumberFormat="1" applyFont="1" applyBorder="1" applyProtection="1"/>
    <xf numFmtId="170" fontId="18" fillId="0" borderId="13" xfId="4" applyNumberFormat="1" applyFont="1" applyBorder="1" applyProtection="1"/>
    <xf numFmtId="0" fontId="10" fillId="0" borderId="13" xfId="4" applyFont="1" applyBorder="1" applyProtection="1"/>
    <xf numFmtId="17" fontId="18" fillId="0" borderId="13" xfId="4" applyNumberFormat="1" applyFont="1" applyBorder="1" applyProtection="1"/>
    <xf numFmtId="49" fontId="18" fillId="0" borderId="13" xfId="4" applyNumberFormat="1" applyFont="1" applyBorder="1" applyProtection="1"/>
    <xf numFmtId="3" fontId="18" fillId="0" borderId="13" xfId="4" applyNumberFormat="1" applyFont="1" applyBorder="1" applyProtection="1"/>
    <xf numFmtId="3" fontId="18" fillId="0" borderId="0" xfId="4" applyNumberFormat="1" applyFont="1" applyBorder="1" applyProtection="1"/>
    <xf numFmtId="3" fontId="18" fillId="0" borderId="6" xfId="4" applyNumberFormat="1" applyFont="1" applyProtection="1"/>
    <xf numFmtId="170" fontId="18" fillId="0" borderId="6" xfId="4" applyNumberFormat="1" applyFont="1" applyProtection="1"/>
    <xf numFmtId="3" fontId="18" fillId="0" borderId="10" xfId="4" applyNumberFormat="1" applyFont="1" applyBorder="1" applyProtection="1"/>
    <xf numFmtId="0" fontId="27" fillId="0" borderId="15" xfId="4" applyNumberFormat="1" applyFont="1" applyFill="1" applyBorder="1" applyAlignment="1" applyProtection="1"/>
    <xf numFmtId="0" fontId="27" fillId="0" borderId="13" xfId="4" applyNumberFormat="1" applyFont="1" applyFill="1" applyBorder="1" applyAlignment="1" applyProtection="1"/>
    <xf numFmtId="3" fontId="27" fillId="0" borderId="13" xfId="4" applyNumberFormat="1" applyFont="1" applyFill="1" applyBorder="1" applyAlignment="1" applyProtection="1"/>
    <xf numFmtId="42" fontId="27" fillId="0" borderId="13" xfId="1" applyNumberFormat="1" applyFont="1" applyFill="1" applyBorder="1" applyProtection="1"/>
    <xf numFmtId="170" fontId="27" fillId="0" borderId="13" xfId="1" applyNumberFormat="1" applyFont="1" applyFill="1" applyBorder="1" applyProtection="1"/>
    <xf numFmtId="170" fontId="27" fillId="0" borderId="13" xfId="4" applyNumberFormat="1" applyFont="1" applyFill="1" applyBorder="1" applyAlignment="1" applyProtection="1"/>
    <xf numFmtId="0" fontId="27" fillId="0" borderId="14" xfId="4" applyNumberFormat="1" applyFont="1" applyFill="1" applyBorder="1" applyAlignment="1" applyProtection="1"/>
    <xf numFmtId="0" fontId="27" fillId="0" borderId="12" xfId="4" applyNumberFormat="1" applyFont="1" applyFill="1" applyBorder="1" applyAlignment="1" applyProtection="1"/>
    <xf numFmtId="3" fontId="27" fillId="0" borderId="12" xfId="4" applyNumberFormat="1" applyFont="1" applyFill="1" applyBorder="1" applyAlignment="1" applyProtection="1"/>
    <xf numFmtId="42" fontId="27" fillId="0" borderId="12" xfId="1" applyNumberFormat="1" applyFont="1" applyFill="1" applyBorder="1" applyProtection="1"/>
    <xf numFmtId="170" fontId="27" fillId="0" borderId="12" xfId="1" applyNumberFormat="1" applyFont="1" applyFill="1" applyBorder="1" applyProtection="1"/>
    <xf numFmtId="170" fontId="27" fillId="0" borderId="12" xfId="4" applyNumberFormat="1" applyFont="1" applyFill="1" applyBorder="1" applyAlignment="1" applyProtection="1"/>
    <xf numFmtId="0" fontId="27" fillId="0" borderId="6" xfId="4" applyNumberFormat="1" applyFont="1" applyFill="1" applyBorder="1" applyAlignment="1" applyProtection="1"/>
    <xf numFmtId="17" fontId="27" fillId="0" borderId="6" xfId="4" applyNumberFormat="1" applyFont="1" applyFill="1" applyBorder="1" applyAlignment="1" applyProtection="1"/>
    <xf numFmtId="42" fontId="27" fillId="0" borderId="6" xfId="1" applyNumberFormat="1" applyFont="1" applyFill="1" applyBorder="1" applyProtection="1"/>
    <xf numFmtId="170" fontId="27" fillId="0" borderId="6" xfId="1" applyNumberFormat="1" applyFont="1" applyFill="1" applyBorder="1" applyProtection="1"/>
    <xf numFmtId="170" fontId="27" fillId="0" borderId="6" xfId="4" applyNumberFormat="1" applyFont="1" applyFill="1" applyBorder="1" applyAlignment="1" applyProtection="1"/>
    <xf numFmtId="3" fontId="27" fillId="0" borderId="6" xfId="4" applyNumberFormat="1" applyFont="1" applyFill="1" applyBorder="1" applyAlignment="1" applyProtection="1"/>
    <xf numFmtId="16" fontId="18" fillId="0" borderId="13" xfId="4" applyNumberFormat="1" applyFont="1" applyBorder="1" applyProtection="1"/>
    <xf numFmtId="0" fontId="10" fillId="0" borderId="13" xfId="4" applyFont="1" applyFill="1" applyBorder="1" applyProtection="1"/>
    <xf numFmtId="0" fontId="27" fillId="0" borderId="10" xfId="4" applyNumberFormat="1" applyFont="1" applyFill="1" applyBorder="1" applyAlignment="1" applyProtection="1"/>
    <xf numFmtId="3" fontId="27" fillId="0" borderId="10" xfId="4" applyNumberFormat="1" applyFont="1" applyFill="1" applyBorder="1" applyAlignment="1" applyProtection="1"/>
    <xf numFmtId="42" fontId="27" fillId="0" borderId="10" xfId="1" applyNumberFormat="1" applyFont="1" applyFill="1" applyBorder="1" applyProtection="1"/>
    <xf numFmtId="170" fontId="27" fillId="0" borderId="10" xfId="1" applyNumberFormat="1" applyFont="1" applyFill="1" applyBorder="1" applyProtection="1"/>
    <xf numFmtId="170" fontId="27" fillId="0" borderId="10" xfId="4" applyNumberFormat="1" applyFont="1" applyFill="1" applyBorder="1" applyAlignment="1" applyProtection="1"/>
    <xf numFmtId="3" fontId="18" fillId="0" borderId="6" xfId="4" applyNumberFormat="1" applyFont="1" applyBorder="1" applyProtection="1"/>
    <xf numFmtId="16" fontId="10" fillId="0" borderId="6" xfId="4" applyNumberFormat="1" applyFont="1" applyFill="1" applyProtection="1"/>
    <xf numFmtId="0" fontId="10" fillId="0" borderId="6" xfId="4" applyFont="1" applyFill="1" applyProtection="1"/>
    <xf numFmtId="0" fontId="10" fillId="0" borderId="6" xfId="4" applyFont="1" applyFill="1" applyBorder="1" applyProtection="1"/>
    <xf numFmtId="3" fontId="10" fillId="0" borderId="6" xfId="3" applyNumberFormat="1" applyFont="1" applyFill="1" applyBorder="1" applyProtection="1"/>
    <xf numFmtId="0" fontId="0" fillId="0" borderId="6" xfId="4" applyFont="1" applyFill="1" applyProtection="1"/>
    <xf numFmtId="0" fontId="18" fillId="0" borderId="6" xfId="4" applyFont="1" applyFill="1" applyProtection="1"/>
    <xf numFmtId="0" fontId="10" fillId="0" borderId="6" xfId="4" applyFont="1" applyProtection="1"/>
    <xf numFmtId="170" fontId="27" fillId="0" borderId="6" xfId="1" applyNumberFormat="1" applyFont="1" applyFill="1" applyBorder="1" applyAlignment="1" applyProtection="1"/>
    <xf numFmtId="0" fontId="13" fillId="0" borderId="6" xfId="4" applyFont="1" applyFill="1" applyProtection="1"/>
    <xf numFmtId="0" fontId="35" fillId="0" borderId="6" xfId="4" applyNumberFormat="1" applyFont="1" applyFill="1" applyBorder="1" applyAlignment="1" applyProtection="1"/>
    <xf numFmtId="0" fontId="10" fillId="0" borderId="6" xfId="4" applyFont="1" applyBorder="1" applyProtection="1"/>
    <xf numFmtId="3" fontId="31" fillId="0" borderId="6" xfId="4" applyNumberFormat="1" applyFont="1" applyBorder="1" applyProtection="1"/>
    <xf numFmtId="0" fontId="0" fillId="0" borderId="6" xfId="4" applyFont="1" applyBorder="1" applyProtection="1"/>
    <xf numFmtId="0" fontId="31" fillId="0" borderId="6" xfId="4" applyFont="1" applyBorder="1" applyProtection="1"/>
    <xf numFmtId="42" fontId="31" fillId="0" borderId="6" xfId="1" applyNumberFormat="1" applyFont="1" applyBorder="1" applyProtection="1"/>
    <xf numFmtId="170" fontId="31" fillId="0" borderId="6" xfId="1" applyNumberFormat="1" applyFont="1" applyBorder="1" applyProtection="1"/>
    <xf numFmtId="0" fontId="0" fillId="0" borderId="6" xfId="4" applyFont="1" applyProtection="1"/>
    <xf numFmtId="0" fontId="31" fillId="0" borderId="6" xfId="4" applyFont="1" applyProtection="1"/>
    <xf numFmtId="170" fontId="31" fillId="0" borderId="6" xfId="4" applyNumberFormat="1" applyFont="1" applyBorder="1" applyProtection="1"/>
    <xf numFmtId="3" fontId="31" fillId="0" borderId="6" xfId="4" applyNumberFormat="1" applyFont="1" applyProtection="1"/>
    <xf numFmtId="170" fontId="31" fillId="0" borderId="6" xfId="4" applyNumberFormat="1" applyFont="1" applyProtection="1"/>
    <xf numFmtId="0" fontId="10" fillId="0" borderId="15" xfId="4" applyFont="1" applyBorder="1" applyProtection="1"/>
    <xf numFmtId="42" fontId="0" fillId="0" borderId="6" xfId="4" applyNumberFormat="1" applyFont="1" applyProtection="1"/>
    <xf numFmtId="3" fontId="31" fillId="0" borderId="6" xfId="4" applyNumberFormat="1" applyFont="1" applyFill="1" applyProtection="1"/>
    <xf numFmtId="0" fontId="31" fillId="0" borderId="6" xfId="4" applyFont="1" applyFill="1" applyProtection="1"/>
    <xf numFmtId="170" fontId="10" fillId="0" borderId="6" xfId="1" applyNumberFormat="1" applyFont="1" applyBorder="1" applyProtection="1"/>
    <xf numFmtId="170" fontId="33" fillId="0" borderId="6" xfId="4" applyNumberFormat="1" applyFont="1" applyFill="1" applyBorder="1" applyAlignment="1" applyProtection="1"/>
    <xf numFmtId="42" fontId="10" fillId="0" borderId="6" xfId="1" applyNumberFormat="1" applyFont="1" applyBorder="1" applyProtection="1"/>
    <xf numFmtId="0" fontId="31" fillId="0" borderId="6" xfId="4" applyFont="1" applyFill="1" applyBorder="1" applyProtection="1"/>
    <xf numFmtId="170" fontId="33" fillId="0" borderId="6" xfId="1" applyNumberFormat="1" applyFont="1" applyFill="1" applyBorder="1" applyAlignment="1" applyProtection="1"/>
    <xf numFmtId="170" fontId="31" fillId="0" borderId="6" xfId="4" applyNumberFormat="1" applyFont="1" applyFill="1" applyBorder="1" applyProtection="1"/>
    <xf numFmtId="3" fontId="31" fillId="0" borderId="6" xfId="3" applyNumberFormat="1" applyFont="1" applyFill="1" applyBorder="1" applyProtection="1"/>
    <xf numFmtId="0" fontId="30" fillId="0" borderId="6" xfId="4" applyFont="1" applyFill="1" applyProtection="1"/>
    <xf numFmtId="42" fontId="33" fillId="0" borderId="6" xfId="1" applyNumberFormat="1" applyFont="1" applyFill="1" applyBorder="1" applyProtection="1"/>
    <xf numFmtId="170" fontId="33" fillId="0" borderId="6" xfId="1" applyNumberFormat="1" applyFont="1" applyFill="1" applyBorder="1" applyProtection="1"/>
    <xf numFmtId="16" fontId="10" fillId="0" borderId="15" xfId="4" applyNumberFormat="1" applyFont="1" applyFill="1" applyBorder="1" applyProtection="1"/>
    <xf numFmtId="3" fontId="31" fillId="0" borderId="12" xfId="4" applyNumberFormat="1" applyFont="1" applyBorder="1" applyProtection="1"/>
    <xf numFmtId="3" fontId="31" fillId="0" borderId="13" xfId="4" applyNumberFormat="1" applyFont="1" applyBorder="1" applyProtection="1"/>
    <xf numFmtId="3" fontId="31" fillId="0" borderId="10" xfId="4" applyNumberFormat="1" applyFont="1" applyBorder="1" applyProtection="1"/>
    <xf numFmtId="0" fontId="0" fillId="0" borderId="12" xfId="4" applyFont="1" applyBorder="1" applyProtection="1"/>
    <xf numFmtId="0" fontId="0" fillId="0" borderId="13" xfId="4" applyFont="1" applyBorder="1" applyProtection="1"/>
    <xf numFmtId="0" fontId="18" fillId="0" borderId="10" xfId="4" applyFont="1" applyBorder="1" applyAlignment="1" applyProtection="1">
      <alignment horizontal="right"/>
    </xf>
    <xf numFmtId="0" fontId="0" fillId="0" borderId="10" xfId="4" applyFont="1" applyBorder="1" applyProtection="1"/>
    <xf numFmtId="0" fontId="31" fillId="0" borderId="12" xfId="4" applyFont="1" applyBorder="1" applyProtection="1"/>
    <xf numFmtId="0" fontId="31" fillId="0" borderId="13" xfId="4" applyFont="1" applyBorder="1" applyProtection="1"/>
    <xf numFmtId="0" fontId="31" fillId="0" borderId="10" xfId="4" applyFont="1" applyBorder="1" applyProtection="1"/>
    <xf numFmtId="42" fontId="31" fillId="0" borderId="12" xfId="1" applyNumberFormat="1" applyFont="1" applyBorder="1" applyProtection="1"/>
    <xf numFmtId="42" fontId="31" fillId="0" borderId="13" xfId="1" applyNumberFormat="1" applyFont="1" applyBorder="1" applyProtection="1"/>
    <xf numFmtId="42" fontId="0" fillId="0" borderId="13" xfId="4" applyNumberFormat="1" applyFont="1" applyBorder="1" applyProtection="1"/>
    <xf numFmtId="42" fontId="31" fillId="0" borderId="10" xfId="1" applyNumberFormat="1" applyFont="1" applyBorder="1" applyProtection="1"/>
    <xf numFmtId="170" fontId="31" fillId="0" borderId="12" xfId="1" applyNumberFormat="1" applyFont="1" applyBorder="1" applyProtection="1"/>
    <xf numFmtId="170" fontId="31" fillId="0" borderId="13" xfId="1" applyNumberFormat="1" applyFont="1" applyBorder="1" applyProtection="1"/>
    <xf numFmtId="170" fontId="31" fillId="0" borderId="10" xfId="1" applyNumberFormat="1" applyFont="1" applyBorder="1" applyProtection="1"/>
    <xf numFmtId="170" fontId="31" fillId="0" borderId="13" xfId="4" applyNumberFormat="1" applyFont="1" applyBorder="1" applyProtection="1"/>
    <xf numFmtId="0" fontId="0" fillId="24" borderId="6" xfId="4" applyFont="1" applyFill="1"/>
    <xf numFmtId="44" fontId="19" fillId="0" borderId="6" xfId="4" applyNumberFormat="1" applyFont="1" applyAlignment="1">
      <alignment horizontal="right"/>
    </xf>
    <xf numFmtId="0" fontId="16" fillId="0" borderId="0" xfId="0" applyFont="1" applyFill="1" applyAlignment="1">
      <alignment horizontal="right" vertical="top"/>
    </xf>
    <xf numFmtId="0" fontId="10" fillId="0" borderId="0" xfId="0" pivotButton="1" applyFont="1" applyAlignment="1"/>
    <xf numFmtId="0" fontId="19" fillId="0" borderId="0" xfId="0" applyFont="1" applyAlignment="1">
      <alignment horizontal="left"/>
    </xf>
    <xf numFmtId="168" fontId="10" fillId="0" borderId="0" xfId="0" applyNumberFormat="1" applyFont="1" applyAlignment="1"/>
    <xf numFmtId="168" fontId="19" fillId="0" borderId="0" xfId="0" applyNumberFormat="1" applyFont="1" applyAlignment="1"/>
    <xf numFmtId="0" fontId="10" fillId="0" borderId="0" xfId="0" applyFont="1" applyAlignment="1">
      <alignment horizontal="left"/>
    </xf>
    <xf numFmtId="0" fontId="10" fillId="0" borderId="0" xfId="0" pivotButton="1" applyFont="1" applyAlignment="1">
      <alignment horizontal="right"/>
    </xf>
    <xf numFmtId="0" fontId="16" fillId="0" borderId="0" xfId="0" applyFont="1" applyFill="1" applyAlignment="1">
      <alignment horizontal="left" vertical="top"/>
    </xf>
    <xf numFmtId="4" fontId="17" fillId="0" borderId="0" xfId="0" applyNumberFormat="1" applyFont="1" applyFill="1" applyAlignment="1">
      <alignment vertical="top"/>
    </xf>
    <xf numFmtId="4" fontId="18" fillId="0" borderId="0" xfId="0" applyNumberFormat="1" applyFont="1" applyFill="1" applyAlignment="1">
      <alignment vertical="top"/>
    </xf>
    <xf numFmtId="4" fontId="17" fillId="0" borderId="0" xfId="0" applyNumberFormat="1" applyFont="1" applyFill="1" applyAlignment="1">
      <alignment horizontal="right" vertical="top"/>
    </xf>
    <xf numFmtId="170" fontId="17" fillId="0" borderId="0" xfId="1" applyNumberFormat="1" applyFont="1" applyFill="1" applyAlignment="1">
      <alignment vertical="top"/>
    </xf>
    <xf numFmtId="0" fontId="16" fillId="4" borderId="0" xfId="0" applyFont="1" applyFill="1" applyAlignment="1">
      <alignment vertical="top"/>
    </xf>
    <xf numFmtId="0" fontId="17" fillId="4" borderId="0" xfId="0" applyFont="1" applyFill="1" applyAlignment="1">
      <alignment horizontal="right" vertical="top"/>
    </xf>
    <xf numFmtId="0" fontId="10" fillId="0" borderId="0" xfId="0" applyFont="1" applyAlignment="1">
      <alignment horizontal="right"/>
    </xf>
    <xf numFmtId="0" fontId="18" fillId="24" borderId="0" xfId="0" applyFont="1" applyFill="1" applyAlignment="1"/>
    <xf numFmtId="0" fontId="14" fillId="0" borderId="0" xfId="0" applyFont="1" applyFill="1" applyAlignment="1">
      <alignment horizontal="center"/>
    </xf>
    <xf numFmtId="0" fontId="22" fillId="0" borderId="0" xfId="2" applyFont="1" applyAlignment="1"/>
    <xf numFmtId="170" fontId="39" fillId="0" borderId="0" xfId="1" applyNumberFormat="1" applyFont="1" applyFill="1"/>
    <xf numFmtId="0" fontId="19" fillId="0" borderId="0" xfId="0" applyFont="1" applyAlignment="1">
      <alignment horizontal="right"/>
    </xf>
    <xf numFmtId="0" fontId="19" fillId="17" borderId="0" xfId="0" applyFont="1" applyFill="1" applyAlignment="1"/>
    <xf numFmtId="0" fontId="10" fillId="17" borderId="0" xfId="0" applyFont="1" applyFill="1" applyAlignment="1">
      <alignment horizontal="left" vertical="center"/>
    </xf>
    <xf numFmtId="170" fontId="10" fillId="17" borderId="0" xfId="1" applyNumberFormat="1" applyFont="1" applyFill="1" applyAlignment="1"/>
    <xf numFmtId="170" fontId="19" fillId="17" borderId="0" xfId="1" applyNumberFormat="1" applyFont="1" applyFill="1" applyAlignment="1"/>
    <xf numFmtId="0" fontId="19" fillId="4" borderId="0" xfId="0" applyFont="1" applyFill="1" applyAlignment="1"/>
    <xf numFmtId="0" fontId="10" fillId="4" borderId="0" xfId="0" applyFont="1" applyFill="1" applyAlignment="1"/>
    <xf numFmtId="0" fontId="10" fillId="4" borderId="0" xfId="0" applyFont="1" applyFill="1" applyAlignment="1">
      <alignment horizontal="left" vertical="center"/>
    </xf>
    <xf numFmtId="170" fontId="10" fillId="4" borderId="0" xfId="1" applyNumberFormat="1" applyFont="1" applyFill="1" applyAlignment="1"/>
    <xf numFmtId="170" fontId="19" fillId="4" borderId="0" xfId="1" applyNumberFormat="1" applyFont="1" applyFill="1" applyAlignment="1"/>
    <xf numFmtId="0" fontId="10" fillId="4" borderId="0" xfId="1" applyNumberFormat="1" applyFont="1" applyFill="1" applyAlignment="1"/>
    <xf numFmtId="0" fontId="19" fillId="4" borderId="0" xfId="1" applyNumberFormat="1" applyFont="1" applyFill="1" applyAlignment="1"/>
    <xf numFmtId="49" fontId="10" fillId="0" borderId="0" xfId="1" applyNumberFormat="1" applyFont="1" applyAlignment="1"/>
    <xf numFmtId="0" fontId="19" fillId="0" borderId="0" xfId="0" applyFont="1" applyAlignment="1">
      <alignment vertical="top"/>
    </xf>
    <xf numFmtId="0" fontId="10" fillId="0" borderId="0" xfId="0" applyFont="1" applyAlignment="1">
      <alignment vertical="top"/>
    </xf>
    <xf numFmtId="14" fontId="19" fillId="0" borderId="0" xfId="0" applyNumberFormat="1" applyFont="1" applyFill="1" applyAlignment="1">
      <alignment horizontal="right"/>
    </xf>
    <xf numFmtId="170" fontId="18" fillId="0" borderId="0" xfId="0" applyNumberFormat="1" applyFont="1" applyFill="1" applyAlignment="1">
      <alignment horizontal="right"/>
    </xf>
    <xf numFmtId="0" fontId="10" fillId="24" borderId="0" xfId="0" applyFont="1" applyFill="1" applyAlignment="1"/>
    <xf numFmtId="0" fontId="16" fillId="24" borderId="0" xfId="0" applyFont="1" applyFill="1" applyAlignment="1">
      <alignment horizontal="center" vertical="top"/>
    </xf>
    <xf numFmtId="0" fontId="0" fillId="0" borderId="0" xfId="0" applyFont="1" applyAlignment="1"/>
    <xf numFmtId="0" fontId="10" fillId="0" borderId="0" xfId="0" applyFont="1" applyAlignment="1"/>
    <xf numFmtId="0" fontId="19" fillId="17" borderId="0" xfId="0" applyFont="1" applyFill="1" applyAlignment="1">
      <alignment vertical="center"/>
    </xf>
    <xf numFmtId="0" fontId="31" fillId="17" borderId="0" xfId="0" applyFont="1" applyFill="1" applyAlignment="1">
      <alignment vertical="center"/>
    </xf>
    <xf numFmtId="0" fontId="19" fillId="4" borderId="0" xfId="0" applyFont="1" applyFill="1" applyAlignment="1">
      <alignment vertical="center"/>
    </xf>
    <xf numFmtId="170" fontId="31" fillId="4" borderId="0" xfId="1" applyNumberFormat="1" applyFont="1" applyFill="1" applyAlignment="1">
      <alignment vertical="center"/>
    </xf>
    <xf numFmtId="170" fontId="16" fillId="30" borderId="0" xfId="1" applyNumberFormat="1" applyFont="1" applyFill="1" applyAlignment="1">
      <alignment horizontal="right"/>
    </xf>
    <xf numFmtId="0" fontId="19" fillId="0" borderId="6" xfId="4" applyFont="1" applyFill="1" applyAlignment="1">
      <alignment horizontal="right"/>
    </xf>
    <xf numFmtId="0" fontId="24" fillId="0" borderId="6" xfId="4" applyFont="1" applyFill="1" applyAlignment="1">
      <alignment horizontal="right"/>
    </xf>
    <xf numFmtId="0" fontId="10" fillId="0" borderId="6" xfId="4" applyFont="1" applyFill="1" applyAlignment="1">
      <alignment horizontal="right"/>
    </xf>
    <xf numFmtId="170" fontId="10" fillId="0" borderId="0" xfId="1" applyNumberFormat="1" applyFont="1" applyAlignment="1">
      <alignment horizontal="right"/>
    </xf>
    <xf numFmtId="170" fontId="19" fillId="0" borderId="0" xfId="1" applyNumberFormat="1" applyFont="1" applyAlignment="1">
      <alignment horizontal="right"/>
    </xf>
    <xf numFmtId="170" fontId="24" fillId="0" borderId="0" xfId="1" applyNumberFormat="1" applyFont="1" applyAlignment="1"/>
    <xf numFmtId="170" fontId="24" fillId="30" borderId="0" xfId="1" applyNumberFormat="1" applyFont="1" applyFill="1" applyAlignment="1"/>
    <xf numFmtId="0" fontId="0" fillId="0" borderId="0" xfId="0" applyFont="1" applyAlignment="1"/>
    <xf numFmtId="0" fontId="13" fillId="0" borderId="6" xfId="4" applyFill="1"/>
    <xf numFmtId="170" fontId="38" fillId="0" borderId="6" xfId="4" applyNumberFormat="1" applyFont="1" applyFill="1" applyAlignment="1">
      <alignment horizontal="left" vertical="center"/>
    </xf>
    <xf numFmtId="0" fontId="85" fillId="0" borderId="0" xfId="0" applyFont="1" applyAlignment="1">
      <alignment vertical="center"/>
    </xf>
    <xf numFmtId="0" fontId="84" fillId="0" borderId="0" xfId="0" applyFont="1" applyAlignment="1">
      <alignment vertical="center"/>
    </xf>
    <xf numFmtId="0" fontId="13" fillId="0" borderId="6" xfId="4" applyFill="1" applyBorder="1"/>
    <xf numFmtId="44" fontId="85" fillId="0" borderId="0" xfId="0" applyNumberFormat="1" applyFont="1" applyAlignment="1">
      <alignment vertical="center"/>
    </xf>
    <xf numFmtId="170" fontId="42" fillId="0" borderId="6" xfId="4" applyNumberFormat="1" applyFont="1" applyFill="1" applyAlignment="1">
      <alignment horizontal="left" vertical="center"/>
    </xf>
    <xf numFmtId="0" fontId="14" fillId="0" borderId="6" xfId="4" applyFont="1" applyFill="1" applyBorder="1"/>
    <xf numFmtId="44" fontId="39" fillId="0" borderId="6" xfId="4" applyNumberFormat="1" applyFont="1" applyAlignment="1">
      <alignment horizontal="left" vertical="center"/>
    </xf>
    <xf numFmtId="44" fontId="42" fillId="15" borderId="6" xfId="4" applyNumberFormat="1" applyFont="1" applyFill="1" applyAlignment="1">
      <alignment horizontal="left" vertical="center" wrapText="1"/>
    </xf>
    <xf numFmtId="44" fontId="42" fillId="0" borderId="6" xfId="4" applyNumberFormat="1" applyFont="1" applyAlignment="1">
      <alignment horizontal="left" vertical="center" wrapText="1"/>
    </xf>
    <xf numFmtId="44" fontId="39" fillId="0" borderId="6" xfId="4" applyNumberFormat="1" applyFont="1" applyAlignment="1">
      <alignment horizontal="left" vertical="center" wrapText="1"/>
    </xf>
    <xf numFmtId="44" fontId="42" fillId="5" borderId="6" xfId="4" applyNumberFormat="1" applyFont="1" applyFill="1" applyAlignment="1">
      <alignment horizontal="left" vertical="center" wrapText="1"/>
    </xf>
    <xf numFmtId="44" fontId="39" fillId="0" borderId="6" xfId="4" applyNumberFormat="1" applyFont="1" applyFill="1" applyAlignment="1">
      <alignment horizontal="left" vertical="center" wrapText="1"/>
    </xf>
    <xf numFmtId="44" fontId="42" fillId="30" borderId="6" xfId="4" applyNumberFormat="1" applyFont="1" applyFill="1" applyAlignment="1">
      <alignment horizontal="left" vertical="center" wrapText="1"/>
    </xf>
    <xf numFmtId="44" fontId="42" fillId="31" borderId="6" xfId="4" applyNumberFormat="1" applyFont="1" applyFill="1" applyAlignment="1">
      <alignment horizontal="left" vertical="center" wrapText="1"/>
    </xf>
    <xf numFmtId="44" fontId="42" fillId="30" borderId="6" xfId="4" applyNumberFormat="1" applyFont="1" applyFill="1" applyAlignment="1">
      <alignment horizontal="left" vertical="center"/>
    </xf>
    <xf numFmtId="44" fontId="42" fillId="32" borderId="6" xfId="4" applyNumberFormat="1" applyFont="1" applyFill="1" applyAlignment="1">
      <alignment horizontal="left" vertical="center" wrapText="1"/>
    </xf>
    <xf numFmtId="44" fontId="42" fillId="0" borderId="6" xfId="4" applyNumberFormat="1" applyFont="1" applyAlignment="1">
      <alignment horizontal="left" vertical="center"/>
    </xf>
    <xf numFmtId="44" fontId="42" fillId="5" borderId="6" xfId="4" applyNumberFormat="1" applyFont="1" applyFill="1" applyAlignment="1">
      <alignment horizontal="left" vertical="center"/>
    </xf>
    <xf numFmtId="44" fontId="13" fillId="0" borderId="6" xfId="4" applyNumberFormat="1"/>
    <xf numFmtId="44" fontId="44" fillId="5" borderId="6" xfId="4" applyNumberFormat="1" applyFont="1" applyFill="1" applyAlignment="1">
      <alignment horizontal="left" vertical="center" wrapText="1"/>
    </xf>
    <xf numFmtId="44" fontId="42" fillId="13" borderId="6" xfId="4" applyNumberFormat="1" applyFont="1" applyFill="1" applyAlignment="1">
      <alignment horizontal="left" vertical="center" wrapText="1"/>
    </xf>
    <xf numFmtId="44" fontId="85" fillId="0" borderId="0" xfId="0" applyNumberFormat="1" applyFont="1" applyAlignment="1">
      <alignment vertical="center" wrapText="1"/>
    </xf>
    <xf numFmtId="44" fontId="57" fillId="0" borderId="6" xfId="4" applyNumberFormat="1" applyFont="1" applyAlignment="1">
      <alignment horizontal="left" vertical="center"/>
    </xf>
    <xf numFmtId="44" fontId="59" fillId="0" borderId="6" xfId="4" applyNumberFormat="1" applyFont="1" applyAlignment="1">
      <alignment horizontal="left" vertical="center" wrapText="1"/>
    </xf>
    <xf numFmtId="44" fontId="40" fillId="0" borderId="6" xfId="4" applyNumberFormat="1" applyFont="1" applyAlignment="1">
      <alignment horizontal="left" vertical="center"/>
    </xf>
    <xf numFmtId="44" fontId="25" fillId="0" borderId="6" xfId="4" applyNumberFormat="1" applyFont="1"/>
    <xf numFmtId="44" fontId="72" fillId="0" borderId="6" xfId="4" applyNumberFormat="1" applyFont="1" applyAlignment="1">
      <alignment horizontal="left" vertical="center"/>
    </xf>
    <xf numFmtId="44" fontId="43" fillId="0" borderId="6" xfId="4" applyNumberFormat="1" applyFont="1" applyAlignment="1">
      <alignment horizontal="left" vertical="center"/>
    </xf>
    <xf numFmtId="44" fontId="84" fillId="0" borderId="0" xfId="0" applyNumberFormat="1" applyFont="1" applyAlignment="1">
      <alignment vertical="center"/>
    </xf>
    <xf numFmtId="44" fontId="59" fillId="0" borderId="6" xfId="4" applyNumberFormat="1" applyFont="1" applyAlignment="1">
      <alignment horizontal="left" vertical="center"/>
    </xf>
    <xf numFmtId="44" fontId="42" fillId="33" borderId="6" xfId="4" applyNumberFormat="1" applyFont="1" applyFill="1" applyAlignment="1">
      <alignment horizontal="left" vertical="center" wrapText="1"/>
    </xf>
    <xf numFmtId="170" fontId="44" fillId="33" borderId="6" xfId="4" applyNumberFormat="1" applyFont="1" applyFill="1" applyAlignment="1">
      <alignment horizontal="left" vertical="center" wrapText="1"/>
    </xf>
    <xf numFmtId="170" fontId="51" fillId="33" borderId="6" xfId="4" applyNumberFormat="1" applyFont="1" applyFill="1" applyAlignment="1">
      <alignment horizontal="left" vertical="center"/>
    </xf>
    <xf numFmtId="44" fontId="42" fillId="35" borderId="6" xfId="4" applyNumberFormat="1" applyFont="1" applyFill="1" applyAlignment="1">
      <alignment horizontal="left" vertical="center"/>
    </xf>
    <xf numFmtId="170" fontId="44" fillId="35" borderId="6" xfId="4" applyNumberFormat="1" applyFont="1" applyFill="1" applyAlignment="1">
      <alignment horizontal="left" vertical="center"/>
    </xf>
    <xf numFmtId="170" fontId="44" fillId="35" borderId="6" xfId="4" applyNumberFormat="1" applyFont="1" applyFill="1" applyAlignment="1">
      <alignment horizontal="left" vertical="center" shrinkToFit="1"/>
    </xf>
    <xf numFmtId="170" fontId="42" fillId="35" borderId="6" xfId="4" applyNumberFormat="1" applyFont="1" applyFill="1" applyAlignment="1">
      <alignment horizontal="left" vertical="center" wrapText="1"/>
    </xf>
    <xf numFmtId="170" fontId="51" fillId="35" borderId="6" xfId="4" applyNumberFormat="1" applyFont="1" applyFill="1" applyAlignment="1">
      <alignment horizontal="left" vertical="center" wrapText="1"/>
    </xf>
    <xf numFmtId="44" fontId="85" fillId="0" borderId="0" xfId="0" applyNumberFormat="1" applyFont="1" applyFill="1" applyAlignment="1">
      <alignment vertical="center" wrapText="1"/>
    </xf>
    <xf numFmtId="44" fontId="40" fillId="0" borderId="6" xfId="4" applyNumberFormat="1" applyFont="1" applyAlignment="1">
      <alignment vertical="center"/>
    </xf>
    <xf numFmtId="44" fontId="40" fillId="0" borderId="6" xfId="4" applyNumberFormat="1" applyFont="1" applyFill="1" applyBorder="1" applyAlignment="1"/>
    <xf numFmtId="44" fontId="84" fillId="0" borderId="6" xfId="0" applyNumberFormat="1" applyFont="1" applyFill="1" applyBorder="1" applyAlignment="1">
      <alignment vertical="center"/>
    </xf>
    <xf numFmtId="44" fontId="85" fillId="0" borderId="6" xfId="0" applyNumberFormat="1" applyFont="1" applyFill="1" applyBorder="1" applyAlignment="1">
      <alignment vertical="center"/>
    </xf>
    <xf numFmtId="44" fontId="40" fillId="0" borderId="6" xfId="4" applyNumberFormat="1" applyFont="1" applyFill="1" applyBorder="1" applyAlignment="1">
      <alignment vertical="center"/>
    </xf>
    <xf numFmtId="44" fontId="40" fillId="0" borderId="6" xfId="4" applyNumberFormat="1" applyFont="1" applyAlignment="1"/>
    <xf numFmtId="44" fontId="40" fillId="0" borderId="6" xfId="4" applyNumberFormat="1" applyFont="1" applyBorder="1" applyAlignment="1">
      <alignment vertical="center"/>
    </xf>
    <xf numFmtId="44" fontId="85" fillId="0" borderId="6" xfId="0" applyNumberFormat="1" applyFont="1" applyBorder="1" applyAlignment="1">
      <alignment vertical="center"/>
    </xf>
    <xf numFmtId="44" fontId="84" fillId="0" borderId="6" xfId="0" applyNumberFormat="1" applyFont="1" applyBorder="1" applyAlignment="1">
      <alignment vertical="center"/>
    </xf>
    <xf numFmtId="44" fontId="42" fillId="0" borderId="6" xfId="4" applyNumberFormat="1" applyFont="1" applyFill="1" applyBorder="1" applyAlignment="1">
      <alignment vertical="center"/>
    </xf>
    <xf numFmtId="44" fontId="85" fillId="0" borderId="6" xfId="0" applyNumberFormat="1" applyFont="1" applyFill="1" applyBorder="1" applyAlignment="1">
      <alignment vertical="center" wrapText="1"/>
    </xf>
    <xf numFmtId="44" fontId="38" fillId="0" borderId="6" xfId="4" applyNumberFormat="1" applyFont="1" applyAlignment="1">
      <alignment vertical="center"/>
    </xf>
    <xf numFmtId="44" fontId="13" fillId="0" borderId="6" xfId="4" applyNumberFormat="1" applyBorder="1" applyAlignment="1"/>
    <xf numFmtId="44" fontId="86" fillId="0" borderId="6" xfId="4" applyNumberFormat="1" applyFont="1" applyBorder="1" applyAlignment="1">
      <alignment vertical="center"/>
    </xf>
    <xf numFmtId="44" fontId="86" fillId="0" borderId="6" xfId="4" applyNumberFormat="1" applyFont="1" applyAlignment="1">
      <alignment vertical="center"/>
    </xf>
    <xf numFmtId="44" fontId="25" fillId="0" borderId="6" xfId="4" applyNumberFormat="1" applyFont="1" applyAlignment="1"/>
    <xf numFmtId="44" fontId="13" fillId="0" borderId="6" xfId="4" applyNumberFormat="1" applyAlignment="1"/>
    <xf numFmtId="44" fontId="38" fillId="0" borderId="6" xfId="4" applyNumberFormat="1" applyFont="1" applyBorder="1" applyAlignment="1">
      <alignment vertical="center"/>
    </xf>
    <xf numFmtId="44" fontId="74" fillId="0" borderId="6" xfId="4" applyNumberFormat="1" applyFont="1" applyBorder="1" applyAlignment="1">
      <alignment vertical="center"/>
    </xf>
    <xf numFmtId="44" fontId="89" fillId="0" borderId="6" xfId="0" applyNumberFormat="1" applyFont="1" applyBorder="1" applyAlignment="1">
      <alignment vertical="center"/>
    </xf>
    <xf numFmtId="44" fontId="39" fillId="0" borderId="6" xfId="4" applyNumberFormat="1" applyFont="1" applyBorder="1" applyAlignment="1">
      <alignment vertical="center"/>
    </xf>
    <xf numFmtId="44" fontId="42" fillId="36" borderId="6" xfId="4" applyNumberFormat="1" applyFont="1" applyFill="1" applyAlignment="1">
      <alignment horizontal="left" vertical="center"/>
    </xf>
    <xf numFmtId="44" fontId="42" fillId="36" borderId="6" xfId="4" applyNumberFormat="1" applyFont="1" applyFill="1" applyAlignment="1">
      <alignment horizontal="left" vertical="center" wrapText="1"/>
    </xf>
    <xf numFmtId="170" fontId="68" fillId="36" borderId="6" xfId="4" applyNumberFormat="1" applyFont="1" applyFill="1" applyAlignment="1">
      <alignment horizontal="left" vertical="center" shrinkToFit="1"/>
    </xf>
    <xf numFmtId="170" fontId="69" fillId="36" borderId="6" xfId="4" applyNumberFormat="1" applyFont="1" applyFill="1" applyAlignment="1">
      <alignment horizontal="left" vertical="center" shrinkToFit="1"/>
    </xf>
    <xf numFmtId="170" fontId="44" fillId="36" borderId="6" xfId="4" applyNumberFormat="1" applyFont="1" applyFill="1" applyAlignment="1">
      <alignment horizontal="left" vertical="center" shrinkToFit="1"/>
    </xf>
    <xf numFmtId="170" fontId="42" fillId="36" borderId="6" xfId="4" applyNumberFormat="1" applyFont="1" applyFill="1" applyAlignment="1">
      <alignment horizontal="left" vertical="center"/>
    </xf>
    <xf numFmtId="170" fontId="42" fillId="36" borderId="6" xfId="4" applyNumberFormat="1" applyFont="1" applyFill="1" applyAlignment="1">
      <alignment horizontal="left" vertical="center" wrapText="1"/>
    </xf>
    <xf numFmtId="170" fontId="43" fillId="36" borderId="6" xfId="4" applyNumberFormat="1" applyFont="1" applyFill="1" applyAlignment="1">
      <alignment horizontal="left" vertical="center"/>
    </xf>
    <xf numFmtId="170" fontId="70" fillId="36" borderId="6" xfId="4" applyNumberFormat="1" applyFont="1" applyFill="1" applyAlignment="1">
      <alignment horizontal="left" vertical="center"/>
    </xf>
    <xf numFmtId="0" fontId="13" fillId="36" borderId="6" xfId="4" applyFill="1"/>
    <xf numFmtId="170" fontId="39" fillId="36" borderId="6" xfId="4" applyNumberFormat="1" applyFont="1" applyFill="1" applyAlignment="1">
      <alignment horizontal="left" vertical="center"/>
    </xf>
    <xf numFmtId="44" fontId="84" fillId="36" borderId="0" xfId="0" applyNumberFormat="1" applyFont="1" applyFill="1" applyAlignment="1">
      <alignment vertical="center"/>
    </xf>
    <xf numFmtId="170" fontId="39" fillId="36" borderId="6" xfId="4" applyNumberFormat="1" applyFont="1" applyFill="1" applyAlignment="1">
      <alignment horizontal="left" vertical="center" shrinkToFit="1"/>
    </xf>
    <xf numFmtId="170" fontId="40" fillId="36" borderId="6" xfId="4" applyNumberFormat="1" applyFont="1" applyFill="1" applyAlignment="1">
      <alignment horizontal="left" vertical="center"/>
    </xf>
    <xf numFmtId="44" fontId="84" fillId="34" borderId="0" xfId="0" applyNumberFormat="1" applyFont="1" applyFill="1" applyAlignment="1">
      <alignment vertical="center"/>
    </xf>
    <xf numFmtId="170" fontId="39" fillId="34" borderId="6" xfId="4" applyNumberFormat="1" applyFont="1" applyFill="1" applyAlignment="1">
      <alignment horizontal="left" vertical="center" shrinkToFit="1"/>
    </xf>
    <xf numFmtId="170" fontId="40" fillId="34" borderId="6" xfId="4" applyNumberFormat="1" applyFont="1" applyFill="1" applyAlignment="1">
      <alignment horizontal="left" vertical="center"/>
    </xf>
    <xf numFmtId="170" fontId="44" fillId="34" borderId="6" xfId="4" applyNumberFormat="1" applyFont="1" applyFill="1" applyAlignment="1">
      <alignment horizontal="left" vertical="center"/>
    </xf>
    <xf numFmtId="170" fontId="87" fillId="0" borderId="6" xfId="4" applyNumberFormat="1" applyFont="1" applyAlignment="1">
      <alignment horizontal="left" vertical="center" shrinkToFit="1"/>
    </xf>
    <xf numFmtId="170" fontId="90" fillId="0" borderId="6" xfId="4" applyNumberFormat="1" applyFont="1" applyAlignment="1">
      <alignment horizontal="left" vertical="center"/>
    </xf>
    <xf numFmtId="44" fontId="42" fillId="34" borderId="6" xfId="4" applyNumberFormat="1" applyFont="1" applyFill="1" applyAlignment="1">
      <alignment horizontal="left" vertical="center" wrapText="1"/>
    </xf>
    <xf numFmtId="170" fontId="63" fillId="34" borderId="6" xfId="4" applyNumberFormat="1" applyFont="1" applyFill="1" applyAlignment="1">
      <alignment horizontal="left" vertical="center" shrinkToFit="1"/>
    </xf>
    <xf numFmtId="170" fontId="54" fillId="34" borderId="6" xfId="4" applyNumberFormat="1" applyFont="1" applyFill="1" applyAlignment="1">
      <alignment horizontal="left" vertical="center" shrinkToFit="1"/>
    </xf>
    <xf numFmtId="170" fontId="44" fillId="34" borderId="6" xfId="4" applyNumberFormat="1" applyFont="1" applyFill="1" applyAlignment="1">
      <alignment horizontal="left" vertical="center" shrinkToFit="1"/>
    </xf>
    <xf numFmtId="170" fontId="51" fillId="34" borderId="6" xfId="4" applyNumberFormat="1" applyFont="1" applyFill="1" applyAlignment="1">
      <alignment horizontal="left" vertical="center"/>
    </xf>
    <xf numFmtId="170" fontId="83" fillId="34" borderId="6" xfId="4" applyNumberFormat="1" applyFont="1" applyFill="1" applyAlignment="1">
      <alignment horizontal="left" vertical="center"/>
    </xf>
    <xf numFmtId="170" fontId="42" fillId="34" borderId="6" xfId="4" applyNumberFormat="1" applyFont="1" applyFill="1" applyAlignment="1">
      <alignment horizontal="left" vertical="center" shrinkToFit="1"/>
    </xf>
    <xf numFmtId="44" fontId="88" fillId="0" borderId="0" xfId="0" applyNumberFormat="1" applyFont="1" applyFill="1" applyAlignment="1">
      <alignment vertical="center"/>
    </xf>
    <xf numFmtId="170" fontId="66" fillId="0" borderId="6" xfId="4" applyNumberFormat="1" applyFont="1" applyFill="1" applyAlignment="1">
      <alignment horizontal="left" vertical="center"/>
    </xf>
    <xf numFmtId="170" fontId="66" fillId="0" borderId="6" xfId="4" applyNumberFormat="1" applyFont="1" applyFill="1" applyAlignment="1">
      <alignment horizontal="left" vertical="center" shrinkToFit="1"/>
    </xf>
    <xf numFmtId="170" fontId="59" fillId="0" borderId="6" xfId="4" applyNumberFormat="1" applyFont="1" applyFill="1" applyAlignment="1">
      <alignment horizontal="left" vertical="center"/>
    </xf>
    <xf numFmtId="170" fontId="59" fillId="0" borderId="6" xfId="4" applyNumberFormat="1" applyFont="1" applyFill="1" applyAlignment="1">
      <alignment horizontal="left" vertical="center" shrinkToFit="1"/>
    </xf>
    <xf numFmtId="170" fontId="87" fillId="0" borderId="6" xfId="4" applyNumberFormat="1" applyFont="1" applyAlignment="1">
      <alignment horizontal="left" vertical="center" wrapText="1"/>
    </xf>
    <xf numFmtId="170" fontId="42" fillId="36" borderId="6" xfId="4" applyNumberFormat="1" applyFont="1" applyFill="1" applyAlignment="1">
      <alignment horizontal="left" vertical="center" shrinkToFit="1"/>
    </xf>
    <xf numFmtId="44" fontId="84" fillId="36" borderId="0" xfId="0" applyNumberFormat="1" applyFont="1" applyFill="1" applyAlignment="1"/>
    <xf numFmtId="44" fontId="42" fillId="0" borderId="6" xfId="4" applyNumberFormat="1" applyFont="1" applyFill="1" applyAlignment="1">
      <alignment horizontal="left" vertical="center" wrapText="1"/>
    </xf>
    <xf numFmtId="170" fontId="44" fillId="0" borderId="6" xfId="4" applyNumberFormat="1" applyFont="1" applyFill="1" applyAlignment="1">
      <alignment horizontal="left" vertical="center" shrinkToFit="1"/>
    </xf>
    <xf numFmtId="0" fontId="40" fillId="0" borderId="0" xfId="0" applyFont="1" applyAlignment="1"/>
    <xf numFmtId="0" fontId="14" fillId="4" borderId="0" xfId="0" applyFont="1" applyFill="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vertical="top" wrapText="1"/>
    </xf>
    <xf numFmtId="49" fontId="10" fillId="0" borderId="0" xfId="0" applyNumberFormat="1" applyFont="1" applyAlignment="1">
      <alignment wrapText="1"/>
    </xf>
    <xf numFmtId="0" fontId="14" fillId="4" borderId="0" xfId="0" applyFont="1" applyFill="1" applyAlignment="1">
      <alignment horizontal="center" vertical="top"/>
    </xf>
    <xf numFmtId="170" fontId="17" fillId="0" borderId="0" xfId="1" applyNumberFormat="1" applyFont="1" applyFill="1" applyAlignment="1">
      <alignment horizontal="center" vertical="center"/>
    </xf>
    <xf numFmtId="0" fontId="14" fillId="4" borderId="0" xfId="0" applyFont="1" applyFill="1" applyAlignment="1">
      <alignment horizontal="center"/>
    </xf>
    <xf numFmtId="0" fontId="19" fillId="0" borderId="0" xfId="0" applyFont="1" applyAlignment="1">
      <alignment horizontal="center" vertical="center" wrapText="1"/>
    </xf>
    <xf numFmtId="0" fontId="10" fillId="0" borderId="0" xfId="0" applyFont="1" applyAlignment="1">
      <alignment vertical="top"/>
    </xf>
    <xf numFmtId="0" fontId="19" fillId="34" borderId="0" xfId="0" applyFont="1" applyFill="1" applyAlignment="1"/>
    <xf numFmtId="0" fontId="10" fillId="34" borderId="0" xfId="0" applyFont="1" applyFill="1" applyAlignment="1"/>
    <xf numFmtId="0" fontId="24" fillId="34" borderId="0" xfId="0" applyFont="1" applyFill="1" applyAlignment="1"/>
    <xf numFmtId="0" fontId="10" fillId="0" borderId="0" xfId="0" applyFont="1" applyAlignment="1"/>
    <xf numFmtId="0" fontId="10" fillId="30" borderId="0" xfId="0" applyFont="1" applyFill="1" applyAlignment="1">
      <alignment horizontal="center"/>
    </xf>
    <xf numFmtId="0" fontId="22" fillId="0" borderId="0" xfId="2" applyFont="1" applyAlignment="1"/>
    <xf numFmtId="0" fontId="10" fillId="0" borderId="0" xfId="0" applyFont="1" applyAlignment="1">
      <alignment horizontal="center" vertical="top" wrapText="1"/>
    </xf>
    <xf numFmtId="0" fontId="17" fillId="0" borderId="0" xfId="0" applyFont="1" applyFill="1" applyAlignment="1">
      <alignment horizontal="center" vertical="top" wrapText="1"/>
    </xf>
    <xf numFmtId="0" fontId="20" fillId="11" borderId="6" xfId="4" applyFont="1" applyFill="1" applyAlignment="1">
      <alignment horizontal="center" vertical="center"/>
    </xf>
    <xf numFmtId="0" fontId="17" fillId="0" borderId="6" xfId="4" applyNumberFormat="1" applyFont="1" applyFill="1" applyAlignment="1">
      <alignment horizontal="left"/>
    </xf>
    <xf numFmtId="0" fontId="17" fillId="0" borderId="6" xfId="4" applyNumberFormat="1" applyFont="1" applyFill="1"/>
    <xf numFmtId="164" fontId="4" fillId="17" borderId="2" xfId="0" applyNumberFormat="1" applyFont="1" applyFill="1" applyBorder="1" applyAlignment="1">
      <alignment horizontal="left"/>
    </xf>
    <xf numFmtId="0" fontId="21" fillId="17" borderId="0" xfId="2" applyFill="1" applyAlignment="1"/>
    <xf numFmtId="0" fontId="14" fillId="12" borderId="6" xfId="0" applyFont="1" applyFill="1" applyBorder="1" applyAlignment="1">
      <alignment horizontal="center" vertical="center"/>
    </xf>
    <xf numFmtId="0" fontId="32" fillId="0" borderId="0" xfId="2" applyFont="1" applyAlignment="1"/>
    <xf numFmtId="0" fontId="2" fillId="0" borderId="0" xfId="0" applyFont="1"/>
    <xf numFmtId="0" fontId="0" fillId="0" borderId="0" xfId="0" applyFont="1" applyAlignment="1"/>
    <xf numFmtId="165" fontId="4" fillId="0" borderId="2" xfId="0" applyNumberFormat="1" applyFont="1" applyFill="1" applyBorder="1" applyAlignment="1">
      <alignment horizontal="left" vertical="top"/>
    </xf>
    <xf numFmtId="0" fontId="3" fillId="0" borderId="3" xfId="0" applyFont="1" applyFill="1" applyBorder="1"/>
    <xf numFmtId="0" fontId="0" fillId="0" borderId="0" xfId="0" applyFont="1" applyFill="1" applyAlignment="1">
      <alignment vertical="center"/>
    </xf>
    <xf numFmtId="0" fontId="3" fillId="0" borderId="0" xfId="0" applyFont="1" applyFill="1" applyAlignment="1">
      <alignment vertical="center"/>
    </xf>
    <xf numFmtId="0" fontId="0" fillId="0" borderId="0" xfId="0" applyFont="1" applyAlignment="1">
      <alignment vertical="center"/>
    </xf>
    <xf numFmtId="0" fontId="0" fillId="0" borderId="6" xfId="0" applyFont="1" applyFill="1" applyBorder="1" applyAlignment="1">
      <alignment vertical="center"/>
    </xf>
    <xf numFmtId="0" fontId="11" fillId="0" borderId="0" xfId="0" applyFont="1" applyFill="1" applyAlignment="1">
      <alignment vertical="center"/>
    </xf>
    <xf numFmtId="0" fontId="2" fillId="0" borderId="0" xfId="0" applyFont="1" applyAlignment="1">
      <alignment horizontal="left"/>
    </xf>
    <xf numFmtId="0" fontId="29" fillId="24" borderId="0" xfId="0" applyFont="1" applyFill="1" applyAlignment="1">
      <alignment horizontal="center" vertical="center"/>
    </xf>
    <xf numFmtId="0" fontId="14" fillId="12" borderId="0" xfId="0" applyFont="1" applyFill="1" applyAlignment="1">
      <alignment horizontal="center" vertical="center"/>
    </xf>
    <xf numFmtId="164" fontId="4" fillId="12" borderId="2" xfId="0" applyNumberFormat="1" applyFont="1" applyFill="1" applyBorder="1" applyAlignment="1">
      <alignment horizontal="left"/>
    </xf>
    <xf numFmtId="0" fontId="21" fillId="12" borderId="0" xfId="2" applyFont="1" applyFill="1" applyAlignment="1"/>
    <xf numFmtId="164" fontId="5" fillId="0" borderId="2" xfId="0" applyNumberFormat="1" applyFont="1" applyFill="1" applyBorder="1" applyAlignment="1">
      <alignment horizontal="left" vertical="center"/>
    </xf>
    <xf numFmtId="0" fontId="3" fillId="0" borderId="1" xfId="0" applyFont="1" applyFill="1" applyBorder="1" applyAlignment="1">
      <alignment vertical="center"/>
    </xf>
    <xf numFmtId="0" fontId="3" fillId="0" borderId="3" xfId="0" applyFont="1" applyFill="1" applyBorder="1" applyAlignment="1">
      <alignment vertical="center"/>
    </xf>
    <xf numFmtId="0" fontId="1" fillId="0" borderId="0" xfId="0" applyFont="1" applyAlignment="1"/>
    <xf numFmtId="0" fontId="3" fillId="0" borderId="0" xfId="0" applyFont="1" applyAlignment="1"/>
    <xf numFmtId="0" fontId="5" fillId="0" borderId="2" xfId="0" applyFont="1" applyFill="1" applyBorder="1" applyAlignment="1">
      <alignment horizontal="center" vertical="center"/>
    </xf>
    <xf numFmtId="0" fontId="3" fillId="0" borderId="1" xfId="0" applyFont="1" applyFill="1" applyBorder="1"/>
    <xf numFmtId="0" fontId="10" fillId="0" borderId="6" xfId="0" applyFont="1" applyBorder="1" applyAlignment="1"/>
    <xf numFmtId="0" fontId="24" fillId="0" borderId="0" xfId="0" applyFont="1" applyAlignment="1"/>
    <xf numFmtId="0" fontId="20" fillId="15" borderId="0" xfId="0" applyFont="1" applyFill="1" applyAlignment="1">
      <alignment horizontal="center"/>
    </xf>
    <xf numFmtId="0" fontId="19" fillId="12" borderId="0" xfId="0" applyFont="1" applyFill="1" applyAlignment="1">
      <alignment horizontal="center"/>
    </xf>
    <xf numFmtId="0" fontId="22" fillId="17" borderId="0" xfId="2" applyFont="1" applyFill="1" applyAlignment="1">
      <alignment horizontal="center"/>
    </xf>
    <xf numFmtId="0" fontId="24" fillId="12" borderId="6" xfId="0" applyFont="1" applyFill="1" applyBorder="1" applyAlignment="1">
      <alignment horizontal="center"/>
    </xf>
    <xf numFmtId="0" fontId="20" fillId="11" borderId="0" xfId="0" applyFont="1" applyFill="1" applyAlignment="1">
      <alignment horizontal="center" vertical="center"/>
    </xf>
    <xf numFmtId="0" fontId="18" fillId="0" borderId="6" xfId="0" applyFont="1" applyFill="1" applyBorder="1" applyAlignment="1">
      <alignment horizontal="center" vertical="center"/>
    </xf>
    <xf numFmtId="170" fontId="41" fillId="24" borderId="6" xfId="4" applyNumberFormat="1" applyFont="1" applyFill="1" applyAlignment="1">
      <alignment horizontal="center" vertical="center"/>
    </xf>
    <xf numFmtId="170" fontId="37" fillId="29" borderId="6" xfId="4" applyNumberFormat="1" applyFont="1" applyFill="1" applyAlignment="1">
      <alignment horizontal="center" vertical="center"/>
    </xf>
    <xf numFmtId="170" fontId="39" fillId="0" borderId="6" xfId="4" applyNumberFormat="1" applyFont="1" applyAlignment="1">
      <alignment horizontal="center" vertical="center"/>
    </xf>
    <xf numFmtId="0" fontId="14" fillId="11" borderId="0" xfId="0" applyFont="1" applyFill="1" applyAlignment="1">
      <alignment horizontal="center"/>
    </xf>
    <xf numFmtId="0" fontId="91" fillId="11" borderId="0" xfId="0" applyFont="1" applyFill="1" applyAlignment="1">
      <alignment horizontal="center" vertical="center"/>
    </xf>
    <xf numFmtId="0" fontId="92" fillId="11" borderId="0" xfId="0" applyFont="1" applyFill="1" applyAlignment="1">
      <alignment horizontal="center" vertical="center"/>
    </xf>
    <xf numFmtId="0" fontId="92" fillId="0" borderId="0" xfId="0" applyFont="1" applyAlignment="1"/>
    <xf numFmtId="0" fontId="40" fillId="0" borderId="0" xfId="0" applyFont="1" applyAlignment="1">
      <alignment horizontal="center" vertical="center"/>
    </xf>
    <xf numFmtId="0" fontId="39" fillId="0" borderId="0" xfId="0" applyFont="1" applyFill="1" applyAlignment="1">
      <alignment horizontal="center" vertical="center"/>
    </xf>
    <xf numFmtId="0" fontId="39" fillId="0" borderId="0" xfId="0" applyFont="1" applyFill="1" applyAlignment="1">
      <alignment horizontal="center" vertical="top"/>
    </xf>
    <xf numFmtId="0" fontId="93" fillId="4" borderId="0" xfId="0" applyFont="1" applyFill="1" applyAlignment="1">
      <alignment horizontal="center"/>
    </xf>
    <xf numFmtId="0" fontId="92" fillId="0" borderId="0" xfId="0" applyFont="1" applyFill="1" applyAlignment="1"/>
    <xf numFmtId="170" fontId="42" fillId="9" borderId="0" xfId="1" applyNumberFormat="1" applyFont="1" applyFill="1" applyAlignment="1"/>
    <xf numFmtId="14" fontId="42" fillId="9" borderId="0" xfId="1" applyNumberFormat="1" applyFont="1" applyFill="1" applyAlignment="1"/>
    <xf numFmtId="14" fontId="42" fillId="24" borderId="0" xfId="1" applyNumberFormat="1" applyFont="1" applyFill="1" applyAlignment="1"/>
    <xf numFmtId="14" fontId="42" fillId="9" borderId="0" xfId="1" applyNumberFormat="1" applyFont="1" applyFill="1" applyAlignment="1">
      <alignment horizontal="right"/>
    </xf>
    <xf numFmtId="14" fontId="42" fillId="24" borderId="0" xfId="1" applyNumberFormat="1" applyFont="1" applyFill="1" applyAlignment="1">
      <alignment horizontal="right"/>
    </xf>
    <xf numFmtId="14" fontId="42" fillId="9" borderId="0" xfId="0" applyNumberFormat="1" applyFont="1" applyFill="1" applyAlignment="1">
      <alignment horizontal="right"/>
    </xf>
    <xf numFmtId="14" fontId="44" fillId="9" borderId="0" xfId="0" applyNumberFormat="1" applyFont="1" applyFill="1" applyAlignment="1">
      <alignment horizontal="right"/>
    </xf>
    <xf numFmtId="1" fontId="44" fillId="0" borderId="0" xfId="0" applyNumberFormat="1" applyFont="1" applyFill="1" applyAlignment="1"/>
    <xf numFmtId="170" fontId="39" fillId="5" borderId="0" xfId="1" applyNumberFormat="1" applyFont="1" applyFill="1" applyAlignment="1"/>
    <xf numFmtId="170" fontId="39" fillId="24" borderId="0" xfId="1" applyNumberFormat="1" applyFont="1" applyFill="1" applyAlignment="1"/>
    <xf numFmtId="170" fontId="39" fillId="5" borderId="0" xfId="1" applyNumberFormat="1" applyFont="1" applyFill="1" applyAlignment="1">
      <alignment horizontal="right"/>
    </xf>
    <xf numFmtId="170" fontId="39" fillId="24" borderId="0" xfId="1" applyNumberFormat="1" applyFont="1" applyFill="1" applyAlignment="1">
      <alignment horizontal="right"/>
    </xf>
    <xf numFmtId="170" fontId="39" fillId="5" borderId="0" xfId="0" applyNumberFormat="1" applyFont="1" applyFill="1" applyAlignment="1">
      <alignment horizontal="right"/>
    </xf>
    <xf numFmtId="170" fontId="40" fillId="5" borderId="0" xfId="0" applyNumberFormat="1" applyFont="1" applyFill="1" applyAlignment="1">
      <alignment horizontal="right"/>
    </xf>
    <xf numFmtId="170" fontId="40" fillId="5" borderId="0" xfId="0" applyNumberFormat="1" applyFont="1" applyFill="1" applyAlignment="1"/>
    <xf numFmtId="170" fontId="40" fillId="0" borderId="0" xfId="0" applyNumberFormat="1" applyFont="1" applyFill="1" applyAlignment="1">
      <alignment horizontal="left"/>
    </xf>
    <xf numFmtId="170" fontId="39" fillId="30" borderId="0" xfId="1" applyNumberFormat="1" applyFont="1" applyFill="1" applyAlignment="1"/>
    <xf numFmtId="170" fontId="39" fillId="30" borderId="0" xfId="1" applyNumberFormat="1" applyFont="1" applyFill="1" applyAlignment="1">
      <alignment horizontal="right"/>
    </xf>
    <xf numFmtId="170" fontId="94" fillId="30" borderId="0" xfId="0" applyNumberFormat="1" applyFont="1" applyFill="1" applyAlignment="1"/>
    <xf numFmtId="170" fontId="39" fillId="13" borderId="0" xfId="1" applyNumberFormat="1" applyFont="1" applyFill="1" applyAlignment="1"/>
    <xf numFmtId="170" fontId="39" fillId="13" borderId="0" xfId="1" applyNumberFormat="1" applyFont="1" applyFill="1" applyAlignment="1">
      <alignment horizontal="right"/>
    </xf>
    <xf numFmtId="170" fontId="95" fillId="13" borderId="0" xfId="1" applyNumberFormat="1" applyFont="1" applyFill="1" applyAlignment="1">
      <alignment horizontal="right"/>
    </xf>
    <xf numFmtId="170" fontId="40" fillId="13" borderId="0" xfId="0" applyNumberFormat="1" applyFont="1" applyFill="1" applyAlignment="1">
      <alignment horizontal="right"/>
    </xf>
    <xf numFmtId="170" fontId="40" fillId="13" borderId="0" xfId="0" applyNumberFormat="1" applyFont="1" applyFill="1" applyAlignment="1"/>
    <xf numFmtId="170" fontId="39" fillId="14" borderId="0" xfId="1" applyNumberFormat="1" applyFont="1" applyFill="1" applyAlignment="1"/>
    <xf numFmtId="170" fontId="40" fillId="14" borderId="0" xfId="1" applyNumberFormat="1" applyFont="1" applyFill="1" applyAlignment="1"/>
    <xf numFmtId="170" fontId="39" fillId="0" borderId="0" xfId="1" applyNumberFormat="1" applyFont="1" applyFill="1" applyAlignment="1">
      <alignment horizontal="center"/>
    </xf>
    <xf numFmtId="1" fontId="40" fillId="0" borderId="0" xfId="0" applyNumberFormat="1" applyFont="1" applyFill="1" applyAlignment="1">
      <alignment horizontal="left"/>
    </xf>
    <xf numFmtId="170" fontId="39" fillId="0" borderId="0" xfId="1" applyNumberFormat="1" applyFont="1" applyFill="1" applyAlignment="1"/>
    <xf numFmtId="0" fontId="42" fillId="0" borderId="0" xfId="0" applyFont="1" applyFill="1" applyAlignment="1">
      <alignment horizontal="center" vertical="top"/>
    </xf>
    <xf numFmtId="170" fontId="40" fillId="0" borderId="0" xfId="1" applyNumberFormat="1" applyFont="1" applyFill="1" applyAlignment="1"/>
    <xf numFmtId="0" fontId="93" fillId="4" borderId="0" xfId="0" applyFont="1" applyFill="1" applyAlignment="1">
      <alignment horizontal="center" vertical="center"/>
    </xf>
    <xf numFmtId="1" fontId="40" fillId="3" borderId="0" xfId="0" applyNumberFormat="1" applyFont="1" applyFill="1" applyAlignment="1">
      <alignment horizontal="left" vertical="center"/>
    </xf>
    <xf numFmtId="0" fontId="39" fillId="3" borderId="0" xfId="0" applyFont="1" applyFill="1" applyAlignment="1">
      <alignment horizontal="center"/>
    </xf>
    <xf numFmtId="0" fontId="42" fillId="3" borderId="0" xfId="0" applyFont="1" applyFill="1" applyAlignment="1">
      <alignment horizontal="center"/>
    </xf>
    <xf numFmtId="170" fontId="39" fillId="0" borderId="0" xfId="1" applyNumberFormat="1" applyFont="1" applyFill="1" applyAlignment="1">
      <alignment horizontal="right"/>
    </xf>
    <xf numFmtId="170" fontId="42" fillId="0" borderId="0" xfId="1" applyNumberFormat="1" applyFont="1" applyFill="1" applyAlignment="1"/>
    <xf numFmtId="0" fontId="40" fillId="0" borderId="0" xfId="0" applyFont="1" applyFill="1" applyAlignment="1"/>
    <xf numFmtId="170" fontId="39" fillId="0" borderId="0" xfId="1" applyNumberFormat="1" applyFont="1" applyAlignment="1">
      <alignment vertical="top"/>
    </xf>
    <xf numFmtId="170" fontId="40" fillId="0" borderId="0" xfId="1" applyNumberFormat="1" applyFont="1" applyAlignment="1">
      <alignment vertical="center"/>
    </xf>
    <xf numFmtId="170" fontId="39" fillId="0" borderId="0" xfId="1" applyNumberFormat="1" applyFont="1" applyAlignment="1">
      <alignment vertical="center"/>
    </xf>
    <xf numFmtId="0" fontId="92" fillId="0" borderId="0" xfId="0" applyFont="1" applyAlignment="1">
      <alignment vertical="center"/>
    </xf>
    <xf numFmtId="0" fontId="40" fillId="0" borderId="6" xfId="0" applyFont="1" applyFill="1" applyBorder="1" applyAlignment="1">
      <alignment horizontal="center" vertical="center"/>
    </xf>
    <xf numFmtId="170" fontId="39" fillId="0" borderId="0" xfId="1" applyNumberFormat="1" applyFont="1" applyAlignment="1"/>
    <xf numFmtId="170" fontId="39" fillId="0" borderId="0" xfId="1" applyNumberFormat="1" applyFont="1" applyAlignment="1">
      <alignment horizontal="right"/>
    </xf>
    <xf numFmtId="170" fontId="40" fillId="0" borderId="0" xfId="1" applyNumberFormat="1" applyFont="1" applyAlignment="1">
      <alignment horizontal="right"/>
    </xf>
    <xf numFmtId="170" fontId="40" fillId="0" borderId="0" xfId="1" applyNumberFormat="1" applyFont="1" applyAlignment="1"/>
    <xf numFmtId="0" fontId="40" fillId="0" borderId="0" xfId="1" applyNumberFormat="1" applyFont="1" applyAlignment="1"/>
    <xf numFmtId="170" fontId="40" fillId="0" borderId="0" xfId="0" applyNumberFormat="1" applyFont="1" applyAlignment="1"/>
    <xf numFmtId="170" fontId="40" fillId="30" borderId="0" xfId="1" applyNumberFormat="1" applyFont="1" applyFill="1" applyAlignment="1">
      <alignment horizontal="right"/>
    </xf>
    <xf numFmtId="170" fontId="40" fillId="30" borderId="0" xfId="1" applyNumberFormat="1" applyFont="1" applyFill="1" applyAlignment="1"/>
    <xf numFmtId="170" fontId="42" fillId="5" borderId="0" xfId="1" applyNumberFormat="1" applyFont="1" applyFill="1" applyAlignment="1"/>
    <xf numFmtId="170" fontId="42" fillId="24" borderId="0" xfId="1" applyNumberFormat="1" applyFont="1" applyFill="1" applyAlignment="1"/>
    <xf numFmtId="170" fontId="42" fillId="5" borderId="0" xfId="1" applyNumberFormat="1" applyFont="1" applyFill="1" applyAlignment="1">
      <alignment horizontal="right"/>
    </xf>
    <xf numFmtId="170" fontId="42" fillId="24" borderId="0" xfId="1" applyNumberFormat="1" applyFont="1" applyFill="1" applyAlignment="1">
      <alignment horizontal="right"/>
    </xf>
    <xf numFmtId="170" fontId="44" fillId="0" borderId="0" xfId="0" applyNumberFormat="1" applyFont="1" applyAlignment="1"/>
    <xf numFmtId="170" fontId="40" fillId="0" borderId="0" xfId="0" applyNumberFormat="1" applyFont="1" applyFill="1" applyAlignment="1"/>
    <xf numFmtId="170" fontId="44" fillId="5" borderId="0" xfId="1" applyNumberFormat="1" applyFont="1" applyFill="1" applyAlignment="1">
      <alignment horizontal="right"/>
    </xf>
    <xf numFmtId="170" fontId="44" fillId="0" borderId="0" xfId="0" applyNumberFormat="1" applyFont="1" applyFill="1" applyAlignment="1"/>
    <xf numFmtId="170" fontId="40" fillId="0" borderId="0" xfId="1" applyNumberFormat="1" applyFont="1" applyFill="1" applyAlignment="1">
      <alignment horizontal="right"/>
    </xf>
    <xf numFmtId="170" fontId="40" fillId="5" borderId="0" xfId="1" applyNumberFormat="1" applyFont="1" applyFill="1" applyAlignment="1"/>
    <xf numFmtId="170" fontId="42" fillId="13" borderId="0" xfId="1" applyNumberFormat="1" applyFont="1" applyFill="1" applyAlignment="1"/>
    <xf numFmtId="170" fontId="42" fillId="13" borderId="0" xfId="1" applyNumberFormat="1" applyFont="1" applyFill="1" applyAlignment="1">
      <alignment horizontal="right"/>
    </xf>
    <xf numFmtId="170" fontId="42" fillId="14" borderId="0" xfId="1" applyNumberFormat="1" applyFont="1" applyFill="1" applyAlignment="1"/>
    <xf numFmtId="170" fontId="42" fillId="14" borderId="0" xfId="1" applyNumberFormat="1" applyFont="1" applyFill="1" applyAlignment="1">
      <alignment horizontal="right"/>
    </xf>
    <xf numFmtId="170" fontId="40" fillId="5" borderId="0" xfId="1" applyNumberFormat="1" applyFont="1" applyFill="1" applyAlignment="1">
      <alignment horizontal="right"/>
    </xf>
    <xf numFmtId="170" fontId="66" fillId="30" borderId="0" xfId="1" applyNumberFormat="1" applyFont="1" applyFill="1" applyAlignment="1">
      <alignment horizontal="right"/>
    </xf>
    <xf numFmtId="170" fontId="66" fillId="5" borderId="0" xfId="1" applyNumberFormat="1" applyFont="1" applyFill="1" applyAlignment="1">
      <alignment horizontal="left"/>
    </xf>
    <xf numFmtId="170" fontId="66" fillId="24" borderId="0" xfId="1" applyNumberFormat="1" applyFont="1" applyFill="1" applyAlignment="1">
      <alignment horizontal="left"/>
    </xf>
    <xf numFmtId="170" fontId="66" fillId="5" borderId="0" xfId="1" applyNumberFormat="1" applyFont="1" applyFill="1" applyAlignment="1">
      <alignment horizontal="right"/>
    </xf>
    <xf numFmtId="170" fontId="66" fillId="24" borderId="0" xfId="1" applyNumberFormat="1" applyFont="1" applyFill="1" applyAlignment="1">
      <alignment horizontal="right"/>
    </xf>
    <xf numFmtId="170" fontId="66" fillId="5" borderId="0" xfId="1" applyNumberFormat="1" applyFont="1" applyFill="1" applyAlignment="1"/>
    <xf numFmtId="170" fontId="96" fillId="30" borderId="0" xfId="1" applyNumberFormat="1" applyFont="1" applyFill="1" applyAlignment="1"/>
    <xf numFmtId="170" fontId="42" fillId="30" borderId="0" xfId="1" applyNumberFormat="1" applyFont="1" applyFill="1" applyAlignment="1"/>
    <xf numFmtId="170" fontId="97" fillId="30" borderId="0" xfId="1" applyNumberFormat="1" applyFont="1" applyFill="1" applyAlignment="1"/>
    <xf numFmtId="170" fontId="66" fillId="30" borderId="0" xfId="1" applyNumberFormat="1" applyFont="1" applyFill="1" applyAlignment="1"/>
    <xf numFmtId="170" fontId="66" fillId="24" borderId="0" xfId="1" applyNumberFormat="1" applyFont="1" applyFill="1" applyAlignment="1"/>
    <xf numFmtId="170" fontId="39" fillId="3" borderId="0" xfId="1" applyNumberFormat="1" applyFont="1" applyFill="1" applyAlignment="1">
      <alignment horizontal="center"/>
    </xf>
    <xf numFmtId="170" fontId="39" fillId="0" borderId="0" xfId="1" applyNumberFormat="1" applyFont="1" applyFill="1" applyAlignment="1">
      <alignment horizontal="center" vertical="center"/>
    </xf>
    <xf numFmtId="170" fontId="42" fillId="9" borderId="0" xfId="1" applyNumberFormat="1" applyFont="1" applyFill="1" applyAlignment="1">
      <alignment vertical="center"/>
    </xf>
    <xf numFmtId="14" fontId="42" fillId="24" borderId="0" xfId="1" applyNumberFormat="1" applyFont="1" applyFill="1" applyAlignment="1">
      <alignment horizontal="right" vertical="center"/>
    </xf>
    <xf numFmtId="14" fontId="42" fillId="9" borderId="0" xfId="1" applyNumberFormat="1" applyFont="1" applyFill="1" applyAlignment="1">
      <alignment horizontal="right" vertical="center"/>
    </xf>
    <xf numFmtId="14" fontId="42" fillId="9" borderId="0" xfId="0" applyNumberFormat="1" applyFont="1" applyFill="1" applyAlignment="1">
      <alignment horizontal="right" vertical="center"/>
    </xf>
    <xf numFmtId="14" fontId="44" fillId="9" borderId="0" xfId="0" applyNumberFormat="1" applyFont="1" applyFill="1" applyAlignment="1">
      <alignment horizontal="right" vertical="center"/>
    </xf>
    <xf numFmtId="0" fontId="44" fillId="0" borderId="0" xfId="0" applyFont="1" applyFill="1" applyAlignment="1">
      <alignment vertical="center"/>
    </xf>
    <xf numFmtId="170" fontId="39" fillId="5" borderId="0" xfId="1" applyNumberFormat="1" applyFont="1" applyFill="1" applyAlignment="1">
      <alignment vertical="center"/>
    </xf>
    <xf numFmtId="170" fontId="39" fillId="24" borderId="0" xfId="1" applyNumberFormat="1" applyFont="1" applyFill="1" applyAlignment="1">
      <alignment vertical="center"/>
    </xf>
    <xf numFmtId="170" fontId="39" fillId="5" borderId="0" xfId="1" applyNumberFormat="1" applyFont="1" applyFill="1" applyAlignment="1">
      <alignment horizontal="right" vertical="center"/>
    </xf>
    <xf numFmtId="170" fontId="39" fillId="24" borderId="0" xfId="1" applyNumberFormat="1" applyFont="1" applyFill="1" applyAlignment="1">
      <alignment horizontal="right" vertical="center"/>
    </xf>
    <xf numFmtId="1" fontId="40" fillId="0" borderId="0" xfId="0" applyNumberFormat="1" applyFont="1" applyFill="1" applyAlignment="1">
      <alignment horizontal="left" vertical="center"/>
    </xf>
    <xf numFmtId="170" fontId="66" fillId="0" borderId="0" xfId="1" applyNumberFormat="1" applyFont="1" applyFill="1" applyAlignment="1">
      <alignment vertical="center"/>
    </xf>
    <xf numFmtId="170" fontId="66" fillId="24" borderId="0" xfId="1" applyNumberFormat="1" applyFont="1" applyFill="1" applyAlignment="1">
      <alignment vertical="center"/>
    </xf>
    <xf numFmtId="170" fontId="66" fillId="0" borderId="0" xfId="1" applyNumberFormat="1" applyFont="1" applyFill="1" applyAlignment="1">
      <alignment horizontal="right" vertical="center"/>
    </xf>
    <xf numFmtId="170" fontId="66" fillId="24" borderId="0" xfId="1" applyNumberFormat="1" applyFont="1" applyFill="1" applyAlignment="1">
      <alignment horizontal="right" vertical="center"/>
    </xf>
    <xf numFmtId="170" fontId="40" fillId="5" borderId="0" xfId="1" applyNumberFormat="1" applyFont="1" applyFill="1" applyAlignment="1">
      <alignment vertical="center"/>
    </xf>
    <xf numFmtId="170" fontId="86" fillId="0" borderId="0" xfId="1" applyNumberFormat="1" applyFont="1" applyFill="1" applyAlignment="1">
      <alignment vertical="center"/>
    </xf>
    <xf numFmtId="170" fontId="39" fillId="0" borderId="0" xfId="1" applyNumberFormat="1" applyFont="1" applyFill="1" applyAlignment="1">
      <alignment vertical="center"/>
    </xf>
    <xf numFmtId="170" fontId="39" fillId="0" borderId="0" xfId="1" applyNumberFormat="1" applyFont="1" applyFill="1" applyAlignment="1">
      <alignment horizontal="right" vertical="center"/>
    </xf>
    <xf numFmtId="0" fontId="42" fillId="11" borderId="0" xfId="0" applyFont="1" applyFill="1" applyAlignment="1">
      <alignment vertical="center"/>
    </xf>
    <xf numFmtId="0" fontId="42" fillId="24" borderId="0" xfId="0" applyFont="1" applyFill="1" applyAlignment="1">
      <alignment vertical="center"/>
    </xf>
    <xf numFmtId="0" fontId="39" fillId="11" borderId="0" xfId="0" applyFont="1" applyFill="1" applyAlignment="1">
      <alignment vertical="center"/>
    </xf>
    <xf numFmtId="0" fontId="39" fillId="24" borderId="0" xfId="0" applyFont="1" applyFill="1" applyAlignment="1">
      <alignment vertical="center"/>
    </xf>
    <xf numFmtId="170" fontId="42" fillId="11" borderId="0" xfId="0" applyNumberFormat="1" applyFont="1" applyFill="1" applyAlignment="1">
      <alignment vertical="center"/>
    </xf>
    <xf numFmtId="0" fontId="40" fillId="0" borderId="0" xfId="0" applyFont="1" applyAlignment="1">
      <alignment horizontal="center" vertical="center"/>
    </xf>
    <xf numFmtId="0" fontId="40" fillId="0" borderId="0" xfId="0" applyFont="1" applyAlignment="1">
      <alignment vertical="center"/>
    </xf>
    <xf numFmtId="0" fontId="40" fillId="0" borderId="0" xfId="0" applyFont="1" applyFill="1" applyAlignment="1">
      <alignment vertical="center"/>
    </xf>
    <xf numFmtId="14" fontId="42" fillId="9" borderId="0" xfId="1" applyNumberFormat="1" applyFont="1" applyFill="1" applyAlignment="1">
      <alignment vertical="center"/>
    </xf>
    <xf numFmtId="170" fontId="39" fillId="30" borderId="0" xfId="1" applyNumberFormat="1" applyFont="1" applyFill="1" applyAlignment="1">
      <alignment vertical="center"/>
    </xf>
    <xf numFmtId="170" fontId="39" fillId="30" borderId="0" xfId="1" applyNumberFormat="1" applyFont="1" applyFill="1" applyAlignment="1">
      <alignment horizontal="right" vertical="center"/>
    </xf>
    <xf numFmtId="170" fontId="42" fillId="16" borderId="0" xfId="1" applyNumberFormat="1" applyFont="1" applyFill="1" applyAlignment="1">
      <alignment vertical="center"/>
    </xf>
    <xf numFmtId="170" fontId="42" fillId="24" borderId="0" xfId="1" applyNumberFormat="1" applyFont="1" applyFill="1" applyAlignment="1">
      <alignment vertical="center"/>
    </xf>
    <xf numFmtId="170" fontId="39" fillId="16" borderId="0" xfId="1" applyNumberFormat="1" applyFont="1" applyFill="1" applyAlignment="1">
      <alignment horizontal="right" vertical="center"/>
    </xf>
    <xf numFmtId="0" fontId="94" fillId="0" borderId="0" xfId="0" applyFont="1" applyFill="1" applyAlignment="1"/>
    <xf numFmtId="0" fontId="40" fillId="0" borderId="0" xfId="0" applyFont="1" applyFill="1" applyAlignment="1">
      <alignment horizontal="left"/>
    </xf>
    <xf numFmtId="170" fontId="39" fillId="4" borderId="0" xfId="1" applyNumberFormat="1" applyFont="1" applyFill="1" applyAlignment="1"/>
    <xf numFmtId="170" fontId="39" fillId="4" borderId="0" xfId="1" applyNumberFormat="1" applyFont="1" applyFill="1" applyAlignment="1">
      <alignment horizontal="right"/>
    </xf>
    <xf numFmtId="0" fontId="94" fillId="4" borderId="0" xfId="0" applyFont="1" applyFill="1" applyAlignment="1"/>
    <xf numFmtId="0" fontId="86" fillId="0" borderId="0" xfId="0" applyFont="1" applyFill="1" applyAlignment="1">
      <alignment horizontal="left"/>
    </xf>
    <xf numFmtId="170" fontId="39" fillId="0" borderId="0" xfId="1" applyNumberFormat="1" applyFont="1" applyFill="1" applyAlignment="1">
      <alignment horizontal="left"/>
    </xf>
    <xf numFmtId="170" fontId="39" fillId="24" borderId="0" xfId="1" applyNumberFormat="1" applyFont="1" applyFill="1" applyAlignment="1">
      <alignment horizontal="left"/>
    </xf>
    <xf numFmtId="1" fontId="39" fillId="0" borderId="0" xfId="1" applyNumberFormat="1" applyFont="1" applyFill="1" applyAlignment="1">
      <alignment horizontal="left"/>
    </xf>
    <xf numFmtId="170" fontId="39" fillId="12" borderId="0" xfId="1" applyNumberFormat="1" applyFont="1" applyFill="1" applyAlignment="1"/>
    <xf numFmtId="170" fontId="40" fillId="12" borderId="0" xfId="1" applyNumberFormat="1" applyFont="1" applyFill="1" applyAlignment="1"/>
    <xf numFmtId="170" fontId="39" fillId="12" borderId="0" xfId="1" applyNumberFormat="1" applyFont="1" applyFill="1" applyAlignment="1">
      <alignment horizontal="right"/>
    </xf>
    <xf numFmtId="170" fontId="40" fillId="12" borderId="0" xfId="1" applyNumberFormat="1" applyFont="1" applyFill="1" applyAlignment="1">
      <alignment horizontal="right"/>
    </xf>
    <xf numFmtId="1" fontId="86" fillId="0" borderId="0" xfId="0" applyNumberFormat="1" applyFont="1" applyFill="1" applyAlignment="1">
      <alignment horizontal="left"/>
    </xf>
    <xf numFmtId="49" fontId="86" fillId="0" borderId="0" xfId="1" applyNumberFormat="1" applyFont="1" applyFill="1" applyAlignment="1"/>
    <xf numFmtId="170" fontId="39" fillId="28" borderId="0" xfId="1" applyNumberFormat="1" applyFont="1" applyFill="1" applyAlignment="1"/>
    <xf numFmtId="170" fontId="39" fillId="28" borderId="0" xfId="1" applyNumberFormat="1" applyFont="1" applyFill="1" applyAlignment="1">
      <alignment horizontal="right"/>
    </xf>
    <xf numFmtId="170" fontId="94" fillId="28" borderId="0" xfId="1" applyNumberFormat="1" applyFont="1" applyFill="1" applyAlignment="1">
      <alignment horizontal="right"/>
    </xf>
    <xf numFmtId="170" fontId="40" fillId="28" borderId="0" xfId="1" applyNumberFormat="1" applyFont="1" applyFill="1" applyAlignment="1">
      <alignment horizontal="right"/>
    </xf>
    <xf numFmtId="170" fontId="40" fillId="28" borderId="0" xfId="1" applyNumberFormat="1" applyFont="1" applyFill="1" applyAlignment="1"/>
    <xf numFmtId="170" fontId="94" fillId="0" borderId="0" xfId="1" applyNumberFormat="1" applyFont="1" applyFill="1" applyAlignment="1">
      <alignment horizontal="right"/>
    </xf>
    <xf numFmtId="170" fontId="39" fillId="15" borderId="0" xfId="1" applyNumberFormat="1" applyFont="1" applyFill="1" applyAlignment="1"/>
    <xf numFmtId="170" fontId="39" fillId="15" borderId="0" xfId="1" applyNumberFormat="1" applyFont="1" applyFill="1" applyAlignment="1">
      <alignment horizontal="right"/>
    </xf>
    <xf numFmtId="170" fontId="40" fillId="15" borderId="0" xfId="1" applyNumberFormat="1" applyFont="1" applyFill="1" applyAlignment="1">
      <alignment horizontal="right"/>
    </xf>
    <xf numFmtId="170" fontId="40" fillId="15" borderId="0" xfId="1" applyNumberFormat="1" applyFont="1" applyFill="1" applyAlignment="1"/>
    <xf numFmtId="170" fontId="40" fillId="14" borderId="0" xfId="1" applyNumberFormat="1" applyFont="1" applyFill="1" applyAlignment="1">
      <alignment horizontal="right"/>
    </xf>
    <xf numFmtId="168" fontId="39" fillId="0" borderId="0" xfId="3" applyNumberFormat="1" applyFont="1" applyFill="1" applyAlignment="1">
      <alignment horizontal="right"/>
    </xf>
    <xf numFmtId="168" fontId="39" fillId="24" borderId="0" xfId="3" applyNumberFormat="1" applyFont="1" applyFill="1" applyAlignment="1">
      <alignment horizontal="right"/>
    </xf>
    <xf numFmtId="168" fontId="40" fillId="0" borderId="0" xfId="3" applyNumberFormat="1" applyFont="1" applyFill="1" applyAlignment="1">
      <alignment horizontal="right"/>
    </xf>
    <xf numFmtId="168" fontId="40" fillId="0" borderId="0" xfId="3" applyNumberFormat="1" applyFont="1" applyFill="1" applyAlignment="1"/>
    <xf numFmtId="170" fontId="40" fillId="24" borderId="0" xfId="1" applyNumberFormat="1" applyFont="1" applyFill="1" applyAlignment="1"/>
    <xf numFmtId="0" fontId="98" fillId="0" borderId="0" xfId="0" applyFont="1" applyFill="1" applyAlignment="1"/>
    <xf numFmtId="0" fontId="92" fillId="24" borderId="0" xfId="0" applyFont="1" applyFill="1" applyAlignment="1"/>
    <xf numFmtId="0" fontId="98" fillId="24" borderId="0" xfId="0" applyFont="1" applyFill="1" applyAlignment="1"/>
  </cellXfs>
  <cellStyles count="8">
    <cellStyle name="Comma" xfId="3" builtinId="3"/>
    <cellStyle name="Comma 2" xfId="6" xr:uid="{EA847B88-8970-437D-A739-06D5436EE569}"/>
    <cellStyle name="Currency" xfId="1" builtinId="4"/>
    <cellStyle name="Currency 2" xfId="5" xr:uid="{9D42157F-4549-4897-A011-D66670A32445}"/>
    <cellStyle name="Hyperlink" xfId="2" builtinId="8"/>
    <cellStyle name="Hyperlink 2" xfId="7" xr:uid="{FB41CF1A-5350-4D04-B278-D633EC6E3715}"/>
    <cellStyle name="Normal" xfId="0" builtinId="0"/>
    <cellStyle name="Normal 2" xfId="4" xr:uid="{FD2FBBB1-6786-407D-9470-A0A29F71F00D}"/>
  </cellStyles>
  <dxfs count="87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theme="1"/>
        <name val="Arial"/>
        <family val="2"/>
        <scheme val="none"/>
      </font>
      <numFmt numFmtId="32" formatCode="_(&quot;$&quot;* #,##0_);_(&quot;$&quot;* \(#,##0\);_(&quot;$&quot;* &quot;-&quot;_);_(@_)"/>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32" formatCode="_(&quot;$&quot;* #,##0_);_(&quot;$&quot;* \(#,##0\);_(&quot;$&quot;* &quot;-&quot;_);_(@_)"/>
      <fill>
        <patternFill patternType="none">
          <fgColor indexed="64"/>
          <bgColor auto="1"/>
        </patternFill>
      </fill>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10"/>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 formatCode="#,##0"/>
      <fill>
        <patternFill patternType="none">
          <fgColor indexed="64"/>
          <bgColor auto="1"/>
        </patternFill>
      </fill>
      <protection locked="1" hidden="0"/>
    </dxf>
    <dxf>
      <font>
        <b val="0"/>
        <i val="0"/>
        <strike val="0"/>
        <condense val="0"/>
        <extend val="0"/>
        <outline val="0"/>
        <shadow val="0"/>
        <u val="none"/>
        <vertAlign val="baseline"/>
        <sz val="10"/>
        <color rgb="FF000000"/>
        <name val="Arial"/>
        <family val="2"/>
        <scheme val="none"/>
      </font>
      <fill>
        <patternFill patternType="solid">
          <fgColor indexed="64"/>
          <bgColor theme="7" tint="0.59999389629810485"/>
        </patternFill>
      </fill>
      <alignment horizontal="general" vertical="bottom" textRotation="0" wrapText="0" indent="0" justifyLastLine="0" shrinkToFit="0" readingOrder="0"/>
    </dxf>
    <dxf>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border>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fgColor indexed="64"/>
          <bgColor auto="1"/>
        </patternFill>
      </fill>
      <protection locked="1" hidden="0"/>
    </dxf>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theme="7" tint="0.5999938962981048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21" formatCode="d\-mmm"/>
      <fill>
        <patternFill patternType="none">
          <fgColor indexed="64"/>
          <bgColor auto="1"/>
        </patternFill>
      </fill>
      <protection locked="1" hidden="0"/>
    </dxf>
    <dxf>
      <fill>
        <patternFill patternType="solid">
          <fgColor indexed="64"/>
          <bgColor theme="7" tint="0.59999389629810485"/>
        </patternFill>
      </fill>
    </dxf>
    <dxf>
      <protection locked="1" hidden="0"/>
    </dxf>
    <dxf>
      <font>
        <b/>
        <i val="0"/>
        <strike val="0"/>
        <condense val="0"/>
        <extend val="0"/>
        <outline val="0"/>
        <shadow val="0"/>
        <u val="none"/>
        <vertAlign val="baseline"/>
        <sz val="9"/>
        <color theme="0"/>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dxf>
    <dxf>
      <alignment horizontal="right"/>
    </dxf>
    <dxf>
      <alignment horizontal="right"/>
    </dxf>
    <dxf>
      <font>
        <sz val="9"/>
      </font>
    </dxf>
    <dxf>
      <font>
        <sz val="9"/>
      </font>
    </dxf>
    <dxf>
      <font>
        <sz val="9"/>
      </font>
    </dxf>
    <dxf>
      <font>
        <sz val="9"/>
      </font>
    </dxf>
    <dxf>
      <font>
        <sz val="9"/>
      </font>
    </dxf>
    <dxf>
      <font>
        <sz val="9"/>
      </font>
    </dxf>
    <dxf>
      <font>
        <sz val="9"/>
      </font>
    </dxf>
    <dxf>
      <font>
        <sz val="9"/>
      </font>
    </dxf>
    <dxf>
      <font>
        <sz val="9"/>
      </font>
    </dxf>
    <dxf>
      <font>
        <sz val="9"/>
      </font>
    </dxf>
    <dxf>
      <font>
        <b/>
        <family val="2"/>
      </font>
    </dxf>
    <dxf>
      <font>
        <b/>
        <family val="2"/>
      </font>
    </dxf>
    <dxf>
      <numFmt numFmtId="168" formatCode="_(* #,##0_);_(* \(#,##0\);_(* &quot;-&quot;??_);_(@_)"/>
    </dxf>
    <dxf>
      <alignment horizontal="right"/>
    </dxf>
    <dxf>
      <alignment horizontal="right"/>
    </dxf>
    <dxf>
      <font>
        <sz val="9"/>
      </font>
    </dxf>
    <dxf>
      <font>
        <sz val="9"/>
      </font>
    </dxf>
    <dxf>
      <font>
        <sz val="9"/>
      </font>
    </dxf>
    <dxf>
      <font>
        <sz val="9"/>
      </font>
    </dxf>
    <dxf>
      <font>
        <sz val="9"/>
      </font>
    </dxf>
    <dxf>
      <font>
        <sz val="9"/>
      </font>
    </dxf>
    <dxf>
      <font>
        <sz val="9"/>
      </font>
    </dxf>
    <dxf>
      <font>
        <sz val="9"/>
      </font>
    </dxf>
    <dxf>
      <font>
        <sz val="9"/>
      </font>
    </dxf>
    <dxf>
      <font>
        <sz val="9"/>
      </font>
    </dxf>
    <dxf>
      <font>
        <b/>
        <family val="2"/>
      </font>
    </dxf>
    <dxf>
      <font>
        <b/>
        <family val="2"/>
      </font>
    </dxf>
    <dxf>
      <numFmt numFmtId="168" formatCode="_(* #,##0_);_(* \(#,##0\);_(* &quot;-&quot;??_);_(@_)"/>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ill>
        <patternFill patternType="solid">
          <fgColor rgb="FF93C47D"/>
          <bgColor rgb="FF93C47D"/>
        </patternFill>
      </fill>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6" formatCode="_([$$-409]* #,##0_);_([$$-409]* \(#,##0\);_([$$-409]*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66" formatCode="_([$$-409]* #,##0_);_([$$-409]* \(#,##0\);_([$$-409]*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68" formatCode="_(* #,##0_);_(* \(#,##0\);_(* &quot;-&quot;??_);_(@_)"/>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0" formatCode="@"/>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alignment horizontal="general" vertical="bottom"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indexed="6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alignment horizontal="general" vertical="bottom" textRotation="0" wrapText="0" indent="0" justifyLastLine="0" shrinkToFit="0" readingOrder="0"/>
      <border diagonalUp="0" diagonalDown="0" outline="0">
        <left/>
        <right/>
        <top style="thin">
          <color theme="0"/>
        </top>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bgColor auto="1"/>
        </patternFill>
      </fill>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border diagonalUp="0" diagonalDown="0" outline="0">
        <left/>
        <right/>
        <top style="thin">
          <color theme="0"/>
        </top>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fill>
        <patternFill patternType="none">
          <bgColor auto="1"/>
        </patternFill>
      </fill>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theme="4" tint="0.79998168889431442"/>
          <bgColor auto="1"/>
        </patternFill>
      </fill>
      <border diagonalUp="0" diagonalDown="0" outline="0">
        <left/>
        <right/>
        <top style="thin">
          <color theme="0"/>
        </top>
        <bottom/>
      </border>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fill>
        <patternFill patternType="none">
          <bgColor auto="1"/>
        </patternFill>
      </fill>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3" formatCode="#,##0"/>
      <fill>
        <patternFill patternType="none">
          <bgColor auto="1"/>
        </patternFill>
      </fill>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ill>
        <patternFill patternType="none">
          <bgColor auto="1"/>
        </patternFill>
      </fill>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0" formatCode="General"/>
      <fill>
        <patternFill patternType="solid">
          <fgColor theme="4" tint="0.59999389629810485"/>
          <bgColor theme="4" tint="0.59999389629810485"/>
        </patternFill>
      </fill>
      <alignment horizontal="general" vertical="bottom"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21" formatCode="d\-mmm"/>
    </dxf>
    <dxf>
      <font>
        <b/>
        <i val="0"/>
        <strike val="0"/>
        <condense val="0"/>
        <extend val="0"/>
        <outline val="0"/>
        <shadow val="0"/>
        <u val="none"/>
        <vertAlign val="baseline"/>
        <sz val="9"/>
        <color theme="0"/>
        <name val="Arial"/>
        <family val="2"/>
        <scheme val="none"/>
      </font>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val="0"/>
        <strike val="0"/>
        <condense val="0"/>
        <extend val="0"/>
        <outline val="0"/>
        <shadow val="0"/>
        <u val="none"/>
        <vertAlign val="baseline"/>
        <sz val="9"/>
        <color rgb="FF000000"/>
        <name val="Arial"/>
        <family val="2"/>
        <scheme val="none"/>
      </font>
      <numFmt numFmtId="170" formatCode="_(&quot;$&quot;* #,##0_);_(&quot;$&quot;* \(#,##0\);_(&quot;$&quot;* &quot;-&quot;??_);_(@_)"/>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i/>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i/>
        <strike val="0"/>
        <condense val="0"/>
        <extend val="0"/>
        <outline val="0"/>
        <shadow val="0"/>
        <u val="none"/>
        <vertAlign val="baseline"/>
        <sz val="9"/>
        <color rgb="FF000000"/>
        <name val="Arial"/>
        <family val="2"/>
        <scheme val="none"/>
      </font>
      <numFmt numFmtId="170" formatCode="_(&quot;$&quot;* #,##0_);_(&quot;$&quot;* \(#,##0\);_(&quot;$&quot;* &quot;-&quot;??_);_(@_)"/>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10"/>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dxf>
    <dxf>
      <font>
        <b/>
        <i/>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i/>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top style="thin">
          <color theme="0"/>
        </top>
        <bottom style="thin">
          <color theme="0"/>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theme="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9"/>
        <color theme="1"/>
        <name val="Arial"/>
        <family val="2"/>
        <scheme val="none"/>
      </font>
      <numFmt numFmtId="170" formatCode="_(&quot;$&quot;* #,##0_);_(&quot;$&quot;* \(#,##0\);_(&quot;$&quot;* &quot;-&quot;??_);_(@_)"/>
      <fill>
        <patternFill patternType="none">
          <fgColor indexed="64"/>
          <bgColor auto="1"/>
        </patternFill>
      </fill>
      <alignment horizontal="general"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border outline="0">
        <right style="thin">
          <color theme="0"/>
        </right>
      </border>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170" formatCode="_(&quot;$&quot;* #,##0_);_(&quot;$&quot;* \(#,##0\);_(&quot;$&quot;* &quot;-&quot;??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numFmt numFmtId="170" formatCode="_(&quot;$&quot;* #,##0_);_(&quot;$&quot;* \(#,##0\);_(&quot;$&quot;* &quot;-&quot;??_);_(@_)"/>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numFmt numFmtId="3" formatCode="#,##0"/>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9"/>
        <color rgb="FF000000"/>
        <name val="Arial"/>
        <family val="2"/>
        <scheme val="none"/>
      </font>
    </dxf>
    <dxf>
      <font>
        <b val="0"/>
        <i val="0"/>
        <strike val="0"/>
        <condense val="0"/>
        <extend val="0"/>
        <outline val="0"/>
        <shadow val="0"/>
        <u val="none"/>
        <vertAlign val="baseline"/>
        <sz val="9"/>
        <color rgb="FF000000"/>
        <name val="Arial"/>
        <family val="2"/>
        <scheme val="none"/>
      </font>
    </dxf>
    <dxf>
      <font>
        <b/>
        <i val="0"/>
        <strike val="0"/>
        <condense val="0"/>
        <extend val="0"/>
        <outline val="0"/>
        <shadow val="0"/>
        <u val="none"/>
        <vertAlign val="baseline"/>
        <sz val="9"/>
        <color rgb="FF000000"/>
        <name val="Arial"/>
        <family val="2"/>
        <scheme val="none"/>
      </font>
    </dxf>
    <dxf>
      <fill>
        <patternFill>
          <bgColor rgb="FFFFB3B5"/>
        </patternFill>
      </fill>
    </dxf>
    <dxf>
      <fill>
        <patternFill>
          <bgColor theme="9" tint="0.79998168889431442"/>
        </patternFill>
      </fill>
    </dxf>
  </dxfs>
  <tableStyles count="1" defaultTableStyle="TableStyleMedium2" defaultPivotStyle="PivotStyleLight16">
    <tableStyle name="Table Style 1" pivot="0" count="2" xr9:uid="{EB95EFF0-C661-402B-824D-8B692E874C5F}">
      <tableStyleElement type="firstRowStripe" dxfId="875"/>
      <tableStyleElement type="secondRowStripe" dxfId="874"/>
    </tableStyle>
  </tableStyles>
  <colors>
    <mruColors>
      <color rgb="FFFFB3B5"/>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 Dure" refreshedDate="43811.79362916667" createdVersion="6" refreshedVersion="6" minRefreshableVersion="3" recordCount="255" xr:uid="{FBCE75E7-0577-46D0-972B-DDBA028FCF78}">
  <cacheSource type="worksheet">
    <worksheetSource name="wotable"/>
  </cacheSource>
  <cacheFields count="17">
    <cacheField name="Month" numFmtId="0">
      <sharedItems/>
    </cacheField>
    <cacheField name="Day" numFmtId="0">
      <sharedItems containsSemiMixedTypes="0" containsString="0" containsNumber="1" containsInteger="1" minValue="1" maxValue="31"/>
    </cacheField>
    <cacheField name="Year" numFmtId="0">
      <sharedItems containsSemiMixedTypes="0" containsString="0" containsNumber="1" containsInteger="1" minValue="2010" maxValue="2019" count="10">
        <n v="2010"/>
        <n v="2011"/>
        <n v="2012"/>
        <n v="2013"/>
        <n v="2014"/>
        <n v="2015"/>
        <n v="2016"/>
        <n v="2017"/>
        <n v="2018"/>
        <n v="2019"/>
      </sharedItems>
    </cacheField>
    <cacheField name="Opponent" numFmtId="0">
      <sharedItems containsBlank="1"/>
    </cacheField>
    <cacheField name="Game type" numFmtId="0">
      <sharedItems containsBlank="1" count="6">
        <s v="Friendly"/>
        <s v="WC qual"/>
        <m/>
        <s v="World Cup"/>
        <s v="Oly qual"/>
        <s v="Olympics"/>
      </sharedItems>
    </cacheField>
    <cacheField name="Tier" numFmtId="0">
      <sharedItems containsBlank="1"/>
    </cacheField>
    <cacheField name="Res" numFmtId="0">
      <sharedItems containsBlank="1"/>
    </cacheField>
    <cacheField name="State/Country" numFmtId="0">
      <sharedItems count="47">
        <s v="Portugal"/>
        <s v="USA/Calif."/>
        <s v="USA/Utah"/>
        <s v="USA/Ohio"/>
        <s v="USA/Neb."/>
        <s v="USA/Conn."/>
        <s v="USA/Ga."/>
        <s v="USA/Pa."/>
        <s v="Mexico"/>
        <s v="Italy"/>
        <s v="USA/Ill."/>
        <s v="Tier 1 salaries"/>
        <s v="Tier 2 salaries"/>
        <s v="Tier 3 salaries"/>
        <s v="Estimated floater (camp) weeks"/>
        <s v="China"/>
        <s v="England"/>
        <s v="USA/N.C."/>
        <s v="USA/N.J."/>
        <s v="Germany"/>
        <s v="USA/Kansas"/>
        <s v="USA/Ore."/>
        <s v="USA/Ariz."/>
        <s v="Canada"/>
        <s v="USA/Texas"/>
        <s v="Japan"/>
        <s v="Sweden"/>
        <s v="Scotland"/>
        <s v="USA/N.Y."/>
        <s v="USA/Colo."/>
        <s v="USA/MIch."/>
        <s v="USA/Fla."/>
        <s v="USA/Tenn."/>
        <s v="Netherlands"/>
        <s v="USA/Mass."/>
        <s v="USA/D.C."/>
        <s v="Brazil"/>
        <s v="France"/>
        <s v="USA/Mo."/>
        <s v="USA/Ala."/>
        <s v="USA/Wash."/>
        <s v="USA/La."/>
        <s v="USA/Minn."/>
        <s v="Norway"/>
        <s v="Salaries"/>
        <s v="Camps"/>
        <s v="Spain"/>
      </sharedItems>
    </cacheField>
    <cacheField name="Att" numFmtId="0">
      <sharedItems containsString="0" containsBlank="1" containsNumber="1" containsInteger="1" minValue="250" maxValue="80203"/>
    </cacheField>
    <cacheField name="AB?" numFmtId="0">
      <sharedItems containsBlank="1"/>
    </cacheField>
    <cacheField name="Salaried" numFmtId="42">
      <sharedItems containsString="0" containsBlank="1" containsNumber="1" containsInteger="1" minValue="0" maxValue="100000"/>
    </cacheField>
    <cacheField name="No." numFmtId="0">
      <sharedItems containsString="0" containsBlank="1" containsNumber="1" containsInteger="1" minValue="2" maxValue="23"/>
    </cacheField>
    <cacheField name="Non-salaried" numFmtId="170">
      <sharedItems containsString="0" containsBlank="1" containsNumber="1" containsInteger="1" minValue="313" maxValue="12250"/>
    </cacheField>
    <cacheField name="NoNS" numFmtId="0">
      <sharedItems containsString="0" containsBlank="1" containsNumber="1" containsInteger="1" minValue="0" maxValue="20"/>
    </cacheField>
    <cacheField name="Game pay" numFmtId="170">
      <sharedItems containsSemiMixedTypes="0" containsString="0" containsNumber="1" containsInteger="1" minValue="0" maxValue="2000000"/>
    </cacheField>
    <cacheField name="Att bonus" numFmtId="170">
      <sharedItems containsString="0" containsBlank="1" containsNumber="1" minValue="0" maxValue="74256"/>
    </cacheField>
    <cacheField name="TEAM PAY" numFmtId="170">
      <sharedItems containsSemiMixedTypes="0" containsString="0" containsNumber="1" minValue="0" maxValue="2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au Dure" refreshedDate="43811.873413310183" createdVersion="6" refreshedVersion="6" minRefreshableVersion="3" recordCount="183" xr:uid="{927E28E5-3328-4F64-8681-869C556D8079}">
  <cacheSource type="worksheet">
    <worksheetSource name="metable"/>
  </cacheSource>
  <cacheFields count="15">
    <cacheField name="Month" numFmtId="0">
      <sharedItems containsBlank="1"/>
    </cacheField>
    <cacheField name="Day" numFmtId="0">
      <sharedItems containsString="0" containsBlank="1" containsNumber="1" containsInteger="1" minValue="1" maxValue="31"/>
    </cacheField>
    <cacheField name="Year" numFmtId="49">
      <sharedItems containsString="0" containsBlank="1" containsNumber="1" containsInteger="1" minValue="2010" maxValue="2019" count="11">
        <n v="2010"/>
        <n v="2011"/>
        <m/>
        <n v="2012"/>
        <n v="2013"/>
        <n v="2014"/>
        <n v="2015"/>
        <n v="2016"/>
        <n v="2017"/>
        <n v="2018"/>
        <n v="2019"/>
      </sharedItems>
    </cacheField>
    <cacheField name="Opponent" numFmtId="49">
      <sharedItems/>
    </cacheField>
    <cacheField name="Type" numFmtId="49">
      <sharedItems containsBlank="1" count="8">
        <s v="Friendly"/>
        <s v="World Cup"/>
        <s v="Gold Cup"/>
        <m/>
        <s v="WCQ SF"/>
        <s v="WCQ Hex"/>
        <s v="Copa America"/>
        <s v="Nations League"/>
      </sharedItems>
    </cacheField>
    <cacheField name="Tier" numFmtId="49">
      <sharedItems containsBlank="1"/>
    </cacheField>
    <cacheField name="Res" numFmtId="49">
      <sharedItems containsBlank="1"/>
    </cacheField>
    <cacheField name="State/Country" numFmtId="0">
      <sharedItems containsBlank="1" count="57">
        <s v="USA/Calif."/>
        <s v="USA/Fla."/>
        <s v="Netherlands"/>
        <s v="USA/Conn."/>
        <s v="USA/Pa."/>
        <s v="South Africa"/>
        <s v="USA/N.J."/>
        <s v="USA/Ill."/>
        <s v="USA/Tenn."/>
        <s v="USA/Mass."/>
        <s v="USA/Mich."/>
        <s v="USA/Kan."/>
        <s v="USA/D.C."/>
        <s v="USA/Texas"/>
        <s v="Belgium"/>
        <s v="France"/>
        <s v="Slovenia"/>
        <m/>
        <s v="USA/Ariz."/>
        <s v="Panama"/>
        <s v="Italy"/>
        <s v="USA/Md."/>
        <s v="Canada"/>
        <s v="Guatemala"/>
        <s v="Mexico"/>
        <s v="Jamaica"/>
        <s v="USA/Ohio"/>
        <s v="Antigua"/>
        <s v="Russia"/>
        <s v="Honduras"/>
        <s v="USA/Colo."/>
        <s v="USA/Wash."/>
        <s v="USA/Utah"/>
        <s v="USA/Ore."/>
        <s v="Bosnia"/>
        <s v="Costa Rica"/>
        <s v="Scotland"/>
        <s v="Austria"/>
        <s v="Cyprus"/>
        <s v="Brazil"/>
        <s v="Czech Republic"/>
        <s v="England"/>
        <s v="Ireland"/>
        <s v="Chile"/>
        <s v="Denmark"/>
        <s v="Switzerland"/>
        <s v="Germany"/>
        <s v="USA/Ga."/>
        <s v="USA/Mo."/>
        <s v="T&amp;T"/>
        <s v="Puerto Rico"/>
        <s v="St. Vincent"/>
        <s v="Cuba"/>
        <s v="Portugal"/>
        <s v="USA/N.C."/>
        <s v="USA/Minn."/>
        <s v="Cayman Islands"/>
      </sharedItems>
    </cacheField>
    <cacheField name="Attendance" numFmtId="168">
      <sharedItems containsBlank="1" containsMixedTypes="1" containsNumber="1" containsInteger="1" minValue="1500" maxValue="93723" count="166">
        <n v="18626"/>
        <n v="21737"/>
        <n v="46630"/>
        <n v="36218"/>
        <n v="55407"/>
        <n v="6000"/>
        <n v="38646"/>
        <n v="45573"/>
        <n v="35827"/>
        <n v="34976"/>
        <n v="77223"/>
        <n v="31696"/>
        <n v="8823"/>
        <n v="52000"/>
        <n v="18580"/>
        <n v="78936"/>
        <n v="29059"/>
        <n v="64121"/>
        <n v="28209"/>
        <n v="27731"/>
        <n v="21109"/>
        <n v="45423"/>
        <n v="70267"/>
        <n v="93420"/>
        <n v="30138"/>
        <n v="15798"/>
        <n v="21946"/>
        <n v="21170"/>
        <n v="20707"/>
        <n v="70018"/>
        <n v="8140"/>
        <m/>
        <n v="22403"/>
        <n v="15000"/>
        <n v="44438"/>
        <n v="67619"/>
        <n v="15247"/>
        <n v="23971"/>
        <n v="18000"/>
        <n v="56000"/>
        <n v="24000"/>
        <n v="23881"/>
        <n v="7000"/>
        <n v="16947"/>
        <n v="28200"/>
        <n v="11737"/>
        <n v="37000"/>
        <n v="19374"/>
        <n v="85500"/>
        <n v="27720"/>
        <n v="47359"/>
        <n v="12130"/>
        <n v="40847"/>
        <n v="20250"/>
        <n v="25080"/>
        <n v="18724"/>
        <n v="17597"/>
        <n v="25432"/>
        <n v="70540"/>
        <n v="81410"/>
        <n v="57920"/>
        <n v="35000"/>
        <n v="24584"/>
        <n v="18467"/>
        <n v="18254"/>
        <n v="21079"/>
        <n v="20200"/>
        <n v="27000"/>
        <n v="1573"/>
        <n v="59066"/>
        <n v="24688"/>
        <n v="26762"/>
        <n v="52033"/>
        <n v="39760"/>
        <n v="40123"/>
        <n v="41876"/>
        <n v="51227"/>
        <n v="12642"/>
        <n v="36265"/>
        <n v="14805"/>
        <n v="24235"/>
        <n v="33332"/>
        <n v="12420"/>
        <n v="20271"/>
        <n v="10505"/>
        <n v="16100"/>
        <n v="64369"/>
        <n v="46000"/>
        <n v="40348"/>
        <n v="44835"/>
        <n v="22357"/>
        <n v="46720"/>
        <n v="37994"/>
        <n v="70511"/>
        <n v="12598"/>
        <n v="28896"/>
        <n v="29308"/>
        <n v="93723"/>
        <n v="9214"/>
        <n v="43433"/>
        <n v="22809"/>
        <n v="8803"/>
        <n v="9274"/>
        <n v="18313"/>
        <n v="20624"/>
        <n v="14000"/>
        <n v="9893"/>
        <n v="8894"/>
        <n v="67439"/>
        <n v="39642"/>
        <n v="51041"/>
        <n v="47322"/>
        <n v="70858"/>
        <n v="29041"/>
        <s v="NA"/>
        <n v="19410"/>
        <n v="9012"/>
        <n v="24650"/>
        <n v="35400"/>
        <n v="20079"/>
        <n v="17903"/>
        <n v="17729"/>
        <n v="23052"/>
        <n v="17315"/>
        <n v="19188"/>
        <n v="71537"/>
        <n v="28754"/>
        <n v="47622"/>
        <n v="23368"/>
        <n v="27934"/>
        <n v="31615"/>
        <n v="45516"/>
        <n v="63032"/>
        <n v="26500"/>
        <n v="37325"/>
        <n v="25303"/>
        <n v="1500"/>
        <n v="19017"/>
        <n v="11161"/>
        <n v="9895"/>
        <n v="11882"/>
        <n v="32300"/>
        <n v="58241"/>
        <n v="32489"/>
        <n v="40194"/>
        <n v="38631"/>
        <n v="24959"/>
        <n v="68155"/>
        <n v="13500"/>
        <n v="9040"/>
        <n v="13656"/>
        <n v="17422"/>
        <n v="18033"/>
        <n v="17719"/>
        <n v="23955"/>
        <n v="19418"/>
        <n v="23921"/>
        <n v="17037"/>
        <n v="26233"/>
        <n v="28473"/>
        <n v="62493"/>
        <n v="47960"/>
        <n v="20625"/>
        <n v="13784"/>
        <n v="17126"/>
        <n v="13103"/>
      </sharedItems>
    </cacheField>
    <cacheField name="AB?" numFmtId="0">
      <sharedItems containsBlank="1"/>
    </cacheField>
    <cacheField name="Per player" numFmtId="0">
      <sharedItems containsSemiMixedTypes="0" containsString="0" containsNumber="1" containsInteger="1" minValue="1500" maxValue="18125"/>
    </cacheField>
    <cacheField name="No." numFmtId="0">
      <sharedItems containsSemiMixedTypes="0" containsString="0" containsNumber="1" containsInteger="1" minValue="10" maxValue="23"/>
    </cacheField>
    <cacheField name="Game pay" numFmtId="0">
      <sharedItems containsSemiMixedTypes="0" containsString="0" containsNumber="1" containsInteger="1" minValue="15000" maxValue="416875"/>
    </cacheField>
    <cacheField name="Att bonus" numFmtId="170">
      <sharedItems containsString="0" containsBlank="1" containsNumber="1" minValue="0" maxValue="140584.5"/>
    </cacheField>
    <cacheField name="TEAM PAY" numFmtId="166">
      <sharedItems containsSemiMixedTypes="0" containsString="0" containsNumber="1" minValue="15000" maxValue="45482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s v="Feb"/>
    <n v="24"/>
    <x v="0"/>
    <s v="Iceland"/>
    <x v="0"/>
    <m/>
    <s v="W"/>
    <x v="0"/>
    <n v="250"/>
    <s v="x"/>
    <n v="1250"/>
    <n v="19"/>
    <n v="2500"/>
    <n v="0"/>
    <n v="23750"/>
    <n v="0"/>
    <n v="23750"/>
  </r>
  <r>
    <s v="Feb"/>
    <n v="26"/>
    <x v="0"/>
    <s v="Norway"/>
    <x v="0"/>
    <m/>
    <s v="W"/>
    <x v="0"/>
    <n v="300"/>
    <s v="x"/>
    <n v="1250"/>
    <n v="19"/>
    <n v="2500"/>
    <n v="0"/>
    <n v="23750"/>
    <n v="0"/>
    <n v="23750"/>
  </r>
  <r>
    <s v="Mar"/>
    <n v="1"/>
    <x v="0"/>
    <s v="Sweden"/>
    <x v="0"/>
    <m/>
    <s v="W"/>
    <x v="0"/>
    <n v="500"/>
    <s v="x"/>
    <n v="1250"/>
    <n v="19"/>
    <n v="2500"/>
    <n v="0"/>
    <n v="23750"/>
    <n v="0"/>
    <n v="23750"/>
  </r>
  <r>
    <s v="Mar"/>
    <n v="3"/>
    <x v="0"/>
    <s v="Germany"/>
    <x v="0"/>
    <m/>
    <s v="W"/>
    <x v="0"/>
    <n v="1200"/>
    <s v="x"/>
    <n v="1250"/>
    <n v="19"/>
    <n v="2500"/>
    <n v="0"/>
    <n v="23750"/>
    <n v="0"/>
    <n v="23750"/>
  </r>
  <r>
    <s v="Mar"/>
    <n v="28"/>
    <x v="0"/>
    <s v="Mexico"/>
    <x v="0"/>
    <m/>
    <s v="W"/>
    <x v="1"/>
    <n v="3069"/>
    <s v="x"/>
    <n v="1250"/>
    <n v="17"/>
    <n v="2500"/>
    <n v="1"/>
    <n v="23750"/>
    <n v="0"/>
    <n v="23750"/>
  </r>
  <r>
    <s v="Mar"/>
    <n v="31"/>
    <x v="0"/>
    <s v="Mexico"/>
    <x v="0"/>
    <m/>
    <s v="W"/>
    <x v="2"/>
    <n v="3732"/>
    <s v="x"/>
    <n v="1250"/>
    <n v="17"/>
    <n v="2500"/>
    <n v="1"/>
    <n v="23750"/>
    <n v="0"/>
    <n v="23750"/>
  </r>
  <r>
    <s v="May"/>
    <n v="22"/>
    <x v="0"/>
    <s v="Germany"/>
    <x v="0"/>
    <m/>
    <s v="W"/>
    <x v="3"/>
    <n v="10321"/>
    <s v="x"/>
    <n v="1250"/>
    <n v="17"/>
    <n v="2500"/>
    <n v="1"/>
    <n v="23750"/>
    <n v="0"/>
    <n v="23750"/>
  </r>
  <r>
    <s v="Jul"/>
    <n v="13"/>
    <x v="0"/>
    <s v="Sweden"/>
    <x v="0"/>
    <m/>
    <s v="D"/>
    <x v="4"/>
    <n v="6493"/>
    <s v="x"/>
    <n v="0"/>
    <n v="17"/>
    <n v="1250"/>
    <n v="1"/>
    <n v="1250"/>
    <n v="0"/>
    <n v="1250"/>
  </r>
  <r>
    <s v="Jul"/>
    <n v="17"/>
    <x v="0"/>
    <s v="Sweden"/>
    <x v="0"/>
    <m/>
    <s v="W"/>
    <x v="5"/>
    <n v="5887"/>
    <s v="x"/>
    <n v="1250"/>
    <n v="17"/>
    <n v="2500"/>
    <n v="1"/>
    <n v="23750"/>
    <n v="0"/>
    <n v="23750"/>
  </r>
  <r>
    <s v="Oct"/>
    <n v="2"/>
    <x v="0"/>
    <s v="China"/>
    <x v="0"/>
    <m/>
    <s v="W"/>
    <x v="6"/>
    <n v="4759"/>
    <s v="x"/>
    <n v="1250"/>
    <n v="18"/>
    <n v="2500"/>
    <n v="0"/>
    <n v="22500"/>
    <n v="0"/>
    <n v="22500"/>
  </r>
  <r>
    <s v="Oct"/>
    <n v="6"/>
    <x v="0"/>
    <s v="China"/>
    <x v="0"/>
    <m/>
    <s v="D"/>
    <x v="7"/>
    <n v="2505"/>
    <s v="x"/>
    <n v="0"/>
    <n v="18"/>
    <n v="1250"/>
    <n v="0"/>
    <n v="0"/>
    <n v="0"/>
    <n v="0"/>
  </r>
  <r>
    <s v="Oct"/>
    <n v="28"/>
    <x v="0"/>
    <s v="Haiti"/>
    <x v="1"/>
    <m/>
    <s v="W"/>
    <x v="8"/>
    <n v="2500"/>
    <s v="x"/>
    <n v="1250"/>
    <n v="19"/>
    <n v="2500"/>
    <n v="0"/>
    <n v="23750"/>
    <n v="0"/>
    <n v="23750"/>
  </r>
  <r>
    <s v="Oct"/>
    <n v="30"/>
    <x v="0"/>
    <s v="Guatemala"/>
    <x v="1"/>
    <m/>
    <s v="W"/>
    <x v="8"/>
    <n v="1050"/>
    <s v="x"/>
    <n v="1250"/>
    <n v="19"/>
    <n v="2500"/>
    <n v="0"/>
    <n v="23750"/>
    <n v="0"/>
    <n v="23750"/>
  </r>
  <r>
    <s v="Nov"/>
    <n v="1"/>
    <x v="0"/>
    <s v="Costa Rica"/>
    <x v="1"/>
    <m/>
    <s v="W"/>
    <x v="8"/>
    <n v="503"/>
    <s v="x"/>
    <n v="1250"/>
    <n v="19"/>
    <n v="2500"/>
    <n v="0"/>
    <n v="23750"/>
    <n v="0"/>
    <n v="23750"/>
  </r>
  <r>
    <s v="Nov"/>
    <n v="5"/>
    <x v="0"/>
    <s v="Mexico"/>
    <x v="1"/>
    <m/>
    <s v="L"/>
    <x v="8"/>
    <n v="8500"/>
    <s v="x"/>
    <n v="0"/>
    <n v="19"/>
    <n v="1250"/>
    <n v="0"/>
    <n v="0"/>
    <n v="0"/>
    <n v="0"/>
  </r>
  <r>
    <s v="Nov"/>
    <n v="8"/>
    <x v="0"/>
    <s v="Costa Rica"/>
    <x v="1"/>
    <m/>
    <s v="W"/>
    <x v="8"/>
    <n v="2500"/>
    <s v="x"/>
    <n v="1250"/>
    <n v="19"/>
    <n v="2500"/>
    <n v="0"/>
    <n v="23750"/>
    <n v="0"/>
    <n v="23750"/>
  </r>
  <r>
    <s v="Nov"/>
    <n v="20"/>
    <x v="0"/>
    <s v="Italy"/>
    <x v="1"/>
    <m/>
    <s v="W"/>
    <x v="9"/>
    <n v="5000"/>
    <s v="x"/>
    <n v="1250"/>
    <n v="19"/>
    <n v="2500"/>
    <n v="0"/>
    <n v="23750"/>
    <n v="0"/>
    <n v="23750"/>
  </r>
  <r>
    <s v="Nov"/>
    <n v="27"/>
    <x v="0"/>
    <s v="Italy"/>
    <x v="1"/>
    <m/>
    <s v="W"/>
    <x v="10"/>
    <n v="9508"/>
    <s v="x"/>
    <n v="1250"/>
    <n v="19"/>
    <n v="2500"/>
    <n v="0"/>
    <n v="23750"/>
    <n v="0"/>
    <n v="23750"/>
  </r>
  <r>
    <s v="Dec"/>
    <n v="28"/>
    <x v="0"/>
    <m/>
    <x v="2"/>
    <m/>
    <m/>
    <x v="11"/>
    <m/>
    <m/>
    <n v="62500"/>
    <n v="18"/>
    <m/>
    <m/>
    <n v="1125000"/>
    <m/>
    <n v="1125000"/>
  </r>
  <r>
    <s v="Dec"/>
    <n v="29"/>
    <x v="0"/>
    <m/>
    <x v="2"/>
    <m/>
    <m/>
    <x v="12"/>
    <m/>
    <m/>
    <n v="43740"/>
    <n v="4"/>
    <m/>
    <m/>
    <n v="174960"/>
    <m/>
    <n v="174960"/>
  </r>
  <r>
    <s v="Dec"/>
    <n v="30"/>
    <x v="0"/>
    <m/>
    <x v="2"/>
    <m/>
    <m/>
    <x v="13"/>
    <m/>
    <m/>
    <n v="31250"/>
    <n v="2"/>
    <m/>
    <m/>
    <n v="62500"/>
    <m/>
    <n v="62500"/>
  </r>
  <r>
    <s v="Dec"/>
    <n v="31"/>
    <x v="0"/>
    <m/>
    <x v="2"/>
    <m/>
    <m/>
    <x v="14"/>
    <m/>
    <m/>
    <m/>
    <m/>
    <n v="313"/>
    <n v="20"/>
    <n v="6260"/>
    <m/>
    <n v="6260"/>
  </r>
  <r>
    <s v="Jan"/>
    <n v="21"/>
    <x v="1"/>
    <s v="Sweden"/>
    <x v="0"/>
    <m/>
    <s v="L"/>
    <x v="15"/>
    <n v="10000"/>
    <s v="x"/>
    <n v="0"/>
    <n v="17"/>
    <n v="1250"/>
    <n v="1"/>
    <n v="1250"/>
    <n v="0"/>
    <n v="1250"/>
  </r>
  <r>
    <s v="Jan"/>
    <n v="23"/>
    <x v="1"/>
    <s v="Canada"/>
    <x v="0"/>
    <m/>
    <s v="W"/>
    <x v="15"/>
    <n v="7000"/>
    <s v="x"/>
    <n v="1250"/>
    <n v="17"/>
    <n v="2500"/>
    <n v="1"/>
    <n v="23750"/>
    <n v="0"/>
    <n v="23750"/>
  </r>
  <r>
    <s v="Jan"/>
    <n v="25"/>
    <x v="1"/>
    <s v="China"/>
    <x v="0"/>
    <m/>
    <s v="W"/>
    <x v="15"/>
    <n v="12000"/>
    <s v="x"/>
    <n v="1250"/>
    <n v="17"/>
    <n v="2500"/>
    <n v="1"/>
    <n v="23750"/>
    <n v="0"/>
    <n v="23750"/>
  </r>
  <r>
    <s v="Mar"/>
    <n v="2"/>
    <x v="1"/>
    <s v="Japan"/>
    <x v="0"/>
    <m/>
    <s v="W"/>
    <x v="0"/>
    <n v="350"/>
    <s v="x"/>
    <n v="1250"/>
    <n v="17"/>
    <n v="2500"/>
    <n v="1"/>
    <n v="23750"/>
    <n v="0"/>
    <n v="23750"/>
  </r>
  <r>
    <s v="Mar"/>
    <n v="4"/>
    <x v="1"/>
    <s v="Norway"/>
    <x v="0"/>
    <m/>
    <s v="W"/>
    <x v="0"/>
    <n v="400"/>
    <s v="x"/>
    <n v="1250"/>
    <n v="17"/>
    <n v="2500"/>
    <n v="1"/>
    <n v="23750"/>
    <n v="0"/>
    <n v="23750"/>
  </r>
  <r>
    <s v="Mar"/>
    <n v="7"/>
    <x v="1"/>
    <s v="Finland"/>
    <x v="0"/>
    <m/>
    <s v="W"/>
    <x v="0"/>
    <n v="250"/>
    <s v="x"/>
    <n v="1250"/>
    <n v="17"/>
    <n v="2500"/>
    <n v="1"/>
    <n v="23750"/>
    <n v="0"/>
    <n v="23750"/>
  </r>
  <r>
    <s v="Mar"/>
    <n v="9"/>
    <x v="1"/>
    <s v="Iceland"/>
    <x v="0"/>
    <m/>
    <s v="W"/>
    <x v="0"/>
    <n v="1500"/>
    <s v="x"/>
    <n v="1250"/>
    <n v="17"/>
    <n v="2500"/>
    <n v="1"/>
    <n v="23750"/>
    <n v="0"/>
    <n v="23750"/>
  </r>
  <r>
    <s v="Apr"/>
    <n v="2"/>
    <x v="1"/>
    <s v="England"/>
    <x v="0"/>
    <m/>
    <s v="L"/>
    <x v="16"/>
    <n v="5801"/>
    <s v="x"/>
    <n v="0"/>
    <n v="17"/>
    <n v="1250"/>
    <n v="1"/>
    <n v="1250"/>
    <n v="0"/>
    <n v="1250"/>
  </r>
  <r>
    <s v="May"/>
    <n v="14"/>
    <x v="1"/>
    <s v="Japan"/>
    <x v="0"/>
    <m/>
    <s v="W"/>
    <x v="3"/>
    <n v="5234"/>
    <s v="x"/>
    <n v="1250"/>
    <n v="17"/>
    <n v="2500"/>
    <n v="1"/>
    <n v="23750"/>
    <n v="0"/>
    <n v="23750"/>
  </r>
  <r>
    <s v="May"/>
    <n v="18"/>
    <x v="1"/>
    <s v="Japan"/>
    <x v="0"/>
    <m/>
    <s v="W"/>
    <x v="17"/>
    <n v="5323"/>
    <s v="x"/>
    <n v="1250"/>
    <n v="17"/>
    <n v="2500"/>
    <n v="1"/>
    <n v="23750"/>
    <n v="0"/>
    <n v="23750"/>
  </r>
  <r>
    <s v="Jun"/>
    <n v="5"/>
    <x v="1"/>
    <s v="Mexico"/>
    <x v="0"/>
    <m/>
    <s v="W"/>
    <x v="18"/>
    <n v="5852"/>
    <s v="x"/>
    <n v="1250"/>
    <n v="17"/>
    <n v="2500"/>
    <n v="1"/>
    <n v="23750"/>
    <n v="0"/>
    <n v="23750"/>
  </r>
  <r>
    <s v="Jun"/>
    <n v="28"/>
    <x v="1"/>
    <s v="North Korea"/>
    <x v="3"/>
    <m/>
    <s v="W"/>
    <x v="19"/>
    <n v="21859"/>
    <s v="x"/>
    <n v="1250"/>
    <n v="21"/>
    <n v="2500"/>
    <n v="0"/>
    <n v="26250"/>
    <n v="0"/>
    <n v="26250"/>
  </r>
  <r>
    <s v="Jul"/>
    <n v="2"/>
    <x v="1"/>
    <s v="Colombia"/>
    <x v="3"/>
    <m/>
    <s v="W"/>
    <x v="19"/>
    <n v="25475"/>
    <s v="x"/>
    <n v="1250"/>
    <n v="21"/>
    <n v="2500"/>
    <n v="0"/>
    <n v="26250"/>
    <n v="0"/>
    <n v="26250"/>
  </r>
  <r>
    <s v="Jul"/>
    <n v="6"/>
    <x v="1"/>
    <s v="Sweden"/>
    <x v="3"/>
    <m/>
    <s v="L"/>
    <x v="19"/>
    <n v="23468"/>
    <s v="x"/>
    <n v="0"/>
    <n v="21"/>
    <n v="1250"/>
    <n v="0"/>
    <n v="0"/>
    <n v="0"/>
    <n v="0"/>
  </r>
  <r>
    <s v="Jul"/>
    <n v="10"/>
    <x v="1"/>
    <s v="Brazil (win PKs)"/>
    <x v="3"/>
    <m/>
    <s v="D"/>
    <x v="19"/>
    <n v="25598"/>
    <s v="x"/>
    <n v="0"/>
    <n v="21"/>
    <n v="1250"/>
    <n v="0"/>
    <n v="0"/>
    <n v="0"/>
    <n v="0"/>
  </r>
  <r>
    <s v="Jul"/>
    <n v="13"/>
    <x v="1"/>
    <s v="France"/>
    <x v="3"/>
    <m/>
    <s v="W"/>
    <x v="19"/>
    <n v="25676"/>
    <s v="x"/>
    <n v="1250"/>
    <n v="21"/>
    <n v="2500"/>
    <n v="0"/>
    <n v="26250"/>
    <n v="0"/>
    <n v="26250"/>
  </r>
  <r>
    <s v="Jul"/>
    <n v="17"/>
    <x v="1"/>
    <s v="Japan (loss PKs)"/>
    <x v="3"/>
    <m/>
    <s v="D"/>
    <x v="19"/>
    <n v="48817"/>
    <s v="x"/>
    <n v="0"/>
    <n v="21"/>
    <n v="1250"/>
    <n v="0"/>
    <n v="0"/>
    <n v="0"/>
    <n v="0"/>
  </r>
  <r>
    <s v="Sep"/>
    <n v="17"/>
    <x v="1"/>
    <s v="Canada"/>
    <x v="0"/>
    <m/>
    <s v="D"/>
    <x v="20"/>
    <n v="16191"/>
    <s v="x"/>
    <n v="0"/>
    <n v="21"/>
    <n v="1250"/>
    <n v="0"/>
    <n v="0"/>
    <n v="0"/>
    <n v="0"/>
  </r>
  <r>
    <s v="Sep"/>
    <n v="22"/>
    <x v="1"/>
    <s v="Canada"/>
    <x v="0"/>
    <m/>
    <s v="W"/>
    <x v="21"/>
    <n v="18570"/>
    <s v="x"/>
    <n v="1250"/>
    <n v="21"/>
    <n v="2500"/>
    <n v="0"/>
    <n v="26250"/>
    <n v="0"/>
    <n v="26250"/>
  </r>
  <r>
    <s v="Nov"/>
    <n v="19"/>
    <x v="1"/>
    <s v="Sweden"/>
    <x v="0"/>
    <m/>
    <s v="D"/>
    <x v="22"/>
    <n v="18482"/>
    <s v="x"/>
    <n v="0"/>
    <n v="21"/>
    <n v="1250"/>
    <n v="0"/>
    <n v="0"/>
    <n v="0"/>
    <n v="0"/>
  </r>
  <r>
    <s v="Dec"/>
    <n v="28"/>
    <x v="1"/>
    <m/>
    <x v="2"/>
    <m/>
    <m/>
    <x v="11"/>
    <m/>
    <m/>
    <n v="62500"/>
    <n v="18"/>
    <m/>
    <m/>
    <n v="1125000"/>
    <m/>
    <n v="1125000"/>
  </r>
  <r>
    <s v="Dec"/>
    <n v="29"/>
    <x v="1"/>
    <m/>
    <x v="2"/>
    <m/>
    <m/>
    <x v="12"/>
    <m/>
    <m/>
    <n v="43740"/>
    <n v="4"/>
    <m/>
    <m/>
    <n v="174960"/>
    <m/>
    <n v="174960"/>
  </r>
  <r>
    <s v="Dec"/>
    <n v="30"/>
    <x v="1"/>
    <m/>
    <x v="2"/>
    <m/>
    <m/>
    <x v="13"/>
    <m/>
    <m/>
    <n v="31250"/>
    <n v="2"/>
    <m/>
    <m/>
    <n v="62500"/>
    <m/>
    <n v="62500"/>
  </r>
  <r>
    <s v="Dec"/>
    <n v="31"/>
    <x v="1"/>
    <m/>
    <x v="2"/>
    <m/>
    <m/>
    <x v="14"/>
    <m/>
    <m/>
    <m/>
    <m/>
    <n v="313"/>
    <n v="20"/>
    <n v="6260"/>
    <m/>
    <n v="6260"/>
  </r>
  <r>
    <s v="Jan"/>
    <n v="20"/>
    <x v="2"/>
    <s v="Dom Republic"/>
    <x v="4"/>
    <m/>
    <s v="W"/>
    <x v="23"/>
    <n v="6321"/>
    <s v="x"/>
    <n v="1250"/>
    <n v="20"/>
    <n v="2500"/>
    <n v="0"/>
    <n v="25000"/>
    <n v="0"/>
    <n v="25000"/>
  </r>
  <r>
    <s v="Jan"/>
    <n v="22"/>
    <x v="2"/>
    <s v="Guatemala"/>
    <x v="4"/>
    <m/>
    <s v="W"/>
    <x v="23"/>
    <n v="6259"/>
    <s v="x"/>
    <n v="1250"/>
    <n v="20"/>
    <n v="2500"/>
    <n v="0"/>
    <n v="25000"/>
    <n v="0"/>
    <n v="25000"/>
  </r>
  <r>
    <s v="Jan"/>
    <n v="24"/>
    <x v="2"/>
    <s v="Mexico"/>
    <x v="4"/>
    <m/>
    <s v="W"/>
    <x v="23"/>
    <n v="7599"/>
    <s v="x"/>
    <n v="1250"/>
    <n v="20"/>
    <n v="2500"/>
    <n v="0"/>
    <n v="25000"/>
    <n v="0"/>
    <n v="25000"/>
  </r>
  <r>
    <s v="Jan"/>
    <n v="27"/>
    <x v="2"/>
    <s v="Costa Rica"/>
    <x v="4"/>
    <m/>
    <s v="W"/>
    <x v="23"/>
    <n v="22954"/>
    <s v="x"/>
    <n v="1250"/>
    <n v="20"/>
    <n v="2500"/>
    <n v="0"/>
    <n v="25000"/>
    <n v="0"/>
    <n v="25000"/>
  </r>
  <r>
    <s v="Jan"/>
    <n v="29"/>
    <x v="2"/>
    <s v="Canada"/>
    <x v="4"/>
    <m/>
    <s v="W"/>
    <x v="23"/>
    <n v="25427"/>
    <s v="x"/>
    <n v="1250"/>
    <n v="20"/>
    <n v="2500"/>
    <n v="0"/>
    <n v="25000"/>
    <n v="0"/>
    <n v="25000"/>
  </r>
  <r>
    <s v="Feb"/>
    <n v="11"/>
    <x v="2"/>
    <s v="New Zealand"/>
    <x v="0"/>
    <m/>
    <s v="W"/>
    <x v="24"/>
    <n v="20677"/>
    <s v="x"/>
    <n v="1250"/>
    <n v="18"/>
    <n v="2500"/>
    <n v="0"/>
    <n v="22500"/>
    <n v="0"/>
    <n v="22500"/>
  </r>
  <r>
    <s v="Feb"/>
    <n v="29"/>
    <x v="2"/>
    <s v="Denmark"/>
    <x v="0"/>
    <m/>
    <s v="W"/>
    <x v="0"/>
    <n v="300"/>
    <s v="x"/>
    <n v="1250"/>
    <n v="18"/>
    <n v="2500"/>
    <n v="0"/>
    <n v="22500"/>
    <n v="0"/>
    <n v="22500"/>
  </r>
  <r>
    <s v="Mar"/>
    <n v="2"/>
    <x v="2"/>
    <s v="Norway"/>
    <x v="0"/>
    <m/>
    <s v="W"/>
    <x v="0"/>
    <n v="300"/>
    <s v="x"/>
    <n v="1250"/>
    <n v="18"/>
    <n v="2500"/>
    <n v="0"/>
    <n v="22500"/>
    <n v="0"/>
    <n v="22500"/>
  </r>
  <r>
    <s v="Mar"/>
    <n v="5"/>
    <x v="2"/>
    <s v="Japan"/>
    <x v="0"/>
    <m/>
    <s v="L"/>
    <x v="0"/>
    <n v="1000"/>
    <s v="x"/>
    <n v="0"/>
    <n v="18"/>
    <n v="1250"/>
    <n v="0"/>
    <n v="0"/>
    <n v="0"/>
    <n v="0"/>
  </r>
  <r>
    <s v="Mar"/>
    <n v="7"/>
    <x v="2"/>
    <s v="Sweden"/>
    <x v="0"/>
    <m/>
    <s v="W"/>
    <x v="0"/>
    <n v="400"/>
    <s v="x"/>
    <n v="1250"/>
    <n v="18"/>
    <n v="2500"/>
    <n v="0"/>
    <n v="22500"/>
    <n v="0"/>
    <n v="22500"/>
  </r>
  <r>
    <s v="Apr"/>
    <n v="1"/>
    <x v="2"/>
    <s v="Japan"/>
    <x v="0"/>
    <m/>
    <s v="D"/>
    <x v="25"/>
    <n v="15159"/>
    <s v="x"/>
    <n v="0"/>
    <n v="18"/>
    <n v="1250"/>
    <n v="0"/>
    <n v="0"/>
    <n v="0"/>
    <n v="0"/>
  </r>
  <r>
    <s v="Apr"/>
    <n v="3"/>
    <x v="2"/>
    <s v="Brazil"/>
    <x v="0"/>
    <m/>
    <s v="W"/>
    <x v="25"/>
    <m/>
    <s v="x"/>
    <n v="1250"/>
    <n v="18"/>
    <n v="2500"/>
    <n v="0"/>
    <n v="22500"/>
    <n v="0"/>
    <n v="22500"/>
  </r>
  <r>
    <s v="May"/>
    <n v="27"/>
    <x v="2"/>
    <s v="China"/>
    <x v="0"/>
    <m/>
    <s v="W"/>
    <x v="7"/>
    <n v="18573"/>
    <s v="x"/>
    <n v="1250"/>
    <n v="18"/>
    <n v="2500"/>
    <n v="0"/>
    <n v="22500"/>
    <n v="0"/>
    <n v="22500"/>
  </r>
  <r>
    <s v="Jun"/>
    <n v="16"/>
    <x v="2"/>
    <s v="Sweden"/>
    <x v="0"/>
    <m/>
    <s v="W"/>
    <x v="26"/>
    <n v="2751"/>
    <s v="x"/>
    <n v="1250"/>
    <n v="18"/>
    <n v="2500"/>
    <n v="0"/>
    <n v="22500"/>
    <n v="0"/>
    <n v="22500"/>
  </r>
  <r>
    <s v="Jun"/>
    <n v="18"/>
    <x v="2"/>
    <s v="Japan"/>
    <x v="0"/>
    <m/>
    <s v="W"/>
    <x v="26"/>
    <n v="1309"/>
    <s v="x"/>
    <n v="1250"/>
    <n v="18"/>
    <n v="2500"/>
    <n v="0"/>
    <n v="22500"/>
    <n v="0"/>
    <n v="22500"/>
  </r>
  <r>
    <s v="Jun"/>
    <n v="30"/>
    <x v="2"/>
    <s v="Canada"/>
    <x v="0"/>
    <m/>
    <s v="W"/>
    <x v="2"/>
    <n v="16805"/>
    <s v="x"/>
    <n v="1250"/>
    <n v="18"/>
    <n v="2500"/>
    <n v="0"/>
    <n v="22500"/>
    <n v="0"/>
    <n v="22500"/>
  </r>
  <r>
    <s v="Jul"/>
    <n v="25"/>
    <x v="2"/>
    <s v="France"/>
    <x v="5"/>
    <m/>
    <s v="W"/>
    <x v="27"/>
    <n v="18090"/>
    <s v="x"/>
    <n v="1250"/>
    <n v="18"/>
    <n v="2500"/>
    <n v="0"/>
    <n v="22500"/>
    <n v="0"/>
    <n v="22500"/>
  </r>
  <r>
    <s v="Jul"/>
    <n v="28"/>
    <x v="2"/>
    <s v="Colombia"/>
    <x v="5"/>
    <m/>
    <s v="W"/>
    <x v="27"/>
    <n v="11313"/>
    <s v="x"/>
    <n v="1250"/>
    <n v="18"/>
    <n v="2500"/>
    <n v="0"/>
    <n v="22500"/>
    <n v="0"/>
    <n v="22500"/>
  </r>
  <r>
    <s v="Jul"/>
    <n v="31"/>
    <x v="2"/>
    <s v="North Korea"/>
    <x v="5"/>
    <m/>
    <s v="W"/>
    <x v="16"/>
    <n v="29522"/>
    <s v="x"/>
    <n v="1250"/>
    <n v="18"/>
    <n v="2500"/>
    <n v="0"/>
    <n v="22500"/>
    <n v="0"/>
    <n v="22500"/>
  </r>
  <r>
    <s v="Aug"/>
    <n v="3"/>
    <x v="2"/>
    <s v="New Zealand"/>
    <x v="5"/>
    <m/>
    <s v="W"/>
    <x v="16"/>
    <n v="10441"/>
    <s v="x"/>
    <n v="1250"/>
    <n v="18"/>
    <n v="2500"/>
    <n v="0"/>
    <n v="22500"/>
    <n v="0"/>
    <n v="22500"/>
  </r>
  <r>
    <s v="Aug"/>
    <n v="6"/>
    <x v="2"/>
    <s v="Canada"/>
    <x v="5"/>
    <m/>
    <s v="W"/>
    <x v="16"/>
    <n v="26640"/>
    <s v="x"/>
    <n v="1250"/>
    <n v="18"/>
    <n v="2500"/>
    <n v="0"/>
    <n v="22500"/>
    <n v="0"/>
    <n v="22500"/>
  </r>
  <r>
    <s v="Aug"/>
    <n v="9"/>
    <x v="2"/>
    <s v="Japan"/>
    <x v="5"/>
    <m/>
    <s v="W"/>
    <x v="16"/>
    <n v="80203"/>
    <s v="x"/>
    <n v="1250"/>
    <n v="18"/>
    <n v="2500"/>
    <n v="0"/>
    <n v="22500"/>
    <n v="0"/>
    <n v="22500"/>
  </r>
  <r>
    <s v="Sep"/>
    <n v="1"/>
    <x v="2"/>
    <s v="Costa Rica"/>
    <x v="0"/>
    <m/>
    <s v="W"/>
    <x v="28"/>
    <n v="13208"/>
    <s v="x"/>
    <n v="1250"/>
    <n v="18"/>
    <n v="2500"/>
    <n v="0"/>
    <n v="22500"/>
    <n v="0"/>
    <n v="22500"/>
  </r>
  <r>
    <s v="Sep"/>
    <n v="16"/>
    <x v="2"/>
    <s v="Australia"/>
    <x v="0"/>
    <m/>
    <s v="W"/>
    <x v="1"/>
    <n v="19851"/>
    <s v="x"/>
    <n v="1250"/>
    <n v="18"/>
    <n v="2500"/>
    <n v="0"/>
    <n v="22500"/>
    <n v="0"/>
    <n v="22500"/>
  </r>
  <r>
    <s v="Sep"/>
    <n v="19"/>
    <x v="2"/>
    <s v="Australia"/>
    <x v="0"/>
    <m/>
    <s v="W"/>
    <x v="29"/>
    <n v="18589"/>
    <s v="x"/>
    <n v="1250"/>
    <n v="18"/>
    <n v="2500"/>
    <n v="0"/>
    <n v="22500"/>
    <n v="0"/>
    <n v="22500"/>
  </r>
  <r>
    <s v="Oct"/>
    <n v="20"/>
    <x v="2"/>
    <s v="Germany"/>
    <x v="0"/>
    <m/>
    <s v="D"/>
    <x v="10"/>
    <n v="19522"/>
    <s v="x"/>
    <n v="0"/>
    <n v="18"/>
    <n v="1250"/>
    <n v="0"/>
    <n v="0"/>
    <n v="0"/>
    <n v="0"/>
  </r>
  <r>
    <s v="Oct"/>
    <n v="23"/>
    <x v="2"/>
    <s v="Germany"/>
    <x v="0"/>
    <m/>
    <s v="D"/>
    <x v="5"/>
    <n v="18870"/>
    <s v="x"/>
    <n v="0"/>
    <n v="18"/>
    <n v="1250"/>
    <n v="0"/>
    <n v="0"/>
    <n v="0"/>
    <n v="0"/>
  </r>
  <r>
    <s v="Nov"/>
    <n v="28"/>
    <x v="2"/>
    <s v="Ireland"/>
    <x v="0"/>
    <m/>
    <s v="W"/>
    <x v="21"/>
    <n v="10092"/>
    <s v="x"/>
    <n v="1250"/>
    <n v="18"/>
    <n v="2500"/>
    <n v="0"/>
    <n v="22500"/>
    <n v="0"/>
    <n v="22500"/>
  </r>
  <r>
    <s v="Dec"/>
    <n v="1"/>
    <x v="2"/>
    <s v="Ireland"/>
    <x v="0"/>
    <m/>
    <s v="W"/>
    <x v="22"/>
    <n v="11570"/>
    <s v="x"/>
    <n v="1250"/>
    <n v="18"/>
    <n v="2500"/>
    <n v="0"/>
    <n v="22500"/>
    <n v="0"/>
    <n v="22500"/>
  </r>
  <r>
    <s v="Dec"/>
    <n v="8"/>
    <x v="2"/>
    <s v="China"/>
    <x v="0"/>
    <m/>
    <s v="W"/>
    <x v="30"/>
    <n v="17371"/>
    <s v="x"/>
    <n v="1250"/>
    <n v="18"/>
    <n v="2500"/>
    <n v="0"/>
    <n v="22500"/>
    <n v="0"/>
    <n v="22500"/>
  </r>
  <r>
    <s v="Dec"/>
    <n v="12"/>
    <x v="2"/>
    <s v="China"/>
    <x v="0"/>
    <m/>
    <s v="W"/>
    <x v="24"/>
    <n v="15643"/>
    <s v="x"/>
    <n v="1250"/>
    <n v="18"/>
    <n v="2500"/>
    <n v="0"/>
    <n v="22500"/>
    <n v="0"/>
    <n v="22500"/>
  </r>
  <r>
    <s v="Dec"/>
    <n v="15"/>
    <x v="2"/>
    <s v="China"/>
    <x v="0"/>
    <m/>
    <s v="W"/>
    <x v="31"/>
    <n v="10493"/>
    <s v="x"/>
    <n v="1250"/>
    <n v="18"/>
    <n v="2500"/>
    <n v="0"/>
    <n v="22500"/>
    <n v="0"/>
    <n v="22500"/>
  </r>
  <r>
    <s v="Dec"/>
    <n v="28"/>
    <x v="2"/>
    <m/>
    <x v="2"/>
    <m/>
    <m/>
    <x v="11"/>
    <m/>
    <m/>
    <n v="62500"/>
    <n v="18"/>
    <m/>
    <m/>
    <n v="1125000"/>
    <m/>
    <n v="1125000"/>
  </r>
  <r>
    <s v="Dec"/>
    <n v="29"/>
    <x v="2"/>
    <m/>
    <x v="2"/>
    <m/>
    <m/>
    <x v="12"/>
    <m/>
    <m/>
    <n v="43740"/>
    <n v="4"/>
    <m/>
    <m/>
    <n v="174960"/>
    <m/>
    <n v="174960"/>
  </r>
  <r>
    <s v="Dec"/>
    <n v="30"/>
    <x v="2"/>
    <m/>
    <x v="2"/>
    <m/>
    <m/>
    <x v="13"/>
    <m/>
    <m/>
    <n v="31250"/>
    <n v="2"/>
    <m/>
    <m/>
    <n v="62500"/>
    <m/>
    <n v="62500"/>
  </r>
  <r>
    <s v="Dec"/>
    <n v="31"/>
    <x v="2"/>
    <m/>
    <x v="2"/>
    <m/>
    <m/>
    <x v="14"/>
    <m/>
    <m/>
    <m/>
    <m/>
    <n v="313"/>
    <n v="20"/>
    <n v="6260"/>
    <m/>
    <n v="6260"/>
  </r>
  <r>
    <s v="Feb"/>
    <n v="9"/>
    <x v="3"/>
    <s v="Scotland"/>
    <x v="0"/>
    <m/>
    <s v="W"/>
    <x v="31"/>
    <n v="18656"/>
    <m/>
    <n v="1350"/>
    <n v="17"/>
    <n v="2700"/>
    <n v="1"/>
    <n v="25650"/>
    <n v="22387.200000000001"/>
    <n v="48037.2"/>
  </r>
  <r>
    <s v="Feb"/>
    <n v="13"/>
    <x v="3"/>
    <s v="Scotland"/>
    <x v="0"/>
    <m/>
    <s v="W"/>
    <x v="32"/>
    <n v="14224"/>
    <m/>
    <n v="1350"/>
    <n v="17"/>
    <n v="2700"/>
    <n v="1"/>
    <n v="25650"/>
    <n v="17068.8"/>
    <n v="42718.8"/>
  </r>
  <r>
    <s v="Mar"/>
    <n v="6"/>
    <x v="3"/>
    <s v="Iceland"/>
    <x v="0"/>
    <m/>
    <s v="W"/>
    <x v="0"/>
    <n v="500"/>
    <s v="x"/>
    <n v="1350"/>
    <n v="22"/>
    <n v="2700"/>
    <n v="0"/>
    <n v="29700"/>
    <n v="0"/>
    <n v="29700"/>
  </r>
  <r>
    <s v="Mar"/>
    <n v="8"/>
    <x v="3"/>
    <s v="China"/>
    <x v="0"/>
    <m/>
    <s v="W"/>
    <x v="0"/>
    <n v="500"/>
    <s v="x"/>
    <n v="1350"/>
    <n v="22"/>
    <n v="2700"/>
    <n v="0"/>
    <n v="29700"/>
    <n v="0"/>
    <n v="29700"/>
  </r>
  <r>
    <s v="Mar"/>
    <n v="11"/>
    <x v="3"/>
    <s v="Sweden"/>
    <x v="0"/>
    <m/>
    <s v="D"/>
    <x v="0"/>
    <n v="750"/>
    <s v="x"/>
    <n v="0"/>
    <n v="22"/>
    <n v="1350"/>
    <n v="0"/>
    <n v="0"/>
    <n v="0"/>
    <n v="0"/>
  </r>
  <r>
    <s v="Mar"/>
    <n v="13"/>
    <x v="3"/>
    <s v="Germany"/>
    <x v="0"/>
    <m/>
    <s v="W"/>
    <x v="0"/>
    <n v="1200"/>
    <s v="x"/>
    <n v="1350"/>
    <n v="22"/>
    <n v="2700"/>
    <n v="0"/>
    <n v="29700"/>
    <n v="0"/>
    <n v="29700"/>
  </r>
  <r>
    <s v="Apr"/>
    <n v="5"/>
    <x v="3"/>
    <s v="Germany"/>
    <x v="0"/>
    <m/>
    <s v="D"/>
    <x v="19"/>
    <n v="16090"/>
    <s v="x"/>
    <n v="0"/>
    <n v="16"/>
    <n v="1350"/>
    <n v="2"/>
    <n v="2700"/>
    <n v="0"/>
    <n v="2700"/>
  </r>
  <r>
    <s v="Apr"/>
    <n v="9"/>
    <x v="3"/>
    <s v="Netherlands"/>
    <x v="0"/>
    <m/>
    <s v="W"/>
    <x v="33"/>
    <n v="8000"/>
    <s v="x"/>
    <n v="1350"/>
    <n v="16"/>
    <n v="2700"/>
    <n v="2"/>
    <n v="27000"/>
    <n v="0"/>
    <n v="27000"/>
  </r>
  <r>
    <s v="Jun"/>
    <n v="2"/>
    <x v="3"/>
    <s v="Canada"/>
    <x v="0"/>
    <m/>
    <s v="W"/>
    <x v="23"/>
    <n v="22453"/>
    <s v="x"/>
    <n v="1350"/>
    <n v="16"/>
    <n v="2700"/>
    <n v="2"/>
    <n v="27000"/>
    <n v="0"/>
    <n v="27000"/>
  </r>
  <r>
    <s v="Jun"/>
    <n v="15"/>
    <x v="3"/>
    <s v="South Korea"/>
    <x v="0"/>
    <m/>
    <s v="W"/>
    <x v="34"/>
    <n v="13035"/>
    <m/>
    <n v="1350"/>
    <n v="16"/>
    <n v="2700"/>
    <n v="2"/>
    <n v="27000"/>
    <n v="15642"/>
    <n v="42642"/>
  </r>
  <r>
    <s v="Jun"/>
    <n v="20"/>
    <x v="3"/>
    <s v="South Korea"/>
    <x v="0"/>
    <m/>
    <s v="W"/>
    <x v="18"/>
    <n v="18961"/>
    <m/>
    <n v="1350"/>
    <n v="16"/>
    <n v="2700"/>
    <n v="2"/>
    <n v="27000"/>
    <n v="22753.200000000001"/>
    <n v="49753.2"/>
  </r>
  <r>
    <s v="Sep"/>
    <n v="3"/>
    <x v="3"/>
    <s v="Mexico"/>
    <x v="0"/>
    <m/>
    <s v="W"/>
    <x v="35"/>
    <n v="12594"/>
    <m/>
    <n v="1350"/>
    <n v="17"/>
    <n v="2700"/>
    <n v="0"/>
    <n v="22950"/>
    <n v="15112.8"/>
    <n v="38062.800000000003"/>
  </r>
  <r>
    <s v="Oct"/>
    <n v="20"/>
    <x v="3"/>
    <s v="Australia"/>
    <x v="0"/>
    <m/>
    <s v="W"/>
    <x v="24"/>
    <n v="19109"/>
    <m/>
    <n v="1350"/>
    <n v="17"/>
    <n v="2700"/>
    <n v="0"/>
    <n v="22950"/>
    <n v="22930.799999999999"/>
    <n v="45880.800000000003"/>
  </r>
  <r>
    <s v="Oct"/>
    <n v="27"/>
    <x v="3"/>
    <s v="New Zealand"/>
    <x v="0"/>
    <m/>
    <s v="W"/>
    <x v="1"/>
    <n v="16315"/>
    <m/>
    <n v="1350"/>
    <n v="17"/>
    <n v="2700"/>
    <n v="0"/>
    <n v="22950"/>
    <n v="19578"/>
    <n v="42528"/>
  </r>
  <r>
    <s v="Oct"/>
    <n v="30"/>
    <x v="3"/>
    <s v="New Zealand"/>
    <x v="0"/>
    <m/>
    <s v="D"/>
    <x v="3"/>
    <n v="15139"/>
    <m/>
    <n v="0"/>
    <n v="17"/>
    <n v="1350"/>
    <n v="0"/>
    <n v="0"/>
    <n v="18166.8"/>
    <n v="18166.8"/>
  </r>
  <r>
    <s v="Nov"/>
    <n v="10"/>
    <x v="3"/>
    <s v="Brazil"/>
    <x v="0"/>
    <m/>
    <s v="W"/>
    <x v="31"/>
    <n v="20274"/>
    <m/>
    <n v="1350"/>
    <n v="17"/>
    <n v="2700"/>
    <n v="0"/>
    <n v="22950"/>
    <n v="24328.799999999999"/>
    <n v="47278.8"/>
  </r>
  <r>
    <s v="Dec"/>
    <n v="28"/>
    <x v="3"/>
    <m/>
    <x v="2"/>
    <m/>
    <m/>
    <x v="11"/>
    <m/>
    <m/>
    <n v="72000"/>
    <n v="18"/>
    <m/>
    <m/>
    <n v="1296000"/>
    <m/>
    <n v="1296000"/>
  </r>
  <r>
    <s v="Dec"/>
    <n v="29"/>
    <x v="3"/>
    <m/>
    <x v="2"/>
    <m/>
    <m/>
    <x v="12"/>
    <m/>
    <m/>
    <n v="51000"/>
    <n v="4"/>
    <m/>
    <m/>
    <n v="204000"/>
    <m/>
    <n v="204000"/>
  </r>
  <r>
    <s v="Dec"/>
    <n v="30"/>
    <x v="3"/>
    <m/>
    <x v="2"/>
    <m/>
    <m/>
    <x v="13"/>
    <m/>
    <m/>
    <n v="36000"/>
    <n v="2"/>
    <m/>
    <m/>
    <n v="72000"/>
    <m/>
    <n v="72000"/>
  </r>
  <r>
    <s v="Dec"/>
    <n v="31"/>
    <x v="3"/>
    <m/>
    <x v="2"/>
    <m/>
    <m/>
    <x v="14"/>
    <m/>
    <m/>
    <m/>
    <m/>
    <n v="500"/>
    <n v="20"/>
    <n v="10000"/>
    <m/>
    <n v="10000"/>
  </r>
  <r>
    <s v="Jan"/>
    <n v="31"/>
    <x v="4"/>
    <s v="Canada"/>
    <x v="0"/>
    <m/>
    <s v="W"/>
    <x v="24"/>
    <n v="20862"/>
    <m/>
    <n v="1350"/>
    <n v="16"/>
    <n v="2700"/>
    <n v="2"/>
    <n v="27000"/>
    <n v="25034.399999999998"/>
    <n v="52034.399999999994"/>
  </r>
  <r>
    <s v="Feb"/>
    <n v="8"/>
    <x v="4"/>
    <s v="Russia"/>
    <x v="0"/>
    <m/>
    <s v="W"/>
    <x v="31"/>
    <n v="8857"/>
    <m/>
    <n v="1350"/>
    <n v="16"/>
    <n v="2700"/>
    <n v="2"/>
    <n v="27000"/>
    <n v="10628.4"/>
    <n v="37628.400000000001"/>
  </r>
  <r>
    <s v="Feb"/>
    <n v="13"/>
    <x v="4"/>
    <s v="Russia"/>
    <x v="0"/>
    <m/>
    <s v="W"/>
    <x v="6"/>
    <n v="16133"/>
    <m/>
    <n v="1350"/>
    <n v="16"/>
    <n v="2700"/>
    <n v="2"/>
    <n v="27000"/>
    <n v="19359.599999999999"/>
    <n v="46359.6"/>
  </r>
  <r>
    <s v="Mar"/>
    <n v="5"/>
    <x v="4"/>
    <s v="Japan"/>
    <x v="0"/>
    <m/>
    <s v="D"/>
    <x v="0"/>
    <n v="500"/>
    <s v="x"/>
    <n v="0"/>
    <n v="22"/>
    <n v="1350"/>
    <n v="1"/>
    <n v="1350"/>
    <n v="0"/>
    <n v="1350"/>
  </r>
  <r>
    <s v="Mar"/>
    <n v="7"/>
    <x v="4"/>
    <s v="Sweden"/>
    <x v="0"/>
    <m/>
    <s v="L"/>
    <x v="0"/>
    <n v="2000"/>
    <s v="x"/>
    <n v="0"/>
    <n v="22"/>
    <n v="1350"/>
    <n v="1"/>
    <n v="1350"/>
    <n v="0"/>
    <n v="1350"/>
  </r>
  <r>
    <s v="Mar"/>
    <n v="10"/>
    <x v="4"/>
    <s v="Denmark"/>
    <x v="0"/>
    <m/>
    <s v="L"/>
    <x v="0"/>
    <n v="750"/>
    <s v="x"/>
    <n v="0"/>
    <n v="22"/>
    <n v="1350"/>
    <n v="1"/>
    <n v="1350"/>
    <n v="0"/>
    <n v="1350"/>
  </r>
  <r>
    <s v="Mar"/>
    <n v="12"/>
    <x v="4"/>
    <s v="North Korea"/>
    <x v="0"/>
    <m/>
    <s v="W"/>
    <x v="0"/>
    <n v="250"/>
    <s v="x"/>
    <n v="1350"/>
    <n v="22"/>
    <n v="2700"/>
    <n v="1"/>
    <n v="32400"/>
    <n v="0"/>
    <n v="32400"/>
  </r>
  <r>
    <s v="Apr"/>
    <n v="6"/>
    <x v="4"/>
    <s v="China"/>
    <x v="0"/>
    <m/>
    <s v="W"/>
    <x v="29"/>
    <n v="14903"/>
    <m/>
    <n v="1350"/>
    <n v="17"/>
    <n v="2700"/>
    <n v="1"/>
    <n v="25650"/>
    <n v="17883.599999999999"/>
    <n v="43533.599999999999"/>
  </r>
  <r>
    <s v="Apr"/>
    <n v="10"/>
    <x v="4"/>
    <s v="China"/>
    <x v="0"/>
    <m/>
    <s v="W"/>
    <x v="1"/>
    <n v="12857"/>
    <m/>
    <n v="1350"/>
    <n v="17"/>
    <n v="2700"/>
    <n v="1"/>
    <n v="25650"/>
    <n v="15428.4"/>
    <n v="41078.400000000001"/>
  </r>
  <r>
    <s v="May"/>
    <n v="8"/>
    <x v="4"/>
    <s v="Canada"/>
    <x v="0"/>
    <m/>
    <s v="D"/>
    <x v="23"/>
    <n v="28255"/>
    <s v="x"/>
    <n v="0"/>
    <n v="17"/>
    <n v="1350"/>
    <n v="1"/>
    <n v="1350"/>
    <n v="0"/>
    <n v="1350"/>
  </r>
  <r>
    <s v="Jun"/>
    <n v="14"/>
    <x v="4"/>
    <s v="France"/>
    <x v="0"/>
    <m/>
    <s v="W"/>
    <x v="31"/>
    <n v="9799"/>
    <m/>
    <n v="1350"/>
    <n v="17"/>
    <n v="2700"/>
    <n v="1"/>
    <n v="25650"/>
    <n v="11758.8"/>
    <n v="37408.800000000003"/>
  </r>
  <r>
    <s v="Jun"/>
    <n v="19"/>
    <x v="4"/>
    <s v="France"/>
    <x v="0"/>
    <m/>
    <s v="D"/>
    <x v="5"/>
    <n v="14695"/>
    <m/>
    <n v="0"/>
    <n v="17"/>
    <n v="1350"/>
    <n v="1"/>
    <n v="1350"/>
    <n v="17634"/>
    <n v="18984"/>
  </r>
  <r>
    <s v="Aug"/>
    <n v="20"/>
    <x v="4"/>
    <s v="Switzerland"/>
    <x v="0"/>
    <m/>
    <s v="W"/>
    <x v="17"/>
    <n v="9992"/>
    <m/>
    <n v="1350"/>
    <n v="20"/>
    <n v="2700"/>
    <n v="0"/>
    <n v="27000"/>
    <n v="11990.4"/>
    <n v="38990.400000000001"/>
  </r>
  <r>
    <s v="Sep"/>
    <n v="13"/>
    <x v="4"/>
    <s v="Mexico"/>
    <x v="0"/>
    <m/>
    <s v="W"/>
    <x v="2"/>
    <n v="8849"/>
    <m/>
    <n v="1350"/>
    <n v="19"/>
    <n v="2700"/>
    <n v="0"/>
    <n v="25650"/>
    <n v="10618.8"/>
    <n v="36268.800000000003"/>
  </r>
  <r>
    <s v="Sep"/>
    <n v="18"/>
    <x v="4"/>
    <s v="Mexico"/>
    <x v="0"/>
    <m/>
    <s v="W"/>
    <x v="28"/>
    <n v="5680"/>
    <m/>
    <n v="1350"/>
    <n v="19"/>
    <n v="2700"/>
    <n v="0"/>
    <n v="25650"/>
    <n v="6816"/>
    <n v="32466"/>
  </r>
  <r>
    <s v="Oct"/>
    <n v="15"/>
    <x v="4"/>
    <s v="Trinidad &amp; Tobago"/>
    <x v="1"/>
    <m/>
    <s v="W"/>
    <x v="20"/>
    <n v="3621"/>
    <s v="x"/>
    <n v="1350"/>
    <n v="19"/>
    <n v="2700"/>
    <n v="0"/>
    <n v="25650"/>
    <n v="0"/>
    <n v="25650"/>
  </r>
  <r>
    <s v="Oct"/>
    <n v="17"/>
    <x v="4"/>
    <s v="Guatemala"/>
    <x v="1"/>
    <m/>
    <s v="W"/>
    <x v="10"/>
    <n v="6796"/>
    <s v="x"/>
    <n v="1350"/>
    <n v="19"/>
    <n v="2700"/>
    <n v="0"/>
    <n v="25650"/>
    <n v="0"/>
    <n v="25650"/>
  </r>
  <r>
    <s v="Oct"/>
    <n v="20"/>
    <x v="4"/>
    <s v="Haiti"/>
    <x v="1"/>
    <m/>
    <s v="W"/>
    <x v="35"/>
    <n v="6421"/>
    <s v="x"/>
    <n v="1350"/>
    <n v="19"/>
    <n v="2700"/>
    <n v="0"/>
    <n v="25650"/>
    <n v="0"/>
    <n v="25650"/>
  </r>
  <r>
    <s v="Oct"/>
    <n v="24"/>
    <x v="4"/>
    <s v="Mexico"/>
    <x v="1"/>
    <m/>
    <s v="W"/>
    <x v="7"/>
    <n v="8773"/>
    <s v="x"/>
    <n v="1350"/>
    <n v="19"/>
    <n v="2700"/>
    <n v="0"/>
    <n v="25650"/>
    <n v="0"/>
    <n v="25650"/>
  </r>
  <r>
    <s v="Oct"/>
    <n v="26"/>
    <x v="4"/>
    <s v="Costa Rica"/>
    <x v="1"/>
    <m/>
    <s v="W"/>
    <x v="7"/>
    <n v="11625"/>
    <s v="x"/>
    <n v="1350"/>
    <n v="19"/>
    <n v="2700"/>
    <n v="0"/>
    <n v="25650"/>
    <n v="0"/>
    <n v="25650"/>
  </r>
  <r>
    <s v="Dec"/>
    <n v="10"/>
    <x v="4"/>
    <s v="China"/>
    <x v="0"/>
    <m/>
    <s v="D"/>
    <x v="36"/>
    <n v="300"/>
    <s v="x"/>
    <n v="0"/>
    <n v="21"/>
    <n v="1350"/>
    <n v="0"/>
    <n v="0"/>
    <n v="0"/>
    <n v="0"/>
  </r>
  <r>
    <s v="Dec"/>
    <n v="14"/>
    <x v="4"/>
    <s v="Brazil"/>
    <x v="0"/>
    <m/>
    <s v="L"/>
    <x v="36"/>
    <n v="5421"/>
    <s v="x"/>
    <n v="0"/>
    <n v="21"/>
    <n v="1350"/>
    <n v="0"/>
    <n v="0"/>
    <n v="0"/>
    <n v="0"/>
  </r>
  <r>
    <s v="Dec"/>
    <n v="18"/>
    <x v="4"/>
    <s v="Argentina"/>
    <x v="0"/>
    <m/>
    <s v="W"/>
    <x v="36"/>
    <n v="750"/>
    <s v="x"/>
    <n v="1350"/>
    <n v="21"/>
    <n v="2700"/>
    <n v="0"/>
    <n v="28350"/>
    <n v="0"/>
    <n v="28350"/>
  </r>
  <r>
    <s v="Dec"/>
    <n v="21"/>
    <x v="4"/>
    <s v="Brazil"/>
    <x v="0"/>
    <m/>
    <s v="D"/>
    <x v="36"/>
    <n v="11000"/>
    <s v="x"/>
    <n v="0"/>
    <n v="21"/>
    <n v="1350"/>
    <n v="0"/>
    <n v="0"/>
    <n v="0"/>
    <n v="0"/>
  </r>
  <r>
    <s v="Dec"/>
    <n v="28"/>
    <x v="4"/>
    <m/>
    <x v="2"/>
    <m/>
    <m/>
    <x v="11"/>
    <m/>
    <m/>
    <n v="72000"/>
    <n v="18"/>
    <m/>
    <m/>
    <n v="1296000"/>
    <m/>
    <n v="1296000"/>
  </r>
  <r>
    <s v="Dec"/>
    <n v="29"/>
    <x v="4"/>
    <m/>
    <x v="2"/>
    <m/>
    <m/>
    <x v="12"/>
    <m/>
    <m/>
    <n v="51000"/>
    <n v="4"/>
    <m/>
    <m/>
    <n v="204000"/>
    <m/>
    <n v="204000"/>
  </r>
  <r>
    <s v="Dec"/>
    <n v="30"/>
    <x v="4"/>
    <m/>
    <x v="2"/>
    <m/>
    <m/>
    <x v="13"/>
    <m/>
    <m/>
    <n v="36000"/>
    <n v="2"/>
    <m/>
    <m/>
    <n v="72000"/>
    <m/>
    <n v="72000"/>
  </r>
  <r>
    <s v="Dec"/>
    <n v="31"/>
    <x v="4"/>
    <m/>
    <x v="2"/>
    <m/>
    <m/>
    <x v="14"/>
    <m/>
    <m/>
    <m/>
    <m/>
    <n v="500"/>
    <n v="20"/>
    <n v="10000"/>
    <m/>
    <n v="10000"/>
  </r>
  <r>
    <s v="Feb"/>
    <n v="8"/>
    <x v="5"/>
    <s v="France"/>
    <x v="0"/>
    <m/>
    <s v="L"/>
    <x v="37"/>
    <n v="15663"/>
    <s v="x"/>
    <n v="0"/>
    <n v="18"/>
    <n v="1350"/>
    <n v="0"/>
    <n v="0"/>
    <n v="0"/>
    <n v="0"/>
  </r>
  <r>
    <s v="Feb"/>
    <n v="13"/>
    <x v="5"/>
    <s v="England"/>
    <x v="0"/>
    <m/>
    <s v="W"/>
    <x v="16"/>
    <n v="14369"/>
    <s v="x"/>
    <n v="1350"/>
    <n v="18"/>
    <n v="2700"/>
    <n v="0"/>
    <n v="24300"/>
    <n v="0"/>
    <n v="24300"/>
  </r>
  <r>
    <s v="Mar"/>
    <n v="4"/>
    <x v="5"/>
    <s v="Norway"/>
    <x v="0"/>
    <m/>
    <s v="W"/>
    <x v="0"/>
    <n v="500"/>
    <s v="x"/>
    <n v="1350"/>
    <n v="22"/>
    <n v="2700"/>
    <n v="1"/>
    <n v="32400"/>
    <n v="0"/>
    <n v="32400"/>
  </r>
  <r>
    <s v="Mar"/>
    <n v="6"/>
    <x v="5"/>
    <s v="Switzerland"/>
    <x v="0"/>
    <m/>
    <s v="W"/>
    <x v="0"/>
    <n v="500"/>
    <s v="x"/>
    <n v="1350"/>
    <n v="22"/>
    <n v="2700"/>
    <n v="1"/>
    <n v="32400"/>
    <n v="0"/>
    <n v="32400"/>
  </r>
  <r>
    <s v="Mar"/>
    <n v="9"/>
    <x v="5"/>
    <s v="Iceland"/>
    <x v="0"/>
    <m/>
    <s v="D"/>
    <x v="0"/>
    <n v="500"/>
    <s v="x"/>
    <n v="0"/>
    <n v="22"/>
    <n v="1350"/>
    <n v="1"/>
    <n v="1350"/>
    <n v="0"/>
    <n v="1350"/>
  </r>
  <r>
    <s v="Mar"/>
    <n v="11"/>
    <x v="5"/>
    <s v="France"/>
    <x v="0"/>
    <m/>
    <s v="W"/>
    <x v="0"/>
    <n v="1500"/>
    <s v="x"/>
    <n v="1350"/>
    <n v="22"/>
    <n v="2700"/>
    <n v="1"/>
    <n v="32400"/>
    <n v="0"/>
    <n v="32400"/>
  </r>
  <r>
    <s v="Apr"/>
    <n v="4"/>
    <x v="5"/>
    <s v="New Zealand"/>
    <x v="0"/>
    <m/>
    <s v="W"/>
    <x v="38"/>
    <n v="35817"/>
    <m/>
    <n v="1350"/>
    <n v="18"/>
    <n v="2700"/>
    <n v="0"/>
    <n v="24300"/>
    <n v="42980.4"/>
    <n v="67280.399999999994"/>
  </r>
  <r>
    <s v="May"/>
    <n v="10"/>
    <x v="5"/>
    <s v="Ireland"/>
    <x v="0"/>
    <m/>
    <s v="W"/>
    <x v="1"/>
    <n v="18000"/>
    <m/>
    <n v="1350"/>
    <n v="23"/>
    <n v="2700"/>
    <n v="0"/>
    <n v="31050"/>
    <n v="21600"/>
    <n v="52650"/>
  </r>
  <r>
    <s v="May"/>
    <n v="17"/>
    <x v="5"/>
    <s v="Mexico"/>
    <x v="0"/>
    <m/>
    <s v="W"/>
    <x v="1"/>
    <n v="27000"/>
    <m/>
    <n v="1350"/>
    <n v="23"/>
    <n v="2700"/>
    <n v="0"/>
    <n v="31050"/>
    <n v="32400"/>
    <n v="63450"/>
  </r>
  <r>
    <s v="May"/>
    <n v="30"/>
    <x v="5"/>
    <s v="South Korea"/>
    <x v="0"/>
    <m/>
    <s v="D"/>
    <x v="18"/>
    <n v="26467"/>
    <m/>
    <n v="0"/>
    <n v="23"/>
    <n v="1350"/>
    <n v="0"/>
    <n v="0"/>
    <n v="31760.399999999998"/>
    <n v="31760.399999999998"/>
  </r>
  <r>
    <s v="Jun"/>
    <n v="8"/>
    <x v="5"/>
    <s v="Australia"/>
    <x v="3"/>
    <m/>
    <s v="W"/>
    <x v="23"/>
    <n v="31148"/>
    <s v="x"/>
    <n v="1350"/>
    <n v="23"/>
    <n v="2700"/>
    <n v="0"/>
    <n v="31050"/>
    <n v="0"/>
    <n v="31050"/>
  </r>
  <r>
    <s v="Jun"/>
    <n v="12"/>
    <x v="5"/>
    <s v="Sweden"/>
    <x v="3"/>
    <m/>
    <s v="D"/>
    <x v="23"/>
    <n v="32716"/>
    <s v="x"/>
    <n v="0"/>
    <n v="23"/>
    <n v="1350"/>
    <n v="0"/>
    <n v="0"/>
    <n v="0"/>
    <n v="0"/>
  </r>
  <r>
    <s v="Jun"/>
    <n v="16"/>
    <x v="5"/>
    <s v="Nigeria"/>
    <x v="3"/>
    <m/>
    <s v="W"/>
    <x v="23"/>
    <n v="52193"/>
    <s v="x"/>
    <n v="1350"/>
    <n v="23"/>
    <n v="2700"/>
    <n v="0"/>
    <n v="31050"/>
    <n v="0"/>
    <n v="31050"/>
  </r>
  <r>
    <s v="Jun"/>
    <n v="22"/>
    <x v="5"/>
    <s v="Colombia"/>
    <x v="3"/>
    <m/>
    <s v="W"/>
    <x v="23"/>
    <n v="19412"/>
    <s v="x"/>
    <n v="1350"/>
    <n v="23"/>
    <n v="2700"/>
    <n v="0"/>
    <n v="31050"/>
    <n v="0"/>
    <n v="31050"/>
  </r>
  <r>
    <s v="Jun"/>
    <n v="26"/>
    <x v="5"/>
    <s v="China"/>
    <x v="3"/>
    <m/>
    <s v="W"/>
    <x v="23"/>
    <n v="24141"/>
    <s v="x"/>
    <n v="1350"/>
    <n v="23"/>
    <n v="2700"/>
    <n v="0"/>
    <n v="31050"/>
    <n v="0"/>
    <n v="31050"/>
  </r>
  <r>
    <s v="Jun"/>
    <n v="30"/>
    <x v="5"/>
    <s v="Germany"/>
    <x v="3"/>
    <m/>
    <s v="W"/>
    <x v="23"/>
    <n v="51176"/>
    <s v="x"/>
    <n v="1350"/>
    <n v="23"/>
    <n v="2700"/>
    <n v="0"/>
    <n v="31050"/>
    <n v="0"/>
    <n v="31050"/>
  </r>
  <r>
    <s v="Jul"/>
    <n v="5"/>
    <x v="5"/>
    <s v="Japan"/>
    <x v="3"/>
    <m/>
    <s v="W"/>
    <x v="23"/>
    <n v="53341"/>
    <s v="x"/>
    <n v="1350"/>
    <n v="23"/>
    <n v="2700"/>
    <n v="0"/>
    <n v="31050"/>
    <n v="0"/>
    <n v="31050"/>
  </r>
  <r>
    <s v="Aug"/>
    <n v="16"/>
    <x v="5"/>
    <s v="Costa Rica"/>
    <x v="0"/>
    <m/>
    <s v="W"/>
    <x v="7"/>
    <n v="44028"/>
    <m/>
    <n v="1350"/>
    <n v="22"/>
    <n v="2700"/>
    <n v="1"/>
    <n v="32400"/>
    <n v="52833.599999999999"/>
    <n v="85233.600000000006"/>
  </r>
  <r>
    <s v="Aug"/>
    <n v="19"/>
    <x v="5"/>
    <s v="Costa Rica"/>
    <x v="0"/>
    <m/>
    <s v="W"/>
    <x v="32"/>
    <n v="20535"/>
    <m/>
    <n v="1350"/>
    <n v="22"/>
    <n v="2700"/>
    <n v="1"/>
    <n v="32400"/>
    <n v="24642"/>
    <n v="57042"/>
  </r>
  <r>
    <s v="Sep"/>
    <n v="17"/>
    <x v="5"/>
    <s v="Haiti"/>
    <x v="0"/>
    <m/>
    <s v="W"/>
    <x v="30"/>
    <n v="34538"/>
    <m/>
    <n v="1350"/>
    <n v="22"/>
    <n v="2700"/>
    <n v="1"/>
    <n v="32400"/>
    <n v="41445.599999999999"/>
    <n v="73845.600000000006"/>
  </r>
  <r>
    <s v="Sep"/>
    <n v="20"/>
    <x v="5"/>
    <s v="Haiti"/>
    <x v="0"/>
    <m/>
    <s v="W"/>
    <x v="39"/>
    <n v="35753"/>
    <m/>
    <n v="1350"/>
    <n v="22"/>
    <n v="2700"/>
    <n v="1"/>
    <n v="32400"/>
    <n v="42903.6"/>
    <n v="75303.600000000006"/>
  </r>
  <r>
    <s v="Oct"/>
    <n v="21"/>
    <x v="5"/>
    <s v="Brazil"/>
    <x v="0"/>
    <m/>
    <s v="D"/>
    <x v="40"/>
    <n v="23603"/>
    <m/>
    <n v="0"/>
    <n v="19"/>
    <n v="1350"/>
    <n v="2"/>
    <n v="2700"/>
    <n v="28323.599999999999"/>
    <n v="31023.599999999999"/>
  </r>
  <r>
    <s v="Oct"/>
    <n v="25"/>
    <x v="5"/>
    <s v="Brazil"/>
    <x v="0"/>
    <m/>
    <s v="W"/>
    <x v="31"/>
    <n v="32869"/>
    <m/>
    <n v="1350"/>
    <n v="19"/>
    <n v="2700"/>
    <n v="2"/>
    <n v="31050"/>
    <n v="39442.799999999996"/>
    <n v="70492.799999999988"/>
  </r>
  <r>
    <s v="Dec"/>
    <n v="10"/>
    <x v="5"/>
    <s v="Trinidad &amp; Tobago"/>
    <x v="0"/>
    <m/>
    <s v="W"/>
    <x v="24"/>
    <n v="10690"/>
    <m/>
    <n v="1350"/>
    <n v="19"/>
    <n v="2700"/>
    <n v="2"/>
    <n v="31050"/>
    <n v="12828"/>
    <n v="43878"/>
  </r>
  <r>
    <s v="Dec"/>
    <n v="13"/>
    <x v="5"/>
    <s v="China"/>
    <x v="0"/>
    <m/>
    <s v="W"/>
    <x v="22"/>
    <n v="19066"/>
    <m/>
    <n v="1350"/>
    <n v="19"/>
    <n v="2700"/>
    <n v="2"/>
    <n v="31050"/>
    <n v="22879.200000000001"/>
    <n v="53929.2"/>
  </r>
  <r>
    <s v="Dec"/>
    <n v="16"/>
    <x v="5"/>
    <s v="China"/>
    <x v="0"/>
    <m/>
    <s v="L"/>
    <x v="41"/>
    <n v="32950"/>
    <m/>
    <n v="0"/>
    <n v="19"/>
    <n v="1350"/>
    <n v="2"/>
    <n v="2700"/>
    <n v="39540"/>
    <n v="42240"/>
  </r>
  <r>
    <s v="Dec"/>
    <n v="28"/>
    <x v="5"/>
    <m/>
    <x v="2"/>
    <m/>
    <m/>
    <x v="11"/>
    <m/>
    <m/>
    <n v="72000"/>
    <n v="18"/>
    <m/>
    <m/>
    <n v="1296000"/>
    <m/>
    <n v="1296000"/>
  </r>
  <r>
    <s v="Dec"/>
    <n v="29"/>
    <x v="5"/>
    <m/>
    <x v="2"/>
    <m/>
    <m/>
    <x v="12"/>
    <m/>
    <m/>
    <n v="51000"/>
    <n v="4"/>
    <m/>
    <m/>
    <n v="204000"/>
    <m/>
    <n v="204000"/>
  </r>
  <r>
    <s v="Dec"/>
    <n v="30"/>
    <x v="5"/>
    <m/>
    <x v="2"/>
    <m/>
    <m/>
    <x v="13"/>
    <m/>
    <m/>
    <n v="36000"/>
    <n v="2"/>
    <m/>
    <m/>
    <n v="72000"/>
    <m/>
    <n v="72000"/>
  </r>
  <r>
    <s v="Dec"/>
    <n v="31"/>
    <x v="5"/>
    <m/>
    <x v="2"/>
    <m/>
    <m/>
    <x v="14"/>
    <m/>
    <m/>
    <m/>
    <m/>
    <n v="500"/>
    <n v="20"/>
    <n v="10000"/>
    <m/>
    <n v="10000"/>
  </r>
  <r>
    <s v="Jan"/>
    <n v="23"/>
    <x v="6"/>
    <s v="Ireland"/>
    <x v="0"/>
    <m/>
    <s v="W"/>
    <x v="1"/>
    <n v="23309"/>
    <m/>
    <n v="1350"/>
    <n v="20"/>
    <n v="2700"/>
    <n v="0"/>
    <n v="27000"/>
    <n v="27970.799999999999"/>
    <n v="54970.8"/>
  </r>
  <r>
    <s v="Feb"/>
    <n v="10"/>
    <x v="6"/>
    <s v="Costa Rica"/>
    <x v="4"/>
    <m/>
    <s v="W"/>
    <x v="24"/>
    <n v="8143"/>
    <s v="x"/>
    <n v="1350"/>
    <n v="18"/>
    <n v="2700"/>
    <n v="1"/>
    <n v="27000"/>
    <n v="0"/>
    <n v="27000"/>
  </r>
  <r>
    <s v="Feb"/>
    <n v="13"/>
    <x v="6"/>
    <s v="Mexico"/>
    <x v="4"/>
    <m/>
    <s v="W"/>
    <x v="24"/>
    <n v="15032"/>
    <s v="x"/>
    <n v="1350"/>
    <n v="18"/>
    <n v="2700"/>
    <n v="1"/>
    <n v="27000"/>
    <n v="0"/>
    <n v="27000"/>
  </r>
  <r>
    <s v="Feb"/>
    <n v="15"/>
    <x v="6"/>
    <s v="Puerto Rico"/>
    <x v="4"/>
    <m/>
    <s v="W"/>
    <x v="24"/>
    <n v="7658"/>
    <s v="x"/>
    <n v="1350"/>
    <n v="18"/>
    <n v="2700"/>
    <n v="1"/>
    <n v="27000"/>
    <n v="0"/>
    <n v="27000"/>
  </r>
  <r>
    <s v="Feb"/>
    <n v="19"/>
    <x v="6"/>
    <s v="Trinidad &amp; Tobago"/>
    <x v="4"/>
    <m/>
    <s v="W"/>
    <x v="24"/>
    <n v="5561"/>
    <s v="x"/>
    <n v="1350"/>
    <n v="18"/>
    <n v="2700"/>
    <n v="1"/>
    <n v="27000"/>
    <n v="0"/>
    <n v="27000"/>
  </r>
  <r>
    <s v="Feb"/>
    <n v="21"/>
    <x v="6"/>
    <s v="Canada"/>
    <x v="4"/>
    <m/>
    <s v="W"/>
    <x v="24"/>
    <n v="10119"/>
    <s v="x"/>
    <n v="1350"/>
    <n v="18"/>
    <n v="2700"/>
    <n v="1"/>
    <n v="27000"/>
    <n v="0"/>
    <n v="27000"/>
  </r>
  <r>
    <s v="Mar"/>
    <n v="3"/>
    <x v="6"/>
    <s v="England"/>
    <x v="0"/>
    <m/>
    <s v="W"/>
    <x v="31"/>
    <n v="13027"/>
    <m/>
    <n v="1350"/>
    <n v="20"/>
    <n v="2700"/>
    <n v="2"/>
    <n v="32400"/>
    <n v="15632.4"/>
    <n v="48032.4"/>
  </r>
  <r>
    <s v="Mar"/>
    <n v="6"/>
    <x v="6"/>
    <s v="France"/>
    <x v="0"/>
    <m/>
    <s v="W"/>
    <x v="32"/>
    <n v="25363"/>
    <m/>
    <n v="1350"/>
    <n v="20"/>
    <n v="2700"/>
    <n v="2"/>
    <n v="32400"/>
    <n v="30435.599999999999"/>
    <n v="62835.6"/>
  </r>
  <r>
    <s v="Mar"/>
    <n v="9"/>
    <x v="6"/>
    <s v="Germany"/>
    <x v="0"/>
    <m/>
    <s v="W"/>
    <x v="31"/>
    <n v="13501"/>
    <m/>
    <n v="1350"/>
    <n v="20"/>
    <n v="2700"/>
    <n v="2"/>
    <n v="32400"/>
    <n v="16201.199999999999"/>
    <n v="48601.2"/>
  </r>
  <r>
    <s v="Apr"/>
    <n v="6"/>
    <x v="6"/>
    <s v="Colombia"/>
    <x v="0"/>
    <m/>
    <s v="W"/>
    <x v="5"/>
    <n v="21792"/>
    <m/>
    <n v="1350"/>
    <n v="16"/>
    <n v="2700"/>
    <n v="1"/>
    <n v="24300"/>
    <n v="26150.399999999998"/>
    <n v="50450.399999999994"/>
  </r>
  <r>
    <s v="Apr"/>
    <n v="10"/>
    <x v="6"/>
    <s v="Colombia"/>
    <x v="0"/>
    <m/>
    <s v="W"/>
    <x v="7"/>
    <n v="17275"/>
    <m/>
    <n v="1350"/>
    <n v="16"/>
    <n v="2700"/>
    <n v="1"/>
    <n v="24300"/>
    <n v="20730"/>
    <n v="45030"/>
  </r>
  <r>
    <s v="Jun"/>
    <n v="2"/>
    <x v="6"/>
    <s v="Japan"/>
    <x v="0"/>
    <m/>
    <s v="D"/>
    <x v="29"/>
    <n v="18572"/>
    <m/>
    <n v="0"/>
    <n v="17"/>
    <n v="1350"/>
    <n v="0"/>
    <n v="0"/>
    <n v="22286.399999999998"/>
    <n v="22286.399999999998"/>
  </r>
  <r>
    <s v="Jun"/>
    <n v="5"/>
    <x v="6"/>
    <s v="Japan"/>
    <x v="0"/>
    <m/>
    <s v="W"/>
    <x v="3"/>
    <n v="23535"/>
    <m/>
    <n v="1350"/>
    <n v="17"/>
    <n v="2700"/>
    <n v="0"/>
    <n v="22950"/>
    <n v="28242"/>
    <n v="51192"/>
  </r>
  <r>
    <s v="Jul"/>
    <n v="9"/>
    <x v="6"/>
    <s v="South Africa"/>
    <x v="0"/>
    <m/>
    <s v="W"/>
    <x v="10"/>
    <n v="19272"/>
    <m/>
    <n v="1350"/>
    <n v="17"/>
    <n v="2700"/>
    <n v="0"/>
    <n v="22950"/>
    <n v="23126.399999999998"/>
    <n v="46076.399999999994"/>
  </r>
  <r>
    <s v="Jul"/>
    <n v="22"/>
    <x v="6"/>
    <s v="Costa Rica"/>
    <x v="0"/>
    <m/>
    <s v="W"/>
    <x v="20"/>
    <n v="12635"/>
    <m/>
    <n v="1350"/>
    <n v="17"/>
    <n v="2700"/>
    <n v="0"/>
    <n v="22950"/>
    <n v="15162"/>
    <n v="38112"/>
  </r>
  <r>
    <s v="Aug"/>
    <n v="3"/>
    <x v="6"/>
    <s v="New Zealand"/>
    <x v="5"/>
    <m/>
    <s v="W"/>
    <x v="36"/>
    <n v="9556"/>
    <s v="x"/>
    <n v="1350"/>
    <n v="17"/>
    <n v="2700"/>
    <n v="0"/>
    <n v="22950"/>
    <n v="0"/>
    <n v="22950"/>
  </r>
  <r>
    <s v="Aug"/>
    <n v="6"/>
    <x v="6"/>
    <s v="France"/>
    <x v="5"/>
    <m/>
    <s v="W"/>
    <x v="36"/>
    <n v="11782"/>
    <s v="x"/>
    <n v="1350"/>
    <n v="17"/>
    <n v="2700"/>
    <n v="0"/>
    <n v="22950"/>
    <n v="0"/>
    <n v="22950"/>
  </r>
  <r>
    <s v="Aug"/>
    <n v="9"/>
    <x v="6"/>
    <s v="Colombia"/>
    <x v="5"/>
    <m/>
    <s v="D"/>
    <x v="36"/>
    <n v="30557"/>
    <s v="x"/>
    <n v="0"/>
    <n v="18"/>
    <n v="1350"/>
    <n v="0"/>
    <n v="0"/>
    <n v="0"/>
    <n v="0"/>
  </r>
  <r>
    <s v="Aug"/>
    <n v="12"/>
    <x v="6"/>
    <s v="Sweden"/>
    <x v="5"/>
    <m/>
    <s v="D"/>
    <x v="36"/>
    <n v="13892"/>
    <s v="x"/>
    <n v="0"/>
    <n v="18"/>
    <n v="1350"/>
    <n v="0"/>
    <n v="0"/>
    <n v="0"/>
    <n v="0"/>
  </r>
  <r>
    <s v="Sep"/>
    <n v="15"/>
    <x v="6"/>
    <s v="Thailand"/>
    <x v="0"/>
    <m/>
    <s v="W"/>
    <x v="3"/>
    <n v="10490"/>
    <m/>
    <n v="1350"/>
    <n v="20"/>
    <n v="2700"/>
    <n v="0"/>
    <n v="27000"/>
    <n v="12588"/>
    <n v="39588"/>
  </r>
  <r>
    <s v="Sep"/>
    <n v="18"/>
    <x v="6"/>
    <s v="Netherlands"/>
    <x v="0"/>
    <m/>
    <s v="W"/>
    <x v="6"/>
    <n v="15652"/>
    <m/>
    <n v="1350"/>
    <n v="20"/>
    <n v="2700"/>
    <n v="0"/>
    <n v="27000"/>
    <n v="18782.399999999998"/>
    <n v="45782.399999999994"/>
  </r>
  <r>
    <s v="Oct"/>
    <n v="19"/>
    <x v="6"/>
    <s v="Switzerland"/>
    <x v="0"/>
    <m/>
    <s v="W"/>
    <x v="2"/>
    <n v="14336"/>
    <m/>
    <n v="1350"/>
    <n v="16"/>
    <n v="2700"/>
    <n v="2"/>
    <n v="27000"/>
    <n v="17203.2"/>
    <n v="44203.199999999997"/>
  </r>
  <r>
    <s v="Oct"/>
    <n v="23"/>
    <x v="6"/>
    <s v="Switzerland"/>
    <x v="0"/>
    <m/>
    <s v="W"/>
    <x v="42"/>
    <n v="23400"/>
    <m/>
    <n v="1350"/>
    <n v="16"/>
    <n v="2700"/>
    <n v="2"/>
    <n v="27000"/>
    <n v="28080"/>
    <n v="55080"/>
  </r>
  <r>
    <s v="Nov"/>
    <n v="10"/>
    <x v="6"/>
    <s v="Romania"/>
    <x v="0"/>
    <m/>
    <s v="W"/>
    <x v="1"/>
    <n v="16425"/>
    <m/>
    <n v="1350"/>
    <n v="17"/>
    <n v="2700"/>
    <n v="1"/>
    <n v="25650"/>
    <n v="19710"/>
    <n v="45360"/>
  </r>
  <r>
    <s v="Nov"/>
    <n v="13"/>
    <x v="6"/>
    <s v="Romania"/>
    <x v="0"/>
    <m/>
    <s v="W"/>
    <x v="1"/>
    <n v="20336"/>
    <m/>
    <n v="1350"/>
    <n v="17"/>
    <n v="2700"/>
    <n v="1"/>
    <n v="25650"/>
    <n v="24403.200000000001"/>
    <n v="50053.2"/>
  </r>
  <r>
    <s v="Dec"/>
    <n v="28"/>
    <x v="6"/>
    <m/>
    <x v="2"/>
    <m/>
    <m/>
    <x v="11"/>
    <m/>
    <m/>
    <n v="72000"/>
    <n v="18"/>
    <m/>
    <m/>
    <n v="1296000"/>
    <m/>
    <n v="1296000"/>
  </r>
  <r>
    <s v="Dec"/>
    <n v="29"/>
    <x v="6"/>
    <m/>
    <x v="2"/>
    <m/>
    <m/>
    <x v="12"/>
    <m/>
    <m/>
    <n v="51000"/>
    <n v="4"/>
    <m/>
    <m/>
    <n v="204000"/>
    <m/>
    <n v="204000"/>
  </r>
  <r>
    <s v="Dec"/>
    <n v="30"/>
    <x v="6"/>
    <m/>
    <x v="2"/>
    <m/>
    <m/>
    <x v="13"/>
    <m/>
    <m/>
    <n v="36000"/>
    <n v="2"/>
    <m/>
    <m/>
    <n v="72000"/>
    <m/>
    <n v="72000"/>
  </r>
  <r>
    <s v="Dec"/>
    <n v="31"/>
    <x v="6"/>
    <m/>
    <x v="2"/>
    <m/>
    <m/>
    <x v="14"/>
    <m/>
    <m/>
    <m/>
    <m/>
    <n v="500"/>
    <n v="20"/>
    <n v="10000"/>
    <m/>
    <n v="10000"/>
  </r>
  <r>
    <s v="Mar"/>
    <n v="1"/>
    <x v="7"/>
    <s v="Germany"/>
    <x v="0"/>
    <s v="T1"/>
    <s v="W"/>
    <x v="7"/>
    <n v="16318"/>
    <m/>
    <n v="8500"/>
    <n v="20"/>
    <n v="12250"/>
    <n v="3"/>
    <n v="206750"/>
    <n v="24477"/>
    <n v="231227"/>
  </r>
  <r>
    <s v="Mar"/>
    <n v="4"/>
    <x v="7"/>
    <s v="England"/>
    <x v="0"/>
    <s v="T2"/>
    <s v="L"/>
    <x v="18"/>
    <n v="26500"/>
    <m/>
    <n v="0"/>
    <n v="20"/>
    <n v="3750"/>
    <n v="3"/>
    <n v="11250"/>
    <n v="39750"/>
    <n v="51000"/>
  </r>
  <r>
    <s v="Mar"/>
    <n v="7"/>
    <x v="7"/>
    <s v="France"/>
    <x v="0"/>
    <s v="T1"/>
    <s v="L"/>
    <x v="35"/>
    <n v="21638"/>
    <m/>
    <n v="0"/>
    <n v="20"/>
    <n v="3750"/>
    <n v="3"/>
    <n v="11250"/>
    <n v="32457"/>
    <n v="43707"/>
  </r>
  <r>
    <s v="Apr"/>
    <n v="6"/>
    <x v="7"/>
    <s v="Russia"/>
    <x v="0"/>
    <m/>
    <s v="W"/>
    <x v="24"/>
    <n v="15191"/>
    <m/>
    <n v="5250"/>
    <n v="16"/>
    <n v="9000"/>
    <n v="2"/>
    <n v="102000"/>
    <n v="22786.5"/>
    <n v="124786.5"/>
  </r>
  <r>
    <s v="Apr"/>
    <n v="9"/>
    <x v="7"/>
    <s v="Russia"/>
    <x v="0"/>
    <m/>
    <s v="W"/>
    <x v="24"/>
    <n v="11347"/>
    <m/>
    <n v="5250"/>
    <n v="16"/>
    <n v="9000"/>
    <n v="2"/>
    <n v="102000"/>
    <n v="17020.5"/>
    <n v="119020.5"/>
  </r>
  <r>
    <s v="Jun"/>
    <n v="8"/>
    <x v="7"/>
    <s v="Sweden"/>
    <x v="0"/>
    <m/>
    <s v="W"/>
    <x v="26"/>
    <n v="10011"/>
    <s v="x"/>
    <n v="5250"/>
    <n v="16"/>
    <n v="9000"/>
    <n v="2"/>
    <n v="102000"/>
    <n v="0"/>
    <n v="102000"/>
  </r>
  <r>
    <s v="Jun"/>
    <n v="11"/>
    <x v="7"/>
    <s v="Norway"/>
    <x v="0"/>
    <m/>
    <s v="W"/>
    <x v="43"/>
    <n v="3866"/>
    <s v="x"/>
    <n v="5250"/>
    <n v="16"/>
    <n v="9000"/>
    <n v="2"/>
    <n v="102000"/>
    <n v="0"/>
    <n v="102000"/>
  </r>
  <r>
    <s v="Jul"/>
    <n v="27"/>
    <x v="7"/>
    <s v="Australia"/>
    <x v="0"/>
    <s v="T2"/>
    <s v="L"/>
    <x v="40"/>
    <n v="15748"/>
    <m/>
    <n v="0"/>
    <n v="17"/>
    <n v="3750"/>
    <n v="6"/>
    <n v="22500"/>
    <n v="23622"/>
    <n v="46122"/>
  </r>
  <r>
    <s v="Jul"/>
    <n v="30"/>
    <x v="7"/>
    <s v="Brazil"/>
    <x v="0"/>
    <m/>
    <s v="W"/>
    <x v="1"/>
    <n v="21096"/>
    <m/>
    <n v="5250"/>
    <n v="17"/>
    <n v="9000"/>
    <n v="6"/>
    <n v="143250"/>
    <n v="31644"/>
    <n v="174894"/>
  </r>
  <r>
    <s v="Aug"/>
    <n v="3"/>
    <x v="7"/>
    <s v="Japan"/>
    <x v="0"/>
    <m/>
    <s v="W"/>
    <x v="1"/>
    <n v="23161"/>
    <m/>
    <n v="5250"/>
    <n v="17"/>
    <n v="9000"/>
    <n v="6"/>
    <n v="143250"/>
    <n v="34741.5"/>
    <n v="177991.5"/>
  </r>
  <r>
    <s v="Sep"/>
    <n v="15"/>
    <x v="7"/>
    <s v="New Zealand"/>
    <x v="0"/>
    <m/>
    <s v="W"/>
    <x v="29"/>
    <n v="17301"/>
    <m/>
    <n v="5250"/>
    <n v="14"/>
    <n v="9000"/>
    <n v="8"/>
    <n v="145500"/>
    <n v="25951.5"/>
    <n v="171451.5"/>
  </r>
  <r>
    <s v="Sep"/>
    <n v="19"/>
    <x v="7"/>
    <s v="New Zealand"/>
    <x v="0"/>
    <m/>
    <s v="W"/>
    <x v="3"/>
    <n v="30596"/>
    <m/>
    <n v="5250"/>
    <n v="14"/>
    <n v="9000"/>
    <n v="8"/>
    <n v="145500"/>
    <n v="45894"/>
    <n v="191394"/>
  </r>
  <r>
    <s v="Oct"/>
    <n v="19"/>
    <x v="7"/>
    <s v="South Korea"/>
    <x v="0"/>
    <m/>
    <s v="W"/>
    <x v="41"/>
    <n v="9371"/>
    <m/>
    <n v="5250"/>
    <n v="14"/>
    <n v="9000"/>
    <n v="3"/>
    <n v="100500"/>
    <n v="14056.5"/>
    <n v="114556.5"/>
  </r>
  <r>
    <s v="Oct"/>
    <n v="22"/>
    <x v="7"/>
    <s v="South Korea"/>
    <x v="0"/>
    <m/>
    <s v="W"/>
    <x v="17"/>
    <n v="9727"/>
    <m/>
    <n v="5250"/>
    <n v="14"/>
    <n v="9000"/>
    <n v="4"/>
    <n v="109500"/>
    <n v="14590.5"/>
    <n v="124090.5"/>
  </r>
  <r>
    <s v="Nov"/>
    <n v="9"/>
    <x v="7"/>
    <s v="Canada"/>
    <x v="0"/>
    <s v="T1"/>
    <s v="D"/>
    <x v="23"/>
    <n v="28017"/>
    <s v="x"/>
    <n v="1750"/>
    <n v="15"/>
    <n v="5500"/>
    <n v="3"/>
    <n v="42750"/>
    <n v="0"/>
    <n v="42750"/>
  </r>
  <r>
    <s v="Nov"/>
    <n v="12"/>
    <x v="7"/>
    <s v="Canada"/>
    <x v="0"/>
    <s v="T1"/>
    <s v="W"/>
    <x v="1"/>
    <n v="17960"/>
    <m/>
    <n v="8500"/>
    <n v="15"/>
    <n v="12250"/>
    <n v="3"/>
    <n v="164250"/>
    <n v="26940"/>
    <n v="191190"/>
  </r>
  <r>
    <s v="Dec"/>
    <n v="30"/>
    <x v="7"/>
    <m/>
    <x v="2"/>
    <m/>
    <m/>
    <x v="44"/>
    <m/>
    <m/>
    <n v="100000"/>
    <n v="20"/>
    <m/>
    <m/>
    <n v="2000000"/>
    <m/>
    <n v="2000000"/>
  </r>
  <r>
    <s v="Dec"/>
    <n v="31"/>
    <x v="7"/>
    <m/>
    <x v="2"/>
    <m/>
    <m/>
    <x v="45"/>
    <m/>
    <m/>
    <n v="0"/>
    <m/>
    <n v="3750"/>
    <n v="20"/>
    <n v="75000"/>
    <m/>
    <n v="75000"/>
  </r>
  <r>
    <s v="Jan"/>
    <n v="21"/>
    <x v="8"/>
    <s v="Denmark"/>
    <x v="0"/>
    <m/>
    <s v="W"/>
    <x v="1"/>
    <n v="17526"/>
    <m/>
    <n v="5250"/>
    <n v="14"/>
    <n v="9000"/>
    <n v="3"/>
    <n v="100500"/>
    <n v="26289"/>
    <n v="126789"/>
  </r>
  <r>
    <s v="Mar"/>
    <n v="1"/>
    <x v="8"/>
    <s v="Germany"/>
    <x v="0"/>
    <s v="T1"/>
    <s v="W"/>
    <x v="3"/>
    <n v="14591"/>
    <m/>
    <n v="8500"/>
    <n v="16"/>
    <n v="12250"/>
    <n v="6"/>
    <n v="209500"/>
    <n v="21886.5"/>
    <n v="231386.5"/>
  </r>
  <r>
    <s v="Mar"/>
    <n v="4"/>
    <x v="8"/>
    <s v="France"/>
    <x v="0"/>
    <s v="T2"/>
    <s v="D"/>
    <x v="18"/>
    <n v="25706"/>
    <m/>
    <n v="0"/>
    <n v="16"/>
    <n v="3750"/>
    <n v="6"/>
    <n v="22500"/>
    <n v="38559"/>
    <n v="61059"/>
  </r>
  <r>
    <s v="Mar"/>
    <n v="7"/>
    <x v="8"/>
    <s v="England"/>
    <x v="0"/>
    <s v="T1"/>
    <s v="W"/>
    <x v="31"/>
    <n v="12351"/>
    <m/>
    <n v="8500"/>
    <n v="16"/>
    <n v="12250"/>
    <n v="6"/>
    <n v="209500"/>
    <n v="18526.5"/>
    <n v="228026.5"/>
  </r>
  <r>
    <s v="Apr"/>
    <n v="5"/>
    <x v="8"/>
    <s v="Mexico"/>
    <x v="0"/>
    <m/>
    <s v="W"/>
    <x v="31"/>
    <n v="14360"/>
    <m/>
    <n v="5250"/>
    <n v="15"/>
    <n v="9000"/>
    <n v="6"/>
    <n v="132750"/>
    <n v="21540"/>
    <n v="154290"/>
  </r>
  <r>
    <s v="Apr"/>
    <n v="8"/>
    <x v="8"/>
    <s v="Mexico"/>
    <x v="0"/>
    <m/>
    <s v="W"/>
    <x v="24"/>
    <n v="15349"/>
    <m/>
    <n v="5250"/>
    <n v="15"/>
    <n v="9000"/>
    <n v="6"/>
    <n v="132750"/>
    <n v="23023.5"/>
    <n v="155773.5"/>
  </r>
  <r>
    <s v="Jun"/>
    <n v="7"/>
    <x v="8"/>
    <s v="China"/>
    <x v="0"/>
    <m/>
    <s v="W"/>
    <x v="2"/>
    <n v="13230"/>
    <m/>
    <n v="5250"/>
    <n v="13"/>
    <n v="9000"/>
    <n v="9"/>
    <n v="149250"/>
    <n v="19845"/>
    <n v="169095"/>
  </r>
  <r>
    <s v="Jun"/>
    <n v="12"/>
    <x v="8"/>
    <s v="China"/>
    <x v="0"/>
    <m/>
    <s v="W"/>
    <x v="3"/>
    <n v="12335"/>
    <m/>
    <n v="5250"/>
    <n v="13"/>
    <n v="9000"/>
    <n v="9"/>
    <n v="149250"/>
    <n v="18502.5"/>
    <n v="167752.5"/>
  </r>
  <r>
    <s v="Jul"/>
    <n v="26"/>
    <x v="8"/>
    <s v="Japan"/>
    <x v="0"/>
    <m/>
    <s v="W"/>
    <x v="20"/>
    <n v="18467"/>
    <m/>
    <n v="5250"/>
    <n v="17"/>
    <n v="9000"/>
    <n v="5"/>
    <n v="134250"/>
    <n v="27700.5"/>
    <n v="161950.5"/>
  </r>
  <r>
    <s v="Jul"/>
    <n v="29"/>
    <x v="8"/>
    <s v="Australia"/>
    <x v="0"/>
    <s v="T2"/>
    <s v="D"/>
    <x v="5"/>
    <n v="21570"/>
    <m/>
    <n v="0"/>
    <n v="17"/>
    <n v="3750"/>
    <n v="5"/>
    <n v="18750"/>
    <n v="32355"/>
    <n v="51105"/>
  </r>
  <r>
    <s v="Aug"/>
    <n v="2"/>
    <x v="8"/>
    <s v="Brazil"/>
    <x v="0"/>
    <s v="T2"/>
    <s v="W"/>
    <x v="10"/>
    <n v="18309"/>
    <m/>
    <n v="6500"/>
    <n v="17"/>
    <n v="10250"/>
    <n v="5"/>
    <n v="161750"/>
    <n v="27463.5"/>
    <n v="189213.5"/>
  </r>
  <r>
    <s v="Aug"/>
    <n v="31"/>
    <x v="8"/>
    <s v="Chile"/>
    <x v="0"/>
    <m/>
    <s v="W"/>
    <x v="1"/>
    <n v="23544"/>
    <m/>
    <n v="5250"/>
    <n v="17"/>
    <n v="9000"/>
    <n v="1"/>
    <n v="98250"/>
    <n v="35316"/>
    <n v="133566"/>
  </r>
  <r>
    <s v="Sep"/>
    <n v="4"/>
    <x v="8"/>
    <s v="Chile"/>
    <x v="0"/>
    <m/>
    <s v="W"/>
    <x v="1"/>
    <n v="14340"/>
    <m/>
    <n v="5250"/>
    <n v="17"/>
    <n v="9000"/>
    <n v="1"/>
    <n v="98250"/>
    <n v="21510"/>
    <n v="119760"/>
  </r>
  <r>
    <s v="Oct"/>
    <n v="4"/>
    <x v="8"/>
    <s v="Mexico"/>
    <x v="1"/>
    <m/>
    <s v="W"/>
    <x v="17"/>
    <n v="5404"/>
    <s v="x"/>
    <n v="3000"/>
    <n v="19"/>
    <n v="6750"/>
    <n v="0"/>
    <n v="57000"/>
    <n v="0"/>
    <n v="57000"/>
  </r>
  <r>
    <s v="Oct"/>
    <n v="7"/>
    <x v="8"/>
    <s v="Panama"/>
    <x v="1"/>
    <m/>
    <s v="W"/>
    <x v="17"/>
    <n v="7532"/>
    <s v="x"/>
    <n v="3000"/>
    <n v="19"/>
    <n v="6750"/>
    <n v="0"/>
    <n v="57000"/>
    <n v="0"/>
    <n v="57000"/>
  </r>
  <r>
    <s v="Oct"/>
    <n v="10"/>
    <x v="8"/>
    <s v="Trinidad &amp; Tobago"/>
    <x v="1"/>
    <m/>
    <s v="W"/>
    <x v="17"/>
    <n v="3996"/>
    <s v="x"/>
    <n v="3000"/>
    <n v="19"/>
    <n v="6750"/>
    <n v="0"/>
    <n v="57000"/>
    <n v="0"/>
    <n v="57000"/>
  </r>
  <r>
    <s v="Oct"/>
    <n v="14"/>
    <x v="8"/>
    <s v="Jamaica"/>
    <x v="1"/>
    <m/>
    <s v="W"/>
    <x v="24"/>
    <n v="7555"/>
    <s v="x"/>
    <n v="3000"/>
    <n v="19"/>
    <n v="6750"/>
    <n v="0"/>
    <n v="57000"/>
    <n v="0"/>
    <n v="57000"/>
  </r>
  <r>
    <s v="Oct"/>
    <n v="17"/>
    <x v="8"/>
    <s v="Canada"/>
    <x v="1"/>
    <s v="T1"/>
    <s v="W"/>
    <x v="24"/>
    <n v="6986"/>
    <s v="x"/>
    <n v="3000"/>
    <n v="19"/>
    <n v="6750"/>
    <n v="0"/>
    <n v="57000"/>
    <n v="0"/>
    <n v="57000"/>
  </r>
  <r>
    <s v="Nov"/>
    <n v="8"/>
    <x v="8"/>
    <s v="Portugal"/>
    <x v="0"/>
    <m/>
    <s v="W"/>
    <x v="0"/>
    <n v="980"/>
    <s v="x"/>
    <n v="5250"/>
    <n v="14"/>
    <n v="9000"/>
    <n v="3"/>
    <n v="100500"/>
    <n v="0"/>
    <n v="100500"/>
  </r>
  <r>
    <s v="Nov"/>
    <n v="13"/>
    <x v="8"/>
    <s v="Scotland"/>
    <x v="0"/>
    <m/>
    <s v="W"/>
    <x v="27"/>
    <n v="3790"/>
    <s v="x"/>
    <n v="5250"/>
    <n v="14"/>
    <n v="9000"/>
    <n v="3"/>
    <n v="100500"/>
    <n v="0"/>
    <n v="100500"/>
  </r>
  <r>
    <s v="Dec"/>
    <n v="30"/>
    <x v="8"/>
    <m/>
    <x v="2"/>
    <m/>
    <m/>
    <x v="44"/>
    <m/>
    <m/>
    <n v="100000"/>
    <n v="19"/>
    <m/>
    <m/>
    <n v="1900000"/>
    <m/>
    <n v="1900000"/>
  </r>
  <r>
    <s v="Dec"/>
    <n v="31"/>
    <x v="8"/>
    <m/>
    <x v="2"/>
    <m/>
    <m/>
    <x v="45"/>
    <m/>
    <m/>
    <m/>
    <m/>
    <n v="3750"/>
    <n v="20"/>
    <n v="75000"/>
    <m/>
    <n v="75000"/>
  </r>
  <r>
    <s v="Jan"/>
    <n v="19"/>
    <x v="9"/>
    <s v="France"/>
    <x v="0"/>
    <m/>
    <s v="L"/>
    <x v="37"/>
    <n v="22780"/>
    <s v="x"/>
    <n v="0"/>
    <n v="17"/>
    <n v="3750"/>
    <n v="2"/>
    <n v="7500"/>
    <n v="0"/>
    <n v="7500"/>
  </r>
  <r>
    <s v="Jan"/>
    <n v="22"/>
    <x v="9"/>
    <s v="Spain"/>
    <x v="0"/>
    <m/>
    <s v="W"/>
    <x v="46"/>
    <n v="9182"/>
    <s v="x"/>
    <n v="5250"/>
    <n v="17"/>
    <n v="9000"/>
    <n v="2"/>
    <n v="107250"/>
    <n v="0"/>
    <n v="107250"/>
  </r>
  <r>
    <s v="Feb"/>
    <n v="27"/>
    <x v="9"/>
    <s v=" Japan"/>
    <x v="0"/>
    <m/>
    <s v="D"/>
    <x v="7"/>
    <n v="14555"/>
    <m/>
    <n v="1250"/>
    <n v="18"/>
    <n v="5000"/>
    <n v="4"/>
    <n v="42500"/>
    <n v="21832.5"/>
    <n v="64332.5"/>
  </r>
  <r>
    <s v="Mar"/>
    <n v="2"/>
    <x v="9"/>
    <s v=" England"/>
    <x v="0"/>
    <m/>
    <s v="D"/>
    <x v="32"/>
    <n v="22125"/>
    <m/>
    <n v="1250"/>
    <n v="18"/>
    <n v="5000"/>
    <n v="4"/>
    <n v="42500"/>
    <n v="33187.5"/>
    <n v="75687.5"/>
  </r>
  <r>
    <s v="Mar"/>
    <n v="5"/>
    <x v="9"/>
    <s v=" Brazil"/>
    <x v="0"/>
    <m/>
    <s v="W"/>
    <x v="31"/>
    <n v="14009"/>
    <m/>
    <n v="5250"/>
    <n v="18"/>
    <n v="9000"/>
    <n v="4"/>
    <n v="130500"/>
    <n v="21013.5"/>
    <n v="151513.5"/>
  </r>
  <r>
    <s v="Apr"/>
    <n v="4"/>
    <x v="9"/>
    <s v=" Australia"/>
    <x v="0"/>
    <m/>
    <s v="W"/>
    <x v="29"/>
    <n v="17264"/>
    <m/>
    <n v="5250"/>
    <n v="18"/>
    <n v="9000"/>
    <n v="2"/>
    <n v="112500"/>
    <n v="25896"/>
    <n v="138396"/>
  </r>
  <r>
    <s v="Apr"/>
    <n v="7"/>
    <x v="9"/>
    <s v=" Belgium"/>
    <x v="0"/>
    <m/>
    <s v="W"/>
    <x v="1"/>
    <n v="20941"/>
    <m/>
    <n v="5250"/>
    <n v="18"/>
    <n v="9000"/>
    <n v="2"/>
    <n v="112500"/>
    <n v="31411.5"/>
    <n v="143911.5"/>
  </r>
  <r>
    <s v="May"/>
    <n v="12"/>
    <x v="9"/>
    <s v=" South Africa"/>
    <x v="0"/>
    <m/>
    <s v="W"/>
    <x v="1"/>
    <n v="22788"/>
    <m/>
    <n v="5250"/>
    <n v="18"/>
    <n v="9000"/>
    <n v="5"/>
    <n v="139500"/>
    <n v="34182"/>
    <n v="173682"/>
  </r>
  <r>
    <s v="May"/>
    <n v="16"/>
    <x v="9"/>
    <s v=" New Zealand"/>
    <x v="0"/>
    <m/>
    <s v="W"/>
    <x v="38"/>
    <n v="35761"/>
    <m/>
    <n v="5250"/>
    <n v="18"/>
    <n v="9000"/>
    <n v="5"/>
    <n v="139500"/>
    <n v="53641.5"/>
    <n v="193141.5"/>
  </r>
  <r>
    <s v="May"/>
    <n v="26"/>
    <x v="9"/>
    <s v=" Mexico"/>
    <x v="0"/>
    <m/>
    <s v="W"/>
    <x v="18"/>
    <n v="26332"/>
    <m/>
    <n v="5250"/>
    <n v="18"/>
    <n v="9000"/>
    <n v="5"/>
    <n v="139500"/>
    <n v="39498"/>
    <n v="178998"/>
  </r>
  <r>
    <s v="Jun"/>
    <n v="11"/>
    <x v="9"/>
    <s v="Thailand"/>
    <x v="3"/>
    <m/>
    <s v="W"/>
    <x v="37"/>
    <n v="18591"/>
    <s v="x"/>
    <n v="4500"/>
    <n v="18"/>
    <n v="8250"/>
    <n v="5"/>
    <n v="122250"/>
    <n v="0"/>
    <n v="122250"/>
  </r>
  <r>
    <s v="Jun"/>
    <n v="16"/>
    <x v="9"/>
    <s v="Chile"/>
    <x v="3"/>
    <m/>
    <s v="W"/>
    <x v="37"/>
    <n v="45594"/>
    <s v="x"/>
    <n v="4500"/>
    <n v="18"/>
    <n v="8250"/>
    <n v="5"/>
    <n v="122250"/>
    <n v="0"/>
    <n v="122250"/>
  </r>
  <r>
    <s v="Jun"/>
    <n v="20"/>
    <x v="9"/>
    <s v="Sweden"/>
    <x v="3"/>
    <m/>
    <s v="W"/>
    <x v="37"/>
    <n v="22418"/>
    <s v="x"/>
    <n v="4500"/>
    <n v="18"/>
    <n v="8250"/>
    <n v="5"/>
    <n v="122250"/>
    <n v="0"/>
    <n v="122250"/>
  </r>
  <r>
    <s v="Jun"/>
    <n v="24"/>
    <x v="9"/>
    <s v="Spain"/>
    <x v="3"/>
    <m/>
    <s v="W"/>
    <x v="37"/>
    <n v="19633"/>
    <s v="x"/>
    <n v="4500"/>
    <n v="18"/>
    <n v="8250"/>
    <n v="5"/>
    <n v="122250"/>
    <n v="0"/>
    <n v="122250"/>
  </r>
  <r>
    <s v="Jun"/>
    <n v="28"/>
    <x v="9"/>
    <s v="France"/>
    <x v="3"/>
    <m/>
    <s v="W"/>
    <x v="37"/>
    <n v="45595"/>
    <s v="x"/>
    <n v="4500"/>
    <n v="18"/>
    <n v="8250"/>
    <n v="5"/>
    <n v="122250"/>
    <n v="0"/>
    <n v="122250"/>
  </r>
  <r>
    <s v="Jul"/>
    <n v="2"/>
    <x v="9"/>
    <s v="England"/>
    <x v="3"/>
    <m/>
    <s v="W"/>
    <x v="37"/>
    <n v="53512"/>
    <s v="x"/>
    <n v="4500"/>
    <n v="18"/>
    <n v="8250"/>
    <n v="5"/>
    <n v="122250"/>
    <n v="0"/>
    <n v="122250"/>
  </r>
  <r>
    <s v="Jul"/>
    <n v="7"/>
    <x v="9"/>
    <s v="Netherlands"/>
    <x v="3"/>
    <m/>
    <s v="W"/>
    <x v="37"/>
    <n v="53512"/>
    <s v="x"/>
    <n v="4500"/>
    <n v="18"/>
    <n v="8250"/>
    <n v="5"/>
    <n v="122250"/>
    <n v="0"/>
    <n v="122250"/>
  </r>
  <r>
    <s v="Aug"/>
    <n v="3"/>
    <x v="9"/>
    <s v=" Republic of Ireland"/>
    <x v="0"/>
    <m/>
    <s v="W"/>
    <x v="1"/>
    <n v="37040"/>
    <m/>
    <n v="5250"/>
    <n v="16"/>
    <n v="9000"/>
    <n v="5"/>
    <n v="129000"/>
    <n v="55560"/>
    <n v="184560"/>
  </r>
  <r>
    <s v="Aug"/>
    <n v="29"/>
    <x v="9"/>
    <s v=" Portugal"/>
    <x v="0"/>
    <m/>
    <s v="W"/>
    <x v="7"/>
    <n v="49504"/>
    <m/>
    <n v="5250"/>
    <n v="14"/>
    <n v="9000"/>
    <n v="6"/>
    <n v="127500"/>
    <n v="74256"/>
    <n v="201756"/>
  </r>
  <r>
    <s v="Sep"/>
    <n v="3"/>
    <x v="9"/>
    <s v=" Portugal"/>
    <x v="0"/>
    <m/>
    <s v="W"/>
    <x v="42"/>
    <n v="19600"/>
    <m/>
    <n v="5250"/>
    <n v="14"/>
    <n v="9000"/>
    <n v="6"/>
    <n v="127500"/>
    <n v="29400"/>
    <n v="156900"/>
  </r>
  <r>
    <s v="Oct"/>
    <n v="3"/>
    <x v="9"/>
    <s v=" South Korea"/>
    <x v="0"/>
    <m/>
    <s v="W"/>
    <x v="17"/>
    <n v="30071"/>
    <m/>
    <n v="5250"/>
    <n v="13"/>
    <n v="9000"/>
    <n v="5"/>
    <n v="113250"/>
    <n v="45106.5"/>
    <n v="158356.5"/>
  </r>
  <r>
    <s v="Oct"/>
    <n v="6"/>
    <x v="9"/>
    <s v=" South Korea"/>
    <x v="0"/>
    <m/>
    <s v="D"/>
    <x v="10"/>
    <n v="33027"/>
    <m/>
    <n v="1250"/>
    <n v="13"/>
    <n v="5000"/>
    <n v="6"/>
    <n v="46250"/>
    <n v="49540.5"/>
    <n v="95790.5"/>
  </r>
  <r>
    <s v="Nov"/>
    <n v="7"/>
    <x v="9"/>
    <s v=" Sweden"/>
    <x v="0"/>
    <m/>
    <s v="W"/>
    <x v="3"/>
    <n v="20903"/>
    <m/>
    <n v="5250"/>
    <n v="13"/>
    <n v="9000"/>
    <n v="5"/>
    <n v="113250"/>
    <n v="31354.5"/>
    <n v="144604.5"/>
  </r>
  <r>
    <s v="Nov"/>
    <n v="10"/>
    <x v="9"/>
    <s v=" Costa Rica"/>
    <x v="0"/>
    <m/>
    <s v="W"/>
    <x v="31"/>
    <n v="12914"/>
    <m/>
    <n v="5250"/>
    <n v="9"/>
    <n v="9000"/>
    <n v="9"/>
    <n v="128250"/>
    <n v="19371"/>
    <n v="147621"/>
  </r>
  <r>
    <s v="Dec"/>
    <n v="30"/>
    <x v="9"/>
    <m/>
    <x v="2"/>
    <m/>
    <m/>
    <x v="44"/>
    <m/>
    <m/>
    <n v="100000"/>
    <n v="18"/>
    <m/>
    <m/>
    <n v="1800000"/>
    <m/>
    <n v="1800000"/>
  </r>
  <r>
    <s v="Dec"/>
    <n v="31"/>
    <x v="9"/>
    <m/>
    <x v="2"/>
    <m/>
    <m/>
    <x v="45"/>
    <m/>
    <m/>
    <n v="0"/>
    <m/>
    <n v="3750"/>
    <n v="20"/>
    <n v="75000"/>
    <m/>
    <n v="75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3">
  <r>
    <s v="Jan"/>
    <n v="23"/>
    <x v="0"/>
    <s v="Honduras"/>
    <x v="0"/>
    <m/>
    <s v="L"/>
    <x v="0"/>
    <x v="0"/>
    <s v="x"/>
    <n v="3600"/>
    <n v="20"/>
    <n v="72000"/>
    <n v="0"/>
    <n v="72000"/>
  </r>
  <r>
    <s v="Feb"/>
    <n v="24"/>
    <x v="0"/>
    <s v="El Salvador"/>
    <x v="0"/>
    <m/>
    <s v="W"/>
    <x v="1"/>
    <x v="1"/>
    <s v="x"/>
    <n v="3600"/>
    <n v="20"/>
    <n v="72000"/>
    <n v="0"/>
    <n v="72000"/>
  </r>
  <r>
    <s v="Mar"/>
    <n v="3"/>
    <x v="0"/>
    <s v="Netherlands"/>
    <x v="0"/>
    <m/>
    <s v="L"/>
    <x v="2"/>
    <x v="2"/>
    <s v="x"/>
    <n v="3600"/>
    <n v="20"/>
    <n v="72000"/>
    <n v="0"/>
    <n v="72000"/>
  </r>
  <r>
    <s v="May"/>
    <n v="25"/>
    <x v="0"/>
    <s v="Czech Republic"/>
    <x v="0"/>
    <m/>
    <s v="L"/>
    <x v="3"/>
    <x v="3"/>
    <s v="x"/>
    <n v="3600"/>
    <n v="20"/>
    <n v="72000"/>
    <n v="0"/>
    <n v="72000"/>
  </r>
  <r>
    <s v="May"/>
    <n v="29"/>
    <x v="0"/>
    <s v="Turkey"/>
    <x v="0"/>
    <m/>
    <s v="W"/>
    <x v="4"/>
    <x v="4"/>
    <s v="x"/>
    <n v="3600"/>
    <n v="20"/>
    <n v="72000"/>
    <n v="0"/>
    <n v="72000"/>
  </r>
  <r>
    <s v="Jun"/>
    <n v="5"/>
    <x v="0"/>
    <s v="Australia"/>
    <x v="0"/>
    <s v="T2"/>
    <s v="W"/>
    <x v="5"/>
    <x v="5"/>
    <s v="x"/>
    <n v="3600"/>
    <n v="20"/>
    <n v="72000"/>
    <n v="0"/>
    <n v="72000"/>
  </r>
  <r>
    <s v="Jun"/>
    <n v="12"/>
    <x v="0"/>
    <s v="England"/>
    <x v="1"/>
    <m/>
    <s v="D"/>
    <x v="5"/>
    <x v="6"/>
    <s v="x"/>
    <n v="4500"/>
    <n v="23"/>
    <n v="103500"/>
    <n v="0"/>
    <n v="103500"/>
  </r>
  <r>
    <s v="Jun"/>
    <n v="18"/>
    <x v="0"/>
    <s v="Slovenia"/>
    <x v="1"/>
    <m/>
    <s v="D"/>
    <x v="5"/>
    <x v="7"/>
    <s v="x"/>
    <n v="4500"/>
    <n v="23"/>
    <n v="103500"/>
    <n v="0"/>
    <n v="103500"/>
  </r>
  <r>
    <s v="Jun"/>
    <n v="23"/>
    <x v="0"/>
    <s v="Algeria"/>
    <x v="1"/>
    <m/>
    <s v="W"/>
    <x v="5"/>
    <x v="8"/>
    <s v="x"/>
    <n v="4500"/>
    <n v="23"/>
    <n v="103500"/>
    <n v="0"/>
    <n v="103500"/>
  </r>
  <r>
    <s v="Jun"/>
    <n v="26"/>
    <x v="0"/>
    <s v="Ghana"/>
    <x v="1"/>
    <m/>
    <s v="L"/>
    <x v="5"/>
    <x v="9"/>
    <s v="x"/>
    <n v="4500"/>
    <n v="23"/>
    <n v="103500"/>
    <n v="0"/>
    <n v="103500"/>
  </r>
  <r>
    <s v="Aug"/>
    <n v="10"/>
    <x v="0"/>
    <s v="Brazil"/>
    <x v="0"/>
    <m/>
    <s v="L"/>
    <x v="6"/>
    <x v="10"/>
    <s v="x"/>
    <n v="3600"/>
    <n v="20"/>
    <n v="72000"/>
    <n v="0"/>
    <n v="72000"/>
  </r>
  <r>
    <s v="Oct"/>
    <n v="9"/>
    <x v="0"/>
    <s v="Poland"/>
    <x v="0"/>
    <m/>
    <s v="D"/>
    <x v="7"/>
    <x v="11"/>
    <s v="x"/>
    <n v="3600"/>
    <n v="20"/>
    <n v="72000"/>
    <n v="0"/>
    <n v="72000"/>
  </r>
  <r>
    <s v="Oct"/>
    <n v="12"/>
    <x v="0"/>
    <s v="Colombia"/>
    <x v="0"/>
    <m/>
    <s v="D"/>
    <x v="4"/>
    <x v="12"/>
    <s v="x"/>
    <n v="3600"/>
    <n v="20"/>
    <n v="72000"/>
    <n v="0"/>
    <n v="72000"/>
  </r>
  <r>
    <s v="Nov"/>
    <n v="17"/>
    <x v="0"/>
    <s v="South Africa"/>
    <x v="0"/>
    <m/>
    <s v="W"/>
    <x v="5"/>
    <x v="13"/>
    <s v="x"/>
    <n v="3600"/>
    <n v="20"/>
    <n v="72000"/>
    <n v="0"/>
    <n v="72000"/>
  </r>
  <r>
    <s v="Jan"/>
    <n v="22"/>
    <x v="1"/>
    <s v="Chile"/>
    <x v="0"/>
    <m/>
    <s v="D"/>
    <x v="0"/>
    <x v="14"/>
    <m/>
    <n v="5000"/>
    <n v="20"/>
    <n v="100000"/>
    <n v="22296"/>
    <n v="122296"/>
  </r>
  <r>
    <s v="Mar"/>
    <n v="26"/>
    <x v="1"/>
    <s v="Argentina"/>
    <x v="0"/>
    <s v="T1"/>
    <s v="D"/>
    <x v="6"/>
    <x v="15"/>
    <m/>
    <n v="6500"/>
    <n v="20"/>
    <n v="130000"/>
    <n v="94723.199999999997"/>
    <n v="224723.20000000001"/>
  </r>
  <r>
    <s v="Mar"/>
    <n v="29"/>
    <x v="1"/>
    <s v="Paraguay"/>
    <x v="0"/>
    <m/>
    <s v="L"/>
    <x v="8"/>
    <x v="16"/>
    <m/>
    <n v="4000"/>
    <n v="20"/>
    <n v="80000"/>
    <n v="34870.799999999996"/>
    <n v="114870.79999999999"/>
  </r>
  <r>
    <s v="Jun"/>
    <n v="4"/>
    <x v="1"/>
    <s v="Spain"/>
    <x v="0"/>
    <m/>
    <s v="L"/>
    <x v="9"/>
    <x v="17"/>
    <m/>
    <n v="4000"/>
    <n v="20"/>
    <n v="80000"/>
    <n v="76945.2"/>
    <n v="156945.20000000001"/>
  </r>
  <r>
    <s v="Jun"/>
    <n v="7"/>
    <x v="1"/>
    <s v="Canada"/>
    <x v="2"/>
    <m/>
    <s v="W"/>
    <x v="10"/>
    <x v="18"/>
    <s v="x"/>
    <n v="7500"/>
    <n v="23"/>
    <n v="172500"/>
    <n v="0"/>
    <n v="172500"/>
  </r>
  <r>
    <s v="Jun"/>
    <n v="11"/>
    <x v="1"/>
    <s v="Panama"/>
    <x v="2"/>
    <m/>
    <s v="L"/>
    <x v="1"/>
    <x v="19"/>
    <s v="x"/>
    <n v="4000"/>
    <n v="23"/>
    <n v="92000"/>
    <n v="0"/>
    <n v="92000"/>
  </r>
  <r>
    <s v="Jun"/>
    <n v="14"/>
    <x v="1"/>
    <s v="Guadeloupe"/>
    <x v="2"/>
    <m/>
    <s v="W"/>
    <x v="11"/>
    <x v="20"/>
    <s v="x"/>
    <n v="7500"/>
    <n v="23"/>
    <n v="172500"/>
    <n v="0"/>
    <n v="172500"/>
  </r>
  <r>
    <s v="Jun"/>
    <n v="19"/>
    <x v="1"/>
    <s v="Jamaica"/>
    <x v="2"/>
    <m/>
    <s v="W"/>
    <x v="12"/>
    <x v="21"/>
    <s v="x"/>
    <n v="7500"/>
    <n v="23"/>
    <n v="172500"/>
    <n v="0"/>
    <n v="172500"/>
  </r>
  <r>
    <s v="Jun"/>
    <n v="22"/>
    <x v="1"/>
    <s v="Panama"/>
    <x v="2"/>
    <m/>
    <s v="W"/>
    <x v="13"/>
    <x v="22"/>
    <s v="x"/>
    <n v="7500"/>
    <n v="23"/>
    <n v="172500"/>
    <n v="0"/>
    <n v="172500"/>
  </r>
  <r>
    <s v="Jun"/>
    <n v="25"/>
    <x v="1"/>
    <s v="Mexico"/>
    <x v="2"/>
    <m/>
    <s v="L"/>
    <x v="0"/>
    <x v="23"/>
    <s v="x"/>
    <n v="4000"/>
    <n v="23"/>
    <n v="92000"/>
    <n v="0"/>
    <n v="92000"/>
  </r>
  <r>
    <s v="Aug"/>
    <n v="10"/>
    <x v="1"/>
    <s v="Mexico"/>
    <x v="0"/>
    <s v="T1"/>
    <s v="D"/>
    <x v="4"/>
    <x v="24"/>
    <m/>
    <n v="6500"/>
    <n v="20"/>
    <n v="130000"/>
    <n v="36165.599999999999"/>
    <n v="166165.6"/>
  </r>
  <r>
    <s v="Sep"/>
    <n v="2"/>
    <x v="1"/>
    <s v="Costa Rica"/>
    <x v="0"/>
    <m/>
    <s v="L"/>
    <x v="0"/>
    <x v="25"/>
    <m/>
    <n v="4000"/>
    <n v="20"/>
    <n v="80000"/>
    <n v="18957.599999999999"/>
    <n v="98957.6"/>
  </r>
  <r>
    <s v="Sep"/>
    <n v="6"/>
    <x v="1"/>
    <s v="Belgium"/>
    <x v="0"/>
    <m/>
    <s v="L"/>
    <x v="14"/>
    <x v="26"/>
    <s v="x"/>
    <n v="4000"/>
    <n v="20"/>
    <n v="80000"/>
    <n v="0"/>
    <n v="80000"/>
  </r>
  <r>
    <s v="Oct"/>
    <n v="8"/>
    <x v="1"/>
    <s v="Honduras"/>
    <x v="0"/>
    <m/>
    <s v="W"/>
    <x v="1"/>
    <x v="27"/>
    <m/>
    <n v="7500"/>
    <n v="20"/>
    <n v="150000"/>
    <n v="25404"/>
    <n v="175404"/>
  </r>
  <r>
    <s v="Oct"/>
    <n v="11"/>
    <x v="1"/>
    <s v="Ecuador"/>
    <x v="0"/>
    <m/>
    <s v="L"/>
    <x v="6"/>
    <x v="28"/>
    <m/>
    <n v="4000"/>
    <n v="20"/>
    <n v="80000"/>
    <n v="24848.399999999998"/>
    <n v="104848.4"/>
  </r>
  <r>
    <s v="Nov"/>
    <n v="11"/>
    <x v="1"/>
    <s v="France"/>
    <x v="0"/>
    <m/>
    <s v="L"/>
    <x v="15"/>
    <x v="29"/>
    <s v="x"/>
    <n v="4000"/>
    <n v="20"/>
    <n v="80000"/>
    <n v="0"/>
    <n v="80000"/>
  </r>
  <r>
    <s v="Nov"/>
    <n v="15"/>
    <x v="1"/>
    <s v="Slovenia"/>
    <x v="0"/>
    <m/>
    <s v="W"/>
    <x v="16"/>
    <x v="30"/>
    <s v="x"/>
    <n v="7500"/>
    <n v="20"/>
    <n v="150000"/>
    <n v="0"/>
    <n v="150000"/>
  </r>
  <r>
    <m/>
    <m/>
    <x v="2"/>
    <s v="2011 training camp without making gameday roster (estimated 10)"/>
    <x v="3"/>
    <m/>
    <m/>
    <x v="17"/>
    <x v="31"/>
    <m/>
    <n v="1500"/>
    <n v="10"/>
    <n v="15000"/>
    <m/>
    <n v="15000"/>
  </r>
  <r>
    <s v="Jan"/>
    <n v="21"/>
    <x v="3"/>
    <s v="Venezuela"/>
    <x v="0"/>
    <m/>
    <s v="W"/>
    <x v="18"/>
    <x v="32"/>
    <m/>
    <n v="7500"/>
    <n v="20"/>
    <n v="150000"/>
    <n v="26883.599999999999"/>
    <n v="176883.6"/>
  </r>
  <r>
    <s v="Jan"/>
    <n v="25"/>
    <x v="3"/>
    <s v="Panama"/>
    <x v="0"/>
    <m/>
    <s v="W"/>
    <x v="19"/>
    <x v="33"/>
    <s v="x"/>
    <n v="7500"/>
    <n v="20"/>
    <n v="150000"/>
    <n v="0"/>
    <n v="150000"/>
  </r>
  <r>
    <s v="Feb"/>
    <n v="29"/>
    <x v="3"/>
    <s v="Italy"/>
    <x v="0"/>
    <s v="T1"/>
    <s v="W"/>
    <x v="20"/>
    <x v="33"/>
    <s v="x"/>
    <n v="14100"/>
    <n v="20"/>
    <n v="282000"/>
    <n v="0"/>
    <n v="282000"/>
  </r>
  <r>
    <s v="May"/>
    <n v="26"/>
    <x v="3"/>
    <s v="Scotland"/>
    <x v="0"/>
    <m/>
    <s v="W"/>
    <x v="1"/>
    <x v="34"/>
    <m/>
    <n v="7500"/>
    <n v="20"/>
    <n v="150000"/>
    <n v="53325.599999999999"/>
    <n v="203325.6"/>
  </r>
  <r>
    <s v="May"/>
    <n v="30"/>
    <x v="3"/>
    <s v="Brazil"/>
    <x v="0"/>
    <m/>
    <s v="L"/>
    <x v="21"/>
    <x v="35"/>
    <m/>
    <n v="4000"/>
    <n v="20"/>
    <n v="80000"/>
    <n v="81142.8"/>
    <n v="161142.79999999999"/>
  </r>
  <r>
    <s v="Jun"/>
    <n v="3"/>
    <x v="3"/>
    <s v="Canada"/>
    <x v="0"/>
    <m/>
    <s v="D"/>
    <x v="22"/>
    <x v="36"/>
    <s v="x"/>
    <n v="5000"/>
    <n v="20"/>
    <n v="100000"/>
    <n v="0"/>
    <n v="100000"/>
  </r>
  <r>
    <s v="Jun"/>
    <n v="8"/>
    <x v="3"/>
    <s v="Antigua &amp; Barbuda"/>
    <x v="4"/>
    <m/>
    <s v="W"/>
    <x v="1"/>
    <x v="37"/>
    <m/>
    <n v="12500"/>
    <n v="23"/>
    <n v="287500"/>
    <n v="28765.200000000001"/>
    <n v="316265.2"/>
  </r>
  <r>
    <s v="Jun"/>
    <n v="12"/>
    <x v="3"/>
    <s v="Guatemala"/>
    <x v="4"/>
    <m/>
    <s v="D"/>
    <x v="23"/>
    <x v="38"/>
    <s v="x"/>
    <n v="6000"/>
    <n v="23"/>
    <n v="138000"/>
    <n v="0"/>
    <n v="138000"/>
  </r>
  <r>
    <s v="Aug"/>
    <n v="15"/>
    <x v="3"/>
    <s v="Mexico"/>
    <x v="0"/>
    <s v="T1"/>
    <s v="W"/>
    <x v="24"/>
    <x v="39"/>
    <s v="x"/>
    <n v="14100"/>
    <n v="20"/>
    <n v="282000"/>
    <n v="0"/>
    <n v="282000"/>
  </r>
  <r>
    <s v="Sep"/>
    <n v="7"/>
    <x v="3"/>
    <s v="Jamaica"/>
    <x v="4"/>
    <m/>
    <s v="L"/>
    <x v="25"/>
    <x v="40"/>
    <s v="x"/>
    <n v="4000"/>
    <n v="23"/>
    <n v="92000"/>
    <n v="0"/>
    <n v="92000"/>
  </r>
  <r>
    <s v="Sep"/>
    <n v="11"/>
    <x v="3"/>
    <s v="Jamaica"/>
    <x v="4"/>
    <m/>
    <s v="W"/>
    <x v="26"/>
    <x v="41"/>
    <m/>
    <n v="12500"/>
    <n v="23"/>
    <n v="287500"/>
    <n v="28657.200000000001"/>
    <n v="316157.2"/>
  </r>
  <r>
    <s v="Oct"/>
    <n v="12"/>
    <x v="3"/>
    <s v="Antigua &amp; Barbuda"/>
    <x v="4"/>
    <m/>
    <s v="W"/>
    <x v="27"/>
    <x v="42"/>
    <s v="x"/>
    <n v="12500"/>
    <n v="23"/>
    <n v="287500"/>
    <n v="0"/>
    <n v="287500"/>
  </r>
  <r>
    <s v="Oct"/>
    <n v="16"/>
    <x v="3"/>
    <s v="Guatemala"/>
    <x v="4"/>
    <m/>
    <s v="W"/>
    <x v="11"/>
    <x v="43"/>
    <m/>
    <n v="12500"/>
    <n v="23"/>
    <n v="287500"/>
    <n v="20336.399999999998"/>
    <n v="307836.40000000002"/>
  </r>
  <r>
    <s v="Nov"/>
    <n v="14"/>
    <x v="3"/>
    <s v="Russia"/>
    <x v="0"/>
    <m/>
    <s v="D"/>
    <x v="28"/>
    <x v="44"/>
    <s v="x"/>
    <n v="5000"/>
    <n v="20"/>
    <n v="100000"/>
    <n v="0"/>
    <n v="100000"/>
  </r>
  <r>
    <m/>
    <m/>
    <x v="2"/>
    <s v="2012 training camp without making gameday roster (estimated 10)"/>
    <x v="3"/>
    <m/>
    <m/>
    <x v="17"/>
    <x v="31"/>
    <m/>
    <n v="1500"/>
    <n v="10"/>
    <n v="15000"/>
    <m/>
    <n v="15000"/>
  </r>
  <r>
    <m/>
    <m/>
    <x v="2"/>
    <s v="2012 World Cup qualifier training camp without making gameday roster (estimated 10)"/>
    <x v="3"/>
    <m/>
    <m/>
    <x v="17"/>
    <x v="31"/>
    <m/>
    <n v="2000"/>
    <n v="10"/>
    <n v="20000"/>
    <m/>
    <n v="20000"/>
  </r>
  <r>
    <s v="Jan"/>
    <n v="29"/>
    <x v="4"/>
    <s v="Canada"/>
    <x v="0"/>
    <m/>
    <s v="D"/>
    <x v="13"/>
    <x v="45"/>
    <m/>
    <n v="5000"/>
    <n v="20"/>
    <n v="100000"/>
    <n v="14084.4"/>
    <n v="114084.4"/>
  </r>
  <r>
    <s v="Feb"/>
    <n v="6"/>
    <x v="4"/>
    <s v="Honduras"/>
    <x v="5"/>
    <m/>
    <s v="L"/>
    <x v="29"/>
    <x v="46"/>
    <s v="x"/>
    <n v="4000"/>
    <n v="23"/>
    <n v="92000"/>
    <n v="0"/>
    <n v="92000"/>
  </r>
  <r>
    <s v="Mar"/>
    <n v="22"/>
    <x v="4"/>
    <s v="Costa Rica"/>
    <x v="5"/>
    <m/>
    <s v="W"/>
    <x v="30"/>
    <x v="47"/>
    <m/>
    <n v="14500"/>
    <n v="23"/>
    <n v="333500"/>
    <n v="23248.799999999999"/>
    <n v="356748.79999999999"/>
  </r>
  <r>
    <s v="Mar"/>
    <n v="26"/>
    <x v="4"/>
    <s v="Mexico"/>
    <x v="5"/>
    <m/>
    <s v="D"/>
    <x v="24"/>
    <x v="48"/>
    <s v="x"/>
    <n v="8000"/>
    <n v="23"/>
    <n v="184000"/>
    <n v="0"/>
    <n v="184000"/>
  </r>
  <r>
    <s v="May"/>
    <n v="29"/>
    <x v="4"/>
    <s v="Belgium"/>
    <x v="0"/>
    <m/>
    <s v="L"/>
    <x v="26"/>
    <x v="49"/>
    <m/>
    <n v="4000"/>
    <n v="20"/>
    <n v="80000"/>
    <n v="33264"/>
    <n v="113264"/>
  </r>
  <r>
    <s v="Jun"/>
    <n v="2"/>
    <x v="4"/>
    <s v="Germany"/>
    <x v="0"/>
    <s v="T1"/>
    <s v="W"/>
    <x v="12"/>
    <x v="50"/>
    <m/>
    <n v="14100"/>
    <n v="20"/>
    <n v="282000"/>
    <n v="56830.799999999996"/>
    <n v="338830.8"/>
  </r>
  <r>
    <s v="Jun"/>
    <n v="7"/>
    <x v="4"/>
    <s v="Jamaica"/>
    <x v="5"/>
    <m/>
    <s v="W"/>
    <x v="25"/>
    <x v="51"/>
    <s v="x"/>
    <n v="14500"/>
    <n v="23"/>
    <n v="333500"/>
    <n v="0"/>
    <n v="333500"/>
  </r>
  <r>
    <s v="Jun"/>
    <n v="11"/>
    <x v="4"/>
    <s v="Panama"/>
    <x v="5"/>
    <m/>
    <s v="W"/>
    <x v="31"/>
    <x v="52"/>
    <m/>
    <n v="14500"/>
    <n v="23"/>
    <n v="333500"/>
    <n v="49016.4"/>
    <n v="382516.4"/>
  </r>
  <r>
    <s v="Jun"/>
    <n v="18"/>
    <x v="4"/>
    <s v="Honduras"/>
    <x v="5"/>
    <m/>
    <s v="W"/>
    <x v="32"/>
    <x v="53"/>
    <m/>
    <n v="14500"/>
    <n v="23"/>
    <n v="333500"/>
    <n v="24300"/>
    <n v="357800"/>
  </r>
  <r>
    <s v="Jul"/>
    <n v="5"/>
    <x v="4"/>
    <s v="Guatemala"/>
    <x v="0"/>
    <m/>
    <s v="W"/>
    <x v="0"/>
    <x v="54"/>
    <m/>
    <n v="7500"/>
    <n v="20"/>
    <n v="150000"/>
    <n v="30096"/>
    <n v="180096"/>
  </r>
  <r>
    <s v="Jul"/>
    <n v="9"/>
    <x v="4"/>
    <s v="Belize"/>
    <x v="2"/>
    <m/>
    <s v="W"/>
    <x v="33"/>
    <x v="55"/>
    <s v="x"/>
    <n v="7500"/>
    <n v="23"/>
    <n v="172500"/>
    <n v="0"/>
    <n v="172500"/>
  </r>
  <r>
    <s v="Jul"/>
    <n v="13"/>
    <x v="4"/>
    <s v="Cuba"/>
    <x v="2"/>
    <m/>
    <s v="W"/>
    <x v="32"/>
    <x v="56"/>
    <s v="x"/>
    <n v="7500"/>
    <n v="23"/>
    <n v="172500"/>
    <n v="0"/>
    <n v="172500"/>
  </r>
  <r>
    <s v="Jul"/>
    <n v="16"/>
    <x v="4"/>
    <s v="Costa Rica"/>
    <x v="2"/>
    <m/>
    <s v="W"/>
    <x v="3"/>
    <x v="57"/>
    <s v="x"/>
    <n v="7500"/>
    <n v="23"/>
    <n v="172500"/>
    <n v="0"/>
    <n v="172500"/>
  </r>
  <r>
    <s v="Jul"/>
    <n v="21"/>
    <x v="4"/>
    <s v="El Salvador"/>
    <x v="2"/>
    <m/>
    <s v="W"/>
    <x v="21"/>
    <x v="58"/>
    <s v="x"/>
    <n v="7500"/>
    <n v="23"/>
    <n v="172500"/>
    <n v="0"/>
    <n v="172500"/>
  </r>
  <r>
    <s v="Jul"/>
    <n v="24"/>
    <x v="4"/>
    <s v="Honduras"/>
    <x v="2"/>
    <m/>
    <s v="W"/>
    <x v="13"/>
    <x v="59"/>
    <s v="x"/>
    <n v="7500"/>
    <n v="23"/>
    <n v="172500"/>
    <n v="0"/>
    <n v="172500"/>
  </r>
  <r>
    <s v="Jul"/>
    <n v="28"/>
    <x v="4"/>
    <s v="Panama"/>
    <x v="2"/>
    <m/>
    <s v="W"/>
    <x v="7"/>
    <x v="60"/>
    <s v="x"/>
    <n v="7500"/>
    <n v="23"/>
    <n v="172500"/>
    <n v="0"/>
    <n v="172500"/>
  </r>
  <r>
    <s v="Aug"/>
    <n v="14"/>
    <x v="4"/>
    <s v="Bosnia-Herzegovina"/>
    <x v="0"/>
    <s v="T2"/>
    <s v="W"/>
    <x v="34"/>
    <x v="40"/>
    <s v="x"/>
    <n v="10000"/>
    <n v="20"/>
    <n v="200000"/>
    <n v="0"/>
    <n v="200000"/>
  </r>
  <r>
    <s v="Sep"/>
    <n v="6"/>
    <x v="4"/>
    <s v="Costa Rica"/>
    <x v="5"/>
    <m/>
    <s v="L"/>
    <x v="35"/>
    <x v="61"/>
    <s v="x"/>
    <n v="4000"/>
    <n v="23"/>
    <n v="92000"/>
    <n v="0"/>
    <n v="92000"/>
  </r>
  <r>
    <s v="Sep"/>
    <n v="10"/>
    <x v="4"/>
    <s v="Mexico"/>
    <x v="5"/>
    <m/>
    <s v="W"/>
    <x v="26"/>
    <x v="62"/>
    <m/>
    <n v="14500"/>
    <n v="23"/>
    <n v="333500"/>
    <n v="29500.799999999999"/>
    <n v="363000.8"/>
  </r>
  <r>
    <s v="Oct"/>
    <n v="11"/>
    <x v="4"/>
    <s v="Jamaica"/>
    <x v="5"/>
    <m/>
    <s v="W"/>
    <x v="11"/>
    <x v="63"/>
    <m/>
    <n v="14500"/>
    <n v="23"/>
    <n v="333500"/>
    <n v="22160.399999999998"/>
    <n v="355660.4"/>
  </r>
  <r>
    <s v="Oct"/>
    <n v="15"/>
    <x v="4"/>
    <s v="Panama"/>
    <x v="5"/>
    <m/>
    <s v="W"/>
    <x v="19"/>
    <x v="64"/>
    <s v="x"/>
    <n v="14500"/>
    <n v="23"/>
    <n v="333500"/>
    <n v="0"/>
    <n v="333500"/>
  </r>
  <r>
    <s v="Nov"/>
    <n v="15"/>
    <x v="4"/>
    <s v="Scotland"/>
    <x v="0"/>
    <m/>
    <s v="D"/>
    <x v="36"/>
    <x v="65"/>
    <s v="x"/>
    <n v="5000"/>
    <n v="20"/>
    <n v="100000"/>
    <n v="0"/>
    <n v="100000"/>
  </r>
  <r>
    <s v="Nov"/>
    <n v="19"/>
    <x v="4"/>
    <s v="Austria"/>
    <x v="0"/>
    <m/>
    <s v="L"/>
    <x v="37"/>
    <x v="66"/>
    <s v="x"/>
    <n v="4000"/>
    <n v="20"/>
    <n v="80000"/>
    <n v="0"/>
    <n v="80000"/>
  </r>
  <r>
    <m/>
    <m/>
    <x v="2"/>
    <s v="2013 training camp without making gameday roster (estimated 10)"/>
    <x v="3"/>
    <m/>
    <m/>
    <x v="17"/>
    <x v="31"/>
    <m/>
    <n v="1500"/>
    <n v="10"/>
    <n v="15000"/>
    <m/>
    <n v="15000"/>
  </r>
  <r>
    <m/>
    <m/>
    <x v="2"/>
    <s v="2013 World Cup qualifier training camp without making gameday roster (estimated 10)"/>
    <x v="3"/>
    <m/>
    <m/>
    <x v="17"/>
    <x v="31"/>
    <m/>
    <n v="2000"/>
    <n v="10"/>
    <n v="20000"/>
    <m/>
    <n v="20000"/>
  </r>
  <r>
    <s v="Feb"/>
    <n v="1"/>
    <x v="5"/>
    <s v="South Korea"/>
    <x v="0"/>
    <m/>
    <s v="W"/>
    <x v="0"/>
    <x v="67"/>
    <m/>
    <n v="7500"/>
    <n v="20"/>
    <n v="150000"/>
    <n v="32400"/>
    <n v="182400"/>
  </r>
  <r>
    <s v="Mar"/>
    <n v="5"/>
    <x v="5"/>
    <s v="Ukraine"/>
    <x v="0"/>
    <m/>
    <s v="L"/>
    <x v="38"/>
    <x v="68"/>
    <s v="x"/>
    <n v="4000"/>
    <n v="20"/>
    <n v="80000"/>
    <n v="0"/>
    <n v="80000"/>
  </r>
  <r>
    <s v="Apr"/>
    <n v="2"/>
    <x v="5"/>
    <s v="Mexico"/>
    <x v="0"/>
    <s v="T1"/>
    <s v="D"/>
    <x v="18"/>
    <x v="69"/>
    <m/>
    <n v="6500"/>
    <n v="20"/>
    <n v="130000"/>
    <n v="70879.199999999997"/>
    <n v="200879.2"/>
  </r>
  <r>
    <s v="May"/>
    <n v="27"/>
    <x v="5"/>
    <s v="Azerbaijan"/>
    <x v="0"/>
    <m/>
    <s v="W"/>
    <x v="0"/>
    <x v="70"/>
    <m/>
    <n v="7500"/>
    <n v="20"/>
    <n v="150000"/>
    <n v="29625.599999999999"/>
    <n v="179625.60000000001"/>
  </r>
  <r>
    <s v="Jun"/>
    <n v="1"/>
    <x v="5"/>
    <s v="Turkey"/>
    <x v="0"/>
    <m/>
    <s v="W"/>
    <x v="6"/>
    <x v="71"/>
    <m/>
    <n v="7500"/>
    <n v="20"/>
    <n v="150000"/>
    <n v="32114.399999999998"/>
    <n v="182114.4"/>
  </r>
  <r>
    <s v="Jun"/>
    <n v="7"/>
    <x v="5"/>
    <s v="Nigeria"/>
    <x v="0"/>
    <m/>
    <s v="W"/>
    <x v="1"/>
    <x v="72"/>
    <m/>
    <n v="7500"/>
    <n v="20"/>
    <n v="150000"/>
    <n v="62439.6"/>
    <n v="212439.6"/>
  </r>
  <r>
    <s v="Jun"/>
    <n v="16"/>
    <x v="5"/>
    <s v="Ghana"/>
    <x v="1"/>
    <m/>
    <s v="W"/>
    <x v="39"/>
    <x v="73"/>
    <s v="x"/>
    <n v="5500"/>
    <n v="23"/>
    <n v="126500"/>
    <n v="0"/>
    <n v="126500"/>
  </r>
  <r>
    <s v="Jun"/>
    <n v="22"/>
    <x v="5"/>
    <s v="Portugal"/>
    <x v="1"/>
    <m/>
    <s v="D"/>
    <x v="39"/>
    <x v="74"/>
    <s v="x"/>
    <n v="5500"/>
    <n v="23"/>
    <n v="126500"/>
    <n v="0"/>
    <n v="126500"/>
  </r>
  <r>
    <s v="Jun"/>
    <n v="26"/>
    <x v="5"/>
    <s v="Germany"/>
    <x v="1"/>
    <m/>
    <s v="L"/>
    <x v="39"/>
    <x v="75"/>
    <s v="x"/>
    <n v="5500"/>
    <n v="23"/>
    <n v="126500"/>
    <n v="0"/>
    <n v="126500"/>
  </r>
  <r>
    <s v="Jul"/>
    <n v="1"/>
    <x v="5"/>
    <s v="Belgium"/>
    <x v="1"/>
    <m/>
    <s v="L"/>
    <x v="39"/>
    <x v="76"/>
    <s v="x"/>
    <n v="5500"/>
    <n v="23"/>
    <n v="126500"/>
    <n v="0"/>
    <n v="126500"/>
  </r>
  <r>
    <s v="Sep"/>
    <n v="3"/>
    <x v="5"/>
    <s v="Czech Republic"/>
    <x v="0"/>
    <m/>
    <s v="W"/>
    <x v="40"/>
    <x v="77"/>
    <s v="x"/>
    <n v="7500"/>
    <n v="20"/>
    <n v="150000"/>
    <n v="0"/>
    <n v="150000"/>
  </r>
  <r>
    <s v="Oct"/>
    <n v="10"/>
    <x v="5"/>
    <s v="Ecuador"/>
    <x v="0"/>
    <m/>
    <s v="D"/>
    <x v="3"/>
    <x v="78"/>
    <m/>
    <n v="5000"/>
    <n v="20"/>
    <n v="100000"/>
    <n v="43518"/>
    <n v="143518"/>
  </r>
  <r>
    <s v="Oct"/>
    <n v="14"/>
    <x v="5"/>
    <s v="Honduras"/>
    <x v="0"/>
    <m/>
    <s v="D"/>
    <x v="1"/>
    <x v="79"/>
    <m/>
    <n v="5000"/>
    <n v="20"/>
    <n v="100000"/>
    <n v="17766"/>
    <n v="117766"/>
  </r>
  <r>
    <s v="Nov"/>
    <n v="14"/>
    <x v="5"/>
    <s v="Colombia"/>
    <x v="0"/>
    <m/>
    <s v="L"/>
    <x v="41"/>
    <x v="80"/>
    <s v="x"/>
    <n v="4000"/>
    <n v="20"/>
    <n v="80000"/>
    <n v="0"/>
    <n v="80000"/>
  </r>
  <r>
    <s v="Nov"/>
    <n v="18"/>
    <x v="5"/>
    <s v="Ireland"/>
    <x v="0"/>
    <m/>
    <s v="L"/>
    <x v="42"/>
    <x v="81"/>
    <s v="x"/>
    <n v="4000"/>
    <n v="20"/>
    <n v="80000"/>
    <n v="0"/>
    <n v="80000"/>
  </r>
  <r>
    <m/>
    <m/>
    <x v="2"/>
    <s v="2014 training camp without making gameday roster (estimated 10)"/>
    <x v="3"/>
    <m/>
    <m/>
    <x v="17"/>
    <x v="31"/>
    <m/>
    <n v="1500"/>
    <n v="10"/>
    <n v="15000"/>
    <m/>
    <n v="15000"/>
  </r>
  <r>
    <s v="Jan"/>
    <n v="28"/>
    <x v="6"/>
    <s v="Chile"/>
    <x v="0"/>
    <m/>
    <s v="L"/>
    <x v="43"/>
    <x v="82"/>
    <s v="x"/>
    <n v="5000"/>
    <n v="20"/>
    <n v="100000"/>
    <n v="0"/>
    <n v="100000"/>
  </r>
  <r>
    <s v="Feb"/>
    <n v="8"/>
    <x v="6"/>
    <s v="Panama"/>
    <x v="0"/>
    <m/>
    <s v="W"/>
    <x v="0"/>
    <x v="83"/>
    <m/>
    <n v="9375"/>
    <n v="20"/>
    <n v="187500"/>
    <n v="30406.5"/>
    <n v="217906.5"/>
  </r>
  <r>
    <s v="Mar"/>
    <n v="25"/>
    <x v="6"/>
    <s v="Denmark"/>
    <x v="0"/>
    <m/>
    <s v="L"/>
    <x v="44"/>
    <x v="84"/>
    <s v="x"/>
    <n v="5000"/>
    <n v="20"/>
    <n v="100000"/>
    <n v="0"/>
    <n v="100000"/>
  </r>
  <r>
    <s v="Mar"/>
    <n v="31"/>
    <x v="6"/>
    <s v="Switzerland"/>
    <x v="0"/>
    <m/>
    <s v="D"/>
    <x v="45"/>
    <x v="85"/>
    <s v="x"/>
    <n v="6250"/>
    <n v="20"/>
    <n v="125000"/>
    <n v="0"/>
    <n v="125000"/>
  </r>
  <r>
    <s v="Apr"/>
    <n v="15"/>
    <x v="6"/>
    <s v="Mexico"/>
    <x v="0"/>
    <s v="T1"/>
    <s v="W"/>
    <x v="13"/>
    <x v="86"/>
    <m/>
    <n v="17625"/>
    <n v="20"/>
    <n v="352500"/>
    <n v="96553.5"/>
    <n v="449053.5"/>
  </r>
  <r>
    <s v="Jun"/>
    <n v="5"/>
    <x v="6"/>
    <s v="Netherlands"/>
    <x v="0"/>
    <s v="T1"/>
    <s v="W"/>
    <x v="2"/>
    <x v="87"/>
    <s v="x"/>
    <n v="17625"/>
    <n v="20"/>
    <n v="352500"/>
    <n v="0"/>
    <n v="352500"/>
  </r>
  <r>
    <s v="Jun"/>
    <n v="10"/>
    <x v="6"/>
    <s v="Germany"/>
    <x v="0"/>
    <s v="T1"/>
    <s v="W"/>
    <x v="46"/>
    <x v="88"/>
    <s v="x"/>
    <n v="17625"/>
    <n v="20"/>
    <n v="352500"/>
    <n v="0"/>
    <n v="352500"/>
  </r>
  <r>
    <s v="Jul"/>
    <n v="3"/>
    <x v="6"/>
    <s v="Guatemala"/>
    <x v="0"/>
    <m/>
    <s v="W"/>
    <x v="8"/>
    <x v="89"/>
    <m/>
    <n v="9375"/>
    <n v="20"/>
    <n v="187500"/>
    <n v="67252.5"/>
    <n v="254752.5"/>
  </r>
  <r>
    <s v="Jul"/>
    <n v="7"/>
    <x v="6"/>
    <s v="Honduras"/>
    <x v="2"/>
    <m/>
    <s v="W"/>
    <x v="13"/>
    <x v="90"/>
    <s v="x"/>
    <n v="9375"/>
    <n v="23"/>
    <n v="215625"/>
    <n v="0"/>
    <n v="215625"/>
  </r>
  <r>
    <s v="Jul"/>
    <n v="10"/>
    <x v="6"/>
    <s v="Haiti"/>
    <x v="2"/>
    <m/>
    <s v="W"/>
    <x v="9"/>
    <x v="91"/>
    <s v="x"/>
    <n v="9375"/>
    <n v="23"/>
    <n v="215625"/>
    <n v="0"/>
    <n v="215625"/>
  </r>
  <r>
    <s v="Jul"/>
    <n v="13"/>
    <x v="6"/>
    <s v="Panama"/>
    <x v="2"/>
    <m/>
    <s v="D"/>
    <x v="11"/>
    <x v="63"/>
    <s v="x"/>
    <n v="6563"/>
    <n v="23"/>
    <n v="150949"/>
    <n v="0"/>
    <n v="150949"/>
  </r>
  <r>
    <s v="Jul"/>
    <n v="18"/>
    <x v="6"/>
    <s v="Cuba"/>
    <x v="2"/>
    <m/>
    <s v="W"/>
    <x v="21"/>
    <x v="92"/>
    <s v="x"/>
    <n v="9375"/>
    <n v="23"/>
    <n v="215625"/>
    <n v="0"/>
    <n v="215625"/>
  </r>
  <r>
    <s v="Jul"/>
    <n v="22"/>
    <x v="6"/>
    <s v="Jamaica"/>
    <x v="2"/>
    <m/>
    <s v="L"/>
    <x v="47"/>
    <x v="93"/>
    <s v="x"/>
    <n v="5000"/>
    <n v="23"/>
    <n v="115000"/>
    <n v="0"/>
    <n v="115000"/>
  </r>
  <r>
    <s v="Jul"/>
    <n v="25"/>
    <x v="6"/>
    <s v="Panama"/>
    <x v="2"/>
    <m/>
    <s v="D"/>
    <x v="4"/>
    <x v="94"/>
    <s v="x"/>
    <n v="6563"/>
    <n v="23"/>
    <n v="150949"/>
    <n v="0"/>
    <n v="150949"/>
  </r>
  <r>
    <s v="Sep"/>
    <n v="4"/>
    <x v="6"/>
    <s v="Peru"/>
    <x v="0"/>
    <m/>
    <s v="W"/>
    <x v="12"/>
    <x v="95"/>
    <m/>
    <n v="9375"/>
    <n v="20"/>
    <n v="187500"/>
    <n v="43344"/>
    <n v="230844"/>
  </r>
  <r>
    <s v="Sep"/>
    <n v="8"/>
    <x v="6"/>
    <s v="Brazil"/>
    <x v="0"/>
    <m/>
    <s v="L"/>
    <x v="9"/>
    <x v="96"/>
    <m/>
    <n v="5000"/>
    <n v="20"/>
    <n v="100000"/>
    <n v="43962"/>
    <n v="143962"/>
  </r>
  <r>
    <s v="Oct"/>
    <n v="10"/>
    <x v="6"/>
    <s v="Mexico"/>
    <x v="0"/>
    <s v="T1"/>
    <s v="D"/>
    <x v="0"/>
    <x v="97"/>
    <m/>
    <n v="8125"/>
    <n v="20"/>
    <n v="162500"/>
    <n v="140584.5"/>
    <n v="303084.5"/>
  </r>
  <r>
    <s v="Oct"/>
    <n v="13"/>
    <x v="6"/>
    <s v="Costa Rica"/>
    <x v="0"/>
    <m/>
    <s v="L"/>
    <x v="6"/>
    <x v="98"/>
    <m/>
    <n v="5000"/>
    <n v="20"/>
    <n v="100000"/>
    <n v="13821"/>
    <n v="113821"/>
  </r>
  <r>
    <s v="Nov"/>
    <n v="13"/>
    <x v="6"/>
    <s v="St. Vincent/Gren"/>
    <x v="4"/>
    <m/>
    <s v="W"/>
    <x v="48"/>
    <x v="99"/>
    <m/>
    <n v="15625"/>
    <n v="23"/>
    <n v="359375"/>
    <n v="65149.5"/>
    <n v="424524.5"/>
  </r>
  <r>
    <s v="Nov"/>
    <n v="17"/>
    <x v="6"/>
    <s v="Trinidad &amp; Tobago"/>
    <x v="4"/>
    <m/>
    <s v="D"/>
    <x v="49"/>
    <x v="100"/>
    <s v="x"/>
    <n v="7500"/>
    <n v="23"/>
    <n v="172500"/>
    <n v="0"/>
    <n v="172500"/>
  </r>
  <r>
    <m/>
    <m/>
    <x v="2"/>
    <s v="2015 training camp without making gameday roster (estimated 10)"/>
    <x v="3"/>
    <m/>
    <m/>
    <x v="17"/>
    <x v="31"/>
    <m/>
    <n v="1875"/>
    <n v="10"/>
    <n v="18750"/>
    <m/>
    <n v="18750"/>
  </r>
  <r>
    <s v="Jan"/>
    <n v="31"/>
    <x v="7"/>
    <s v="Iceland"/>
    <x v="0"/>
    <m/>
    <s v="W"/>
    <x v="0"/>
    <x v="101"/>
    <m/>
    <n v="9375"/>
    <n v="20"/>
    <n v="187500"/>
    <n v="13204.5"/>
    <n v="200704.5"/>
  </r>
  <r>
    <s v="Feb"/>
    <n v="5"/>
    <x v="7"/>
    <s v="Canada"/>
    <x v="0"/>
    <m/>
    <s v="W"/>
    <x v="0"/>
    <x v="102"/>
    <m/>
    <n v="9375"/>
    <n v="20"/>
    <n v="187500"/>
    <n v="13911"/>
    <n v="201411"/>
  </r>
  <r>
    <s v="Mar"/>
    <n v="25"/>
    <x v="7"/>
    <s v="Guatemala"/>
    <x v="4"/>
    <m/>
    <s v="L"/>
    <x v="23"/>
    <x v="103"/>
    <s v="x"/>
    <n v="5000"/>
    <n v="23"/>
    <n v="115000"/>
    <n v="0"/>
    <n v="115000"/>
  </r>
  <r>
    <s v="Mar"/>
    <n v="29"/>
    <x v="7"/>
    <s v="Guatemala"/>
    <x v="4"/>
    <m/>
    <s v="W"/>
    <x v="26"/>
    <x v="104"/>
    <m/>
    <n v="15625"/>
    <n v="23"/>
    <n v="359375"/>
    <n v="30936"/>
    <n v="390311"/>
  </r>
  <r>
    <s v="May"/>
    <n v="22"/>
    <x v="7"/>
    <s v="Puerto Rico"/>
    <x v="0"/>
    <m/>
    <s v="W"/>
    <x v="50"/>
    <x v="105"/>
    <s v="x"/>
    <n v="9375"/>
    <n v="20"/>
    <n v="187500"/>
    <n v="0"/>
    <n v="187500"/>
  </r>
  <r>
    <s v="May"/>
    <n v="25"/>
    <x v="7"/>
    <s v="Ecuador"/>
    <x v="0"/>
    <s v="T2"/>
    <s v="W"/>
    <x v="13"/>
    <x v="106"/>
    <m/>
    <n v="12500"/>
    <n v="20"/>
    <n v="250000"/>
    <n v="14839.5"/>
    <n v="264839.5"/>
  </r>
  <r>
    <s v="May"/>
    <n v="28"/>
    <x v="7"/>
    <s v="Bolivia"/>
    <x v="0"/>
    <m/>
    <s v="W"/>
    <x v="11"/>
    <x v="107"/>
    <m/>
    <n v="9375"/>
    <n v="20"/>
    <n v="187500"/>
    <n v="13341"/>
    <n v="200841"/>
  </r>
  <r>
    <s v="Jun"/>
    <n v="3"/>
    <x v="7"/>
    <s v="Colombia"/>
    <x v="6"/>
    <m/>
    <s v="L"/>
    <x v="0"/>
    <x v="108"/>
    <s v="x"/>
    <n v="5000"/>
    <n v="23"/>
    <n v="115000"/>
    <n v="0"/>
    <n v="115000"/>
  </r>
  <r>
    <s v="Jun"/>
    <n v="7"/>
    <x v="7"/>
    <s v="Costa Rica"/>
    <x v="6"/>
    <m/>
    <s v="W"/>
    <x v="7"/>
    <x v="109"/>
    <s v="x"/>
    <n v="14125"/>
    <n v="23"/>
    <n v="324875"/>
    <n v="0"/>
    <n v="324875"/>
  </r>
  <r>
    <s v="Jun"/>
    <n v="11"/>
    <x v="7"/>
    <s v="Paraguay"/>
    <x v="6"/>
    <m/>
    <s v="W"/>
    <x v="4"/>
    <x v="110"/>
    <s v="x"/>
    <n v="14125"/>
    <n v="23"/>
    <n v="324875"/>
    <n v="0"/>
    <n v="324875"/>
  </r>
  <r>
    <s v="Jun"/>
    <n v="16"/>
    <x v="7"/>
    <s v="Ecuador"/>
    <x v="6"/>
    <m/>
    <s v="W"/>
    <x v="31"/>
    <x v="111"/>
    <s v="x"/>
    <n v="14125"/>
    <n v="23"/>
    <n v="324875"/>
    <n v="0"/>
    <n v="324875"/>
  </r>
  <r>
    <s v="Jun"/>
    <n v="21"/>
    <x v="7"/>
    <s v="Argentina"/>
    <x v="6"/>
    <m/>
    <s v="L"/>
    <x v="13"/>
    <x v="112"/>
    <s v="x"/>
    <n v="5000"/>
    <n v="23"/>
    <n v="115000"/>
    <n v="0"/>
    <n v="115000"/>
  </r>
  <r>
    <s v="Jun"/>
    <n v="25"/>
    <x v="7"/>
    <s v="Colombia"/>
    <x v="6"/>
    <m/>
    <s v="L"/>
    <x v="18"/>
    <x v="113"/>
    <s v="x"/>
    <n v="5000"/>
    <n v="23"/>
    <n v="115000"/>
    <n v="0"/>
    <n v="115000"/>
  </r>
  <r>
    <s v="Sep"/>
    <n v="2"/>
    <x v="7"/>
    <s v="St. Vincent/Gren"/>
    <x v="4"/>
    <m/>
    <s v="W"/>
    <x v="51"/>
    <x v="114"/>
    <s v="x"/>
    <n v="15625"/>
    <n v="23"/>
    <n v="359375"/>
    <n v="0"/>
    <n v="359375"/>
  </r>
  <r>
    <s v="Sep"/>
    <n v="6"/>
    <x v="7"/>
    <s v="Trinidad &amp; Tobago"/>
    <x v="4"/>
    <m/>
    <s v="W"/>
    <x v="1"/>
    <x v="115"/>
    <m/>
    <n v="15625"/>
    <n v="23"/>
    <n v="359375"/>
    <n v="29115"/>
    <n v="388490"/>
  </r>
  <r>
    <s v="Oct"/>
    <n v="7"/>
    <x v="7"/>
    <s v="Cuba"/>
    <x v="0"/>
    <m/>
    <s v="W"/>
    <x v="52"/>
    <x v="42"/>
    <s v="x"/>
    <n v="9375"/>
    <n v="20"/>
    <n v="187500"/>
    <n v="0"/>
    <n v="187500"/>
  </r>
  <r>
    <s v="Oct"/>
    <n v="11"/>
    <x v="7"/>
    <s v="New Zealand"/>
    <x v="0"/>
    <m/>
    <s v="D"/>
    <x v="12"/>
    <x v="116"/>
    <m/>
    <n v="6250"/>
    <n v="20"/>
    <n v="125000"/>
    <n v="13518"/>
    <n v="138518"/>
  </r>
  <r>
    <s v="Nov"/>
    <n v="11"/>
    <x v="7"/>
    <s v="Mexico"/>
    <x v="5"/>
    <m/>
    <s v="L"/>
    <x v="26"/>
    <x v="117"/>
    <m/>
    <n v="5000"/>
    <n v="23"/>
    <n v="115000"/>
    <n v="36975"/>
    <n v="151975"/>
  </r>
  <r>
    <s v="Nov"/>
    <n v="15"/>
    <x v="7"/>
    <s v="Costa Rica"/>
    <x v="5"/>
    <m/>
    <s v="L"/>
    <x v="35"/>
    <x v="118"/>
    <s v="x"/>
    <n v="5000"/>
    <n v="23"/>
    <n v="115000"/>
    <n v="0"/>
    <n v="115000"/>
  </r>
  <r>
    <m/>
    <m/>
    <x v="2"/>
    <s v="2016 training camp without making gameday roster (estimated 10)"/>
    <x v="3"/>
    <m/>
    <m/>
    <x v="17"/>
    <x v="31"/>
    <m/>
    <n v="1875"/>
    <n v="10"/>
    <n v="18750"/>
    <m/>
    <n v="18750"/>
  </r>
  <r>
    <m/>
    <m/>
    <x v="2"/>
    <s v="2016 World Cup qualifier training camp without making gameday roster (estimated 10)"/>
    <x v="3"/>
    <m/>
    <m/>
    <x v="17"/>
    <x v="31"/>
    <m/>
    <n v="2500"/>
    <n v="10"/>
    <n v="25000"/>
    <m/>
    <n v="25000"/>
  </r>
  <r>
    <s v="Jan"/>
    <n v="29"/>
    <x v="8"/>
    <s v="Serbia"/>
    <x v="0"/>
    <m/>
    <s v="D"/>
    <x v="0"/>
    <x v="119"/>
    <m/>
    <n v="6250"/>
    <n v="20"/>
    <n v="125000"/>
    <n v="30118.5"/>
    <n v="155118.5"/>
  </r>
  <r>
    <s v="Feb"/>
    <n v="3"/>
    <x v="8"/>
    <s v="Jamaica"/>
    <x v="0"/>
    <m/>
    <s v="W"/>
    <x v="8"/>
    <x v="120"/>
    <m/>
    <n v="9375"/>
    <n v="20"/>
    <n v="187500"/>
    <n v="26854.5"/>
    <n v="214354.5"/>
  </r>
  <r>
    <s v="Mar"/>
    <n v="24"/>
    <x v="8"/>
    <s v="Honduras"/>
    <x v="5"/>
    <m/>
    <s v="W"/>
    <x v="0"/>
    <x v="121"/>
    <m/>
    <n v="18125"/>
    <n v="23"/>
    <n v="416875"/>
    <n v="26593.5"/>
    <n v="443468.5"/>
  </r>
  <r>
    <s v="Mar"/>
    <n v="28"/>
    <x v="8"/>
    <s v="Panama"/>
    <x v="5"/>
    <m/>
    <s v="D"/>
    <x v="19"/>
    <x v="122"/>
    <s v="x"/>
    <n v="10000"/>
    <n v="23"/>
    <n v="230000"/>
    <n v="0"/>
    <n v="230000"/>
  </r>
  <r>
    <s v="Jun"/>
    <n v="3"/>
    <x v="8"/>
    <s v="Venezuela"/>
    <x v="0"/>
    <m/>
    <s v="D"/>
    <x v="32"/>
    <x v="123"/>
    <m/>
    <n v="6250"/>
    <n v="20"/>
    <n v="125000"/>
    <n v="25972.5"/>
    <n v="150972.5"/>
  </r>
  <r>
    <s v="Jun"/>
    <n v="8"/>
    <x v="8"/>
    <s v="Trinidad &amp; Tobago"/>
    <x v="5"/>
    <m/>
    <s v="W"/>
    <x v="30"/>
    <x v="124"/>
    <m/>
    <n v="18125"/>
    <n v="23"/>
    <n v="416875"/>
    <n v="28782"/>
    <n v="445657"/>
  </r>
  <r>
    <s v="Jun"/>
    <n v="11"/>
    <x v="8"/>
    <s v="Mexico"/>
    <x v="5"/>
    <m/>
    <s v="D"/>
    <x v="24"/>
    <x v="125"/>
    <s v="x"/>
    <n v="10000"/>
    <n v="23"/>
    <n v="230000"/>
    <n v="0"/>
    <n v="230000"/>
  </r>
  <r>
    <s v="Jul"/>
    <n v="1"/>
    <x v="8"/>
    <s v="Ghana"/>
    <x v="0"/>
    <m/>
    <s v="W"/>
    <x v="3"/>
    <x v="126"/>
    <m/>
    <n v="9375"/>
    <n v="20"/>
    <n v="187500"/>
    <n v="43131"/>
    <n v="230631"/>
  </r>
  <r>
    <s v="Jul"/>
    <n v="8"/>
    <x v="8"/>
    <s v="Panama"/>
    <x v="2"/>
    <m/>
    <s v="D"/>
    <x v="8"/>
    <x v="127"/>
    <s v="x"/>
    <n v="6563"/>
    <n v="23"/>
    <n v="150949"/>
    <n v="0"/>
    <n v="150949"/>
  </r>
  <r>
    <s v="Jul"/>
    <n v="12"/>
    <x v="8"/>
    <s v="Martinique"/>
    <x v="2"/>
    <m/>
    <s v="W"/>
    <x v="1"/>
    <x v="128"/>
    <s v="x"/>
    <n v="9375"/>
    <n v="23"/>
    <n v="215625"/>
    <n v="0"/>
    <n v="215625"/>
  </r>
  <r>
    <s v="Jul"/>
    <n v="15"/>
    <x v="8"/>
    <s v="Nicaragua"/>
    <x v="2"/>
    <m/>
    <s v="W"/>
    <x v="26"/>
    <x v="129"/>
    <s v="x"/>
    <n v="9375"/>
    <n v="23"/>
    <n v="215625"/>
    <n v="0"/>
    <n v="215625"/>
  </r>
  <r>
    <s v="Jul"/>
    <n v="19"/>
    <x v="8"/>
    <s v="El Salvador"/>
    <x v="2"/>
    <m/>
    <s v="W"/>
    <x v="4"/>
    <x v="130"/>
    <s v="x"/>
    <n v="9375"/>
    <n v="23"/>
    <n v="215625"/>
    <n v="0"/>
    <n v="215625"/>
  </r>
  <r>
    <s v="Jul"/>
    <n v="22"/>
    <x v="8"/>
    <s v="Costa Rica"/>
    <x v="2"/>
    <m/>
    <s v="W"/>
    <x v="13"/>
    <x v="131"/>
    <s v="x"/>
    <n v="9375"/>
    <n v="23"/>
    <n v="215625"/>
    <n v="0"/>
    <n v="215625"/>
  </r>
  <r>
    <s v="Jul"/>
    <n v="26"/>
    <x v="8"/>
    <s v="Jamaica"/>
    <x v="2"/>
    <m/>
    <s v="W"/>
    <x v="0"/>
    <x v="132"/>
    <s v="x"/>
    <n v="9375"/>
    <n v="23"/>
    <n v="215625"/>
    <n v="0"/>
    <n v="215625"/>
  </r>
  <r>
    <s v="Sep"/>
    <n v="1"/>
    <x v="8"/>
    <s v="Costa Rica"/>
    <x v="5"/>
    <m/>
    <s v="L"/>
    <x v="6"/>
    <x v="133"/>
    <m/>
    <n v="5000"/>
    <n v="23"/>
    <n v="115000"/>
    <n v="39750"/>
    <n v="154750"/>
  </r>
  <r>
    <s v="Sep"/>
    <n v="5"/>
    <x v="8"/>
    <s v="Honduras"/>
    <x v="5"/>
    <m/>
    <s v="D"/>
    <x v="29"/>
    <x v="134"/>
    <s v="x"/>
    <n v="10000"/>
    <n v="23"/>
    <n v="230000"/>
    <n v="0"/>
    <n v="230000"/>
  </r>
  <r>
    <s v="Oct"/>
    <n v="6"/>
    <x v="8"/>
    <s v="Panama"/>
    <x v="5"/>
    <m/>
    <s v="W"/>
    <x v="1"/>
    <x v="135"/>
    <m/>
    <n v="18125"/>
    <n v="23"/>
    <n v="416875"/>
    <n v="37954.5"/>
    <n v="454829.5"/>
  </r>
  <r>
    <s v="Oct"/>
    <n v="10"/>
    <x v="8"/>
    <s v="Trinidad &amp; Tobago"/>
    <x v="5"/>
    <m/>
    <s v="L"/>
    <x v="49"/>
    <x v="136"/>
    <s v="x"/>
    <n v="5000"/>
    <n v="23"/>
    <n v="115000"/>
    <n v="0"/>
    <n v="115000"/>
  </r>
  <r>
    <s v="Nov"/>
    <n v="14"/>
    <x v="8"/>
    <s v="Portugal"/>
    <x v="0"/>
    <s v="T1"/>
    <s v="D"/>
    <x v="53"/>
    <x v="137"/>
    <s v="x"/>
    <n v="8125"/>
    <n v="20"/>
    <n v="162500"/>
    <n v="0"/>
    <n v="162500"/>
  </r>
  <r>
    <m/>
    <m/>
    <x v="2"/>
    <s v="2017 training camp without making gameday roster (estimated 10)"/>
    <x v="3"/>
    <m/>
    <m/>
    <x v="17"/>
    <x v="31"/>
    <m/>
    <n v="1875"/>
    <n v="10"/>
    <n v="18750"/>
    <m/>
    <n v="18750"/>
  </r>
  <r>
    <m/>
    <m/>
    <x v="2"/>
    <s v="2017 World Cup qualifier training camp without making gameday roster (estimated 10)"/>
    <x v="3"/>
    <m/>
    <m/>
    <x v="17"/>
    <x v="31"/>
    <m/>
    <n v="2500"/>
    <n v="10"/>
    <n v="25000"/>
    <m/>
    <n v="25000"/>
  </r>
  <r>
    <s v="Jan"/>
    <n v="28"/>
    <x v="9"/>
    <s v="Bosnia-Herzegovina"/>
    <x v="0"/>
    <m/>
    <s v="D"/>
    <x v="0"/>
    <x v="138"/>
    <m/>
    <n v="6250"/>
    <n v="20"/>
    <n v="125000"/>
    <n v="16741.5"/>
    <n v="141741.5"/>
  </r>
  <r>
    <s v="Mar"/>
    <n v="27"/>
    <x v="9"/>
    <s v="Paraguay"/>
    <x v="0"/>
    <m/>
    <s v="W"/>
    <x v="54"/>
    <x v="139"/>
    <m/>
    <n v="9375"/>
    <n v="20"/>
    <n v="187500"/>
    <n v="14842.5"/>
    <n v="202342.5"/>
  </r>
  <r>
    <s v="May"/>
    <n v="28"/>
    <x v="9"/>
    <s v="Bolivia"/>
    <x v="0"/>
    <m/>
    <s v="W"/>
    <x v="4"/>
    <x v="140"/>
    <m/>
    <n v="9375"/>
    <n v="20"/>
    <n v="187500"/>
    <n v="17823"/>
    <n v="205323"/>
  </r>
  <r>
    <s v="Jun"/>
    <n v="2"/>
    <x v="9"/>
    <s v="Ireland"/>
    <x v="0"/>
    <m/>
    <s v="L"/>
    <x v="42"/>
    <x v="141"/>
    <s v="x"/>
    <n v="5000"/>
    <n v="20"/>
    <n v="100000"/>
    <n v="0"/>
    <n v="100000"/>
  </r>
  <r>
    <s v="Jun"/>
    <n v="9"/>
    <x v="9"/>
    <s v="France"/>
    <x v="0"/>
    <s v="T1"/>
    <s v="D"/>
    <x v="15"/>
    <x v="142"/>
    <s v="x"/>
    <n v="8125"/>
    <n v="20"/>
    <n v="162500"/>
    <n v="0"/>
    <n v="162500"/>
  </r>
  <r>
    <s v="Sep"/>
    <n v="7"/>
    <x v="9"/>
    <s v="Brazil"/>
    <x v="0"/>
    <m/>
    <s v="L"/>
    <x v="6"/>
    <x v="143"/>
    <m/>
    <n v="5000"/>
    <n v="20"/>
    <n v="100000"/>
    <n v="48733.5"/>
    <n v="148733.5"/>
  </r>
  <r>
    <s v="Sep"/>
    <n v="11"/>
    <x v="9"/>
    <s v="Mexico"/>
    <x v="0"/>
    <s v="T1"/>
    <s v="W"/>
    <x v="8"/>
    <x v="144"/>
    <m/>
    <n v="17625"/>
    <n v="20"/>
    <n v="352500"/>
    <n v="60291"/>
    <n v="412791"/>
  </r>
  <r>
    <s v="Oct"/>
    <n v="11"/>
    <x v="9"/>
    <s v="Colombia"/>
    <x v="0"/>
    <m/>
    <s v="L"/>
    <x v="1"/>
    <x v="145"/>
    <m/>
    <n v="5000"/>
    <n v="20"/>
    <n v="100000"/>
    <n v="57946.5"/>
    <n v="157946.5"/>
  </r>
  <r>
    <s v="Oct"/>
    <n v="16"/>
    <x v="9"/>
    <s v="Peru"/>
    <x v="0"/>
    <m/>
    <s v="D"/>
    <x v="3"/>
    <x v="146"/>
    <m/>
    <n v="6250"/>
    <n v="20"/>
    <n v="125000"/>
    <n v="37438.5"/>
    <n v="162438.5"/>
  </r>
  <r>
    <s v="Nov"/>
    <n v="15"/>
    <x v="9"/>
    <s v="England"/>
    <x v="0"/>
    <m/>
    <s v="L"/>
    <x v="41"/>
    <x v="147"/>
    <s v="x"/>
    <n v="5000"/>
    <n v="20"/>
    <n v="100000"/>
    <n v="0"/>
    <n v="100000"/>
  </r>
  <r>
    <s v="Nov"/>
    <n v="20"/>
    <x v="9"/>
    <s v="Italy"/>
    <x v="0"/>
    <m/>
    <s v="L"/>
    <x v="14"/>
    <x v="148"/>
    <s v="x"/>
    <n v="5000"/>
    <n v="20"/>
    <n v="100000"/>
    <n v="0"/>
    <n v="100000"/>
  </r>
  <r>
    <m/>
    <m/>
    <x v="2"/>
    <s v="2018 training camp without making gameday roster (estimated 10)"/>
    <x v="3"/>
    <m/>
    <m/>
    <x v="17"/>
    <x v="31"/>
    <m/>
    <n v="1875"/>
    <n v="10"/>
    <n v="18750"/>
    <m/>
    <n v="18750"/>
  </r>
  <r>
    <s v="Jan"/>
    <n v="27"/>
    <x v="10"/>
    <s v="Panama"/>
    <x v="0"/>
    <m/>
    <s v="W"/>
    <x v="18"/>
    <x v="149"/>
    <m/>
    <n v="9375"/>
    <n v="20"/>
    <n v="187500"/>
    <n v="13560"/>
    <n v="201060"/>
  </r>
  <r>
    <s v="Feb"/>
    <n v="2"/>
    <x v="10"/>
    <s v="Costa Rica"/>
    <x v="0"/>
    <m/>
    <s v="W"/>
    <x v="0"/>
    <x v="150"/>
    <m/>
    <n v="9375"/>
    <n v="20"/>
    <n v="187500"/>
    <n v="20484"/>
    <n v="207984"/>
  </r>
  <r>
    <s v="Mar"/>
    <n v="21"/>
    <x v="10"/>
    <s v="Ecuador"/>
    <x v="0"/>
    <m/>
    <s v="W"/>
    <x v="1"/>
    <x v="151"/>
    <m/>
    <n v="9375"/>
    <n v="20"/>
    <n v="187500"/>
    <n v="26133"/>
    <n v="213633"/>
  </r>
  <r>
    <s v="Mar"/>
    <n v="26"/>
    <x v="10"/>
    <s v="Chile"/>
    <x v="0"/>
    <m/>
    <s v="D"/>
    <x v="13"/>
    <x v="152"/>
    <m/>
    <n v="6250"/>
    <n v="20"/>
    <n v="125000"/>
    <n v="27049.5"/>
    <n v="152049.5"/>
  </r>
  <r>
    <s v="Jun"/>
    <n v="5"/>
    <x v="10"/>
    <s v="Jamaica"/>
    <x v="0"/>
    <m/>
    <s v="L"/>
    <x v="12"/>
    <x v="153"/>
    <m/>
    <n v="5000"/>
    <n v="20"/>
    <n v="100000"/>
    <n v="26578.5"/>
    <n v="126578.5"/>
  </r>
  <r>
    <s v="Jun"/>
    <n v="9"/>
    <x v="10"/>
    <s v="Venezuela"/>
    <x v="0"/>
    <m/>
    <s v="L"/>
    <x v="26"/>
    <x v="154"/>
    <m/>
    <n v="5000"/>
    <n v="20"/>
    <n v="100000"/>
    <n v="35932.5"/>
    <n v="135932.5"/>
  </r>
  <r>
    <s v="Jun"/>
    <n v="18"/>
    <x v="10"/>
    <s v="Guyana"/>
    <x v="2"/>
    <m/>
    <s v="W"/>
    <x v="55"/>
    <x v="155"/>
    <s v="x"/>
    <n v="9375"/>
    <n v="23"/>
    <n v="215625"/>
    <n v="0"/>
    <n v="215625"/>
  </r>
  <r>
    <s v="Jun"/>
    <n v="22"/>
    <x v="10"/>
    <s v="Trinidad and Tobago"/>
    <x v="2"/>
    <m/>
    <s v="W"/>
    <x v="26"/>
    <x v="156"/>
    <s v="x"/>
    <n v="9375"/>
    <n v="23"/>
    <n v="215625"/>
    <n v="0"/>
    <n v="215625"/>
  </r>
  <r>
    <s v="Jun"/>
    <n v="26"/>
    <x v="10"/>
    <s v="Panama"/>
    <x v="2"/>
    <m/>
    <s v="W"/>
    <x v="48"/>
    <x v="157"/>
    <s v="x"/>
    <n v="9375"/>
    <n v="23"/>
    <n v="215625"/>
    <n v="0"/>
    <n v="215625"/>
  </r>
  <r>
    <s v="Jun"/>
    <n v="30"/>
    <x v="10"/>
    <s v="Curacao"/>
    <x v="2"/>
    <m/>
    <s v="W"/>
    <x v="4"/>
    <x v="158"/>
    <s v="x"/>
    <n v="9375"/>
    <n v="23"/>
    <n v="215625"/>
    <n v="0"/>
    <n v="215625"/>
  </r>
  <r>
    <s v="Jul"/>
    <n v="3"/>
    <x v="10"/>
    <s v="Jamaica"/>
    <x v="2"/>
    <m/>
    <s v="W"/>
    <x v="8"/>
    <x v="159"/>
    <s v="x"/>
    <n v="9375"/>
    <n v="23"/>
    <n v="215625"/>
    <n v="0"/>
    <n v="215625"/>
  </r>
  <r>
    <s v="Jul"/>
    <n v="7"/>
    <x v="10"/>
    <s v="Mexico"/>
    <x v="2"/>
    <s v="T1"/>
    <s v="L"/>
    <x v="7"/>
    <x v="160"/>
    <s v="x"/>
    <n v="5000"/>
    <n v="23"/>
    <n v="115000"/>
    <n v="0"/>
    <n v="115000"/>
  </r>
  <r>
    <s v="Sep"/>
    <n v="6"/>
    <x v="10"/>
    <s v="Mexico"/>
    <x v="0"/>
    <s v="T1"/>
    <s v="L"/>
    <x v="6"/>
    <x v="161"/>
    <m/>
    <n v="5000"/>
    <n v="20"/>
    <n v="100000"/>
    <n v="71940"/>
    <n v="171940"/>
  </r>
  <r>
    <s v="Sep"/>
    <n v="10"/>
    <x v="10"/>
    <s v="Uruguay"/>
    <x v="0"/>
    <m/>
    <s v="D"/>
    <x v="48"/>
    <x v="162"/>
    <m/>
    <n v="6250"/>
    <n v="20"/>
    <n v="125000"/>
    <n v="30937.5"/>
    <n v="155937.5"/>
  </r>
  <r>
    <s v="Oct"/>
    <n v="11"/>
    <x v="10"/>
    <s v="Cuba"/>
    <x v="7"/>
    <m/>
    <s v="W"/>
    <x v="12"/>
    <x v="163"/>
    <s v="x"/>
    <n v="9375"/>
    <n v="23"/>
    <n v="215625"/>
    <n v="0"/>
    <n v="215625"/>
  </r>
  <r>
    <s v="Oct"/>
    <n v="15"/>
    <x v="10"/>
    <s v="Canada"/>
    <x v="7"/>
    <m/>
    <s v="L"/>
    <x v="22"/>
    <x v="164"/>
    <s v="x"/>
    <n v="5000"/>
    <n v="23"/>
    <n v="115000"/>
    <n v="0"/>
    <n v="115000"/>
  </r>
  <r>
    <s v="Nov"/>
    <n v="15"/>
    <x v="10"/>
    <s v="Canada"/>
    <x v="7"/>
    <m/>
    <s v="W"/>
    <x v="1"/>
    <x v="165"/>
    <s v="x"/>
    <n v="9375"/>
    <n v="23"/>
    <n v="215625"/>
    <n v="0"/>
    <n v="215625"/>
  </r>
  <r>
    <s v="Nov"/>
    <n v="19"/>
    <x v="10"/>
    <s v="Cuba"/>
    <x v="7"/>
    <m/>
    <s v="W"/>
    <x v="56"/>
    <x v="114"/>
    <s v="x"/>
    <n v="9375"/>
    <n v="23"/>
    <n v="215625"/>
    <n v="0"/>
    <n v="215625"/>
  </r>
  <r>
    <m/>
    <m/>
    <x v="2"/>
    <s v="2019 training camp without making gameday roster (estimated 10)"/>
    <x v="3"/>
    <m/>
    <m/>
    <x v="17"/>
    <x v="31"/>
    <m/>
    <n v="1875"/>
    <n v="10"/>
    <n v="18750"/>
    <n v="0"/>
    <n v="187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D929CF-A808-4A25-B2A2-2BD121A763CD}" name="PivotTable8" cacheId="3"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Year" colHeaderCaption="By game type">
  <location ref="G6:N18" firstHeaderRow="1" firstDataRow="2" firstDataCol="1" rowPageCount="1" colPageCount="1"/>
  <pivotFields count="15">
    <pivotField showAll="0"/>
    <pivotField showAll="0"/>
    <pivotField axis="axisRow" showAll="0">
      <items count="12">
        <item x="0"/>
        <item x="1"/>
        <item x="3"/>
        <item x="4"/>
        <item x="5"/>
        <item x="6"/>
        <item x="7"/>
        <item x="8"/>
        <item x="9"/>
        <item x="10"/>
        <item x="2"/>
        <item t="default"/>
      </items>
    </pivotField>
    <pivotField showAll="0"/>
    <pivotField axis="axisCol" showAll="0">
      <items count="9">
        <item x="6"/>
        <item x="0"/>
        <item x="2"/>
        <item x="7"/>
        <item x="5"/>
        <item x="4"/>
        <item x="1"/>
        <item x="3"/>
        <item t="default"/>
      </items>
    </pivotField>
    <pivotField showAll="0"/>
    <pivotField showAll="0"/>
    <pivotField axis="axisPage" multipleItemSelectionAllowed="1" showAll="0">
      <items count="58">
        <item h="1" x="39"/>
        <item h="1" x="22"/>
        <item h="1" x="41"/>
        <item h="1" x="15"/>
        <item h="1" x="46"/>
        <item h="1" x="20"/>
        <item h="1" x="24"/>
        <item h="1" x="2"/>
        <item h="1" x="53"/>
        <item h="1" x="36"/>
        <item x="18"/>
        <item x="0"/>
        <item x="30"/>
        <item x="3"/>
        <item x="12"/>
        <item x="1"/>
        <item x="47"/>
        <item x="7"/>
        <item x="9"/>
        <item x="10"/>
        <item x="55"/>
        <item x="48"/>
        <item x="54"/>
        <item x="6"/>
        <item x="26"/>
        <item x="33"/>
        <item x="4"/>
        <item x="8"/>
        <item x="13"/>
        <item x="32"/>
        <item x="31"/>
        <item h="1" x="5"/>
        <item h="1" x="11"/>
        <item h="1" x="14"/>
        <item h="1" x="16"/>
        <item h="1" x="17"/>
        <item h="1" x="19"/>
        <item h="1" x="21"/>
        <item h="1" x="23"/>
        <item h="1" x="25"/>
        <item h="1" x="27"/>
        <item h="1" x="28"/>
        <item h="1" x="29"/>
        <item h="1" x="34"/>
        <item h="1" x="35"/>
        <item h="1" x="37"/>
        <item h="1" x="38"/>
        <item h="1" x="40"/>
        <item h="1" x="42"/>
        <item h="1" x="43"/>
        <item h="1" x="44"/>
        <item h="1" x="45"/>
        <item h="1" x="49"/>
        <item h="1" x="50"/>
        <item h="1" x="51"/>
        <item h="1" x="52"/>
        <item h="1" x="56"/>
        <item t="default"/>
      </items>
    </pivotField>
    <pivotField dataField="1" showAll="0">
      <items count="167">
        <item x="136"/>
        <item x="68"/>
        <item x="5"/>
        <item x="42"/>
        <item x="30"/>
        <item x="101"/>
        <item x="12"/>
        <item x="107"/>
        <item x="116"/>
        <item x="149"/>
        <item x="98"/>
        <item x="102"/>
        <item x="106"/>
        <item x="139"/>
        <item x="84"/>
        <item x="138"/>
        <item x="45"/>
        <item x="140"/>
        <item x="51"/>
        <item x="82"/>
        <item x="94"/>
        <item x="77"/>
        <item x="165"/>
        <item x="148"/>
        <item x="150"/>
        <item x="163"/>
        <item x="105"/>
        <item x="79"/>
        <item x="33"/>
        <item x="36"/>
        <item x="25"/>
        <item x="85"/>
        <item x="43"/>
        <item x="157"/>
        <item x="164"/>
        <item x="123"/>
        <item x="151"/>
        <item x="56"/>
        <item x="153"/>
        <item x="121"/>
        <item x="120"/>
        <item x="38"/>
        <item x="152"/>
        <item x="64"/>
        <item x="103"/>
        <item x="63"/>
        <item x="14"/>
        <item x="0"/>
        <item x="55"/>
        <item x="137"/>
        <item x="124"/>
        <item x="47"/>
        <item x="115"/>
        <item x="155"/>
        <item x="119"/>
        <item x="66"/>
        <item x="53"/>
        <item x="83"/>
        <item x="104"/>
        <item x="162"/>
        <item x="28"/>
        <item x="65"/>
        <item x="20"/>
        <item x="27"/>
        <item x="1"/>
        <item x="26"/>
        <item x="90"/>
        <item x="32"/>
        <item x="100"/>
        <item x="122"/>
        <item x="128"/>
        <item x="41"/>
        <item x="156"/>
        <item x="154"/>
        <item x="37"/>
        <item x="40"/>
        <item x="80"/>
        <item x="62"/>
        <item x="117"/>
        <item x="70"/>
        <item x="146"/>
        <item x="54"/>
        <item x="135"/>
        <item x="57"/>
        <item x="158"/>
        <item x="133"/>
        <item x="71"/>
        <item x="67"/>
        <item x="49"/>
        <item x="19"/>
        <item x="129"/>
        <item x="44"/>
        <item x="18"/>
        <item x="159"/>
        <item x="126"/>
        <item x="95"/>
        <item x="113"/>
        <item x="16"/>
        <item x="96"/>
        <item x="24"/>
        <item x="130"/>
        <item x="11"/>
        <item x="141"/>
        <item x="143"/>
        <item x="81"/>
        <item x="9"/>
        <item x="61"/>
        <item x="118"/>
        <item x="8"/>
        <item x="3"/>
        <item x="78"/>
        <item x="46"/>
        <item x="134"/>
        <item x="92"/>
        <item x="145"/>
        <item x="6"/>
        <item x="109"/>
        <item x="73"/>
        <item x="74"/>
        <item x="144"/>
        <item x="88"/>
        <item x="52"/>
        <item x="75"/>
        <item x="99"/>
        <item x="34"/>
        <item x="89"/>
        <item x="21"/>
        <item x="131"/>
        <item x="7"/>
        <item x="87"/>
        <item x="2"/>
        <item x="91"/>
        <item x="111"/>
        <item x="50"/>
        <item x="127"/>
        <item x="161"/>
        <item x="110"/>
        <item x="76"/>
        <item x="13"/>
        <item x="72"/>
        <item x="4"/>
        <item x="39"/>
        <item x="60"/>
        <item x="142"/>
        <item x="69"/>
        <item x="160"/>
        <item x="132"/>
        <item x="17"/>
        <item x="86"/>
        <item x="108"/>
        <item x="35"/>
        <item x="147"/>
        <item x="29"/>
        <item x="22"/>
        <item x="93"/>
        <item x="58"/>
        <item x="112"/>
        <item x="125"/>
        <item x="10"/>
        <item x="15"/>
        <item x="59"/>
        <item x="48"/>
        <item x="23"/>
        <item x="97"/>
        <item x="114"/>
        <item x="31"/>
        <item t="default"/>
      </items>
    </pivotField>
    <pivotField showAll="0"/>
    <pivotField showAll="0"/>
    <pivotField showAll="0"/>
    <pivotField numFmtId="170" showAll="0"/>
    <pivotField showAll="0"/>
    <pivotField numFmtId="170" showAll="0"/>
  </pivotFields>
  <rowFields count="1">
    <field x="2"/>
  </rowFields>
  <rowItems count="11">
    <i>
      <x/>
    </i>
    <i>
      <x v="1"/>
    </i>
    <i>
      <x v="2"/>
    </i>
    <i>
      <x v="3"/>
    </i>
    <i>
      <x v="4"/>
    </i>
    <i>
      <x v="5"/>
    </i>
    <i>
      <x v="6"/>
    </i>
    <i>
      <x v="7"/>
    </i>
    <i>
      <x v="8"/>
    </i>
    <i>
      <x v="9"/>
    </i>
    <i t="grand">
      <x/>
    </i>
  </rowItems>
  <colFields count="1">
    <field x="4"/>
  </colFields>
  <colItems count="7">
    <i>
      <x/>
    </i>
    <i>
      <x v="1"/>
    </i>
    <i>
      <x v="2"/>
    </i>
    <i>
      <x v="3"/>
    </i>
    <i>
      <x v="4"/>
    </i>
    <i>
      <x v="5"/>
    </i>
    <i t="grand">
      <x/>
    </i>
  </colItems>
  <pageFields count="1">
    <pageField fld="7" hier="-1"/>
  </pageFields>
  <dataFields count="1">
    <dataField name="Home average" fld="8" subtotal="average" baseField="2" baseItem="0"/>
  </dataFields>
  <formats count="15">
    <format dxfId="91">
      <pivotArea outline="0" collapsedLevelsAreSubtotals="1" fieldPosition="0"/>
    </format>
    <format dxfId="90">
      <pivotArea field="2" grandCol="1" collapsedLevelsAreSubtotals="1" axis="axisRow" fieldPosition="0">
        <references count="1">
          <reference field="2" count="0"/>
        </references>
      </pivotArea>
    </format>
    <format dxfId="89">
      <pivotArea dataOnly="0" labelOnly="1" fieldPosition="0">
        <references count="1">
          <reference field="2" count="0"/>
        </references>
      </pivotArea>
    </format>
    <format dxfId="88">
      <pivotArea type="all" dataOnly="0" outline="0" fieldPosition="0"/>
    </format>
    <format dxfId="87">
      <pivotArea outline="0" collapsedLevelsAreSubtotals="1" fieldPosition="0"/>
    </format>
    <format dxfId="86">
      <pivotArea type="origin" dataOnly="0" labelOnly="1" outline="0" fieldPosition="0"/>
    </format>
    <format dxfId="85">
      <pivotArea field="4" type="button" dataOnly="0" labelOnly="1" outline="0" axis="axisCol" fieldPosition="0"/>
    </format>
    <format dxfId="84">
      <pivotArea type="topRight" dataOnly="0" labelOnly="1" outline="0" fieldPosition="0"/>
    </format>
    <format dxfId="83">
      <pivotArea field="2" type="button" dataOnly="0" labelOnly="1" outline="0" axis="axisRow" fieldPosition="0"/>
    </format>
    <format dxfId="82">
      <pivotArea dataOnly="0" labelOnly="1" fieldPosition="0">
        <references count="1">
          <reference field="2" count="10">
            <x v="0"/>
            <x v="1"/>
            <x v="2"/>
            <x v="3"/>
            <x v="4"/>
            <x v="5"/>
            <x v="6"/>
            <x v="7"/>
            <x v="8"/>
            <x v="9"/>
          </reference>
        </references>
      </pivotArea>
    </format>
    <format dxfId="81">
      <pivotArea dataOnly="0" labelOnly="1" grandRow="1" outline="0" fieldPosition="0"/>
    </format>
    <format dxfId="80">
      <pivotArea dataOnly="0" labelOnly="1" fieldPosition="0">
        <references count="1">
          <reference field="4" count="6">
            <x v="0"/>
            <x v="1"/>
            <x v="2"/>
            <x v="3"/>
            <x v="4"/>
            <x v="5"/>
          </reference>
        </references>
      </pivotArea>
    </format>
    <format dxfId="79">
      <pivotArea dataOnly="0" labelOnly="1" grandCol="1" outline="0" fieldPosition="0"/>
    </format>
    <format dxfId="78">
      <pivotArea dataOnly="0" labelOnly="1" fieldPosition="0">
        <references count="1">
          <reference field="4" count="6">
            <x v="0"/>
            <x v="1"/>
            <x v="2"/>
            <x v="3"/>
            <x v="4"/>
            <x v="5"/>
          </reference>
        </references>
      </pivotArea>
    </format>
    <format dxfId="77">
      <pivotArea dataOnly="0" labelOnly="1" grandCol="1" outline="0"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C478D5-1E11-4968-A00A-2CD0F8ED7ED3}" name="PivotTable7" cacheId="2"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Year" colHeaderCaption="By game type">
  <location ref="A6:E18" firstHeaderRow="1" firstDataRow="2" firstDataCol="1" rowPageCount="1" colPageCount="1"/>
  <pivotFields count="17">
    <pivotField showAll="0"/>
    <pivotField showAll="0"/>
    <pivotField axis="axisRow" showAll="0">
      <items count="11">
        <item x="0"/>
        <item x="1"/>
        <item x="2"/>
        <item x="3"/>
        <item x="4"/>
        <item x="5"/>
        <item x="6"/>
        <item x="7"/>
        <item x="8"/>
        <item x="9"/>
        <item t="default"/>
      </items>
    </pivotField>
    <pivotField showAll="0"/>
    <pivotField axis="axisCol" showAll="0">
      <items count="7">
        <item x="0"/>
        <item n="Oly qualification" x="4"/>
        <item x="5"/>
        <item n="WC qualification" x="1"/>
        <item x="3"/>
        <item h="1" x="2"/>
        <item t="default"/>
      </items>
    </pivotField>
    <pivotField showAll="0"/>
    <pivotField showAll="0"/>
    <pivotField axis="axisPage" multipleItemSelectionAllowed="1" showAll="0">
      <items count="48">
        <item h="1" x="36"/>
        <item h="1" x="45"/>
        <item h="1" x="23"/>
        <item h="1" x="15"/>
        <item h="1" x="16"/>
        <item h="1" x="14"/>
        <item h="1" x="37"/>
        <item h="1" x="19"/>
        <item h="1" x="9"/>
        <item h="1" x="25"/>
        <item h="1" x="8"/>
        <item h="1" x="33"/>
        <item h="1" x="43"/>
        <item h="1" x="0"/>
        <item h="1" x="44"/>
        <item h="1" x="27"/>
        <item h="1" x="46"/>
        <item h="1" x="26"/>
        <item h="1" x="11"/>
        <item h="1" x="12"/>
        <item h="1" x="13"/>
        <item x="39"/>
        <item x="22"/>
        <item x="1"/>
        <item x="29"/>
        <item x="5"/>
        <item x="35"/>
        <item x="31"/>
        <item x="6"/>
        <item x="10"/>
        <item x="20"/>
        <item x="41"/>
        <item x="34"/>
        <item x="30"/>
        <item x="42"/>
        <item x="38"/>
        <item x="17"/>
        <item x="18"/>
        <item x="28"/>
        <item x="4"/>
        <item x="3"/>
        <item x="21"/>
        <item x="7"/>
        <item x="32"/>
        <item x="24"/>
        <item x="2"/>
        <item x="40"/>
        <item t="default"/>
      </items>
    </pivotField>
    <pivotField dataField="1" showAll="0"/>
    <pivotField showAll="0"/>
    <pivotField showAll="0"/>
    <pivotField showAll="0"/>
    <pivotField showAll="0"/>
    <pivotField showAll="0"/>
    <pivotField numFmtId="170" showAll="0"/>
    <pivotField showAll="0"/>
    <pivotField numFmtId="170" showAll="0"/>
  </pivotFields>
  <rowFields count="1">
    <field x="2"/>
  </rowFields>
  <rowItems count="11">
    <i>
      <x/>
    </i>
    <i>
      <x v="1"/>
    </i>
    <i>
      <x v="2"/>
    </i>
    <i>
      <x v="3"/>
    </i>
    <i>
      <x v="4"/>
    </i>
    <i>
      <x v="5"/>
    </i>
    <i>
      <x v="6"/>
    </i>
    <i>
      <x v="7"/>
    </i>
    <i>
      <x v="8"/>
    </i>
    <i>
      <x v="9"/>
    </i>
    <i t="grand">
      <x/>
    </i>
  </rowItems>
  <colFields count="1">
    <field x="4"/>
  </colFields>
  <colItems count="4">
    <i>
      <x/>
    </i>
    <i>
      <x v="1"/>
    </i>
    <i>
      <x v="3"/>
    </i>
    <i t="grand">
      <x/>
    </i>
  </colItems>
  <pageFields count="1">
    <pageField fld="7" hier="-1"/>
  </pageFields>
  <dataFields count="1">
    <dataField name="Home average" fld="8" subtotal="average" baseField="2" baseItem="0" numFmtId="168"/>
  </dataFields>
  <formats count="15">
    <format dxfId="106">
      <pivotArea outline="0" collapsedLevelsAreSubtotals="1" fieldPosition="0"/>
    </format>
    <format dxfId="105">
      <pivotArea field="2" grandCol="1" collapsedLevelsAreSubtotals="1" axis="axisRow" fieldPosition="0">
        <references count="1">
          <reference field="2" count="0"/>
        </references>
      </pivotArea>
    </format>
    <format dxfId="104">
      <pivotArea dataOnly="0" labelOnly="1" fieldPosition="0">
        <references count="1">
          <reference field="2" count="0"/>
        </references>
      </pivotArea>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4" type="button" dataOnly="0" labelOnly="1" outline="0" axis="axisCol" fieldPosition="0"/>
    </format>
    <format dxfId="99">
      <pivotArea type="topRight" dataOnly="0" labelOnly="1" outline="0" fieldPosition="0"/>
    </format>
    <format dxfId="98">
      <pivotArea field="2" type="button" dataOnly="0" labelOnly="1" outline="0" axis="axisRow" fieldPosition="0"/>
    </format>
    <format dxfId="97">
      <pivotArea dataOnly="0" labelOnly="1" fieldPosition="0">
        <references count="1">
          <reference field="2" count="0"/>
        </references>
      </pivotArea>
    </format>
    <format dxfId="96">
      <pivotArea dataOnly="0" labelOnly="1" grandRow="1" outline="0" fieldPosition="0"/>
    </format>
    <format dxfId="95">
      <pivotArea dataOnly="0" labelOnly="1" fieldPosition="0">
        <references count="1">
          <reference field="4" count="3">
            <x v="0"/>
            <x v="1"/>
            <x v="3"/>
          </reference>
        </references>
      </pivotArea>
    </format>
    <format dxfId="94">
      <pivotArea dataOnly="0" labelOnly="1" grandCol="1" outline="0" fieldPosition="0"/>
    </format>
    <format dxfId="93">
      <pivotArea dataOnly="0" labelOnly="1" fieldPosition="0">
        <references count="1">
          <reference field="4" count="3">
            <x v="0"/>
            <x v="1"/>
            <x v="3"/>
          </reference>
        </references>
      </pivotArea>
    </format>
    <format dxfId="92">
      <pivotArea dataOnly="0" labelOnly="1" grandCol="1" outline="0" fieldPosition="0"/>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5755516-1334-4F84-A4A5-0901A52F177D}" name="Table12" displayName="Table12" ref="A249:Q272" totalsRowCount="1" headerRowDxfId="873" dataDxfId="872" headerRowCellStyle="Normal 2" dataCellStyle="Normal 2">
  <autoFilter ref="A249:Q271" xr:uid="{0412B235-55E0-420F-9831-F0B2DBD13308}"/>
  <tableColumns count="17">
    <tableColumn id="1" xr3:uid="{95F8ADF6-07D3-4B8A-8B34-97129B3A204B}" name="Month" totalsRowLabel="Total" dataDxfId="871" totalsRowDxfId="870" dataCellStyle="Normal 2"/>
    <tableColumn id="2" xr3:uid="{A7821C4C-1BA4-41BB-A47B-59377445B1A4}" name="Day" dataDxfId="869" totalsRowDxfId="868" dataCellStyle="Normal 2"/>
    <tableColumn id="3" xr3:uid="{18104F93-ACC0-4FB4-99AB-D90C1D35750B}" name="Year" dataDxfId="867" totalsRowDxfId="866" dataCellStyle="Normal 2"/>
    <tableColumn id="4" xr3:uid="{4FB98056-7282-4B61-9A6D-915A02AFCC07}" name="Opponent" dataDxfId="865" totalsRowDxfId="864" dataCellStyle="Normal 2"/>
    <tableColumn id="5" xr3:uid="{4A66CF6A-3C8F-49E9-83F1-849C47EE33FA}" name="Type"/>
    <tableColumn id="6" xr3:uid="{26CC1842-8A48-4CAA-B5FD-C7DAAC5A3781}" name="Tier" dataDxfId="863" totalsRowDxfId="862" dataCellStyle="Normal 2"/>
    <tableColumn id="7" xr3:uid="{0CEC89A4-E790-49AA-9BA7-688CBA25A56C}" name="Res" dataDxfId="861" totalsRowDxfId="860" dataCellStyle="Normal 2"/>
    <tableColumn id="8" xr3:uid="{105E2677-3A61-46E6-BEC4-77ECADC5179B}" name="State/Country" dataDxfId="859" totalsRowDxfId="858" dataCellStyle="Normal 2"/>
    <tableColumn id="9" xr3:uid="{AD55A460-6580-4B51-A029-6404D2D0E7F9}" name="Attendance" dataDxfId="857" totalsRowDxfId="856" dataCellStyle="Normal 2"/>
    <tableColumn id="10" xr3:uid="{9D0ADDC9-6F16-4D33-9094-8671EE704E2D}" name="AB?" dataDxfId="855" totalsRowDxfId="854" dataCellStyle="Normal 2"/>
    <tableColumn id="11" xr3:uid="{5FD51323-ED79-434D-8480-A27CE48E5350}" name="Salaried" dataDxfId="853" totalsRowDxfId="852" dataCellStyle="Currency"/>
    <tableColumn id="12" xr3:uid="{601DCB9C-B864-4843-9A15-6E1A3CBE2EFA}" name="No." dataDxfId="851" totalsRowDxfId="850" dataCellStyle="Normal 2"/>
    <tableColumn id="13" xr3:uid="{BE5AD508-E011-4E2F-B69F-206CF3305C63}" name="Non-salaried" dataDxfId="849" totalsRowDxfId="848" dataCellStyle="Currency"/>
    <tableColumn id="14" xr3:uid="{9045E17D-7A01-40DF-AE1F-F06F1A211E10}" name="No.2" dataDxfId="847" totalsRowDxfId="846" dataCellStyle="Normal 2"/>
    <tableColumn id="15" xr3:uid="{788774E2-719D-4849-98CA-969FDF9710AC}" name="Game pay" totalsRowFunction="sum" dataDxfId="845" totalsRowDxfId="844" dataCellStyle="Normal 2">
      <calculatedColumnFormula>(K250*L250)+(M250*N250)</calculatedColumnFormula>
    </tableColumn>
    <tableColumn id="16" xr3:uid="{1944EB3D-DAC0-4F77-9B7E-50C3771CBE63}" name="Att bonus" totalsRowFunction="sum" dataDxfId="843" totalsRowDxfId="842" dataCellStyle="Currency">
      <calculatedColumnFormula>IF(J250="",I250*'US CBAs'!$K$55,0)</calculatedColumnFormula>
    </tableColumn>
    <tableColumn id="17" xr3:uid="{B7D52BA4-4BC3-4B08-9565-B643AB55C2B5}" name="TEAM PAY" totalsRowFunction="sum" dataDxfId="841" totalsRowDxfId="840" dataCellStyle="Normal 2">
      <calculatedColumnFormula>O250+P250</calculatedColumnFormula>
    </tableColumn>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E2F6F6D-1B6F-4D53-9F07-17B756B37454}" name="Table20" displayName="Table20" ref="A276:Q303" totalsRowCount="1" headerRowDxfId="559" headerRowCellStyle="Normal 2">
  <autoFilter ref="A276:Q302" xr:uid="{D0EF5660-9735-44A9-AB04-FE624B78496E}"/>
  <tableColumns count="17">
    <tableColumn id="1" xr3:uid="{5B77DB33-F371-4AAD-AB43-3085E4E938ED}" name="Month" totalsRowLabel="Total" dataDxfId="558" totalsRowDxfId="557" dataCellStyle="Normal 2"/>
    <tableColumn id="2" xr3:uid="{3E53DF96-8F1E-4CB1-B36A-85E162B2DCBA}" name="Day" dataDxfId="556" totalsRowDxfId="555" dataCellStyle="Normal 2"/>
    <tableColumn id="3" xr3:uid="{633580CF-57D6-4D9B-AD3A-3E7DE3577043}" name="Year" dataDxfId="554" totalsRowDxfId="553" dataCellStyle="Normal 2"/>
    <tableColumn id="4" xr3:uid="{0E4DB004-5ABC-4B46-8333-82618644093D}" name="Opponent" dataDxfId="552" totalsRowDxfId="551" dataCellStyle="Normal 2"/>
    <tableColumn id="5" xr3:uid="{B2BBA918-12F1-4E37-9C2F-4806560C171E}" name="Type" dataDxfId="550" totalsRowDxfId="549" dataCellStyle="Normal 2"/>
    <tableColumn id="6" xr3:uid="{48A8437D-A07F-4CA4-8AC0-0D7FEA2C230B}" name="Tier" dataDxfId="548" totalsRowDxfId="547" dataCellStyle="Normal 2"/>
    <tableColumn id="7" xr3:uid="{ADDC2D52-0244-4413-AD7B-BABFC1BCD41F}" name="Res" dataDxfId="546" totalsRowDxfId="545" dataCellStyle="Normal 2"/>
    <tableColumn id="8" xr3:uid="{0F002BD5-E15C-4EA4-9B06-AD823613699C}" name="State/Country" dataDxfId="544" totalsRowDxfId="543"/>
    <tableColumn id="9" xr3:uid="{C44FFCD4-9D2A-466A-B477-5473D669C2E8}" name="Attendance" dataDxfId="542" totalsRowDxfId="541" dataCellStyle="Comma"/>
    <tableColumn id="10" xr3:uid="{F7C7B694-ECA8-42E8-9B74-F9C44284FD73}" name="AB?" dataDxfId="540" totalsRowDxfId="539" dataCellStyle="Normal 2"/>
    <tableColumn id="11" xr3:uid="{DB920BFA-2AE0-4161-BE86-F694D47C539B}" name="Salaried" dataDxfId="538" totalsRowDxfId="537" dataCellStyle="Currency">
      <calculatedColumnFormula>IF(G277="L",0,
IF(AND(E277="Friendly",F277="T1",G277="W"),'US CBAs'!$J$19,
IF(AND(E277="Friendly",F277="T2",G277="W"),'US CBAs'!$J$20,
IF(AND(E277="Friendly",F277="",G277="W"),'US CBAs'!$J$21,
IF(AND(E277="Friendly",F277="T1",G277="D"),'US CBAs'!$J$22,
IF(AND(E277="Friendly",F277="",G277="D"),'US CBAs'!$J$23,
IF(AND(E277="WC qual",G277="W"),'US CBAs'!$J$27,
IF(AND(E277="WC qual",G277="D"),0,
IF(AND(E277="Oly qual",G277="W"),'US CBAs'!$J$27,
IF(AND(E277="Oly qual",G277="D"),0,
IF(E277="Olympics",0,
IF(E277="World Cup",'US CBAs'!$J$14,
0))))))))))))</calculatedColumnFormula>
    </tableColumn>
    <tableColumn id="12" xr3:uid="{C40A15C7-A653-4D35-BE8D-C2D09B007AC7}" name="No." dataDxfId="536" totalsRowDxfId="535" dataCellStyle="Normal 2"/>
    <tableColumn id="13" xr3:uid="{198FC124-D6E0-4AB6-B74F-1FD71917D629}" name="Non-salaried" dataDxfId="534" totalsRowDxfId="533" dataCellStyle="Currency">
      <calculatedColumnFormula>$K277+'US CBAs'!$J$13</calculatedColumnFormula>
    </tableColumn>
    <tableColumn id="14" xr3:uid="{C6D1E833-B88D-4643-85BA-094AF829F357}" name="No.2" dataDxfId="532" totalsRowDxfId="531" dataCellStyle="Normal 2"/>
    <tableColumn id="15" xr3:uid="{E01A3698-810F-4619-9624-966F0D2D2842}" name="Game pay" totalsRowFunction="sum" dataDxfId="530" totalsRowDxfId="529" dataCellStyle="Normal 2">
      <calculatedColumnFormula>(K277*L277)+(M277*N277)</calculatedColumnFormula>
    </tableColumn>
    <tableColumn id="16" xr3:uid="{B519234B-42AB-46DA-A059-D21E0382F6D5}" name="Att bonus" totalsRowFunction="sum" dataDxfId="528" totalsRowDxfId="527" dataCellStyle="Currency">
      <calculatedColumnFormula>IF(J277="",I277*'US CBAs'!$K$55,0)</calculatedColumnFormula>
    </tableColumn>
    <tableColumn id="17" xr3:uid="{ED9C839D-B22B-49D1-BD44-BB88687CD1DC}" name="TEAM PAY" totalsRowFunction="sum" dataDxfId="526" totalsRowDxfId="525" dataCellStyle="Normal 2">
      <calculatedColumnFormula>O277+P277</calculatedColumnFormula>
    </tableColumn>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BD97C2-28CE-4371-A6A6-95221C7A56E2}" name="Table2" displayName="Table2" ref="A2:O17" totalsRowCount="1" headerRowDxfId="524" dataDxfId="523" headerRowCellStyle="Normal 2" dataCellStyle="Normal 2">
  <autoFilter ref="A2:O16" xr:uid="{E97F384C-F8E9-457F-9109-C5BA2148AF78}"/>
  <tableColumns count="15">
    <tableColumn id="1" xr3:uid="{CA97F6A5-1C64-4D97-820A-612F2B4E1DD4}" name="Month" totalsRowLabel="Total" dataDxfId="522" totalsRowDxfId="521" dataCellStyle="Normal 2"/>
    <tableColumn id="2" xr3:uid="{2EC5AAE0-A618-4CB9-B41A-6F7D4711E679}" name="Day" dataDxfId="520" totalsRowDxfId="519" dataCellStyle="Normal 2"/>
    <tableColumn id="3" xr3:uid="{5760AA8E-D562-43AA-9165-3C7E3601ADD5}" name="Year" dataDxfId="518" totalsRowDxfId="517" dataCellStyle="Normal 2"/>
    <tableColumn id="4" xr3:uid="{20931F3A-A93A-429B-BE94-A357EA1E3BEF}" name="Opponent" dataDxfId="516" totalsRowDxfId="515" dataCellStyle="Normal 2"/>
    <tableColumn id="5" xr3:uid="{EF17DC36-7F62-4755-9BBF-2C61C3127976}" name="Type" dataDxfId="514" totalsRowDxfId="513" dataCellStyle="Normal 2"/>
    <tableColumn id="6" xr3:uid="{098E6927-E1FB-4EC4-9DD7-BC565376B0C4}" name="Tier" dataDxfId="512" totalsRowDxfId="511" dataCellStyle="Normal 2"/>
    <tableColumn id="7" xr3:uid="{1EDE4384-B4FA-4412-A2CE-44161A0FFF04}" name="Res" dataDxfId="510" totalsRowDxfId="509" dataCellStyle="Normal 2"/>
    <tableColumn id="8" xr3:uid="{A5AC6764-D6EC-49F3-AF2C-268B97152DB7}" name="State/Country" dataDxfId="508" totalsRowDxfId="507" dataCellStyle="Normal 2"/>
    <tableColumn id="9" xr3:uid="{AA4D2A9D-7E67-47DB-8FAC-09151D0C524E}" name="Attendance" dataDxfId="506" totalsRowDxfId="505" dataCellStyle="Comma 2"/>
    <tableColumn id="10" xr3:uid="{7FBDFF8A-16C0-492E-97A7-EA3B40B3AD29}" name="AB?" dataDxfId="504" totalsRowDxfId="503" dataCellStyle="Normal 2"/>
    <tableColumn id="11" xr3:uid="{86134CB4-7817-48CA-A919-BB1185DA4955}" name="Per player" dataDxfId="502" totalsRowDxfId="501" dataCellStyle="Normal 2">
      <calculatedColumnFormula>IF(E3="Friendly",'US CBAs'!$J$82,IF(E3="World Cup",'US CBAs'!$J$84,0))</calculatedColumnFormula>
    </tableColumn>
    <tableColumn id="12" xr3:uid="{A37A482A-51D9-45A9-A82E-F82F26811E28}" name="No." dataDxfId="500" totalsRowDxfId="499" dataCellStyle="Normal 2"/>
    <tableColumn id="13" xr3:uid="{58B9789A-8A5B-4EFC-AB44-F288255A7216}" name="Game pay" totalsRowFunction="sum" dataDxfId="498" totalsRowDxfId="497" dataCellStyle="Normal 2">
      <calculatedColumnFormula>K3*L3</calculatedColumnFormula>
    </tableColumn>
    <tableColumn id="14" xr3:uid="{BC7A131A-5921-4D13-BD94-6A02B9C6E306}" name="Att bonus" dataDxfId="496" totalsRowDxfId="495" dataCellStyle="Currency 2"/>
    <tableColumn id="15" xr3:uid="{E1A5F2A0-ED1F-43F1-8B5B-808DC8873BB6}" name="TEAM PAY" totalsRowFunction="sum" dataDxfId="494" totalsRowDxfId="493" dataCellStyle="Normal 2">
      <calculatedColumnFormula>M3+N3</calculatedColumnFormula>
    </tableColumn>
  </tableColumns>
  <tableStyleInfo name="TableStyleMedium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AF2B76-18B6-4A4E-9812-B758CAE75131}" name="Table3" displayName="Table3" ref="A21:O40" totalsRowCount="1" headerRowDxfId="492" dataDxfId="491" headerRowCellStyle="Normal 2" dataCellStyle="Normal 2">
  <autoFilter ref="A21:O39" xr:uid="{10855892-DA51-4A0B-9155-7E0238EC2CA4}"/>
  <tableColumns count="15">
    <tableColumn id="1" xr3:uid="{FBB07EFC-3B59-438E-9BFA-0B81EB7E1B37}" name="Month" totalsRowLabel="Total" dataDxfId="490" totalsRowDxfId="489" dataCellStyle="Normal 2"/>
    <tableColumn id="2" xr3:uid="{C162C952-4958-4619-BE86-81BA46571654}" name="Day" dataDxfId="488" totalsRowDxfId="487" dataCellStyle="Normal 2"/>
    <tableColumn id="3" xr3:uid="{6A7938B0-58F6-4D6F-9E9F-D2641A833083}" name="Year" dataDxfId="486" totalsRowDxfId="485" dataCellStyle="Normal 2"/>
    <tableColumn id="4" xr3:uid="{7412BA94-DB1C-45F6-B2E5-38F68490D0E1}" name="Opponent" dataDxfId="484" totalsRowDxfId="483" dataCellStyle="Normal 2"/>
    <tableColumn id="5" xr3:uid="{D3E9E2F4-20F1-4A9D-80D6-78F7F130920E}" name="Type" dataDxfId="482" totalsRowDxfId="481" dataCellStyle="Normal 2"/>
    <tableColumn id="6" xr3:uid="{ABF1D060-61A7-4360-A07B-2FFB8574CDA0}" name="Tier" dataDxfId="480" totalsRowDxfId="479" dataCellStyle="Normal 2"/>
    <tableColumn id="7" xr3:uid="{EA4371B2-3FC2-4CAA-9882-DEDA4C0B1C74}" name="Res" dataDxfId="478" totalsRowDxfId="477" dataCellStyle="Normal 2"/>
    <tableColumn id="8" xr3:uid="{CF8B5FE4-DA2D-4DDD-B75A-ADA3D9A97851}" name="State/Country" dataDxfId="476" totalsRowDxfId="475" dataCellStyle="Normal 2"/>
    <tableColumn id="9" xr3:uid="{7C8CC358-0233-44FC-8F37-DA30824E7FEB}" name="Attendance" dataDxfId="474" totalsRowDxfId="473" dataCellStyle="Comma 2"/>
    <tableColumn id="10" xr3:uid="{FDB9CB66-7E5B-41E5-AF59-741B70D3E4BF}" name="AB?" dataDxfId="472" totalsRowDxfId="471" dataCellStyle="Normal 2"/>
    <tableColumn id="11" xr3:uid="{387479A4-145B-43A6-998A-6FEB552844E6}" name="Per player" dataDxfId="470" totalsRowDxfId="469" dataCellStyle="Normal 2"/>
    <tableColumn id="12" xr3:uid="{358009FD-F1B4-4AC8-B02B-99C7DC242124}" name="No." dataDxfId="468" totalsRowDxfId="467" dataCellStyle="Normal 2"/>
    <tableColumn id="13" xr3:uid="{980425CB-70E7-490A-9CFB-DB5C4636ED2D}" name="Game pay" totalsRowFunction="sum" dataDxfId="466" totalsRowDxfId="465" dataCellStyle="Normal 2">
      <calculatedColumnFormula>K22*L22</calculatedColumnFormula>
    </tableColumn>
    <tableColumn id="14" xr3:uid="{F92B0364-02B4-4791-A110-A551C62C399A}" name="Att bonus" totalsRowFunction="sum" dataDxfId="464" totalsRowDxfId="463" dataCellStyle="Currency 2"/>
    <tableColumn id="15" xr3:uid="{7F9A4E47-52A4-41CA-B194-7E6AF3036796}" name="TEAM PAY" totalsRowFunction="sum" dataDxfId="462" totalsRowDxfId="461" dataCellStyle="Normal 2">
      <calculatedColumnFormula>M22+N22</calculatedColumnFormula>
    </tableColumn>
  </tableColumns>
  <tableStyleInfo name="TableStyleMedium1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8B0BD8D-2A06-4CB7-9CE0-E9041904411D}" name="Table4" displayName="Table4" ref="A44:O61" totalsRowCount="1" headerRowDxfId="460" dataDxfId="459" headerRowCellStyle="Normal 2" dataCellStyle="Normal 2">
  <autoFilter ref="A44:O60" xr:uid="{162E9527-11CE-48D7-8864-39B242B821AE}"/>
  <tableColumns count="15">
    <tableColumn id="1" xr3:uid="{21221F78-8614-422C-ADEB-CF981DB255F9}" name="Month" totalsRowLabel="Total" dataDxfId="458" totalsRowDxfId="457" dataCellStyle="Normal 2" totalsRowCellStyle="Normal 2"/>
    <tableColumn id="2" xr3:uid="{09CFA621-C273-4C99-94D7-BAA789FF1459}" name="Day" dataDxfId="456" totalsRowDxfId="455" dataCellStyle="Normal 2" totalsRowCellStyle="Normal 2"/>
    <tableColumn id="3" xr3:uid="{4F6343A3-3706-4A68-824A-135EA6D9A118}" name="Year" dataDxfId="454" totalsRowDxfId="453" dataCellStyle="Normal 2" totalsRowCellStyle="Normal 2"/>
    <tableColumn id="4" xr3:uid="{F84428AE-0090-4F40-97DD-ADF8DB09622F}" name="Opponent" dataDxfId="452" totalsRowDxfId="451" dataCellStyle="Normal 2" totalsRowCellStyle="Normal 2"/>
    <tableColumn id="5" xr3:uid="{29667CC0-2B55-4934-9718-96F7B728D328}" name="Type" dataDxfId="450" totalsRowDxfId="449" dataCellStyle="Normal 2" totalsRowCellStyle="Normal 2"/>
    <tableColumn id="6" xr3:uid="{6428DC63-7C0E-4413-94E5-E3B91898C609}" name="Tier" dataDxfId="448" totalsRowDxfId="447" dataCellStyle="Normal 2" totalsRowCellStyle="Normal 2"/>
    <tableColumn id="7" xr3:uid="{C54A9335-E0B9-477F-AFCC-98E4E1B4098D}" name="Res" dataDxfId="446" totalsRowDxfId="445" dataCellStyle="Normal 2" totalsRowCellStyle="Normal 2"/>
    <tableColumn id="8" xr3:uid="{1C5E0DC0-35BC-4FC6-8470-D099D22EBDD1}" name="State/Country" dataDxfId="444" totalsRowDxfId="443" dataCellStyle="Normal 2" totalsRowCellStyle="Normal 2"/>
    <tableColumn id="9" xr3:uid="{7C7BFA23-8ACD-4873-97B0-9E78B019E684}" name="Attendance" dataDxfId="442" totalsRowDxfId="441" dataCellStyle="Comma 2" totalsRowCellStyle="Comma 2"/>
    <tableColumn id="10" xr3:uid="{43B9B731-2468-44DA-BC1A-5CE2159CC513}" name="AB?" dataDxfId="440" totalsRowDxfId="439" dataCellStyle="Normal 2" totalsRowCellStyle="Normal 2"/>
    <tableColumn id="11" xr3:uid="{1AE44AE7-D7DB-495D-A2AB-0DD2ABCCD8CE}" name="Per player" dataDxfId="438" totalsRowDxfId="437" dataCellStyle="Normal 2" totalsRowCellStyle="Normal 2"/>
    <tableColumn id="12" xr3:uid="{6202EBDA-A9C2-42FF-A4B0-00B69D70B68F}" name="No." dataDxfId="436" totalsRowDxfId="435" dataCellStyle="Normal 2" totalsRowCellStyle="Normal 2"/>
    <tableColumn id="13" xr3:uid="{CDD2E5F0-29A0-4901-AA71-3BF7C1F9CC5F}" name="Game pay" totalsRowFunction="sum" dataDxfId="434" totalsRowDxfId="433" dataCellStyle="Normal 2">
      <calculatedColumnFormula>K45*L45</calculatedColumnFormula>
    </tableColumn>
    <tableColumn id="14" xr3:uid="{5D12A208-686A-46C9-850C-CEE3989C9767}" name="Att bonus" totalsRowFunction="sum" dataDxfId="432" totalsRowDxfId="431" dataCellStyle="Currency 2"/>
    <tableColumn id="15" xr3:uid="{DB9FB49D-B42A-4F72-AA6C-5CEF048CCAA8}" name="TEAM PAY" totalsRowFunction="sum" dataDxfId="430" totalsRowDxfId="429" dataCellStyle="Normal 2" totalsRowCellStyle="Normal 2">
      <calculatedColumnFormula>M45+N45</calculatedColumnFormula>
    </tableColumn>
  </tableColumns>
  <tableStyleInfo name="TableStyleMedium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17291C-217E-4CE8-A6FB-4032E16A42A3}" name="Table5" displayName="Table5" ref="A63:O89" totalsRowCount="1" headerRowDxfId="428" dataDxfId="427" headerRowCellStyle="Normal 2" dataCellStyle="Normal 2">
  <autoFilter ref="A63:O88" xr:uid="{0687FB25-C5EA-4C84-8352-57CAA85F622F}"/>
  <tableColumns count="15">
    <tableColumn id="1" xr3:uid="{9F3F2504-88E9-4306-8081-C2705FCA9032}" name="Month" totalsRowLabel="Total" dataDxfId="426" totalsRowDxfId="425" dataCellStyle="Normal 2"/>
    <tableColumn id="2" xr3:uid="{03F7E549-2338-4145-AEB3-A1AA3459F714}" name="Day" dataDxfId="424" totalsRowDxfId="423" dataCellStyle="Normal 2"/>
    <tableColumn id="3" xr3:uid="{88901F17-3CC1-4E6E-B9ED-0EF928176201}" name="Year" dataDxfId="422" totalsRowDxfId="421" dataCellStyle="Normal 2"/>
    <tableColumn id="4" xr3:uid="{F0B213CD-45A7-45B5-8F68-C73F9575B156}" name="Opponent" dataDxfId="420" totalsRowDxfId="419" dataCellStyle="Normal 2"/>
    <tableColumn id="5" xr3:uid="{0DC68424-4A71-4306-B589-CF4417B686F0}" name="Type" dataDxfId="418" totalsRowDxfId="417" dataCellStyle="Normal 2"/>
    <tableColumn id="6" xr3:uid="{8C33B872-BF1D-439C-8292-65513030050F}" name="Tier" dataDxfId="416" totalsRowDxfId="415" dataCellStyle="Normal 2"/>
    <tableColumn id="7" xr3:uid="{DD0AD373-9F6A-4656-9D2D-7D567FD73CF7}" name="Res" dataDxfId="414" totalsRowDxfId="413" dataCellStyle="Normal 2"/>
    <tableColumn id="8" xr3:uid="{F925BAF6-9112-4E68-9177-D778CB6E48DD}" name="State/Country" dataDxfId="412" totalsRowDxfId="411" dataCellStyle="Normal 2"/>
    <tableColumn id="9" xr3:uid="{A2ACE887-FE61-4120-B67E-ADDCE1E280AA}" name="Attendance" dataDxfId="410" totalsRowDxfId="409" dataCellStyle="Comma 2"/>
    <tableColumn id="10" xr3:uid="{B3BFD8A3-7FD4-4FC3-83BF-D4A8C2C1F953}" name="AB?" dataDxfId="408" totalsRowDxfId="407" dataCellStyle="Normal 2"/>
    <tableColumn id="11" xr3:uid="{FE7F2EE6-5741-4366-962B-82A5A95E4C0A}" name="Per player" dataDxfId="406" totalsRowDxfId="405" dataCellStyle="Normal 2"/>
    <tableColumn id="12" xr3:uid="{4BDA6E2E-2531-4593-A452-6D8B81EAD457}" name="No." dataDxfId="404" totalsRowDxfId="403" dataCellStyle="Normal 2"/>
    <tableColumn id="13" xr3:uid="{EEB96D83-4403-42CB-8F1C-88C7230AE119}" name="Game pay" totalsRowFunction="sum" dataDxfId="402" totalsRowDxfId="401" dataCellStyle="Normal 2">
      <calculatedColumnFormula>K64*L64</calculatedColumnFormula>
    </tableColumn>
    <tableColumn id="14" xr3:uid="{63A33CA1-D700-4E09-9C23-D5E080227DC8}" name="Att bonus" totalsRowFunction="sum" dataDxfId="400" totalsRowDxfId="399" dataCellStyle="Currency 2"/>
    <tableColumn id="15" xr3:uid="{2029CA4E-531E-424F-B378-1C3EC1DCC272}" name="TEAM PAY" totalsRowFunction="sum" dataDxfId="398" totalsRowDxfId="397" dataCellStyle="Normal 2">
      <calculatedColumnFormula>M64+N64</calculatedColumnFormula>
    </tableColumn>
  </tableColumns>
  <tableStyleInfo name="TableStyleMedium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405140F-BD97-4AFF-82E1-794F729FED5E}" name="Table6" displayName="Table6" ref="A93:O110" totalsRowCount="1" headerRowDxfId="396" dataDxfId="395" headerRowCellStyle="Normal 2" dataCellStyle="Normal 2">
  <autoFilter ref="A93:O109" xr:uid="{18672281-68F9-4DED-BD4E-7F62DFAAB958}"/>
  <tableColumns count="15">
    <tableColumn id="1" xr3:uid="{97DB27E8-1FD9-42AB-9D53-D87A7EEDCC07}" name="Month" totalsRowLabel="Total" dataDxfId="394" totalsRowDxfId="393" dataCellStyle="Normal 2" totalsRowCellStyle="Normal 2"/>
    <tableColumn id="2" xr3:uid="{A7E60466-1B29-4E7F-86EE-AA4A9B09F80A}" name="Day" dataDxfId="392" totalsRowDxfId="391" dataCellStyle="Normal 2" totalsRowCellStyle="Normal 2"/>
    <tableColumn id="3" xr3:uid="{E9BAFAF2-B6F6-4725-834F-D5FC4493C88F}" name="Year" dataDxfId="390" totalsRowDxfId="389" dataCellStyle="Normal 2" totalsRowCellStyle="Normal 2"/>
    <tableColumn id="4" xr3:uid="{E3694E9E-41F9-4134-83AC-3DB506F06F21}" name="Opponent" dataDxfId="388" totalsRowDxfId="387" dataCellStyle="Normal 2" totalsRowCellStyle="Normal 2"/>
    <tableColumn id="5" xr3:uid="{E1949EDA-8E40-4BC4-A677-F1CBAA9BBA55}" name="Type" dataDxfId="386" totalsRowDxfId="385" dataCellStyle="Normal 2" totalsRowCellStyle="Normal 2"/>
    <tableColumn id="6" xr3:uid="{8DCF75B1-BD6C-4539-8C73-56DBCF0C8BFA}" name="Tier" dataDxfId="384" totalsRowDxfId="383" dataCellStyle="Normal 2" totalsRowCellStyle="Normal 2"/>
    <tableColumn id="7" xr3:uid="{9E3EA163-E827-42BA-A601-221EB71A1A16}" name="Res" dataDxfId="382" totalsRowDxfId="381" dataCellStyle="Normal 2" totalsRowCellStyle="Normal 2"/>
    <tableColumn id="8" xr3:uid="{2C9B77A8-CBFE-4129-848E-380D7C4C798C}" name="State/Country" dataDxfId="380" totalsRowDxfId="379" dataCellStyle="Normal 2" totalsRowCellStyle="Normal 2"/>
    <tableColumn id="9" xr3:uid="{F66DC417-D4E0-4E3F-BD97-73A5F3B055AE}" name="Attendance" dataDxfId="378" totalsRowDxfId="377" dataCellStyle="Comma 2" totalsRowCellStyle="Comma 2"/>
    <tableColumn id="10" xr3:uid="{B54D5775-78F2-48CF-92E3-3B68F2C41027}" name="AB?" dataDxfId="376" totalsRowDxfId="375" dataCellStyle="Normal 2" totalsRowCellStyle="Normal 2"/>
    <tableColumn id="11" xr3:uid="{81B5B891-7657-4166-AD0F-22911EE81686}" name="Per player" dataDxfId="374" totalsRowDxfId="373" dataCellStyle="Normal 2" totalsRowCellStyle="Normal 2"/>
    <tableColumn id="12" xr3:uid="{2AFDBC21-330C-4F5A-9AF0-40246B7BA004}" name="No." dataDxfId="372" totalsRowDxfId="371" dataCellStyle="Normal 2" totalsRowCellStyle="Normal 2"/>
    <tableColumn id="13" xr3:uid="{AA8F31CB-6934-43E0-8C5B-F204923876FB}" name="Game pay" totalsRowFunction="sum" dataDxfId="370" totalsRowDxfId="369" dataCellStyle="Normal 2">
      <calculatedColumnFormula>K94*L94</calculatedColumnFormula>
    </tableColumn>
    <tableColumn id="14" xr3:uid="{AE23ED53-66CD-4755-9CFD-2919C782CE4D}" name="Att bonus" totalsRowFunction="sum" dataDxfId="368" totalsRowDxfId="367" dataCellStyle="Currency 2"/>
    <tableColumn id="15" xr3:uid="{E8705034-1826-48E9-B5FC-B8A89E37C0FA}" name="TEAM PAY" totalsRowFunction="sum" dataDxfId="366" totalsRowDxfId="365" dataCellStyle="Normal 2" totalsRowCellStyle="Normal 2">
      <calculatedColumnFormula>M94+N94</calculatedColumnFormula>
    </tableColumn>
  </tableColumns>
  <tableStyleInfo name="TableStyleMedium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11556EB-C6DA-4AA6-8F98-700316480197}" name="Table7" displayName="Table7" ref="A114:O136" totalsRowCount="1" headerRowDxfId="364" headerRowCellStyle="Normal 2">
  <autoFilter ref="A114:O135" xr:uid="{F4F72F8C-4D1F-4830-88F8-591C39D1B591}"/>
  <tableColumns count="15">
    <tableColumn id="1" xr3:uid="{4D683B1C-A908-47AA-AB98-BEA080D2BCE4}" name="Month" totalsRowLabel="Total" dataDxfId="363" totalsRowDxfId="362" dataCellStyle="Normal 2" totalsRowCellStyle="Normal 2"/>
    <tableColumn id="2" xr3:uid="{4C6BE82C-0F6D-48DF-AD2A-7790BAF2BD82}" name="Day" dataDxfId="361" totalsRowDxfId="360" dataCellStyle="Normal 2" totalsRowCellStyle="Normal 2"/>
    <tableColumn id="3" xr3:uid="{B5A298BA-ED48-4EDA-907F-87FFE677AAC5}" name="Year" dataDxfId="359" totalsRowDxfId="358" dataCellStyle="Normal 2" totalsRowCellStyle="Normal 2"/>
    <tableColumn id="4" xr3:uid="{C67EDD8D-40EF-4855-8158-FE8A9972ED8A}" name="Opponent" dataDxfId="357" totalsRowDxfId="356" dataCellStyle="Normal 2" totalsRowCellStyle="Normal 2"/>
    <tableColumn id="5" xr3:uid="{FA80BA0D-B981-4E77-9E66-300DD5239F22}" name="Type" dataDxfId="355" totalsRowDxfId="354" dataCellStyle="Normal 2" totalsRowCellStyle="Normal 2"/>
    <tableColumn id="6" xr3:uid="{B110EED8-6E95-4EEB-BE23-0CC13F00E9C5}" name="Tier" dataDxfId="353" totalsRowDxfId="352" dataCellStyle="Normal 2" totalsRowCellStyle="Normal 2"/>
    <tableColumn id="7" xr3:uid="{A6BC76FC-D715-4282-96AA-F697AAB4420E}" name="Res" dataDxfId="351" totalsRowDxfId="350" dataCellStyle="Normal 2" totalsRowCellStyle="Normal 2"/>
    <tableColumn id="8" xr3:uid="{DE96FC14-BBB8-48C7-8B6C-8CF018C144F3}" name="State/Country" dataDxfId="349" totalsRowDxfId="348" dataCellStyle="Normal 2" totalsRowCellStyle="Normal 2"/>
    <tableColumn id="9" xr3:uid="{2A949C86-0E6D-43C4-BC57-A1DC5DBEEA97}" name="Attendance" dataDxfId="347" totalsRowDxfId="346" dataCellStyle="Comma 2" totalsRowCellStyle="Comma 2"/>
    <tableColumn id="10" xr3:uid="{C95CB7F1-1A44-432C-BCF7-0BE9095AE944}" name="AB?" dataDxfId="345" totalsRowDxfId="344" dataCellStyle="Normal 2" totalsRowCellStyle="Normal 2"/>
    <tableColumn id="11" xr3:uid="{852219B0-1C48-4B55-8590-0E91420A7CE7}" name="Per player" dataDxfId="343" totalsRowDxfId="342" dataCellStyle="Currency 2" totalsRowCellStyle="Currency 2"/>
    <tableColumn id="12" xr3:uid="{225839E7-1277-4E67-8F8B-31914D73258C}" name="No." dataDxfId="341" totalsRowDxfId="340" dataCellStyle="Normal 2" totalsRowCellStyle="Normal 2"/>
    <tableColumn id="13" xr3:uid="{FEDEBEEF-B04B-41C4-83F4-CDDB2AFAABD9}" name="Game pay" totalsRowFunction="sum" dataDxfId="339" totalsRowDxfId="338" dataCellStyle="Normal 2">
      <calculatedColumnFormula>K115*L115</calculatedColumnFormula>
    </tableColumn>
    <tableColumn id="14" xr3:uid="{1B50B4A5-432B-4FCE-851C-59832C386360}" name="Att bonus" totalsRowFunction="sum" dataDxfId="337" totalsRowDxfId="336" dataCellStyle="Currency 2"/>
    <tableColumn id="15" xr3:uid="{F9ADFA57-A3B8-4E71-9ED9-A5730F687DDC}" name="TEAM PAY" totalsRowFunction="sum" dataDxfId="335" totalsRowDxfId="334" dataCellStyle="Normal 2" totalsRowCellStyle="Normal 2">
      <calculatedColumnFormula>M115+N115</calculatedColumnFormula>
    </tableColumn>
  </tableColumns>
  <tableStyleInfo name="TableStyleMedium10"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6D1F32F-5D0F-4EE9-A778-6195B7981749}" name="Table8" displayName="Table8" ref="A138:O160" totalsRowCount="1" headerRowDxfId="333" headerRowCellStyle="Normal 2">
  <autoFilter ref="A138:O159" xr:uid="{8F60D710-7F82-40BE-8A80-F8017343DEC4}"/>
  <tableColumns count="15">
    <tableColumn id="1" xr3:uid="{48B2A1B2-1DB4-4644-B24F-493C847ABEB3}" name="Month" totalsRowLabel="Total" dataDxfId="332" totalsRowDxfId="331" dataCellStyle="Normal 2" totalsRowCellStyle="Normal 2"/>
    <tableColumn id="2" xr3:uid="{5816CF6A-58AC-4384-8609-C23AF39A79D8}" name="Day" dataDxfId="330" totalsRowDxfId="329" dataCellStyle="Normal 2" totalsRowCellStyle="Normal 2"/>
    <tableColumn id="3" xr3:uid="{902FDE84-9710-4840-AF12-C6034AB2E058}" name="Year" dataDxfId="328" totalsRowDxfId="327" dataCellStyle="Normal 2" totalsRowCellStyle="Normal 2"/>
    <tableColumn id="4" xr3:uid="{54458A04-2CB4-4DDF-AC00-E0E8DCF209E0}" name="Opponent" dataDxfId="326" totalsRowDxfId="325" dataCellStyle="Normal 2" totalsRowCellStyle="Normal 2"/>
    <tableColumn id="5" xr3:uid="{91BE744F-E734-4DB0-8AAF-830F1F08359B}" name="Type" dataDxfId="324" totalsRowDxfId="323" dataCellStyle="Normal 2" totalsRowCellStyle="Normal 2"/>
    <tableColumn id="6" xr3:uid="{7306ABB4-76CF-4258-A989-961B2C63B283}" name="Tier" dataDxfId="322" totalsRowDxfId="321" dataCellStyle="Normal 2" totalsRowCellStyle="Normal 2"/>
    <tableColumn id="7" xr3:uid="{ACEACDB5-8DD3-440F-9495-37821BD7277A}" name="Res" dataDxfId="320" totalsRowDxfId="319" dataCellStyle="Normal 2" totalsRowCellStyle="Normal 2"/>
    <tableColumn id="8" xr3:uid="{10D00F08-76AD-4BB0-BCFE-7684A05865CB}" name="State/Country" dataDxfId="318" totalsRowDxfId="317" dataCellStyle="Normal 2" totalsRowCellStyle="Normal 2"/>
    <tableColumn id="9" xr3:uid="{CCEE4CCB-12F0-43C0-8690-F2F3236C8546}" name="Attendance" dataDxfId="316" totalsRowDxfId="315" dataCellStyle="Comma 2" totalsRowCellStyle="Comma 2"/>
    <tableColumn id="10" xr3:uid="{4081045D-F249-492F-AF11-54A91E4BE91F}" name="AB?" dataDxfId="314" totalsRowDxfId="313" dataCellStyle="Normal 2" totalsRowCellStyle="Normal 2"/>
    <tableColumn id="11" xr3:uid="{191F0514-996A-49A5-9CAE-5283295CC5BB}" name="Per player" dataDxfId="312" totalsRowDxfId="311" dataCellStyle="Currency 2" totalsRowCellStyle="Currency 2"/>
    <tableColumn id="12" xr3:uid="{A07A933D-0ACA-476C-BECD-C41BEEC9A7F5}" name="No." dataDxfId="310" totalsRowDxfId="309" dataCellStyle="Normal 2" totalsRowCellStyle="Normal 2"/>
    <tableColumn id="13" xr3:uid="{94FE59B0-5E99-4318-B546-4F36400D107D}" name="Game pay" totalsRowFunction="sum" dataDxfId="308" totalsRowDxfId="307" dataCellStyle="Normal 2">
      <calculatedColumnFormula>K139*L139</calculatedColumnFormula>
    </tableColumn>
    <tableColumn id="14" xr3:uid="{4AC6B7A9-6779-45BF-A4C4-28ECAA9D0F37}" name="Att bonus" totalsRowFunction="sum" dataDxfId="306" totalsRowDxfId="305" dataCellStyle="Currency 2"/>
    <tableColumn id="15" xr3:uid="{B6EDE16D-BC16-4FD5-8B4B-E4CD11F5296E}" name="TEAM PAY" totalsRowFunction="sum" dataDxfId="304" totalsRowDxfId="303" dataCellStyle="Normal 2" totalsRowCellStyle="Normal 2">
      <calculatedColumnFormula>M139+N139</calculatedColumnFormula>
    </tableColumn>
  </tableColumns>
  <tableStyleInfo name="TableStyleMedium1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8B24177-4457-4E0E-B85A-9009B93843B8}" name="Table9" displayName="Table9" ref="A164:O186" totalsRowCount="1" headerRowDxfId="302" headerRowCellStyle="Normal 2">
  <autoFilter ref="A164:O185" xr:uid="{0323BA7F-E876-4EC9-872B-E7F30A74E53B}"/>
  <tableColumns count="15">
    <tableColumn id="1" xr3:uid="{35AB522E-BCE8-488A-91ED-D4AA273E9289}" name="Month" totalsRowLabel="Total" dataDxfId="301" totalsRowDxfId="300" dataCellStyle="Normal 2" totalsRowCellStyle="Normal 2"/>
    <tableColumn id="2" xr3:uid="{BB0425CB-2D3C-495A-B6E3-6540860C1801}" name="Day" dataDxfId="299" totalsRowDxfId="298" dataCellStyle="Normal 2" totalsRowCellStyle="Normal 2"/>
    <tableColumn id="3" xr3:uid="{8864A325-6D90-42C9-B62F-41D2E051546F}" name="Year" dataDxfId="297" totalsRowDxfId="296" dataCellStyle="Normal 2" totalsRowCellStyle="Normal 2"/>
    <tableColumn id="4" xr3:uid="{A63A0589-7EA3-43AE-AD46-2D62347588C0}" name="Opponent" dataDxfId="295" totalsRowDxfId="294" dataCellStyle="Normal 2" totalsRowCellStyle="Normal 2"/>
    <tableColumn id="5" xr3:uid="{7DDB39C7-9A11-4C85-94F2-48391AAFD0AB}" name="Type" dataDxfId="293" totalsRowDxfId="292" dataCellStyle="Normal 2" totalsRowCellStyle="Normal 2"/>
    <tableColumn id="6" xr3:uid="{9C1AE850-9A76-4C9E-89DD-F3CF4652C334}" name="Tier" dataDxfId="291" totalsRowDxfId="290" dataCellStyle="Normal 2" totalsRowCellStyle="Normal 2"/>
    <tableColumn id="7" xr3:uid="{7EF43ADC-94B5-4E0C-A564-5F8A5F3E1C39}" name="Res" dataDxfId="289" totalsRowDxfId="288" dataCellStyle="Normal 2" totalsRowCellStyle="Normal 2"/>
    <tableColumn id="8" xr3:uid="{92C61496-02C9-41ED-AE4D-BF86C4AE1EAF}" name="State/Country" dataDxfId="287" totalsRowDxfId="286" dataCellStyle="Normal 2" totalsRowCellStyle="Normal 2"/>
    <tableColumn id="9" xr3:uid="{A18186D3-6644-43F2-82B0-E0E1B721A31B}" name="Attendance" dataDxfId="285" totalsRowDxfId="284" dataCellStyle="Comma 2" totalsRowCellStyle="Comma 2"/>
    <tableColumn id="10" xr3:uid="{607CB56B-F355-4A01-A212-3883820457C7}" name="AB?" dataDxfId="283" totalsRowDxfId="282" dataCellStyle="Normal 2" totalsRowCellStyle="Normal 2"/>
    <tableColumn id="11" xr3:uid="{DA9D6933-5E63-4445-965C-8E75EDBF232D}" name="Per player" dataDxfId="281" totalsRowDxfId="280" dataCellStyle="Currency 2" totalsRowCellStyle="Currency 2"/>
    <tableColumn id="12" xr3:uid="{A09CA54E-BE84-44D7-9330-C6F0343DA3A3}" name="No." dataDxfId="279" totalsRowDxfId="278" dataCellStyle="Normal 2" totalsRowCellStyle="Normal 2"/>
    <tableColumn id="13" xr3:uid="{42F2A07F-6B83-47DB-A455-31BF8D6D1619}" name="Game pay" totalsRowFunction="sum" dataDxfId="277" totalsRowDxfId="276" dataCellStyle="Normal 2">
      <calculatedColumnFormula>K165*L165</calculatedColumnFormula>
    </tableColumn>
    <tableColumn id="14" xr3:uid="{1250EBEF-1047-4248-9B2A-FF2D085D3793}" name="Att bonus" totalsRowFunction="sum" dataDxfId="275" totalsRowDxfId="274" dataCellStyle="Currency 2"/>
    <tableColumn id="15" xr3:uid="{FCDD08BD-61DA-4D5A-B028-A0E62B122921}" name="TEAM PAY" totalsRowFunction="sum" dataDxfId="273" totalsRowDxfId="272" dataCellStyle="Normal 2" totalsRowCellStyle="Normal 2">
      <calculatedColumnFormula>M165+N165</calculatedColumnFormula>
    </tableColumn>
  </tableColumns>
  <tableStyleInfo name="TableStyleMedium10"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95DD2EE-A85A-4043-A360-CF7492333EE5}" name="Table10" displayName="Table10" ref="A190:O203" totalsRowCount="1" headerRowDxfId="271" headerRowCellStyle="Normal 2">
  <autoFilter ref="A190:O202" xr:uid="{47847DCF-3E3C-44DB-92E0-5A8F893E370B}"/>
  <tableColumns count="15">
    <tableColumn id="1" xr3:uid="{B2C9544A-9786-4F59-B24F-24CC2EADC1B8}" name="Month" totalsRowLabel="Total" dataDxfId="270" totalsRowDxfId="269" dataCellStyle="Normal 2" totalsRowCellStyle="Normal 2"/>
    <tableColumn id="2" xr3:uid="{21D398B0-0A66-4EEB-919F-6275C5B47042}" name="Day" dataDxfId="268" totalsRowDxfId="267" dataCellStyle="Normal 2" totalsRowCellStyle="Normal 2"/>
    <tableColumn id="3" xr3:uid="{E12D5EEC-B005-4DA5-BD3B-8DAE102FA4FD}" name="Year" dataDxfId="266" totalsRowDxfId="265" dataCellStyle="Normal 2" totalsRowCellStyle="Normal 2"/>
    <tableColumn id="4" xr3:uid="{693E9ACA-FA1F-4D2F-B9E0-A25F7065B3B2}" name="Opponent" dataDxfId="264" totalsRowDxfId="263" dataCellStyle="Normal 2" totalsRowCellStyle="Normal 2"/>
    <tableColumn id="5" xr3:uid="{E6FE71B8-F86F-4D47-BA1D-187DAD9911C9}" name="Type" dataDxfId="262" totalsRowDxfId="261" dataCellStyle="Normal 2" totalsRowCellStyle="Normal 2"/>
    <tableColumn id="6" xr3:uid="{AAE35F6E-CD90-4138-8531-8D9733E34A07}" name="Tier" dataDxfId="260" totalsRowDxfId="259" dataCellStyle="Normal 2" totalsRowCellStyle="Normal 2"/>
    <tableColumn id="7" xr3:uid="{0B50E324-5CBB-4F0A-BA34-7EBE255E5EF4}" name="Res" dataDxfId="258" totalsRowDxfId="257" dataCellStyle="Normal 2" totalsRowCellStyle="Normal 2"/>
    <tableColumn id="8" xr3:uid="{4EB398CA-6F5D-42A8-B38A-D43A1CEEC2CA}" name="State/Country" dataDxfId="256" totalsRowDxfId="255" dataCellStyle="Normal 2" totalsRowCellStyle="Normal 2"/>
    <tableColumn id="9" xr3:uid="{ADEB1A7B-4F52-4D8D-8D55-53A58DEC829A}" name="Attendance" dataDxfId="254" totalsRowDxfId="253" dataCellStyle="Comma 2" totalsRowCellStyle="Comma 2"/>
    <tableColumn id="10" xr3:uid="{028710D8-F094-4D90-9F42-E5D8AD3F11DB}" name="AB?" dataDxfId="252" totalsRowDxfId="251" dataCellStyle="Normal 2" totalsRowCellStyle="Normal 2"/>
    <tableColumn id="11" xr3:uid="{5ACE534B-90C8-4F9E-B3A9-85AAA0E0DC58}" name="Per player" dataDxfId="250" totalsRowDxfId="249" dataCellStyle="Currency 2" totalsRowCellStyle="Currency 2"/>
    <tableColumn id="12" xr3:uid="{CB9880CE-AC30-407F-A5BF-34A8F5813AEA}" name="No." dataDxfId="248" totalsRowDxfId="247" dataCellStyle="Normal 2" totalsRowCellStyle="Normal 2"/>
    <tableColumn id="13" xr3:uid="{BF8AD713-CEA8-4E2C-90B7-D663BDA48F99}" name="Game pay" totalsRowFunction="sum" dataDxfId="246" totalsRowDxfId="245" dataCellStyle="Normal 2">
      <calculatedColumnFormula>K191*L191</calculatedColumnFormula>
    </tableColumn>
    <tableColumn id="14" xr3:uid="{6B9E4160-F3AD-4D31-8027-E95C4115B260}" name="Att bonus" totalsRowFunction="sum" dataDxfId="244" totalsRowDxfId="243" dataCellStyle="Currency 2"/>
    <tableColumn id="15" xr3:uid="{4816CDD9-A796-4760-B440-6851F60FF1D0}" name="TEAM PAY" totalsRowFunction="sum" dataDxfId="242" totalsRowDxfId="241" dataCellStyle="Normal 2" totalsRowCellStyle="Normal 2">
      <calculatedColumnFormula>M191+N191</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9503F1-4C27-4F61-90D6-8467C180EDAB}" name="Table1" displayName="Table1" ref="A226:Q245" totalsRowCount="1" headerRowDxfId="839" headerRowCellStyle="Normal 2">
  <autoFilter ref="A226:Q244" xr:uid="{50493193-9A67-4E4E-8719-B021673D3F43}"/>
  <tableColumns count="17">
    <tableColumn id="1" xr3:uid="{6A144819-027F-4C70-A738-0D3A2E8E5847}" name="Month" totalsRowLabel="Total" dataDxfId="838" totalsRowDxfId="837" dataCellStyle="Normal 2"/>
    <tableColumn id="2" xr3:uid="{C835C4E7-FEDF-4606-BDE8-1274B1FAD77C}" name="Day" dataDxfId="836" totalsRowDxfId="835" dataCellStyle="Normal 2"/>
    <tableColumn id="3" xr3:uid="{19859043-2856-41B1-9ECE-AD37567EBFCC}" name="Year" dataDxfId="834" totalsRowDxfId="833" dataCellStyle="Normal 2"/>
    <tableColumn id="4" xr3:uid="{67851730-DF22-4770-9444-45E86E8832EE}" name="Opponent" dataDxfId="832" totalsRowDxfId="831" dataCellStyle="Normal 2"/>
    <tableColumn id="5" xr3:uid="{09F3E25C-26CB-4683-A56B-521E58DEFA94}" name="Type" dataDxfId="830" totalsRowDxfId="829" dataCellStyle="Normal 2"/>
    <tableColumn id="6" xr3:uid="{85D7A4C6-2B46-4C9E-AEF0-F91E9A2D0574}" name="Tier" dataDxfId="828" totalsRowDxfId="827" dataCellStyle="Normal 2"/>
    <tableColumn id="7" xr3:uid="{AC233472-65DB-4A27-AB19-0D3B11441B9D}" name="Res" dataDxfId="826" totalsRowDxfId="825" dataCellStyle="Normal 2"/>
    <tableColumn id="8" xr3:uid="{28545EE7-2EA9-4314-B02B-9DA0B4151593}" name="State/Country" dataDxfId="824" totalsRowDxfId="823" dataCellStyle="Normal 2"/>
    <tableColumn id="9" xr3:uid="{E5BDAC33-C237-4D71-A081-D405609E88E4}" name="Attendance" dataDxfId="822" totalsRowDxfId="821" dataCellStyle="Normal 2"/>
    <tableColumn id="10" xr3:uid="{079666BE-B819-43BA-997F-B29C5D6F1FD6}" name="AB?" dataDxfId="820" totalsRowDxfId="819" dataCellStyle="Normal 2"/>
    <tableColumn id="11" xr3:uid="{A82D9E62-3250-40C9-BAEA-097CD783FF17}" name="Salaried" dataDxfId="818" totalsRowDxfId="817" dataCellStyle="Currency">
      <calculatedColumnFormula>IF(G227="L",0,
IF(AND(E227="Friendly",F227="T1",G227="W"),'US CBAs'!$J$19,
IF(AND(E227="Friendly",F227="T2",G227="W"),'US CBAs'!$J$20,
IF(AND(E227="Friendly",F227="",G227="W"),'US CBAs'!$J$21,
IF(AND(E227="Friendly",F227="T1",G227="D"),'US CBAs'!$J$22,
IF(AND(E227="Friendly",F227="",G227="D"),'US CBAs'!$J$23,
IF(AND(E227="WC qual",G227="W"),'US CBAs'!$J$27,
IF(AND(E227="WC qual",G227="D"),0,
IF(AND(E227="Oly qual",G227="W"),'US CBAs'!$J$27,
IF(AND(E227="Oly qual",G227="D"),0,
IF(E227="Olympics",0,
IF(E227="World Cup",'US CBAs'!$J$14,
0))))))))))))</calculatedColumnFormula>
    </tableColumn>
    <tableColumn id="12" xr3:uid="{26EAAD20-83F3-40E5-AC88-23D0EEB0726C}" name="No." dataDxfId="816" totalsRowDxfId="815" dataCellStyle="Normal 2"/>
    <tableColumn id="13" xr3:uid="{729FCDB2-B35E-4397-BFFA-C72407404693}" name="Non-salaried" dataDxfId="814" totalsRowDxfId="813" dataCellStyle="Currency">
      <calculatedColumnFormula>$K227+'US CBAs'!$J$13</calculatedColumnFormula>
    </tableColumn>
    <tableColumn id="14" xr3:uid="{44AC3DCD-1F21-4207-9823-1BBA0C6B5F5C}" name="No.2" dataDxfId="812" totalsRowDxfId="811" dataCellStyle="Normal 2"/>
    <tableColumn id="15" xr3:uid="{1A558098-C58E-4AB5-A925-A38A19E310BA}" name="Game pay" totalsRowFunction="sum" dataDxfId="810" totalsRowDxfId="809" dataCellStyle="Normal 2">
      <calculatedColumnFormula>(K227*L227)+(M227*N227)</calculatedColumnFormula>
    </tableColumn>
    <tableColumn id="16" xr3:uid="{155EC225-0A30-4320-8500-98F331B2E654}" name="Att bonus" totalsRowFunction="sum" dataDxfId="808" totalsRowDxfId="807" dataCellStyle="Currency">
      <calculatedColumnFormula>IF(J227="",I227*'US CBAs'!$K$55,0)</calculatedColumnFormula>
    </tableColumn>
    <tableColumn id="17" xr3:uid="{AD7C0E9D-26D2-475B-982E-8C02CF655D31}" name="TEAM PAY" totalsRowFunction="sum" dataDxfId="806" totalsRowDxfId="805" dataCellStyle="Normal 2">
      <calculatedColumnFormula>O227+P227</calculatedColumnFormula>
    </tableColumn>
  </tableColumns>
  <tableStyleInfo name="TableStyleMedium10"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BD7D6F-DF6A-40E5-A759-5E00ED5C9FAE}" name="Table11" displayName="Table11" ref="A205:O225" totalsRowCount="1" headerRowDxfId="240" headerRowCellStyle="Normal 2">
  <autoFilter ref="A205:O224" xr:uid="{5E0F4C7C-30AE-4E5F-A090-C4D72A7C41A7}"/>
  <sortState ref="A206:O223">
    <sortCondition ref="A206:A223" customList="Jan,Feb,Mar,Apr,May,Jun,Jul,Aug,Sep,Oct,Nov,Dec"/>
    <sortCondition ref="B206:B223"/>
  </sortState>
  <tableColumns count="15">
    <tableColumn id="1" xr3:uid="{8E87B682-F310-4C9A-865C-3F0CF6BA8266}" name="Month" totalsRowLabel="Total" dataDxfId="239" totalsRowDxfId="238" dataCellStyle="Normal 2"/>
    <tableColumn id="2" xr3:uid="{82ECC47B-F135-47F3-974B-07DF651BB077}" name="Day" dataDxfId="237" totalsRowDxfId="236" dataCellStyle="Normal 2"/>
    <tableColumn id="3" xr3:uid="{A9416DF2-F11F-40A3-A882-4A81EA8AD1F5}" name="Year" dataDxfId="235" totalsRowDxfId="234" dataCellStyle="Normal 2"/>
    <tableColumn id="4" xr3:uid="{95FA940F-3DB7-4DAB-B8DB-8E05C28DC24B}" name="Opponent" dataDxfId="233" totalsRowDxfId="232" dataCellStyle="Normal 2"/>
    <tableColumn id="5" xr3:uid="{0421A5A1-6D17-4ACC-ADCB-E753849D62AD}" name="Type" dataDxfId="231" totalsRowDxfId="230" dataCellStyle="Normal 2"/>
    <tableColumn id="6" xr3:uid="{84E9B7EA-01F5-4D60-A0B9-F430278F36A5}" name="Tier" dataDxfId="229" totalsRowDxfId="228" dataCellStyle="Normal 2"/>
    <tableColumn id="7" xr3:uid="{472D7DF3-3E92-49EA-B971-BADE1D4D0A2D}" name="Res" dataDxfId="227" totalsRowDxfId="226" dataCellStyle="Normal 2"/>
    <tableColumn id="8" xr3:uid="{59F83C10-9208-4278-A4EE-D899669C4337}" name="State/Country" dataDxfId="225" totalsRowDxfId="224" dataCellStyle="Normal 2"/>
    <tableColumn id="9" xr3:uid="{E6D72B99-56E6-470E-8A8B-9AC24042FB25}" name="Attendance" dataDxfId="223" totalsRowDxfId="222" dataCellStyle="Comma"/>
    <tableColumn id="10" xr3:uid="{EBA30740-C52D-440D-BCA9-CF37786DF4F4}" name="AB?" dataDxfId="221" totalsRowDxfId="220" dataCellStyle="Normal 2"/>
    <tableColumn id="11" xr3:uid="{B9C8788C-C2C6-436F-B7F2-5684862F5480}" name="Per player" dataDxfId="219" totalsRowDxfId="218" dataCellStyle="Currency 2">
      <calculatedColumnFormula>IF(G206="L",'US CBAs'!$F$73,
IF(AND(E206="Friendly",F206="T1",G206="W"),'US CBAs'!$F$68,
IF(AND(E206="Friendly",F206="T2",G206="W"),'US CBAs'!$F$69,
IF(AND(E206="Friendly",F206="",G206="W"),'US CBAs'!$F$70,
IF(AND(E206="Friendly",F206="T1",G206="D"),'US CBAs'!$F$71,
IF(AND(E206="Friendly",F206="",G206="D"),'US CBAs'!$F$72,
IF(AND(E206="Gold Cup",F206="T1",G206="W"),'US CBAs'!$F$78,
IF(AND(E206="Gold Cup",F206="",G206="W"),'US CBAs'!$F$79,
IF(AND(E206="Gold Cup",G206="D"),'US CBAs'!$F$80,
IF(AND(E206="Nations League",F206="T1",G206="W"),'US CBAs'!$F$78,
IF(AND(E206="Nations League",F206="",G206="W"),'US CBAs'!$F$79,
IF(AND(E206="Nations League",G206="D"),'US CBAs'!$F$80,
IF(AND(E206="Copa America",F206="",G206="W"),'US CBAs'!$F$85,
IF(AND(E206="Copa America",G206="D"),'US CBAs'!$F$86,
IF(AND(E206="WCQ SF",G206="W"),'US CBAs'!$F$94,
IF(AND(E206="WCQ SF",G206="D"),'US CBAs'!$F$95,
IF(AND(E206="WCQ Hex",G206="W"),'US CBAs'!$F$98,
IF(AND(E206="WCQ Hex",G206="D"),'US CBAs'!$F$99,
IF(E206="World Cup",'US CBAs'!$F$104,
0))))))))))))))))
)))</calculatedColumnFormula>
    </tableColumn>
    <tableColumn id="12" xr3:uid="{01467315-5944-48E9-9D60-5FD17BC1DD12}" name="No." dataDxfId="217" totalsRowDxfId="216" dataCellStyle="Normal 2"/>
    <tableColumn id="13" xr3:uid="{E041B784-9A1C-447D-AADF-6167B6643797}" name="Game pay" totalsRowFunction="sum" dataDxfId="215" totalsRowDxfId="214" dataCellStyle="Normal 2">
      <calculatedColumnFormula>K206*L206</calculatedColumnFormula>
    </tableColumn>
    <tableColumn id="14" xr3:uid="{929F2D0D-E4F4-4B4C-9AA4-81AA5393AFBA}" name="Att bonus" totalsRowFunction="sum" dataDxfId="213" totalsRowDxfId="212" dataCellStyle="Currency 2">
      <calculatedColumnFormula>IF(J206="",I206*'US CBAs'!$G$118,0)</calculatedColumnFormula>
    </tableColumn>
    <tableColumn id="15" xr3:uid="{6D7B61A7-2A2F-4668-83FC-36F18441F9FB}" name="TEAM PAY" totalsRowFunction="sum" dataDxfId="211" totalsRowDxfId="210" dataCellStyle="Normal 2">
      <calculatedColumnFormula>M206+N206</calculatedColumnFormula>
    </tableColumn>
  </tableColumns>
  <tableStyleInfo name="TableStyleMedium10"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A98B1DC-9D16-4A41-93C9-AABED343839A}" name="wotable" displayName="wotable" ref="A2:Q258" totalsRowCount="1" headerRowDxfId="76" dataDxfId="75" totalsRowDxfId="74" headerRowCellStyle="Normal 2">
  <autoFilter ref="A2:Q257" xr:uid="{C85673A4-F331-4264-860D-66064F688F05}"/>
  <sortState ref="A3:Q257">
    <sortCondition ref="C3:C257"/>
    <sortCondition ref="A3:A257" customList="Jan,Feb,Mar,Apr,May,Jun,Jul,Aug,Sep,Oct,Nov,Dec"/>
    <sortCondition ref="B3:B257"/>
  </sortState>
  <tableColumns count="17">
    <tableColumn id="1" xr3:uid="{A3B68214-F9A2-4AD7-9479-63E489365921}" name="Month" totalsRowLabel="Total" dataDxfId="73" totalsRowDxfId="72" dataCellStyle="Normal 2"/>
    <tableColumn id="2" xr3:uid="{D6F6A9E5-184C-474F-881F-A7C617BAE3C4}" name="Day" dataDxfId="71" totalsRowDxfId="70" dataCellStyle="Normal 2"/>
    <tableColumn id="3" xr3:uid="{DCA44AC6-A48D-4887-BA7B-6B7FA0DB9409}" name="Year" dataDxfId="69" totalsRowDxfId="68" dataCellStyle="Normal 2"/>
    <tableColumn id="4" xr3:uid="{E7262688-B6F4-4A5D-8307-3094DD4D3DC0}" name="Opponent" dataDxfId="67" totalsRowDxfId="66" dataCellStyle="Normal 2"/>
    <tableColumn id="5" xr3:uid="{7F6871D0-8435-450C-9481-F903E20E4AB7}" name="Game type" dataDxfId="65" totalsRowDxfId="64" dataCellStyle="Normal 2"/>
    <tableColumn id="6" xr3:uid="{CF11F420-4A94-4663-BF66-0E04FA6E7BF7}" name="Tier" dataDxfId="63" totalsRowDxfId="62" dataCellStyle="Normal 2"/>
    <tableColumn id="7" xr3:uid="{78B6A0B0-C2EE-42CB-BEAC-AA8B3856598C}" name="Res" dataDxfId="61" totalsRowDxfId="60" dataCellStyle="Normal 2"/>
    <tableColumn id="8" xr3:uid="{9E20ED8C-25EB-4182-9FD6-20C25CCFC1D4}" name="State/Country" dataDxfId="59" totalsRowDxfId="58"/>
    <tableColumn id="9" xr3:uid="{4E450899-FA96-4430-BB59-08A227989784}" name="Att" dataDxfId="57" totalsRowDxfId="56" dataCellStyle="Comma"/>
    <tableColumn id="10" xr3:uid="{3058F469-22CC-4B8C-987F-0F28673BB71C}" name="AB?" dataDxfId="55" totalsRowDxfId="54" dataCellStyle="Normal 2"/>
    <tableColumn id="11" xr3:uid="{ECD51709-6477-46B7-A975-F2ED4D1E1EF3}" name="Salaried" dataDxfId="53" totalsRowDxfId="52" dataCellStyle="Currency">
      <calculatedColumnFormula>IF(G3="L",0,
IF(AND(E3="Friendly",F3="T1",G3="W"),'US CBAs'!$J$19,
IF(AND(E3="Friendly",F3="T2",G3="W"),'US CBAs'!$J$20,
IF(AND(E3="Friendly",F3="",G3="W"),'US CBAs'!$J$21,
IF(AND(E3="Friendly",F3="T1",G3="D"),'US CBAs'!$J$22,
IF(AND(E3="Friendly",F3="",G3="D"),'US CBAs'!$J$23,
IF(AND(E3="WC qual",G3="W"),'US CBAs'!$J$27,
IF(AND(E3="WC qual",G3="D"),0,
IF(AND(E3="Oly qual",G3="W"),'US CBAs'!$J$27,
IF(AND(E3="Oly qual",G3="D"),0,
IF(E3="Olympics",0,
IF(E3="World Cup",'US CBAs'!$J$14,
0))))))))))))</calculatedColumnFormula>
    </tableColumn>
    <tableColumn id="12" xr3:uid="{768C1960-FC1F-4D04-8F62-E0911E5849DC}" name="No." dataDxfId="51" totalsRowDxfId="50" dataCellStyle="Normal 2"/>
    <tableColumn id="13" xr3:uid="{6CCDC219-F01A-4F06-9AB7-F28D56C9A3A9}" name="Non-salaried" dataDxfId="49" totalsRowDxfId="48" dataCellStyle="Currency">
      <calculatedColumnFormula>$K3+'US CBAs'!$J$13</calculatedColumnFormula>
    </tableColumn>
    <tableColumn id="14" xr3:uid="{8714C2DE-579C-4C46-B746-2CFC76F8877E}" name="NoNS" dataDxfId="47" totalsRowDxfId="46" dataCellStyle="Normal 2"/>
    <tableColumn id="15" xr3:uid="{5F814146-97D8-469D-B695-2C3ACE895ECE}" name="Game pay" dataDxfId="45" totalsRowDxfId="44" dataCellStyle="Normal 2">
      <calculatedColumnFormula>(K3*L3)+(M3*N3)</calculatedColumnFormula>
    </tableColumn>
    <tableColumn id="16" xr3:uid="{311C0B0A-83E3-40AE-BA63-9E3726B22106}" name="Att bonus" dataDxfId="43" totalsRowDxfId="42" dataCellStyle="Currency">
      <calculatedColumnFormula>IF(J3="",I3*'US CBAs'!$K$55,0)</calculatedColumnFormula>
    </tableColumn>
    <tableColumn id="17" xr3:uid="{FD15B26D-F7CB-4022-9025-A38C6006661F}" name="TEAM PAY" totalsRowFunction="sum" dataDxfId="41" totalsRowDxfId="40" dataCellStyle="Normal 2">
      <calculatedColumnFormula>O3+P3</calculatedColumnFormula>
    </tableColumn>
  </tableColumns>
  <tableStyleInfo name="TableStyleMedium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55879EC-66AD-44A1-9FF3-41CCA524BEB3}" name="metable" displayName="metable" ref="A2:O186" totalsRowCount="1" headerRowDxfId="39" dataDxfId="38" headerRowCellStyle="Normal 2" dataCellStyle="Normal 2">
  <autoFilter ref="A2:O185" xr:uid="{E97F384C-F8E9-457F-9109-C5BA2148AF78}"/>
  <tableColumns count="15">
    <tableColumn id="1" xr3:uid="{0E33EF79-C0CE-4BF8-B174-70D535D98CE9}" name="Month" totalsRowLabel="Total" dataDxfId="37" totalsRowDxfId="36" dataCellStyle="Normal 2"/>
    <tableColumn id="2" xr3:uid="{CB2E0ACC-A4BD-45FC-93E5-876E0B1FE2C3}" name="Day" dataDxfId="35" totalsRowDxfId="34" dataCellStyle="Normal 2"/>
    <tableColumn id="3" xr3:uid="{5148424A-1209-491F-AD9C-669B1FA8F9AC}" name="Year" dataDxfId="33" totalsRowDxfId="32" dataCellStyle="Normal 2"/>
    <tableColumn id="4" xr3:uid="{F8EFF329-8D8F-4FEC-B2A0-E1EA49BDC6ED}" name="Opponent" dataDxfId="31" totalsRowDxfId="30" dataCellStyle="Normal 2"/>
    <tableColumn id="5" xr3:uid="{9F7605CE-47DB-452A-8286-2F90BA8D03FA}" name="Type" dataDxfId="29" totalsRowDxfId="28" dataCellStyle="Normal 2"/>
    <tableColumn id="6" xr3:uid="{4B3EAB78-65E3-428E-AFB9-D21282D1AD62}" name="Tier" dataDxfId="27" totalsRowDxfId="26" dataCellStyle="Normal 2"/>
    <tableColumn id="7" xr3:uid="{462AFEF7-35FA-40AC-A04E-390C73DF9875}" name="Res" dataDxfId="25" totalsRowDxfId="24" dataCellStyle="Normal 2"/>
    <tableColumn id="8" xr3:uid="{345D3758-026E-45F0-A919-7BC86E416545}" name="State/Country" dataDxfId="23" totalsRowDxfId="22" dataCellStyle="Normal 2"/>
    <tableColumn id="9" xr3:uid="{8311CC6D-7475-4E20-8107-E51B1CC560F4}" name="Attendance" dataDxfId="21" totalsRowDxfId="20" dataCellStyle="Comma 2"/>
    <tableColumn id="10" xr3:uid="{F36E8027-AAA0-4B45-8221-2D363E0C8FEC}" name="AB?" dataDxfId="19" totalsRowDxfId="18" dataCellStyle="Normal 2"/>
    <tableColumn id="11" xr3:uid="{86B3B34E-8B44-41EC-8C14-B0B876A43AD6}" name="Per player" dataDxfId="17" totalsRowDxfId="16" dataCellStyle="Normal 2">
      <calculatedColumnFormula>IF(E3="Friendly",'US CBAs'!$J$82,IF(E3="World Cup",'US CBAs'!$J$84,0))</calculatedColumnFormula>
    </tableColumn>
    <tableColumn id="12" xr3:uid="{EC8FF5C7-E406-45BC-A11B-F7656459DB94}" name="No." dataDxfId="15" totalsRowDxfId="14" dataCellStyle="Normal 2"/>
    <tableColumn id="13" xr3:uid="{16B351AA-68D2-4762-94BC-82FFF8D23B18}" name="Game pay" totalsRowFunction="sum" dataDxfId="13" totalsRowDxfId="12" dataCellStyle="Normal 2">
      <calculatedColumnFormula>K3*L3</calculatedColumnFormula>
    </tableColumn>
    <tableColumn id="14" xr3:uid="{FDBDD683-DDCC-4D56-82C7-7D4F79A589FE}" name="Att bonus" totalsRowFunction="sum" dataDxfId="11" totalsRowDxfId="10" dataCellStyle="Currency 2"/>
    <tableColumn id="15" xr3:uid="{E5107C56-B79F-4C00-9D7B-FD53D887B8D4}" name="TEAM PAY" totalsRowFunction="sum" dataDxfId="9" totalsRowDxfId="8" dataCellStyle="Normal 2">
      <calculatedColumnFormula>M3+N3</calculatedColumnFormula>
    </tableColumn>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2AE7DB-5A61-44D0-BA34-15E5CE53EC74}" name="Table13" displayName="Table13" ref="A192:Q222" totalsRowCount="1" headerRowDxfId="804" headerRowCellStyle="Normal 2">
  <autoFilter ref="A192:Q221" xr:uid="{0536866C-7CB4-4A37-B656-00C75C88B571}"/>
  <tableColumns count="17">
    <tableColumn id="1" xr3:uid="{DA84863F-E901-4974-8A1F-DD9D6E835969}" name="Month" totalsRowLabel="Total" dataDxfId="803" totalsRowDxfId="802" dataCellStyle="Normal 2"/>
    <tableColumn id="2" xr3:uid="{77B49177-C971-4103-843A-34F114ED8A45}" name="Day" dataDxfId="801" totalsRowDxfId="800" dataCellStyle="Normal 2"/>
    <tableColumn id="3" xr3:uid="{13C2DE98-B887-4D93-989D-EEBF59FF84B2}" name="Year" dataDxfId="799" totalsRowDxfId="798" dataCellStyle="Normal 2"/>
    <tableColumn id="4" xr3:uid="{FDEABD69-151A-401A-A64F-F6D10739BF41}" name="Opponent" dataDxfId="797" totalsRowDxfId="796" dataCellStyle="Normal 2"/>
    <tableColumn id="5" xr3:uid="{EB8B460E-E9D6-435D-A301-CC67DCF048BF}" name="Type" dataDxfId="795" totalsRowDxfId="794" dataCellStyle="Normal 2"/>
    <tableColumn id="6" xr3:uid="{DFFD3A64-6D1B-41A1-B5A4-D12F130DBE3A}" name="Tier" dataDxfId="793" totalsRowDxfId="792" dataCellStyle="Normal 2"/>
    <tableColumn id="7" xr3:uid="{43CD17CF-9B14-45B3-8569-877F8D617B3C}" name="Res" dataDxfId="791" totalsRowDxfId="790" dataCellStyle="Normal 2"/>
    <tableColumn id="8" xr3:uid="{78667474-87A4-42A9-A240-66870CF946C6}" name="State/Country" dataDxfId="789" totalsRowDxfId="788" dataCellStyle="Normal 2"/>
    <tableColumn id="9" xr3:uid="{5175297F-909E-47A6-97FF-6F1E2C2954DF}" name="Attendance" dataDxfId="787" totalsRowDxfId="786" dataCellStyle="Normal 2"/>
    <tableColumn id="10" xr3:uid="{FECDE84C-3F16-4CC7-897B-A6FC0ADA8B4D}" name="AB?" dataDxfId="785" totalsRowDxfId="784" dataCellStyle="Normal 2"/>
    <tableColumn id="11" xr3:uid="{935E2EB7-CAE0-4E10-B9CD-A4CDC42981D3}" name="Salaried" dataDxfId="783" totalsRowDxfId="782" dataCellStyle="Currency"/>
    <tableColumn id="12" xr3:uid="{CE492802-CC44-4B98-A641-B58ABC8A4FD3}" name="No." dataDxfId="781" totalsRowDxfId="780" dataCellStyle="Normal 2"/>
    <tableColumn id="13" xr3:uid="{AAB235CB-1037-410D-BCDD-2138BCC9D81C}" name="Non-salaried" dataDxfId="779" totalsRowDxfId="778" dataCellStyle="Currency"/>
    <tableColumn id="14" xr3:uid="{B4B5B3CA-9DC6-4319-955E-A674BE10CBF4}" name="No.2" dataDxfId="777" totalsRowDxfId="776" dataCellStyle="Normal 2"/>
    <tableColumn id="15" xr3:uid="{4488DC21-8F6B-4868-AFFF-E5EE6F87415D}" name="Game pay" totalsRowFunction="sum" dataDxfId="775" totalsRowDxfId="774" dataCellStyle="Normal 2"/>
    <tableColumn id="16" xr3:uid="{136D94B0-54B3-4E52-B4E3-BF7613B9BB1F}" name="Att bonus" totalsRowFunction="sum" dataDxfId="773" totalsRowDxfId="772" dataCellStyle="Currency"/>
    <tableColumn id="17" xr3:uid="{91CA437A-16DC-42E0-935D-35CD9CB17FBD}" name="TEAM PAY" totalsRowFunction="sum" dataDxfId="771" totalsRowDxfId="770" dataCellStyle="Normal 2">
      <calculatedColumnFormula>O193+P193</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08FA00-2B78-452C-BD35-1A22F040F8F8}" name="Table14" displayName="Table14" ref="A157:Q188" totalsRowCount="1" headerRowDxfId="769" headerRowCellStyle="Normal 2">
  <autoFilter ref="A157:Q187" xr:uid="{E082F816-AC5F-4F2D-A3AD-69DC687738F3}"/>
  <tableColumns count="17">
    <tableColumn id="1" xr3:uid="{BE24B48E-C592-47A3-ABC6-569F3CDE184E}" name="Month" totalsRowLabel="Total" dataDxfId="768" totalsRowDxfId="767" dataCellStyle="Normal 2"/>
    <tableColumn id="2" xr3:uid="{02B9CF17-F83F-4ACC-A717-45DAF476C437}" name="Day" dataDxfId="766" totalsRowDxfId="765" dataCellStyle="Normal 2"/>
    <tableColumn id="3" xr3:uid="{97C41F7F-917F-4E3C-B72F-7CA31318A79A}" name="Year" dataDxfId="764" totalsRowDxfId="763" dataCellStyle="Normal 2"/>
    <tableColumn id="4" xr3:uid="{9F35A6F5-2719-476B-85DD-641997D0A37F}" name="Opponent" dataDxfId="762" totalsRowDxfId="761" dataCellStyle="Normal 2"/>
    <tableColumn id="5" xr3:uid="{D804D3EC-07D2-400C-BF03-4E6BE0D450F0}" name="Type" dataDxfId="760" totalsRowDxfId="759" dataCellStyle="Normal 2"/>
    <tableColumn id="6" xr3:uid="{642DCCB2-0D37-4FD2-827F-C4DF78CB9EE6}" name="Tier" dataDxfId="758" totalsRowDxfId="757" dataCellStyle="Normal 2"/>
    <tableColumn id="7" xr3:uid="{FA2E18A2-1D28-415E-9F30-815FA769FD81}" name="Res" dataDxfId="756" totalsRowDxfId="755" dataCellStyle="Normal 2"/>
    <tableColumn id="8" xr3:uid="{B7D6F5EC-E424-4DF4-9A51-44B77EEB705F}" name="State/Country" dataDxfId="754" totalsRowDxfId="753" dataCellStyle="Normal 2"/>
    <tableColumn id="9" xr3:uid="{0DDCEF6F-6DB5-415A-A925-3849C4250BB0}" name="Attendance" dataDxfId="752" totalsRowDxfId="751" dataCellStyle="Normal 2"/>
    <tableColumn id="10" xr3:uid="{813ADAB7-826C-4F17-9DF2-3BE2589C66DA}" name="AB?" dataDxfId="750" totalsRowDxfId="749" dataCellStyle="Normal 2"/>
    <tableColumn id="11" xr3:uid="{6EE3B420-D8F5-47D1-8B0C-6DCA4953C30C}" name="Salaried" dataDxfId="748" totalsRowDxfId="747" dataCellStyle="Currency"/>
    <tableColumn id="12" xr3:uid="{2D83B9CC-F9D0-42AC-B7DB-E6854E88F8C5}" name="No." dataDxfId="746" totalsRowDxfId="745" dataCellStyle="Normal 2"/>
    <tableColumn id="13" xr3:uid="{2C090A5B-7A93-4715-AE03-B2B8C7DE4882}" name="Non-salaried" dataDxfId="744" totalsRowDxfId="743" dataCellStyle="Currency"/>
    <tableColumn id="14" xr3:uid="{3D599237-575F-4B54-83FF-010A1BA41E33}" name="No.2" dataDxfId="742" totalsRowDxfId="741" dataCellStyle="Normal 2"/>
    <tableColumn id="15" xr3:uid="{80DC4913-DF93-4C46-B58B-EB792B9F3567}" name="Game pay" totalsRowFunction="sum" dataDxfId="740" totalsRowDxfId="739" dataCellStyle="Normal 2"/>
    <tableColumn id="16" xr3:uid="{A778BC76-F74A-413F-AB1E-9F755C086CC3}" name="Att bonus" totalsRowFunction="sum" dataDxfId="738" totalsRowDxfId="737" dataCellStyle="Currency"/>
    <tableColumn id="17" xr3:uid="{AEBDF6FC-D1B2-4C4C-8595-18246984ED22}" name="TEAM PAY" totalsRowFunction="sum" dataDxfId="736" totalsRowDxfId="735" dataCellStyle="Normal 2">
      <calculatedColumnFormula>O158+P158</calculatedColumnFormula>
    </tableColumn>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F3F0A5B-E88D-43E3-BEEF-836F83B31331}" name="Table15" displayName="Table15" ref="A124:Q153" totalsRowCount="1" headerRowDxfId="734" headerRowCellStyle="Normal 2">
  <autoFilter ref="A124:Q152" xr:uid="{58835F27-5C72-4EB8-BA07-3CED671BCC9A}"/>
  <tableColumns count="17">
    <tableColumn id="1" xr3:uid="{34F40C29-6665-49DE-9B7E-6A7F40D6AA22}" name="Month" totalsRowLabel="Total" dataDxfId="733" totalsRowDxfId="732" dataCellStyle="Normal 2"/>
    <tableColumn id="2" xr3:uid="{80EF208B-F6B0-47F4-991C-C7943FCC43A2}" name="Day" dataDxfId="731" totalsRowDxfId="730" dataCellStyle="Normal 2"/>
    <tableColumn id="3" xr3:uid="{A8F254C4-BB0B-4644-921A-68EDB45134A1}" name="Year" dataDxfId="729" totalsRowDxfId="728" dataCellStyle="Normal 2"/>
    <tableColumn id="4" xr3:uid="{F3BC4EE7-C9CA-44C2-86A1-48E903659EBD}" name="Opponent" dataDxfId="727" totalsRowDxfId="726" dataCellStyle="Normal 2"/>
    <tableColumn id="5" xr3:uid="{08CEE8D2-AB46-4131-A0CE-AAACADF26152}" name="Type" dataDxfId="725" totalsRowDxfId="724" dataCellStyle="Normal 2"/>
    <tableColumn id="6" xr3:uid="{3384938D-10FF-40B6-8469-1C3E713D7716}" name="Tier" dataDxfId="723" totalsRowDxfId="722" dataCellStyle="Normal 2"/>
    <tableColumn id="7" xr3:uid="{9C58C7D7-6ADE-48B9-AEF0-666096970E1D}" name="Res" dataDxfId="721" totalsRowDxfId="720" dataCellStyle="Normal 2"/>
    <tableColumn id="8" xr3:uid="{257E208E-8A1C-4B91-B37D-E5ED3303CC00}" name="State/Country" dataDxfId="719" totalsRowDxfId="718" dataCellStyle="Normal 2"/>
    <tableColumn id="9" xr3:uid="{D6EACBB1-1B7F-4007-A591-F1519E7F175F}" name="Attendance" dataDxfId="717" totalsRowDxfId="716" dataCellStyle="Normal 2"/>
    <tableColumn id="10" xr3:uid="{0B27BF5C-1B44-4E4A-9F4E-9B5C2C9EFAEC}" name="AB?" dataDxfId="715" totalsRowDxfId="714" dataCellStyle="Normal 2"/>
    <tableColumn id="11" xr3:uid="{561E4E46-6A8D-47D1-B75A-95092AF3D731}" name="Salaried" dataDxfId="713" totalsRowDxfId="712" dataCellStyle="Currency"/>
    <tableColumn id="12" xr3:uid="{A28440A8-D9CC-44A3-ADD2-E37C325239A1}" name="No." dataDxfId="711" totalsRowDxfId="710" dataCellStyle="Normal 2"/>
    <tableColumn id="13" xr3:uid="{B8A2A2D4-0BEB-4FBE-93EA-426B83498E14}" name="Non-salaried" dataDxfId="709" totalsRowDxfId="708" dataCellStyle="Currency"/>
    <tableColumn id="14" xr3:uid="{ACCE3786-5903-47D4-9785-622EB581B426}" name="No.2" dataDxfId="707" totalsRowDxfId="706" dataCellStyle="Normal 2"/>
    <tableColumn id="15" xr3:uid="{F3FCC903-8741-4351-B530-3FEC4AE391A0}" name="Game pay" totalsRowFunction="sum" dataDxfId="705" totalsRowDxfId="704" dataCellStyle="Normal 2"/>
    <tableColumn id="16" xr3:uid="{F5555BB4-5D37-4E03-BA33-50B884FE0534}" name="Att bonus" totalsRowFunction="sum" dataDxfId="703" totalsRowDxfId="702" dataCellStyle="Currency"/>
    <tableColumn id="17" xr3:uid="{005DA598-4BE3-43B1-855B-7D8D7B1D4E21}" name="TEAM PAY" totalsRowFunction="sum" dataDxfId="701" totalsRowDxfId="700" dataCellStyle="Normal 2">
      <calculatedColumnFormula>O125+P125</calculatedColumnFormula>
    </tableColumn>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7A4537D-B663-4080-98DF-5247D972691E}" name="Table16" displayName="Table16" ref="A99:Q120" totalsRowCount="1" headerRowDxfId="699" headerRowCellStyle="Normal 2">
  <autoFilter ref="A99:Q119" xr:uid="{327ABAAD-488A-4FF0-953E-06C38E679B07}"/>
  <tableColumns count="17">
    <tableColumn id="1" xr3:uid="{CC7A0816-4DA9-42FB-AC77-DB1C82571F67}" name="Month" totalsRowLabel="Total" dataDxfId="698" totalsRowDxfId="697" dataCellStyle="Normal 2"/>
    <tableColumn id="2" xr3:uid="{98A3E2A8-CB23-49FC-B5F4-B5FB885546FD}" name="Day" dataDxfId="696" totalsRowDxfId="695" dataCellStyle="Normal 2"/>
    <tableColumn id="3" xr3:uid="{44C89AAC-81AA-4296-8DAE-B66E353BF57B}" name="Year" dataDxfId="694" totalsRowDxfId="693" dataCellStyle="Normal 2"/>
    <tableColumn id="4" xr3:uid="{468736C2-B6DA-4C4E-8C42-27D77D2C0706}" name="Opponent" dataDxfId="692" totalsRowDxfId="691" dataCellStyle="Normal 2"/>
    <tableColumn id="5" xr3:uid="{E8D598A9-AD77-4733-9DF1-DE3951AD3A81}" name="Type" dataDxfId="690" totalsRowDxfId="689" dataCellStyle="Normal 2"/>
    <tableColumn id="6" xr3:uid="{EDA3C8B8-893F-4DAC-8CF9-B7845F64B16F}" name="Tier" dataDxfId="688" totalsRowDxfId="687" dataCellStyle="Normal 2"/>
    <tableColumn id="7" xr3:uid="{2FD70525-1FB6-45BE-AB85-4E68820B57C7}" name="Res" dataDxfId="686" totalsRowDxfId="685" dataCellStyle="Normal 2"/>
    <tableColumn id="8" xr3:uid="{F91C9BEA-83B5-4BD6-8477-D0E7595F3650}" name="State/Country" dataDxfId="684" totalsRowDxfId="683" dataCellStyle="Normal 2"/>
    <tableColumn id="9" xr3:uid="{ACA9F5E3-659C-40BE-90E1-869FC81999F3}" name="Attendance" dataDxfId="682" totalsRowDxfId="681" dataCellStyle="Normal 2"/>
    <tableColumn id="10" xr3:uid="{80384DB4-8E35-4F8B-B0D7-AF3C6A2E7D72}" name="AB?" dataDxfId="680" totalsRowDxfId="679" dataCellStyle="Normal 2"/>
    <tableColumn id="11" xr3:uid="{F31CD8B8-36B6-4F32-AC3E-6AB68D68B01C}" name="Salaried" dataDxfId="678" totalsRowDxfId="677" dataCellStyle="Currency"/>
    <tableColumn id="12" xr3:uid="{9C4725CE-A289-4C8F-9473-8E25821A1343}" name="No." dataDxfId="676" totalsRowDxfId="675" dataCellStyle="Normal 2"/>
    <tableColumn id="13" xr3:uid="{FCD096C1-4A4F-47A2-B08C-9570BFBA64DD}" name="Non-salaried" dataDxfId="674" totalsRowDxfId="673" dataCellStyle="Currency"/>
    <tableColumn id="14" xr3:uid="{2BAF49AF-ED1B-4AE5-A300-6DCC408D85BB}" name="No.2" dataDxfId="672" totalsRowDxfId="671" dataCellStyle="Normal 2"/>
    <tableColumn id="15" xr3:uid="{F4C5B038-13F2-459A-B0B5-EF4001895F56}" name="Game pay" totalsRowFunction="sum" dataDxfId="670" totalsRowDxfId="669" dataCellStyle="Normal 2"/>
    <tableColumn id="16" xr3:uid="{D8361A3C-E304-4B0B-8458-7E951BD5AB70}" name="Att bonus" totalsRowFunction="sum" dataDxfId="668" totalsRowDxfId="667" dataCellStyle="Currency"/>
    <tableColumn id="17" xr3:uid="{9D041C98-88CD-47FE-8E2E-395C6D6CBCA5}" name="TEAM PAY" totalsRowFunction="sum" dataDxfId="666" totalsRowDxfId="665" dataCellStyle="Normal 2">
      <calculatedColumnFormula>O100+P100</calculatedColumnFormula>
    </tableColumn>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5C508EE-8540-451E-81E8-FC7E571AD5D9}" name="Table17" displayName="Table17" ref="A58:Q95" totalsRowCount="1" headerRowDxfId="664" headerRowCellStyle="Normal 2">
  <autoFilter ref="A58:Q94" xr:uid="{0DEAD1C9-CC56-476F-AABE-83DFF5917257}"/>
  <tableColumns count="17">
    <tableColumn id="1" xr3:uid="{6588B2E4-D2E8-489C-A2B1-5BCD71E3A146}" name="Month" totalsRowLabel="Total" dataDxfId="663" totalsRowDxfId="662" dataCellStyle="Normal 2"/>
    <tableColumn id="2" xr3:uid="{35E6F702-A6FC-4476-A0B9-CC214F31608A}" name="Day" dataDxfId="661" totalsRowDxfId="660" dataCellStyle="Normal 2"/>
    <tableColumn id="3" xr3:uid="{07325A87-7816-45B2-AC4B-6735BD43E578}" name="Year" dataDxfId="659" totalsRowDxfId="658" dataCellStyle="Normal 2"/>
    <tableColumn id="4" xr3:uid="{BDD5DD70-0766-4EE0-97CB-CCFF9650832F}" name="Opponent" dataDxfId="657" totalsRowDxfId="656" dataCellStyle="Normal 2"/>
    <tableColumn id="5" xr3:uid="{647F977A-D5F2-4BFC-A919-ED7393987A26}" name="Type" dataDxfId="655" totalsRowDxfId="654" dataCellStyle="Normal 2"/>
    <tableColumn id="6" xr3:uid="{9CD9F1A2-2FB8-472E-B70B-405FB00EEAE7}" name="Tier" dataDxfId="653" totalsRowDxfId="652" dataCellStyle="Normal 2"/>
    <tableColumn id="7" xr3:uid="{BB4D87AB-FB82-42E8-8A8C-2D573CE9A22F}" name="Res" dataDxfId="651" totalsRowDxfId="650" dataCellStyle="Normal 2"/>
    <tableColumn id="8" xr3:uid="{991E5A99-DAB8-404E-A28D-BC48D0AB3111}" name="State/Country" dataDxfId="649" totalsRowDxfId="648" dataCellStyle="Normal 2"/>
    <tableColumn id="9" xr3:uid="{EB765BEC-8C50-48D7-9AA8-147B41AED757}" name="Attendance" dataDxfId="647" totalsRowDxfId="646" dataCellStyle="Normal 2"/>
    <tableColumn id="10" xr3:uid="{E3A0948C-C1F0-427F-8699-88C0B59DC990}" name="AB?" dataDxfId="645" totalsRowDxfId="644" dataCellStyle="Normal 2"/>
    <tableColumn id="11" xr3:uid="{1D3FA7C7-641D-4968-80D8-EA0992AAEFA8}" name="Salaried" dataDxfId="643" totalsRowDxfId="642" dataCellStyle="Currency"/>
    <tableColumn id="12" xr3:uid="{D27BA0F1-0E64-445F-8100-F17DA2BFEBA4}" name="No." dataDxfId="641" totalsRowDxfId="640" dataCellStyle="Normal 2"/>
    <tableColumn id="13" xr3:uid="{1E5F9197-8771-45A5-A6C2-0EFEB29B8B7F}" name="Non-salaried" dataDxfId="639" totalsRowDxfId="638" dataCellStyle="Currency"/>
    <tableColumn id="14" xr3:uid="{CCB09A85-D7CE-4EF4-A522-5FCE9F4E720D}" name="No.2" dataDxfId="637" totalsRowDxfId="636" dataCellStyle="Normal 2"/>
    <tableColumn id="15" xr3:uid="{86561F75-6208-4F29-B50A-42E075ADE711}" name="Game pay" totalsRowFunction="sum" dataDxfId="635" totalsRowDxfId="634" dataCellStyle="Normal 2"/>
    <tableColumn id="16" xr3:uid="{A5BFCBAE-9671-4BB1-9593-0EBFD8942F94}" name="Att bonus" dataDxfId="633" totalsRowDxfId="632" dataCellStyle="Currency"/>
    <tableColumn id="17" xr3:uid="{74A62756-5914-442B-9C7A-8ECC75125E5C}" name="TEAM PAY" totalsRowFunction="sum" dataDxfId="631" totalsRowDxfId="630" dataCellStyle="Normal 2">
      <calculatedColumnFormula>O59+P59</calculatedColumnFormula>
    </tableColumn>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6244E32-DF73-451E-A68C-C674571B319D}" name="Table18" displayName="Table18" ref="A29:Q54" totalsRowCount="1" headerRowDxfId="629" headerRowCellStyle="Normal 2">
  <autoFilter ref="A29:Q53" xr:uid="{2C76A515-DFA1-4E2F-9000-43AF5C25E9B6}"/>
  <tableColumns count="17">
    <tableColumn id="1" xr3:uid="{9674EBDC-C639-42A6-88EE-E09B9E841BAF}" name="Month" totalsRowLabel="Total" dataDxfId="628" totalsRowDxfId="627" dataCellStyle="Normal 2" totalsRowCellStyle="Normal 2"/>
    <tableColumn id="2" xr3:uid="{4D2C854D-B86A-4075-8AC3-4B3B53A45C16}" name="Day" dataDxfId="626" totalsRowDxfId="625" dataCellStyle="Normal 2" totalsRowCellStyle="Normal 2"/>
    <tableColumn id="3" xr3:uid="{72240684-C889-410F-9345-FB5B51CBB4E2}" name="Year" dataDxfId="624" totalsRowDxfId="623" dataCellStyle="Normal 2" totalsRowCellStyle="Normal 2"/>
    <tableColumn id="4" xr3:uid="{C7BD7384-4739-4455-9BD7-42CF55D74D55}" name="Opponent" dataDxfId="622" totalsRowDxfId="621" dataCellStyle="Normal 2" totalsRowCellStyle="Normal 2"/>
    <tableColumn id="5" xr3:uid="{5A3E2BE1-E621-43A1-A0CD-AD0D8E98DA6A}" name="Type" dataDxfId="620" totalsRowDxfId="619" dataCellStyle="Normal 2" totalsRowCellStyle="Normal 2"/>
    <tableColumn id="6" xr3:uid="{5EB20771-6C27-4CB2-B4B3-571BAC9EA17C}" name="Tier" dataDxfId="618" totalsRowDxfId="617" dataCellStyle="Normal 2" totalsRowCellStyle="Normal 2"/>
    <tableColumn id="7" xr3:uid="{CD7A4D8C-BA1B-47EF-94EE-C457ADE9414A}" name="Res" dataDxfId="616" totalsRowDxfId="615" dataCellStyle="Normal 2" totalsRowCellStyle="Normal 2"/>
    <tableColumn id="8" xr3:uid="{8AC2DEC8-DE00-4AC9-A186-8AE26E5FB8A8}" name="State/Country" dataDxfId="614" totalsRowDxfId="613" dataCellStyle="Normal 2" totalsRowCellStyle="Normal 2"/>
    <tableColumn id="9" xr3:uid="{286F1F69-267D-4D14-9261-7A381C510904}" name="Attendance" dataDxfId="612" totalsRowDxfId="611" dataCellStyle="Normal 2" totalsRowCellStyle="Normal 2"/>
    <tableColumn id="10" xr3:uid="{411DDF1A-B989-498B-9F53-EC49D937918A}" name="AB?" dataDxfId="610" totalsRowDxfId="609" dataCellStyle="Normal 2" totalsRowCellStyle="Normal 2"/>
    <tableColumn id="11" xr3:uid="{07943B19-41F3-4558-B498-BC7905635248}" name="Salaried" dataDxfId="608" totalsRowDxfId="607" dataCellStyle="Currency" totalsRowCellStyle="Currency"/>
    <tableColumn id="12" xr3:uid="{E697D212-0EC5-4D60-AE68-21AB3C313EC8}" name="No." dataDxfId="606" totalsRowDxfId="605" dataCellStyle="Normal 2" totalsRowCellStyle="Normal 2"/>
    <tableColumn id="13" xr3:uid="{29DD3EA0-FF16-46EC-A47F-3FBA44A154DA}" name="Non-salaried" dataDxfId="604" totalsRowDxfId="603" dataCellStyle="Currency" totalsRowCellStyle="Currency"/>
    <tableColumn id="14" xr3:uid="{A9BD0966-A9B5-46AA-8BCF-DB37621AE09E}" name="No.2" dataDxfId="602" totalsRowDxfId="601" dataCellStyle="Normal 2" totalsRowCellStyle="Normal 2"/>
    <tableColumn id="15" xr3:uid="{C951ACE0-A049-4634-9070-A1C887107B5C}" name="Game pay" totalsRowFunction="sum" dataDxfId="600" totalsRowDxfId="599" dataCellStyle="Normal 2"/>
    <tableColumn id="16" xr3:uid="{9177655B-88EE-4F10-A1E1-1A884BEDD91C}" name="Att bonus" dataDxfId="598" totalsRowDxfId="597" dataCellStyle="Currency" totalsRowCellStyle="Currency"/>
    <tableColumn id="17" xr3:uid="{CB430F29-2729-4083-9A31-3586B7837C3D}" name="TEAM PAY" totalsRowFunction="sum" dataDxfId="596" totalsRowDxfId="595" dataCellStyle="Normal 2" totalsRowCellStyle="Normal 2">
      <calculatedColumnFormula>O30+P30</calculatedColumnFormula>
    </tableColumn>
  </tableColumns>
  <tableStyleInfo name="TableStyleMedium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B5B300A-60DD-43EA-A01D-4D426C226175}" name="Table19" displayName="Table19" ref="A2:Q25" totalsRowCount="1" headerRowDxfId="594" headerRowCellStyle="Normal 2">
  <autoFilter ref="A2:Q24" xr:uid="{02A532D1-D78C-49F0-84E8-43BD6303EB5A}"/>
  <tableColumns count="17">
    <tableColumn id="1" xr3:uid="{C0D88CB6-9C30-4BE7-8437-03C7A4964533}" name="Month" totalsRowLabel="Total" dataDxfId="593" totalsRowDxfId="592" dataCellStyle="Normal 2"/>
    <tableColumn id="2" xr3:uid="{AF545B88-3639-47D3-9743-EBDCDDBD5125}" name="Day" dataDxfId="591" totalsRowDxfId="590" dataCellStyle="Normal 2"/>
    <tableColumn id="3" xr3:uid="{9F59071E-62E3-4669-9442-A3F520517927}" name="Year" dataDxfId="589" totalsRowDxfId="588" dataCellStyle="Normal 2"/>
    <tableColumn id="4" xr3:uid="{5F4947DC-BE47-4935-8E8F-590CB03F14CD}" name="Opponent" dataDxfId="587" totalsRowDxfId="586" dataCellStyle="Normal 2"/>
    <tableColumn id="5" xr3:uid="{D5883EB5-E20F-4357-B15B-8135E1F1C1D4}" name="Type" dataDxfId="585" totalsRowDxfId="584" dataCellStyle="Normal 2"/>
    <tableColumn id="6" xr3:uid="{13BCFED4-544B-4941-9DFA-F3ED48F5BCB6}" name="Tier" dataDxfId="583" totalsRowDxfId="582" dataCellStyle="Normal 2"/>
    <tableColumn id="7" xr3:uid="{CA2F430F-D6E1-44A6-89E9-4820F3122FFD}" name="Res" dataDxfId="581" totalsRowDxfId="580" dataCellStyle="Normal 2"/>
    <tableColumn id="8" xr3:uid="{1B34415E-0107-41BF-A6F5-3742DB8F71FA}" name="State/Country" dataDxfId="579" totalsRowDxfId="578" dataCellStyle="Normal 2"/>
    <tableColumn id="9" xr3:uid="{49CD3F87-E31B-4901-9F9D-3473D79DC853}" name="Attendance" dataDxfId="577" totalsRowDxfId="576" dataCellStyle="Normal 2"/>
    <tableColumn id="10" xr3:uid="{D6169EBF-E33C-480B-A990-B3A8E7D2C70E}" name="AB?" dataDxfId="575" totalsRowDxfId="574" dataCellStyle="Normal 2"/>
    <tableColumn id="11" xr3:uid="{6B0E9149-3CD5-40E1-AE9C-911B1D1F1D8B}" name="Salaried" dataDxfId="573" totalsRowDxfId="572" dataCellStyle="Currency"/>
    <tableColumn id="12" xr3:uid="{A1CC0900-27DC-4C47-BFFE-214B332E7C7F}" name="No." dataDxfId="571" totalsRowDxfId="570" dataCellStyle="Normal 2"/>
    <tableColumn id="13" xr3:uid="{6B872733-BCE3-4B53-B86C-01D684CBEF2B}" name="Non-salaried" dataDxfId="569" totalsRowDxfId="568" dataCellStyle="Currency"/>
    <tableColumn id="14" xr3:uid="{2EE2CAC1-389A-4D9F-9FEB-4F0B1A2F3B8A}" name="No.2" dataDxfId="567" totalsRowDxfId="566" dataCellStyle="Normal 2"/>
    <tableColumn id="15" xr3:uid="{5264FB2B-C380-4F5E-B88B-1F9E6CA02DC6}" name="Game pay" totalsRowFunction="sum" dataDxfId="565" totalsRowDxfId="564" dataCellStyle="Normal 2"/>
    <tableColumn id="16" xr3:uid="{7971BD19-46B8-4B30-992B-040B56247A2B}" name="Att bonus" dataDxfId="563" totalsRowDxfId="562" dataCellStyle="Currency"/>
    <tableColumn id="17" xr3:uid="{28A9BB2B-2F2A-46E7-A6F4-30FC23E08F9D}" name="TEAM PAY" totalsRowFunction="sum" dataDxfId="561" totalsRowDxfId="560" dataCellStyle="Normal 2">
      <calculatedColumnFormula>O3+P3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ssoccer.com/governance/previous-agm-locations" TargetMode="External"/><Relationship Id="rId2" Type="http://schemas.openxmlformats.org/officeDocument/2006/relationships/hyperlink" Target="https://www.ussoccer.com/governance/financial-information" TargetMode="External"/><Relationship Id="rId1" Type="http://schemas.openxmlformats.org/officeDocument/2006/relationships/hyperlink" Target="https://www.ussoccer.com/governance/board-of-directors/us-soccer-president-carlos-cordeiro/open-letter-july-29-2019-finding-common-ground" TargetMode="External"/><Relationship Id="rId6" Type="http://schemas.openxmlformats.org/officeDocument/2006/relationships/printerSettings" Target="../printerSettings/printerSettings1.bin"/><Relationship Id="rId5" Type="http://schemas.openxmlformats.org/officeDocument/2006/relationships/hyperlink" Target="https://www.ussoccer.com/media-services/media-guide" TargetMode="External"/><Relationship Id="rId4" Type="http://schemas.openxmlformats.org/officeDocument/2006/relationships/hyperlink" Target="https://projects.propublica.org/nonprofits/organizations/135591991"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3.bin"/><Relationship Id="rId6" Type="http://schemas.openxmlformats.org/officeDocument/2006/relationships/table" Target="../tables/table15.xml"/><Relationship Id="rId11" Type="http://schemas.openxmlformats.org/officeDocument/2006/relationships/table" Target="../tables/table20.xml"/><Relationship Id="rId5" Type="http://schemas.openxmlformats.org/officeDocument/2006/relationships/table" Target="../tables/table14.xml"/><Relationship Id="rId10" Type="http://schemas.openxmlformats.org/officeDocument/2006/relationships/table" Target="../tables/table19.xml"/><Relationship Id="rId4" Type="http://schemas.openxmlformats.org/officeDocument/2006/relationships/table" Target="../tables/table13.xml"/><Relationship Id="rId9" Type="http://schemas.openxmlformats.org/officeDocument/2006/relationships/table" Target="../tables/table18.xml"/></Relationships>
</file>

<file path=xl/worksheets/_rels/sheet4.xml.rels><?xml version="1.0" encoding="UTF-8" standalone="yes"?>
<Relationships xmlns="http://schemas.openxmlformats.org/package/2006/relationships"><Relationship Id="rId3" Type="http://schemas.openxmlformats.org/officeDocument/2006/relationships/hyperlink" Target="http://voices.washingtonpost.com/soccerinsider/2010/02/big_bonuses_at_stake_for_world.html" TargetMode="External"/><Relationship Id="rId2" Type="http://schemas.openxmlformats.org/officeDocument/2006/relationships/hyperlink" Target="https://www.scribd.com/document/404240562/Men-s-soccer-team-CBA-2011-2018" TargetMode="External"/><Relationship Id="rId1" Type="http://schemas.openxmlformats.org/officeDocument/2006/relationships/hyperlink" Target="https://www.scribd.com/document/434618327/USSF-Original-Complaint"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ussoccer.com/governance/previous-agm-locations/2018-annual-general-meet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inquirer.com/philly/blogs/thegoalkeeper/most-watched-soccer-games-united-states-world-cup-copa-america.html" TargetMode="Externa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04C8E-4D09-4A53-8B71-CDA4E6CF3027}">
  <sheetPr>
    <tabColor theme="7" tint="0.39997558519241921"/>
  </sheetPr>
  <dimension ref="A1:Q449"/>
  <sheetViews>
    <sheetView workbookViewId="0">
      <selection activeCell="B17" sqref="B17:F17"/>
    </sheetView>
  </sheetViews>
  <sheetFormatPr defaultRowHeight="12.75" x14ac:dyDescent="0.35"/>
  <cols>
    <col min="1" max="1" width="26.53125" style="336" customWidth="1"/>
    <col min="2" max="2" width="13.59765625" style="336" customWidth="1"/>
    <col min="3" max="3" width="13.59765625" style="434" customWidth="1"/>
    <col min="4" max="4" width="24.33203125" style="336" customWidth="1"/>
    <col min="5" max="5" width="13.59765625" style="336" customWidth="1"/>
    <col min="6" max="6" width="13.59765625" style="434" customWidth="1"/>
    <col min="7" max="7" width="0.73046875" style="729" customWidth="1"/>
    <col min="8" max="8" width="10.86328125" style="336" customWidth="1"/>
    <col min="9" max="11" width="14.06640625" style="336" customWidth="1"/>
    <col min="12" max="12" width="13.19921875" style="336" customWidth="1"/>
    <col min="13" max="13" width="14.86328125" style="707" customWidth="1"/>
    <col min="14" max="15" width="9.06640625" style="336"/>
  </cols>
  <sheetData>
    <row r="1" spans="1:17" s="338" customFormat="1" ht="15" customHeight="1" x14ac:dyDescent="0.35">
      <c r="A1" s="339"/>
      <c r="B1" s="339"/>
      <c r="C1" s="434"/>
      <c r="D1" s="339"/>
      <c r="E1" s="339"/>
      <c r="F1" s="434"/>
      <c r="G1" s="729"/>
      <c r="H1" s="339"/>
      <c r="I1" s="359"/>
      <c r="J1" s="232"/>
      <c r="K1" s="232"/>
      <c r="L1" s="232"/>
      <c r="M1" s="738"/>
      <c r="N1" s="232"/>
      <c r="O1" s="232"/>
      <c r="P1" s="232"/>
      <c r="Q1" s="18"/>
    </row>
    <row r="2" spans="1:17" s="338" customFormat="1" ht="15" customHeight="1" x14ac:dyDescent="0.35">
      <c r="B2" s="339"/>
      <c r="C2" s="434"/>
      <c r="D2" s="339"/>
      <c r="F2" s="432"/>
      <c r="G2" s="729"/>
      <c r="H2" s="339"/>
      <c r="I2" s="359"/>
      <c r="J2" s="408"/>
      <c r="K2" s="408"/>
      <c r="L2" s="408"/>
      <c r="M2" s="739"/>
      <c r="N2" s="408"/>
      <c r="O2" s="408"/>
      <c r="P2" s="408"/>
      <c r="Q2" s="18"/>
    </row>
    <row r="3" spans="1:17" s="338" customFormat="1" ht="15" customHeight="1" x14ac:dyDescent="0.4">
      <c r="A3" s="852" t="s">
        <v>918</v>
      </c>
      <c r="B3" s="852"/>
      <c r="C3" s="852"/>
      <c r="D3" s="852"/>
      <c r="E3" s="852"/>
      <c r="F3" s="852"/>
      <c r="G3" s="729"/>
      <c r="H3" s="846" t="s">
        <v>953</v>
      </c>
      <c r="I3" s="846"/>
      <c r="J3" s="846"/>
      <c r="K3" s="846"/>
      <c r="L3" s="846"/>
      <c r="M3" s="740"/>
      <c r="N3" s="309"/>
      <c r="O3" s="309"/>
      <c r="P3" s="309"/>
      <c r="Q3" s="18"/>
    </row>
    <row r="4" spans="1:17" s="338" customFormat="1" ht="15" customHeight="1" x14ac:dyDescent="0.35">
      <c r="A4" s="853" t="s">
        <v>955</v>
      </c>
      <c r="B4" s="853"/>
      <c r="C4" s="853"/>
      <c r="D4" s="853"/>
      <c r="E4" s="853"/>
      <c r="F4" s="853"/>
      <c r="G4" s="729"/>
      <c r="H4" s="851" t="s">
        <v>954</v>
      </c>
      <c r="I4" s="851"/>
      <c r="J4" s="851"/>
      <c r="K4" s="851"/>
      <c r="L4" s="851"/>
      <c r="M4" s="740"/>
      <c r="N4" s="309"/>
      <c r="O4" s="309"/>
      <c r="P4" s="309"/>
      <c r="Q4" s="18"/>
    </row>
    <row r="5" spans="1:17" s="432" customFormat="1" ht="15" customHeight="1" x14ac:dyDescent="0.35">
      <c r="A5" s="853"/>
      <c r="B5" s="853"/>
      <c r="C5" s="853"/>
      <c r="D5" s="853"/>
      <c r="E5" s="853"/>
      <c r="F5" s="853"/>
      <c r="G5" s="729"/>
      <c r="H5" s="19" t="s">
        <v>98</v>
      </c>
      <c r="I5" s="560" t="s">
        <v>105</v>
      </c>
      <c r="J5" s="737" t="s">
        <v>153</v>
      </c>
      <c r="K5" s="561" t="s">
        <v>108</v>
      </c>
      <c r="L5" s="30" t="s">
        <v>109</v>
      </c>
      <c r="M5" s="740"/>
      <c r="N5" s="309"/>
      <c r="O5" s="309"/>
      <c r="P5" s="309"/>
      <c r="Q5" s="18"/>
    </row>
    <row r="6" spans="1:17" s="338" customFormat="1" ht="15" customHeight="1" x14ac:dyDescent="0.35">
      <c r="A6" s="339"/>
      <c r="B6" s="339"/>
      <c r="C6" s="434"/>
      <c r="D6" s="339"/>
      <c r="E6" s="339"/>
      <c r="F6" s="434"/>
      <c r="G6" s="729"/>
      <c r="H6" s="20">
        <v>40633</v>
      </c>
      <c r="I6" s="22">
        <f>'990 and others'!$H$7</f>
        <v>67313612</v>
      </c>
      <c r="J6" s="566">
        <f>'990 and others'!$H$8</f>
        <v>-64981068</v>
      </c>
      <c r="K6" s="25">
        <f>'990 and others'!$H$9</f>
        <v>2332544</v>
      </c>
      <c r="L6" s="26">
        <f>'990 and others'!$H$10</f>
        <v>59384346</v>
      </c>
      <c r="M6" s="740"/>
      <c r="N6" s="309"/>
      <c r="O6" s="309"/>
      <c r="P6" s="309"/>
      <c r="Q6" s="18"/>
    </row>
    <row r="7" spans="1:17" s="338" customFormat="1" ht="15" customHeight="1" x14ac:dyDescent="0.35">
      <c r="A7" s="846" t="s">
        <v>919</v>
      </c>
      <c r="B7" s="846"/>
      <c r="C7" s="846"/>
      <c r="D7" s="846"/>
      <c r="E7" s="846"/>
      <c r="F7" s="846"/>
      <c r="G7" s="729"/>
      <c r="H7" s="21">
        <v>40999</v>
      </c>
      <c r="I7" s="22">
        <f>'990 and others'!$I$7</f>
        <v>56597261</v>
      </c>
      <c r="J7" s="566">
        <f>'990 and others'!$I$8</f>
        <v>-59681470</v>
      </c>
      <c r="K7" s="34">
        <f>'990 and others'!$I$9</f>
        <v>-3084209</v>
      </c>
      <c r="L7" s="26">
        <f>'990 and others'!$I$10</f>
        <v>57169891</v>
      </c>
      <c r="M7" s="739"/>
      <c r="N7" s="408"/>
      <c r="O7" s="408"/>
      <c r="P7" s="408"/>
      <c r="Q7" s="18"/>
    </row>
    <row r="8" spans="1:17" s="567" customFormat="1" ht="15" customHeight="1" x14ac:dyDescent="0.35">
      <c r="A8" s="725" t="s">
        <v>956</v>
      </c>
      <c r="B8" s="854" t="s">
        <v>957</v>
      </c>
      <c r="C8" s="854"/>
      <c r="D8" s="854"/>
      <c r="E8" s="854"/>
      <c r="F8" s="854"/>
      <c r="G8" s="729"/>
      <c r="H8" s="20">
        <v>41364</v>
      </c>
      <c r="I8" s="22">
        <f>'990 and others'!$J$7</f>
        <v>65138738</v>
      </c>
      <c r="J8" s="566">
        <f>'990 and others'!$J$8</f>
        <v>-60858907</v>
      </c>
      <c r="K8" s="25">
        <f>'990 and others'!$J$9</f>
        <v>4279831</v>
      </c>
      <c r="L8" s="26">
        <f>'990 and others'!$J$10</f>
        <v>64094906</v>
      </c>
      <c r="M8" s="739"/>
      <c r="N8" s="408"/>
      <c r="O8" s="408"/>
      <c r="P8" s="408"/>
      <c r="Q8" s="18"/>
    </row>
    <row r="9" spans="1:17" ht="15" customHeight="1" x14ac:dyDescent="0.35">
      <c r="A9" s="725" t="s">
        <v>920</v>
      </c>
      <c r="B9" s="848" t="s">
        <v>921</v>
      </c>
      <c r="C9" s="848"/>
      <c r="D9" s="848"/>
      <c r="E9" s="848"/>
      <c r="F9" s="848"/>
      <c r="H9" s="16">
        <v>41729</v>
      </c>
      <c r="I9" s="22">
        <f>'990 and others'!$K$7</f>
        <v>77304477</v>
      </c>
      <c r="J9" s="566">
        <f>'990 and others'!$K$8</f>
        <v>-70312831</v>
      </c>
      <c r="K9" s="429">
        <f>'990 and others'!$K$9</f>
        <v>6991646</v>
      </c>
      <c r="L9" s="27">
        <f>'990 and others'!$K$10</f>
        <v>73619126</v>
      </c>
      <c r="M9" s="740"/>
      <c r="N9" s="309"/>
      <c r="O9" s="309"/>
      <c r="P9" s="309"/>
      <c r="Q9" s="18"/>
    </row>
    <row r="10" spans="1:17" s="432" customFormat="1" ht="15" customHeight="1" x14ac:dyDescent="0.35">
      <c r="A10" s="725"/>
      <c r="B10" s="848"/>
      <c r="C10" s="848"/>
      <c r="D10" s="848"/>
      <c r="E10" s="848"/>
      <c r="F10" s="848"/>
      <c r="G10" s="729"/>
      <c r="H10" s="16">
        <v>42094</v>
      </c>
      <c r="I10" s="22">
        <f>'990 and others'!$L$7</f>
        <v>102127196</v>
      </c>
      <c r="J10" s="566">
        <f>'990 and others'!$L$8</f>
        <v>-93531264</v>
      </c>
      <c r="K10" s="429">
        <f>'990 and others'!$L$9</f>
        <v>8595932</v>
      </c>
      <c r="L10" s="26">
        <f>'990 and others'!$L$10</f>
        <v>83082674</v>
      </c>
      <c r="M10" s="740"/>
      <c r="N10" s="309"/>
      <c r="O10" s="309"/>
      <c r="P10" s="309"/>
      <c r="Q10" s="18"/>
    </row>
    <row r="11" spans="1:17" ht="15" customHeight="1" x14ac:dyDescent="0.35">
      <c r="A11" s="725" t="s">
        <v>292</v>
      </c>
      <c r="B11" s="848" t="s">
        <v>922</v>
      </c>
      <c r="C11" s="848"/>
      <c r="D11" s="848"/>
      <c r="E11" s="848"/>
      <c r="F11" s="848"/>
      <c r="H11" s="16">
        <v>42460</v>
      </c>
      <c r="I11" s="22">
        <f>'990 and others'!$M$7</f>
        <v>126685090</v>
      </c>
      <c r="J11" s="566">
        <f>'990 and others'!$M$8</f>
        <v>-110011376</v>
      </c>
      <c r="K11" s="429">
        <f>'990 and others'!$M$9</f>
        <v>16673714</v>
      </c>
      <c r="L11" s="26">
        <f>'990 and others'!$M$10</f>
        <v>98004402</v>
      </c>
      <c r="M11" s="740"/>
      <c r="N11" s="309"/>
      <c r="O11" s="309"/>
      <c r="P11" s="309"/>
      <c r="Q11" s="18"/>
    </row>
    <row r="12" spans="1:17" ht="15" customHeight="1" x14ac:dyDescent="0.35">
      <c r="A12" s="725" t="s">
        <v>271</v>
      </c>
      <c r="B12" s="848" t="s">
        <v>272</v>
      </c>
      <c r="C12" s="848"/>
      <c r="D12" s="848"/>
      <c r="E12" s="848"/>
      <c r="F12" s="848"/>
      <c r="H12" s="16">
        <v>42825</v>
      </c>
      <c r="I12" s="22">
        <f>'990 and others'!$N$7</f>
        <v>152393266</v>
      </c>
      <c r="J12" s="566">
        <f>'990 and others'!$N$8</f>
        <v>-106085153</v>
      </c>
      <c r="K12" s="429">
        <f>'990 and others'!$N$9</f>
        <v>46037506</v>
      </c>
      <c r="L12" s="26">
        <f>'990 and others'!$N$10</f>
        <v>148996396</v>
      </c>
      <c r="M12" s="740"/>
      <c r="N12" s="309"/>
      <c r="O12" s="309"/>
      <c r="P12" s="309"/>
      <c r="Q12" s="18"/>
    </row>
    <row r="13" spans="1:17" s="432" customFormat="1" ht="15" customHeight="1" x14ac:dyDescent="0.35">
      <c r="A13" s="725"/>
      <c r="B13" s="848"/>
      <c r="C13" s="848"/>
      <c r="D13" s="848"/>
      <c r="E13" s="848"/>
      <c r="F13" s="848"/>
      <c r="G13" s="729"/>
      <c r="H13" s="16">
        <v>43190</v>
      </c>
      <c r="I13" s="22">
        <f>'990 and others'!$O$7</f>
        <v>123592803</v>
      </c>
      <c r="J13" s="566">
        <f>'990 and others'!$O$8</f>
        <v>-112678501</v>
      </c>
      <c r="K13" s="429">
        <f>'990 and others'!$O$9</f>
        <v>10914302</v>
      </c>
      <c r="L13" s="26">
        <f>'990 and others'!$O$10</f>
        <v>162738719</v>
      </c>
      <c r="M13" s="740"/>
      <c r="N13" s="309"/>
      <c r="O13" s="309"/>
      <c r="P13" s="309"/>
      <c r="Q13" s="18"/>
    </row>
    <row r="14" spans="1:17" ht="15" customHeight="1" x14ac:dyDescent="0.35">
      <c r="A14" s="725" t="s">
        <v>923</v>
      </c>
      <c r="B14" s="848" t="s">
        <v>924</v>
      </c>
      <c r="C14" s="848"/>
      <c r="D14" s="848"/>
      <c r="E14" s="848"/>
      <c r="F14" s="848"/>
      <c r="I14" s="359"/>
      <c r="J14" s="309"/>
      <c r="K14" s="309"/>
      <c r="L14" s="309"/>
      <c r="M14" s="740"/>
      <c r="N14" s="309"/>
      <c r="O14" s="309"/>
      <c r="P14" s="309"/>
      <c r="Q14" s="18"/>
    </row>
    <row r="15" spans="1:17" s="432" customFormat="1" ht="15" customHeight="1" x14ac:dyDescent="0.35">
      <c r="A15" s="725"/>
      <c r="B15" s="848"/>
      <c r="C15" s="848"/>
      <c r="D15" s="848"/>
      <c r="E15" s="848"/>
      <c r="F15" s="848"/>
      <c r="G15" s="729"/>
      <c r="N15" s="309"/>
      <c r="O15" s="309"/>
      <c r="P15" s="309"/>
      <c r="Q15" s="18"/>
    </row>
    <row r="16" spans="1:17" s="745" customFormat="1" ht="15" customHeight="1" x14ac:dyDescent="0.35">
      <c r="A16" s="725" t="s">
        <v>1068</v>
      </c>
      <c r="B16" s="848" t="s">
        <v>1069</v>
      </c>
      <c r="C16" s="848"/>
      <c r="D16" s="848"/>
      <c r="E16" s="848"/>
      <c r="F16" s="848"/>
      <c r="G16" s="729"/>
      <c r="H16" s="846" t="s">
        <v>958</v>
      </c>
      <c r="I16" s="846"/>
      <c r="J16" s="846"/>
      <c r="K16" s="846"/>
      <c r="L16" s="846"/>
      <c r="M16" s="846"/>
      <c r="N16" s="309"/>
      <c r="O16" s="309"/>
      <c r="P16" s="309"/>
      <c r="Q16" s="18"/>
    </row>
    <row r="17" spans="1:17" ht="15" customHeight="1" x14ac:dyDescent="0.35">
      <c r="A17" s="725" t="s">
        <v>925</v>
      </c>
      <c r="B17" s="848" t="s">
        <v>926</v>
      </c>
      <c r="C17" s="848"/>
      <c r="D17" s="848"/>
      <c r="E17" s="848"/>
      <c r="F17" s="848"/>
      <c r="H17" s="861" t="s">
        <v>983</v>
      </c>
      <c r="I17" s="861"/>
      <c r="J17" s="861"/>
      <c r="K17" s="861"/>
      <c r="L17" s="861"/>
      <c r="M17" s="861"/>
      <c r="N17" s="359"/>
      <c r="O17" s="359"/>
      <c r="P17" s="18"/>
      <c r="Q17" s="18"/>
    </row>
    <row r="18" spans="1:17" ht="15" customHeight="1" x14ac:dyDescent="0.35">
      <c r="A18" s="725" t="s">
        <v>94</v>
      </c>
      <c r="B18" s="848" t="s">
        <v>927</v>
      </c>
      <c r="C18" s="848"/>
      <c r="D18" s="848"/>
      <c r="E18" s="848"/>
      <c r="F18" s="848"/>
      <c r="H18" s="861"/>
      <c r="I18" s="861"/>
      <c r="J18" s="861"/>
      <c r="K18" s="861"/>
      <c r="L18" s="861"/>
      <c r="M18" s="861"/>
      <c r="N18" s="359"/>
      <c r="O18" s="359"/>
      <c r="P18" s="18"/>
      <c r="Q18" s="18"/>
    </row>
    <row r="19" spans="1:17" ht="15" customHeight="1" x14ac:dyDescent="0.35">
      <c r="A19" s="725" t="s">
        <v>928</v>
      </c>
      <c r="B19" s="848" t="s">
        <v>929</v>
      </c>
      <c r="C19" s="848"/>
      <c r="D19" s="848"/>
      <c r="E19" s="848"/>
      <c r="F19" s="848"/>
      <c r="H19" s="861"/>
      <c r="I19" s="861"/>
      <c r="J19" s="861"/>
      <c r="K19" s="861"/>
      <c r="L19" s="861"/>
      <c r="M19" s="861"/>
      <c r="N19" s="359"/>
      <c r="O19" s="359"/>
      <c r="P19" s="18"/>
      <c r="Q19" s="18"/>
    </row>
    <row r="20" spans="1:17" ht="15" customHeight="1" x14ac:dyDescent="0.35">
      <c r="A20" s="726"/>
      <c r="B20" s="848"/>
      <c r="C20" s="848"/>
      <c r="D20" s="848"/>
      <c r="E20" s="848"/>
      <c r="H20" s="861"/>
      <c r="I20" s="861"/>
      <c r="J20" s="861"/>
      <c r="K20" s="861"/>
      <c r="L20" s="861"/>
      <c r="M20" s="861"/>
      <c r="N20" s="359"/>
      <c r="O20" s="711"/>
      <c r="P20" s="18"/>
      <c r="Q20" s="18"/>
    </row>
    <row r="21" spans="1:17" ht="15" customHeight="1" x14ac:dyDescent="0.35">
      <c r="A21" s="850" t="s">
        <v>930</v>
      </c>
      <c r="B21" s="850"/>
      <c r="C21" s="850"/>
      <c r="D21" s="850"/>
      <c r="E21" s="850"/>
      <c r="F21" s="850"/>
      <c r="G21" s="730"/>
      <c r="H21" s="861"/>
      <c r="I21" s="861"/>
      <c r="J21" s="861"/>
      <c r="K21" s="861"/>
      <c r="L21" s="861"/>
      <c r="M21" s="861"/>
    </row>
    <row r="22" spans="1:17" ht="15" customHeight="1" x14ac:dyDescent="0.35">
      <c r="A22" s="725" t="s">
        <v>931</v>
      </c>
      <c r="B22" s="848" t="s">
        <v>932</v>
      </c>
      <c r="C22" s="848"/>
      <c r="D22" s="848"/>
      <c r="E22" s="848"/>
      <c r="F22" s="848"/>
      <c r="H22" s="862" t="s">
        <v>993</v>
      </c>
      <c r="I22" s="862"/>
      <c r="J22" s="862"/>
      <c r="K22" s="862"/>
      <c r="L22" s="862"/>
      <c r="M22" s="862"/>
    </row>
    <row r="23" spans="1:17" ht="15" customHeight="1" x14ac:dyDescent="0.35">
      <c r="A23" s="725" t="s">
        <v>933</v>
      </c>
      <c r="B23" s="848" t="s">
        <v>936</v>
      </c>
      <c r="C23" s="848"/>
      <c r="D23" s="848"/>
      <c r="E23" s="848"/>
      <c r="F23" s="848"/>
      <c r="H23" s="862"/>
      <c r="I23" s="862"/>
      <c r="J23" s="862"/>
      <c r="K23" s="862"/>
      <c r="L23" s="862"/>
      <c r="M23" s="862"/>
    </row>
    <row r="24" spans="1:17" s="432" customFormat="1" ht="15" customHeight="1" x14ac:dyDescent="0.35">
      <c r="A24" s="725"/>
      <c r="B24" s="848"/>
      <c r="C24" s="848"/>
      <c r="D24" s="848"/>
      <c r="E24" s="848"/>
      <c r="F24" s="848"/>
      <c r="G24" s="729"/>
      <c r="M24" s="707"/>
      <c r="N24" s="434"/>
      <c r="O24" s="434"/>
    </row>
    <row r="25" spans="1:17" ht="15" customHeight="1" x14ac:dyDescent="0.35">
      <c r="A25" s="725" t="s">
        <v>934</v>
      </c>
      <c r="B25" s="848" t="s">
        <v>935</v>
      </c>
      <c r="C25" s="848"/>
      <c r="D25" s="848"/>
      <c r="E25" s="848"/>
      <c r="F25" s="848"/>
      <c r="H25" s="855" t="s">
        <v>963</v>
      </c>
      <c r="I25" s="855"/>
      <c r="J25" s="346" t="s">
        <v>964</v>
      </c>
      <c r="K25" s="346" t="s">
        <v>965</v>
      </c>
      <c r="L25" s="346" t="s">
        <v>968</v>
      </c>
      <c r="M25" s="712" t="s">
        <v>967</v>
      </c>
    </row>
    <row r="26" spans="1:17" s="432" customFormat="1" ht="15" customHeight="1" x14ac:dyDescent="0.35">
      <c r="A26" s="725"/>
      <c r="B26" s="848"/>
      <c r="C26" s="848"/>
      <c r="D26" s="848"/>
      <c r="E26" s="848"/>
      <c r="F26" s="848"/>
      <c r="G26" s="729"/>
      <c r="H26" s="856" t="s">
        <v>105</v>
      </c>
      <c r="I26" s="856"/>
      <c r="J26" s="203">
        <f>'990 and others'!$B$7</f>
        <v>31050569</v>
      </c>
      <c r="K26" s="203">
        <f>'990 and others'!$H$7</f>
        <v>67313612</v>
      </c>
      <c r="L26" s="203">
        <f>'990 and others'!$O$7</f>
        <v>123592803</v>
      </c>
      <c r="M26" s="707" t="s">
        <v>969</v>
      </c>
      <c r="N26" s="434"/>
      <c r="O26" s="434"/>
    </row>
    <row r="27" spans="1:17" ht="15" customHeight="1" x14ac:dyDescent="0.35">
      <c r="A27" s="725" t="s">
        <v>937</v>
      </c>
      <c r="B27" s="848" t="s">
        <v>962</v>
      </c>
      <c r="C27" s="848"/>
      <c r="D27" s="848"/>
      <c r="E27" s="848"/>
      <c r="F27" s="848"/>
      <c r="H27" s="856" t="s">
        <v>109</v>
      </c>
      <c r="I27" s="856"/>
      <c r="J27" s="203">
        <f>'990 and others'!$B$10</f>
        <v>14054712</v>
      </c>
      <c r="K27" s="241">
        <f>'990 and others'!$H$10</f>
        <v>59384346</v>
      </c>
      <c r="L27" s="241">
        <f>'990 and others'!$O$10</f>
        <v>162738719</v>
      </c>
      <c r="M27" s="707" t="s">
        <v>969</v>
      </c>
    </row>
    <row r="28" spans="1:17" s="432" customFormat="1" ht="15" customHeight="1" x14ac:dyDescent="0.35">
      <c r="A28" s="725"/>
      <c r="B28" s="848"/>
      <c r="C28" s="848"/>
      <c r="D28" s="848"/>
      <c r="E28" s="848"/>
      <c r="F28" s="848"/>
      <c r="G28" s="729"/>
      <c r="H28" s="855" t="s">
        <v>966</v>
      </c>
      <c r="I28" s="855"/>
      <c r="J28" s="346" t="s">
        <v>964</v>
      </c>
      <c r="K28" s="346" t="s">
        <v>965</v>
      </c>
      <c r="L28" s="346" t="s">
        <v>968</v>
      </c>
      <c r="M28" s="712" t="s">
        <v>967</v>
      </c>
      <c r="N28" s="434"/>
      <c r="O28" s="434"/>
    </row>
    <row r="29" spans="1:17" ht="15" customHeight="1" x14ac:dyDescent="0.35">
      <c r="A29" s="725" t="s">
        <v>938</v>
      </c>
      <c r="B29" s="848" t="s">
        <v>948</v>
      </c>
      <c r="C29" s="848"/>
      <c r="D29" s="848"/>
      <c r="E29" s="848"/>
      <c r="F29" s="848"/>
      <c r="H29" s="856" t="s">
        <v>970</v>
      </c>
      <c r="I29" s="856"/>
      <c r="J29" s="203">
        <f>'990 and others'!$B$26</f>
        <v>15255458</v>
      </c>
      <c r="K29" s="203">
        <f>'990 and others'!$H$26</f>
        <v>45350478</v>
      </c>
      <c r="L29" s="203">
        <f>'990 and others'!$O$26</f>
        <v>71893738</v>
      </c>
      <c r="M29" s="707" t="s">
        <v>969</v>
      </c>
    </row>
    <row r="30" spans="1:17" ht="15" customHeight="1" x14ac:dyDescent="0.35">
      <c r="B30" s="848"/>
      <c r="C30" s="848"/>
      <c r="D30" s="848"/>
      <c r="E30" s="848"/>
      <c r="F30" s="848"/>
      <c r="H30" s="857" t="s">
        <v>984</v>
      </c>
      <c r="I30" s="857"/>
      <c r="K30" s="744">
        <f>'990 and others'!$H$34</f>
        <v>23279648</v>
      </c>
      <c r="L30" s="743">
        <f>'990 and others'!$O$34</f>
        <v>14220640</v>
      </c>
      <c r="M30" s="707" t="s">
        <v>969</v>
      </c>
    </row>
    <row r="31" spans="1:17" ht="15" customHeight="1" x14ac:dyDescent="0.35">
      <c r="A31" s="35" t="s">
        <v>939</v>
      </c>
      <c r="B31" s="849" t="s">
        <v>940</v>
      </c>
      <c r="C31" s="849"/>
      <c r="D31" s="849"/>
      <c r="E31" s="849"/>
      <c r="H31" s="857" t="s">
        <v>985</v>
      </c>
      <c r="I31" s="856"/>
      <c r="K31" s="743">
        <f>'990 and others'!$H$37</f>
        <v>4565926</v>
      </c>
      <c r="L31" s="743">
        <f>'990 and others'!$O$37</f>
        <v>16905666</v>
      </c>
      <c r="M31" s="707" t="s">
        <v>969</v>
      </c>
    </row>
    <row r="32" spans="1:17" ht="15" customHeight="1" x14ac:dyDescent="0.35">
      <c r="H32" s="856" t="s">
        <v>987</v>
      </c>
      <c r="I32" s="857"/>
      <c r="K32" s="203">
        <f>'990 and others'!$H$59*(-1)</f>
        <v>8482439</v>
      </c>
      <c r="L32" s="203">
        <f>'990 and others'!$O$59*(-1)</f>
        <v>3900142</v>
      </c>
      <c r="M32" s="707" t="s">
        <v>969</v>
      </c>
    </row>
    <row r="33" spans="1:16" ht="15" customHeight="1" x14ac:dyDescent="0.35">
      <c r="A33" s="846" t="s">
        <v>959</v>
      </c>
      <c r="B33" s="846"/>
      <c r="C33" s="846"/>
      <c r="D33" s="846"/>
      <c r="E33" s="846"/>
      <c r="F33" s="846"/>
      <c r="H33" s="857" t="s">
        <v>988</v>
      </c>
      <c r="I33" s="857"/>
      <c r="K33" s="743">
        <f>'990 and others'!$H$61*(-1)</f>
        <v>371151</v>
      </c>
      <c r="L33" s="743">
        <f>'990 and others'!$O$61*(-1)</f>
        <v>1138863</v>
      </c>
      <c r="M33" s="707" t="s">
        <v>969</v>
      </c>
    </row>
    <row r="34" spans="1:16" ht="15" customHeight="1" x14ac:dyDescent="0.35">
      <c r="A34" s="847" t="s">
        <v>949</v>
      </c>
      <c r="B34" s="847"/>
      <c r="C34" s="847"/>
      <c r="D34" s="847"/>
      <c r="E34" s="847"/>
      <c r="F34" s="847"/>
      <c r="H34" s="856" t="s">
        <v>971</v>
      </c>
      <c r="I34" s="856"/>
      <c r="J34" s="203">
        <f>'990 and others'!$B$53*(-1)</f>
        <v>1356761</v>
      </c>
      <c r="K34" s="203">
        <f>'990 and others'!$H$53*(-1)</f>
        <v>2217492</v>
      </c>
      <c r="L34" s="203">
        <f>'990 and others'!$O$53*(-1)</f>
        <v>4458679</v>
      </c>
      <c r="M34" s="707" t="s">
        <v>969</v>
      </c>
      <c r="N34" s="727"/>
      <c r="O34" s="727"/>
      <c r="P34" s="727"/>
    </row>
    <row r="35" spans="1:16" ht="15" customHeight="1" x14ac:dyDescent="0.35">
      <c r="A35" s="733" t="s">
        <v>960</v>
      </c>
      <c r="B35" s="733" t="s">
        <v>219</v>
      </c>
      <c r="C35" s="734" t="s">
        <v>480</v>
      </c>
      <c r="D35" s="735" t="s">
        <v>961</v>
      </c>
      <c r="E35" s="735" t="s">
        <v>219</v>
      </c>
      <c r="F35" s="736" t="s">
        <v>480</v>
      </c>
      <c r="H35" s="856" t="s">
        <v>972</v>
      </c>
      <c r="I35" s="856"/>
      <c r="J35" s="203">
        <f>'990 and others'!$B$55*(-1)</f>
        <v>1329606</v>
      </c>
      <c r="K35" s="203">
        <f>'990 and others'!$H$55*(-1)</f>
        <v>1901632</v>
      </c>
      <c r="L35" s="203">
        <f>'990 and others'!$O$55*(-1)</f>
        <v>6491586</v>
      </c>
      <c r="M35" s="707" t="s">
        <v>969</v>
      </c>
      <c r="N35" s="728"/>
      <c r="O35" s="728"/>
      <c r="P35" s="728"/>
    </row>
    <row r="36" spans="1:16" ht="15" customHeight="1" x14ac:dyDescent="0.35">
      <c r="A36" s="714">
        <v>2010</v>
      </c>
      <c r="B36" s="715">
        <f>'MNT pay est'!$O$17</f>
        <v>1134000</v>
      </c>
      <c r="C36" s="715"/>
      <c r="D36" s="719">
        <v>2010</v>
      </c>
      <c r="E36" s="720">
        <f>'WNT pay est'!$Q$25</f>
        <v>1724970</v>
      </c>
      <c r="F36" s="720"/>
      <c r="H36" s="856" t="s">
        <v>216</v>
      </c>
      <c r="I36" s="856"/>
      <c r="J36" s="203">
        <f>'990 and others'!$B$111</f>
        <v>7380131</v>
      </c>
      <c r="K36" s="203">
        <f>'990 and others'!$H$111</f>
        <v>16527784</v>
      </c>
      <c r="L36" s="203">
        <f>'990 and others'!$O$111</f>
        <v>36463417</v>
      </c>
      <c r="M36" s="707" t="s">
        <v>969</v>
      </c>
      <c r="N36" s="24"/>
      <c r="O36" s="24"/>
      <c r="P36" s="24"/>
    </row>
    <row r="37" spans="1:16" ht="15" customHeight="1" x14ac:dyDescent="0.35">
      <c r="A37" s="714">
        <v>2011</v>
      </c>
      <c r="B37" s="715">
        <f>'MNT pay est'!$O$40</f>
        <v>2363210.8000000003</v>
      </c>
      <c r="C37" s="715"/>
      <c r="D37" s="719">
        <v>2011</v>
      </c>
      <c r="E37" s="720">
        <f>'WNT pay est'!$Q$54</f>
        <v>1689970</v>
      </c>
      <c r="F37" s="720"/>
      <c r="H37" s="856" t="s">
        <v>531</v>
      </c>
      <c r="I37" s="856"/>
      <c r="J37" s="203">
        <f>'990 and others'!$B$164</f>
        <v>206646</v>
      </c>
      <c r="K37" s="203">
        <f>'990 and others'!$H$164</f>
        <v>3294374</v>
      </c>
      <c r="L37" s="203">
        <f>'990 and others'!$O$164</f>
        <v>3285756</v>
      </c>
      <c r="M37" s="707" t="s">
        <v>969</v>
      </c>
      <c r="N37" s="728"/>
      <c r="O37" s="728"/>
      <c r="P37" s="728"/>
    </row>
    <row r="38" spans="1:16" ht="15" customHeight="1" x14ac:dyDescent="0.35">
      <c r="A38" s="714">
        <v>2012</v>
      </c>
      <c r="B38" s="715">
        <f>'MNT pay est'!$O$61</f>
        <v>2948110.8</v>
      </c>
      <c r="C38" s="715"/>
      <c r="D38" s="719">
        <v>2012</v>
      </c>
      <c r="E38" s="720">
        <f>'WNT pay est'!$Q$95</f>
        <v>2011220</v>
      </c>
      <c r="F38" s="720"/>
      <c r="H38" s="856" t="s">
        <v>532</v>
      </c>
      <c r="I38" s="856"/>
      <c r="J38" s="203">
        <f>'990 and others'!$B$165</f>
        <v>5470677</v>
      </c>
      <c r="K38" s="203">
        <f>'990 and others'!$H$165</f>
        <v>14006864</v>
      </c>
      <c r="L38" s="203">
        <f>'990 and others'!$O$165</f>
        <v>32041877</v>
      </c>
      <c r="M38" s="707" t="s">
        <v>969</v>
      </c>
      <c r="N38" s="23"/>
      <c r="O38" s="23"/>
      <c r="P38" s="23"/>
    </row>
    <row r="39" spans="1:16" ht="15" customHeight="1" x14ac:dyDescent="0.35">
      <c r="A39" s="714">
        <v>2013</v>
      </c>
      <c r="B39" s="715">
        <f>'MNT pay est'!$O$89</f>
        <v>5047001.5999999996</v>
      </c>
      <c r="C39" s="715"/>
      <c r="D39" s="719">
        <v>2013</v>
      </c>
      <c r="E39" s="720">
        <f>'WNT pay est'!$Q$120</f>
        <v>2102868.4</v>
      </c>
      <c r="F39" s="720"/>
      <c r="H39" s="856" t="s">
        <v>989</v>
      </c>
      <c r="I39" s="856"/>
      <c r="J39" s="203">
        <v>150192</v>
      </c>
      <c r="K39" s="203">
        <v>515430</v>
      </c>
      <c r="L39" s="203">
        <v>770590</v>
      </c>
      <c r="M39" s="707" t="s">
        <v>969</v>
      </c>
    </row>
    <row r="40" spans="1:16" ht="15" customHeight="1" x14ac:dyDescent="0.35">
      <c r="A40" s="714">
        <v>2014</v>
      </c>
      <c r="B40" s="715">
        <f>'MNT pay est'!$O$110</f>
        <v>2129742.7999999998</v>
      </c>
      <c r="C40" s="715"/>
      <c r="D40" s="719">
        <v>2014</v>
      </c>
      <c r="E40" s="720">
        <f>'WNT pay est'!$Q$153</f>
        <v>2161152.4</v>
      </c>
      <c r="F40" s="720"/>
      <c r="H40" s="856" t="s">
        <v>990</v>
      </c>
      <c r="I40" s="856"/>
      <c r="K40" s="203">
        <v>14546087</v>
      </c>
      <c r="L40" s="203">
        <v>27819116</v>
      </c>
      <c r="M40" s="707" t="s">
        <v>159</v>
      </c>
    </row>
    <row r="41" spans="1:16" ht="15" customHeight="1" x14ac:dyDescent="0.35">
      <c r="A41" s="714">
        <v>2015</v>
      </c>
      <c r="B41" s="715">
        <f>'MNT pay est'!$O$136</f>
        <v>4422971.5</v>
      </c>
      <c r="C41" s="715"/>
      <c r="D41" s="719">
        <v>2015</v>
      </c>
      <c r="E41" s="720">
        <f>'WNT pay est'!$Q$188</f>
        <v>2639279.2000000002</v>
      </c>
      <c r="F41" s="720"/>
      <c r="H41" s="856" t="s">
        <v>991</v>
      </c>
      <c r="I41" s="856"/>
      <c r="J41" s="203"/>
      <c r="K41" s="203">
        <v>382493</v>
      </c>
      <c r="L41" s="203">
        <v>944178</v>
      </c>
      <c r="M41" s="707" t="s">
        <v>159</v>
      </c>
    </row>
    <row r="42" spans="1:16" ht="15" customHeight="1" x14ac:dyDescent="0.35">
      <c r="A42" s="714">
        <v>2016</v>
      </c>
      <c r="B42" s="715">
        <f>'MNT pay est'!$O$160</f>
        <v>4264840</v>
      </c>
      <c r="C42" s="715"/>
      <c r="D42" s="719">
        <v>2016</v>
      </c>
      <c r="E42" s="720">
        <f>'WNT pay est'!$Q$222</f>
        <v>2510554</v>
      </c>
      <c r="F42" s="720"/>
      <c r="H42" s="856" t="s">
        <v>992</v>
      </c>
      <c r="I42" s="856"/>
      <c r="J42" s="203"/>
      <c r="K42" s="203">
        <v>207134</v>
      </c>
      <c r="L42" s="203">
        <v>722972</v>
      </c>
      <c r="M42" s="707" t="s">
        <v>159</v>
      </c>
    </row>
    <row r="43" spans="1:16" ht="15" customHeight="1" x14ac:dyDescent="0.35">
      <c r="A43" s="714">
        <v>2017</v>
      </c>
      <c r="B43" s="715">
        <f>'MNT pay est'!$O$186</f>
        <v>4490105.5</v>
      </c>
      <c r="C43" s="715"/>
      <c r="D43" s="719">
        <v>2017</v>
      </c>
      <c r="E43" s="720">
        <f>'WNT pay est'!$Q$245</f>
        <v>4083181</v>
      </c>
      <c r="F43" s="720"/>
      <c r="H43" s="859" t="s">
        <v>986</v>
      </c>
      <c r="I43" s="859"/>
      <c r="J43" s="859"/>
      <c r="K43" s="859"/>
      <c r="L43" s="859"/>
    </row>
    <row r="44" spans="1:16" ht="15" customHeight="1" x14ac:dyDescent="0.35">
      <c r="A44" s="714">
        <v>2018</v>
      </c>
      <c r="B44" s="715">
        <f>'MNT pay est'!$O$203</f>
        <v>1912566.5</v>
      </c>
      <c r="C44" s="715"/>
      <c r="D44" s="719">
        <v>2018</v>
      </c>
      <c r="E44" s="720">
        <f>'WNT pay est'!$Q$272</f>
        <v>4410767</v>
      </c>
      <c r="F44" s="720"/>
      <c r="H44" s="858"/>
      <c r="I44" s="858"/>
      <c r="J44" s="203"/>
      <c r="K44" s="203"/>
      <c r="L44" s="203"/>
    </row>
    <row r="45" spans="1:16" ht="15" customHeight="1" x14ac:dyDescent="0.35">
      <c r="A45" s="713" t="s">
        <v>224</v>
      </c>
      <c r="B45" s="716">
        <f>SUM(B36:B44)</f>
        <v>28712549.5</v>
      </c>
      <c r="C45" s="716">
        <v>26400000</v>
      </c>
      <c r="D45" s="717" t="s">
        <v>224</v>
      </c>
      <c r="E45" s="721">
        <f>SUM(E36:E44)</f>
        <v>23333962</v>
      </c>
      <c r="F45" s="721"/>
      <c r="H45" s="858"/>
      <c r="I45" s="858"/>
      <c r="J45" s="203"/>
      <c r="K45" s="203"/>
      <c r="L45" s="203"/>
      <c r="M45" s="741"/>
    </row>
    <row r="46" spans="1:16" ht="15" customHeight="1" x14ac:dyDescent="0.35">
      <c r="A46" s="214" t="s">
        <v>460</v>
      </c>
      <c r="B46" s="715">
        <f>'MNT pay est'!$T$15</f>
        <v>1035000</v>
      </c>
      <c r="C46" s="715"/>
      <c r="D46" s="718" t="s">
        <v>458</v>
      </c>
      <c r="E46" s="720">
        <f>'WNT pay est'!$V$24</f>
        <v>237500</v>
      </c>
      <c r="F46" s="720"/>
      <c r="H46" s="846" t="s">
        <v>973</v>
      </c>
      <c r="I46" s="846"/>
      <c r="J46" s="846"/>
      <c r="K46" s="846"/>
      <c r="L46" s="846"/>
      <c r="M46" s="846"/>
    </row>
    <row r="47" spans="1:16" ht="15" customHeight="1" x14ac:dyDescent="0.35">
      <c r="A47" s="214" t="s">
        <v>416</v>
      </c>
      <c r="B47" s="715">
        <f>'MNT pay est'!$T$16</f>
        <v>2800000</v>
      </c>
      <c r="C47" s="715"/>
      <c r="D47" s="718" t="s">
        <v>459</v>
      </c>
      <c r="E47" s="720">
        <f>'WNT pay est'!$V$51</f>
        <v>262500</v>
      </c>
      <c r="F47" s="720"/>
      <c r="H47" s="860" t="s">
        <v>974</v>
      </c>
      <c r="I47" s="860"/>
      <c r="J47" s="860"/>
      <c r="K47" s="860"/>
      <c r="L47" s="858" t="s">
        <v>980</v>
      </c>
      <c r="M47" s="858"/>
      <c r="N47" s="858"/>
    </row>
    <row r="48" spans="1:16" ht="15" customHeight="1" x14ac:dyDescent="0.35">
      <c r="A48" s="214" t="s">
        <v>417</v>
      </c>
      <c r="B48" s="715">
        <f>'MNT pay est'!$T$40</f>
        <v>92000</v>
      </c>
      <c r="C48" s="715"/>
      <c r="D48" s="718" t="s">
        <v>464</v>
      </c>
      <c r="E48" s="720">
        <f>'WNT pay est'!$V$52</f>
        <v>525000</v>
      </c>
      <c r="F48" s="720"/>
      <c r="H48" s="860" t="s">
        <v>975</v>
      </c>
      <c r="I48" s="860"/>
      <c r="J48" s="860"/>
      <c r="K48" s="860"/>
      <c r="L48" s="858" t="s">
        <v>977</v>
      </c>
      <c r="M48" s="858"/>
    </row>
    <row r="49" spans="1:13" ht="15" customHeight="1" x14ac:dyDescent="0.35">
      <c r="A49" s="214" t="s">
        <v>418</v>
      </c>
      <c r="B49" s="715">
        <f>'MNT pay est'!$T$87</f>
        <v>207000</v>
      </c>
      <c r="C49" s="715"/>
      <c r="D49" s="718" t="s">
        <v>267</v>
      </c>
      <c r="E49" s="720">
        <f>'WNT pay est'!$V$53</f>
        <v>94500</v>
      </c>
      <c r="F49" s="720"/>
      <c r="H49" s="860" t="s">
        <v>976</v>
      </c>
      <c r="I49" s="860"/>
      <c r="J49" s="860"/>
      <c r="K49" s="860"/>
      <c r="L49" s="858" t="s">
        <v>981</v>
      </c>
      <c r="M49" s="858"/>
    </row>
    <row r="50" spans="1:13" ht="15" customHeight="1" x14ac:dyDescent="0.35">
      <c r="A50" s="214" t="s">
        <v>419</v>
      </c>
      <c r="B50" s="715">
        <f>'MNT pay est'!$T$88</f>
        <v>2000000</v>
      </c>
      <c r="C50" s="715"/>
      <c r="D50" s="718" t="s">
        <v>465</v>
      </c>
      <c r="E50" s="720">
        <f>'WNT pay est'!$V$61</f>
        <v>250000</v>
      </c>
      <c r="F50" s="720"/>
      <c r="H50" s="860" t="s">
        <v>978</v>
      </c>
      <c r="I50" s="860"/>
      <c r="J50" s="860"/>
      <c r="K50" s="860"/>
      <c r="L50" s="858" t="s">
        <v>979</v>
      </c>
      <c r="M50" s="858"/>
    </row>
    <row r="51" spans="1:13" ht="15" customHeight="1" x14ac:dyDescent="0.35">
      <c r="A51" s="214" t="s">
        <v>461</v>
      </c>
      <c r="B51" s="715">
        <f>'MNT pay est'!$T$106</f>
        <v>1265000</v>
      </c>
      <c r="C51" s="715"/>
      <c r="D51" s="718" t="s">
        <v>466</v>
      </c>
      <c r="E51" s="720">
        <f>'WNT pay est'!$V$92</f>
        <v>225000</v>
      </c>
      <c r="F51" s="720"/>
      <c r="H51" s="858" t="s">
        <v>982</v>
      </c>
      <c r="I51" s="858"/>
      <c r="J51" s="858"/>
      <c r="K51" s="858"/>
      <c r="M51" s="741"/>
    </row>
    <row r="52" spans="1:13" ht="15" customHeight="1" x14ac:dyDescent="0.35">
      <c r="A52" s="214" t="s">
        <v>462</v>
      </c>
      <c r="B52" s="715">
        <f>'MNT pay est'!$T$109</f>
        <v>700000</v>
      </c>
      <c r="C52" s="715"/>
      <c r="D52" s="718" t="s">
        <v>467</v>
      </c>
      <c r="E52" s="720">
        <f>'WNT pay est'!$V$93</f>
        <v>1125000</v>
      </c>
      <c r="F52" s="720"/>
    </row>
    <row r="53" spans="1:13" ht="15" customHeight="1" x14ac:dyDescent="0.35">
      <c r="A53" s="214" t="s">
        <v>420</v>
      </c>
      <c r="B53" s="715">
        <f>'MNT pay est'!$T$107</f>
        <v>3600000</v>
      </c>
      <c r="C53" s="715"/>
      <c r="D53" s="718" t="s">
        <v>266</v>
      </c>
      <c r="E53" s="720">
        <f>'WNT pay est'!$V$94</f>
        <v>1500000</v>
      </c>
      <c r="F53" s="720"/>
    </row>
    <row r="54" spans="1:13" ht="15" customHeight="1" x14ac:dyDescent="0.35">
      <c r="A54" s="214" t="s">
        <v>463</v>
      </c>
      <c r="B54" s="715">
        <f>'MNT pay est'!$T$158</f>
        <v>287500</v>
      </c>
      <c r="C54" s="715"/>
      <c r="D54" s="718" t="s">
        <v>468</v>
      </c>
      <c r="E54" s="720">
        <f>'WNT pay est'!$V$152</f>
        <v>300000</v>
      </c>
      <c r="F54" s="720"/>
      <c r="I54" s="203"/>
      <c r="J54" s="203"/>
      <c r="K54" s="203"/>
      <c r="L54" s="346"/>
      <c r="M54" s="742"/>
    </row>
    <row r="55" spans="1:13" ht="15" customHeight="1" x14ac:dyDescent="0.35">
      <c r="A55" s="214" t="s">
        <v>421</v>
      </c>
      <c r="B55" s="715">
        <f>'MNT pay est'!$T$159</f>
        <v>158125</v>
      </c>
      <c r="C55" s="715"/>
      <c r="D55" s="718" t="s">
        <v>469</v>
      </c>
      <c r="E55" s="720">
        <f>'WNT pay est'!$V$185</f>
        <v>345000</v>
      </c>
      <c r="F55" s="720"/>
      <c r="I55" s="203"/>
      <c r="J55" s="203"/>
      <c r="K55" s="203"/>
      <c r="L55" s="203"/>
      <c r="M55" s="741"/>
    </row>
    <row r="56" spans="1:13" ht="15" customHeight="1" x14ac:dyDescent="0.35">
      <c r="A56" s="214" t="s">
        <v>422</v>
      </c>
      <c r="B56" s="715">
        <f>'MNT pay est'!$T$186</f>
        <v>258750</v>
      </c>
      <c r="C56" s="715"/>
      <c r="D56" s="718" t="s">
        <v>470</v>
      </c>
      <c r="E56" s="720">
        <f>'WNT pay est'!$V$186</f>
        <v>1725000</v>
      </c>
      <c r="F56" s="720"/>
      <c r="I56" s="203"/>
      <c r="J56" s="203"/>
      <c r="K56" s="203"/>
      <c r="L56" s="203"/>
      <c r="M56" s="741"/>
    </row>
    <row r="57" spans="1:13" ht="15" customHeight="1" x14ac:dyDescent="0.35">
      <c r="A57" s="214"/>
      <c r="B57" s="715"/>
      <c r="C57" s="715"/>
      <c r="D57" s="718" t="s">
        <v>471</v>
      </c>
      <c r="E57" s="720">
        <f>'WNT pay est'!$V$187</f>
        <v>1800000</v>
      </c>
      <c r="F57" s="720"/>
      <c r="I57" s="203"/>
      <c r="J57" s="203"/>
      <c r="K57" s="203"/>
      <c r="L57" s="203"/>
      <c r="M57" s="741"/>
    </row>
    <row r="58" spans="1:13" ht="15" customHeight="1" x14ac:dyDescent="0.35">
      <c r="A58" s="214"/>
      <c r="B58" s="715"/>
      <c r="C58" s="715"/>
      <c r="D58" s="718" t="s">
        <v>472</v>
      </c>
      <c r="E58" s="720">
        <f>'WNT pay est'!$V$193</f>
        <v>285000</v>
      </c>
      <c r="F58" s="720"/>
      <c r="I58" s="203"/>
      <c r="J58" s="203"/>
      <c r="K58" s="203"/>
      <c r="L58" s="203"/>
      <c r="M58" s="741"/>
    </row>
    <row r="59" spans="1:13" ht="15" customHeight="1" x14ac:dyDescent="0.35">
      <c r="A59" s="214"/>
      <c r="B59" s="715"/>
      <c r="C59" s="715"/>
      <c r="D59" s="718" t="s">
        <v>473</v>
      </c>
      <c r="E59" s="720">
        <f>'WNT pay est'!$V$221</f>
        <v>300000</v>
      </c>
      <c r="F59" s="720"/>
      <c r="I59" s="203"/>
      <c r="J59" s="203"/>
      <c r="K59" s="203"/>
      <c r="L59" s="203"/>
      <c r="M59" s="741"/>
    </row>
    <row r="60" spans="1:13" ht="15" customHeight="1" x14ac:dyDescent="0.35">
      <c r="A60" s="214"/>
      <c r="B60" s="715"/>
      <c r="C60" s="715"/>
      <c r="D60" s="718" t="s">
        <v>474</v>
      </c>
      <c r="E60" s="720">
        <f>'WNT pay est'!$V$251</f>
        <v>110000</v>
      </c>
      <c r="F60" s="720"/>
      <c r="I60" s="203"/>
      <c r="J60" s="203"/>
      <c r="K60" s="203"/>
      <c r="L60" s="203"/>
      <c r="M60" s="741"/>
    </row>
    <row r="61" spans="1:13" ht="15" customHeight="1" x14ac:dyDescent="0.35">
      <c r="A61" s="214"/>
      <c r="B61" s="715"/>
      <c r="C61" s="715"/>
      <c r="D61" s="718" t="s">
        <v>475</v>
      </c>
      <c r="E61" s="720">
        <f>'WNT pay est'!$V$269</f>
        <v>110000</v>
      </c>
      <c r="F61" s="720"/>
      <c r="J61" s="203"/>
      <c r="K61" s="203"/>
      <c r="L61" s="203"/>
      <c r="M61" s="741"/>
    </row>
    <row r="62" spans="1:13" ht="15" customHeight="1" x14ac:dyDescent="0.35">
      <c r="A62" s="214"/>
      <c r="B62" s="715"/>
      <c r="C62" s="715"/>
      <c r="D62" s="718" t="s">
        <v>476</v>
      </c>
      <c r="E62" s="720">
        <f>'WNT pay est'!$V$270</f>
        <v>712500</v>
      </c>
      <c r="F62" s="720"/>
    </row>
    <row r="63" spans="1:13" ht="15" customHeight="1" x14ac:dyDescent="0.35">
      <c r="A63" s="214"/>
      <c r="B63" s="214"/>
      <c r="C63" s="214"/>
      <c r="D63" s="718" t="s">
        <v>457</v>
      </c>
      <c r="E63" s="720">
        <f>'US CBAs'!$G$52+'US CBAs'!$K$52</f>
        <v>655000</v>
      </c>
      <c r="F63" s="720"/>
    </row>
    <row r="64" spans="1:13" ht="15" customHeight="1" x14ac:dyDescent="0.35">
      <c r="A64" s="713" t="s">
        <v>423</v>
      </c>
      <c r="B64" s="716">
        <f>SUM(B46:B63)</f>
        <v>12403375</v>
      </c>
      <c r="C64" s="716"/>
      <c r="D64" s="717" t="s">
        <v>944</v>
      </c>
      <c r="E64" s="721">
        <f>SUM(E46:E63)</f>
        <v>10562000</v>
      </c>
      <c r="F64" s="721"/>
    </row>
    <row r="65" spans="1:15" ht="15" customHeight="1" x14ac:dyDescent="0.35">
      <c r="A65" s="713" t="s">
        <v>90</v>
      </c>
      <c r="B65" s="716">
        <f>$B$45+$B$64</f>
        <v>41115924.5</v>
      </c>
      <c r="C65" s="716">
        <v>41000000</v>
      </c>
      <c r="D65" s="717" t="s">
        <v>942</v>
      </c>
      <c r="E65" s="721">
        <f>$E$45+$E$64</f>
        <v>33895962</v>
      </c>
      <c r="F65" s="721"/>
    </row>
    <row r="66" spans="1:15" ht="15" customHeight="1" x14ac:dyDescent="0.35">
      <c r="A66" s="214"/>
      <c r="B66" s="214"/>
      <c r="C66" s="214"/>
      <c r="D66" s="722" t="s">
        <v>479</v>
      </c>
      <c r="E66" s="720">
        <v>7771000</v>
      </c>
      <c r="F66" s="720"/>
    </row>
    <row r="67" spans="1:15" ht="15" customHeight="1" x14ac:dyDescent="0.35">
      <c r="A67" s="214"/>
      <c r="B67" s="715"/>
      <c r="C67" s="715"/>
      <c r="D67" s="723" t="s">
        <v>945</v>
      </c>
      <c r="E67" s="721">
        <f>E45+E66</f>
        <v>31104962</v>
      </c>
      <c r="F67" s="721">
        <v>34100000</v>
      </c>
    </row>
    <row r="68" spans="1:15" ht="15" customHeight="1" x14ac:dyDescent="0.35">
      <c r="A68" s="713" t="s">
        <v>941</v>
      </c>
      <c r="B68" s="716">
        <f>$B$45+$B$64</f>
        <v>41115924.5</v>
      </c>
      <c r="C68" s="716">
        <v>41000000</v>
      </c>
      <c r="D68" s="723" t="s">
        <v>941</v>
      </c>
      <c r="E68" s="721">
        <f>E45+E64+E66</f>
        <v>41666962</v>
      </c>
      <c r="F68" s="721">
        <v>39700000</v>
      </c>
      <c r="H68" s="568"/>
      <c r="M68" s="741"/>
    </row>
    <row r="69" spans="1:15" ht="15" customHeight="1" x14ac:dyDescent="0.35">
      <c r="A69" s="359"/>
      <c r="B69" s="355"/>
      <c r="C69" s="355"/>
      <c r="D69" s="335"/>
      <c r="E69" s="203"/>
      <c r="F69" s="203"/>
      <c r="H69" s="568"/>
      <c r="M69" s="741"/>
    </row>
    <row r="70" spans="1:15" ht="15" customHeight="1" x14ac:dyDescent="0.35">
      <c r="A70" s="336" t="s">
        <v>951</v>
      </c>
      <c r="B70" s="203" t="s">
        <v>952</v>
      </c>
      <c r="C70" s="203"/>
      <c r="H70" s="568"/>
      <c r="M70" s="741"/>
    </row>
    <row r="71" spans="1:15" s="432" customFormat="1" ht="15" customHeight="1" x14ac:dyDescent="0.35">
      <c r="A71" s="35" t="s">
        <v>946</v>
      </c>
      <c r="B71" s="724" t="s">
        <v>947</v>
      </c>
      <c r="C71" s="203"/>
      <c r="D71" s="434"/>
      <c r="G71" s="84"/>
      <c r="H71" s="568"/>
      <c r="I71" s="434"/>
      <c r="J71" s="434"/>
      <c r="K71" s="434"/>
      <c r="L71" s="434"/>
      <c r="M71" s="741"/>
      <c r="N71" s="434"/>
      <c r="O71" s="434"/>
    </row>
    <row r="72" spans="1:15" ht="15" customHeight="1" x14ac:dyDescent="0.35">
      <c r="A72" s="35" t="s">
        <v>950</v>
      </c>
      <c r="B72" s="712"/>
      <c r="C72" s="712"/>
      <c r="D72" s="712"/>
      <c r="H72" s="568"/>
    </row>
    <row r="73" spans="1:15" ht="15" customHeight="1" x14ac:dyDescent="0.35">
      <c r="A73" s="710" t="s">
        <v>943</v>
      </c>
      <c r="B73" s="203"/>
      <c r="C73" s="203"/>
      <c r="D73" s="203"/>
      <c r="H73" s="568"/>
      <c r="L73" s="35"/>
      <c r="M73" s="742"/>
    </row>
    <row r="74" spans="1:15" x14ac:dyDescent="0.35">
      <c r="B74" s="203"/>
      <c r="C74" s="203"/>
      <c r="G74" s="359"/>
      <c r="L74" s="35"/>
      <c r="M74" s="742"/>
    </row>
    <row r="75" spans="1:15" x14ac:dyDescent="0.35">
      <c r="B75" s="203"/>
      <c r="C75" s="203"/>
      <c r="D75" s="203"/>
      <c r="G75" s="359"/>
    </row>
    <row r="76" spans="1:15" x14ac:dyDescent="0.35">
      <c r="B76" s="203"/>
      <c r="C76" s="203"/>
      <c r="D76" s="203"/>
      <c r="G76" s="359"/>
    </row>
    <row r="77" spans="1:15" x14ac:dyDescent="0.35">
      <c r="B77" s="203"/>
      <c r="C77" s="203"/>
      <c r="D77" s="203"/>
      <c r="G77" s="359"/>
    </row>
    <row r="78" spans="1:15" x14ac:dyDescent="0.35">
      <c r="B78" s="203"/>
      <c r="C78" s="203"/>
      <c r="D78" s="203"/>
      <c r="G78" s="359"/>
    </row>
    <row r="79" spans="1:15" x14ac:dyDescent="0.35">
      <c r="G79" s="359"/>
    </row>
    <row r="80" spans="1:15" x14ac:dyDescent="0.35">
      <c r="A80" s="707"/>
      <c r="B80" s="707"/>
      <c r="C80" s="707"/>
      <c r="G80" s="359"/>
    </row>
    <row r="81" spans="7:7" x14ac:dyDescent="0.35">
      <c r="G81" s="359"/>
    </row>
    <row r="82" spans="7:7" x14ac:dyDescent="0.35">
      <c r="G82" s="359"/>
    </row>
    <row r="83" spans="7:7" x14ac:dyDescent="0.35">
      <c r="G83" s="359"/>
    </row>
    <row r="84" spans="7:7" x14ac:dyDescent="0.35">
      <c r="G84" s="359"/>
    </row>
    <row r="85" spans="7:7" x14ac:dyDescent="0.35">
      <c r="G85" s="359"/>
    </row>
    <row r="86" spans="7:7" x14ac:dyDescent="0.35">
      <c r="G86" s="359"/>
    </row>
    <row r="87" spans="7:7" x14ac:dyDescent="0.35">
      <c r="G87" s="359"/>
    </row>
    <row r="88" spans="7:7" x14ac:dyDescent="0.35">
      <c r="G88" s="359"/>
    </row>
    <row r="89" spans="7:7" x14ac:dyDescent="0.35">
      <c r="G89" s="359"/>
    </row>
    <row r="90" spans="7:7" x14ac:dyDescent="0.35">
      <c r="G90" s="359"/>
    </row>
    <row r="91" spans="7:7" x14ac:dyDescent="0.35">
      <c r="G91" s="359"/>
    </row>
    <row r="92" spans="7:7" x14ac:dyDescent="0.35">
      <c r="G92" s="359"/>
    </row>
    <row r="93" spans="7:7" x14ac:dyDescent="0.35">
      <c r="G93" s="359"/>
    </row>
    <row r="94" spans="7:7" x14ac:dyDescent="0.35">
      <c r="G94" s="359"/>
    </row>
    <row r="95" spans="7:7" x14ac:dyDescent="0.35">
      <c r="G95" s="359"/>
    </row>
    <row r="96" spans="7:7" x14ac:dyDescent="0.35">
      <c r="G96" s="359"/>
    </row>
    <row r="97" spans="7:7" x14ac:dyDescent="0.35">
      <c r="G97" s="359"/>
    </row>
    <row r="98" spans="7:7" x14ac:dyDescent="0.35">
      <c r="G98" s="359"/>
    </row>
    <row r="99" spans="7:7" x14ac:dyDescent="0.35">
      <c r="G99" s="359"/>
    </row>
    <row r="100" spans="7:7" x14ac:dyDescent="0.35">
      <c r="G100" s="359"/>
    </row>
    <row r="101" spans="7:7" x14ac:dyDescent="0.35">
      <c r="G101" s="359"/>
    </row>
    <row r="102" spans="7:7" x14ac:dyDescent="0.35">
      <c r="G102" s="359"/>
    </row>
    <row r="103" spans="7:7" x14ac:dyDescent="0.35">
      <c r="G103" s="359"/>
    </row>
    <row r="104" spans="7:7" x14ac:dyDescent="0.35">
      <c r="G104" s="359"/>
    </row>
    <row r="105" spans="7:7" x14ac:dyDescent="0.35">
      <c r="G105" s="359"/>
    </row>
    <row r="106" spans="7:7" x14ac:dyDescent="0.35">
      <c r="G106" s="359"/>
    </row>
    <row r="107" spans="7:7" x14ac:dyDescent="0.35">
      <c r="G107" s="359"/>
    </row>
    <row r="108" spans="7:7" x14ac:dyDescent="0.35">
      <c r="G108" s="359"/>
    </row>
    <row r="109" spans="7:7" x14ac:dyDescent="0.35">
      <c r="G109" s="359"/>
    </row>
    <row r="110" spans="7:7" x14ac:dyDescent="0.35">
      <c r="G110" s="359"/>
    </row>
    <row r="111" spans="7:7" x14ac:dyDescent="0.35">
      <c r="G111" s="359"/>
    </row>
    <row r="112" spans="7:7" x14ac:dyDescent="0.35">
      <c r="G112" s="359"/>
    </row>
    <row r="113" spans="7:7" x14ac:dyDescent="0.35">
      <c r="G113" s="359"/>
    </row>
    <row r="114" spans="7:7" x14ac:dyDescent="0.35">
      <c r="G114" s="359"/>
    </row>
    <row r="115" spans="7:7" x14ac:dyDescent="0.35">
      <c r="G115" s="359"/>
    </row>
    <row r="116" spans="7:7" x14ac:dyDescent="0.35">
      <c r="G116" s="359"/>
    </row>
    <row r="117" spans="7:7" x14ac:dyDescent="0.35">
      <c r="G117" s="359"/>
    </row>
    <row r="118" spans="7:7" x14ac:dyDescent="0.35">
      <c r="G118" s="359"/>
    </row>
    <row r="119" spans="7:7" x14ac:dyDescent="0.35">
      <c r="G119" s="359"/>
    </row>
    <row r="120" spans="7:7" x14ac:dyDescent="0.35">
      <c r="G120" s="359"/>
    </row>
    <row r="121" spans="7:7" x14ac:dyDescent="0.35">
      <c r="G121" s="359"/>
    </row>
    <row r="122" spans="7:7" x14ac:dyDescent="0.35">
      <c r="G122" s="359"/>
    </row>
    <row r="123" spans="7:7" x14ac:dyDescent="0.35">
      <c r="G123" s="359"/>
    </row>
    <row r="124" spans="7:7" x14ac:dyDescent="0.35">
      <c r="G124" s="359"/>
    </row>
    <row r="125" spans="7:7" x14ac:dyDescent="0.35">
      <c r="G125" s="359"/>
    </row>
    <row r="126" spans="7:7" x14ac:dyDescent="0.35">
      <c r="G126" s="359"/>
    </row>
    <row r="127" spans="7:7" x14ac:dyDescent="0.35">
      <c r="G127" s="359"/>
    </row>
    <row r="128" spans="7:7" x14ac:dyDescent="0.35">
      <c r="G128" s="359"/>
    </row>
    <row r="129" spans="7:7" x14ac:dyDescent="0.35">
      <c r="G129" s="359"/>
    </row>
    <row r="130" spans="7:7" x14ac:dyDescent="0.35">
      <c r="G130" s="359"/>
    </row>
    <row r="131" spans="7:7" x14ac:dyDescent="0.35">
      <c r="G131" s="359"/>
    </row>
    <row r="132" spans="7:7" x14ac:dyDescent="0.35">
      <c r="G132" s="359"/>
    </row>
    <row r="133" spans="7:7" x14ac:dyDescent="0.35">
      <c r="G133" s="359"/>
    </row>
    <row r="134" spans="7:7" x14ac:dyDescent="0.35">
      <c r="G134" s="359"/>
    </row>
    <row r="135" spans="7:7" x14ac:dyDescent="0.35">
      <c r="G135" s="359"/>
    </row>
    <row r="136" spans="7:7" x14ac:dyDescent="0.35">
      <c r="G136" s="359"/>
    </row>
    <row r="137" spans="7:7" x14ac:dyDescent="0.35">
      <c r="G137" s="359"/>
    </row>
    <row r="138" spans="7:7" x14ac:dyDescent="0.35">
      <c r="G138" s="359"/>
    </row>
    <row r="139" spans="7:7" x14ac:dyDescent="0.35">
      <c r="G139" s="359"/>
    </row>
    <row r="140" spans="7:7" x14ac:dyDescent="0.35">
      <c r="G140" s="359"/>
    </row>
    <row r="141" spans="7:7" x14ac:dyDescent="0.35">
      <c r="G141" s="359"/>
    </row>
    <row r="142" spans="7:7" x14ac:dyDescent="0.35">
      <c r="G142" s="359"/>
    </row>
    <row r="143" spans="7:7" x14ac:dyDescent="0.35">
      <c r="G143" s="359"/>
    </row>
    <row r="144" spans="7:7" x14ac:dyDescent="0.35">
      <c r="G144" s="359"/>
    </row>
    <row r="145" spans="7:7" x14ac:dyDescent="0.35">
      <c r="G145" s="359"/>
    </row>
    <row r="146" spans="7:7" x14ac:dyDescent="0.35">
      <c r="G146" s="359"/>
    </row>
    <row r="147" spans="7:7" x14ac:dyDescent="0.35">
      <c r="G147" s="359"/>
    </row>
    <row r="148" spans="7:7" x14ac:dyDescent="0.35">
      <c r="G148" s="359"/>
    </row>
    <row r="149" spans="7:7" x14ac:dyDescent="0.35">
      <c r="G149" s="359"/>
    </row>
    <row r="150" spans="7:7" x14ac:dyDescent="0.35">
      <c r="G150" s="359"/>
    </row>
    <row r="151" spans="7:7" x14ac:dyDescent="0.35">
      <c r="G151" s="359"/>
    </row>
    <row r="152" spans="7:7" x14ac:dyDescent="0.35">
      <c r="G152" s="359"/>
    </row>
    <row r="153" spans="7:7" x14ac:dyDescent="0.35">
      <c r="G153" s="359"/>
    </row>
    <row r="154" spans="7:7" x14ac:dyDescent="0.35">
      <c r="G154" s="359"/>
    </row>
    <row r="155" spans="7:7" x14ac:dyDescent="0.35">
      <c r="G155" s="359"/>
    </row>
    <row r="156" spans="7:7" x14ac:dyDescent="0.35">
      <c r="G156" s="359"/>
    </row>
    <row r="157" spans="7:7" x14ac:dyDescent="0.35">
      <c r="G157" s="359"/>
    </row>
    <row r="158" spans="7:7" x14ac:dyDescent="0.35">
      <c r="G158" s="359"/>
    </row>
    <row r="159" spans="7:7" x14ac:dyDescent="0.35">
      <c r="G159" s="359"/>
    </row>
    <row r="160" spans="7:7" x14ac:dyDescent="0.35">
      <c r="G160" s="359"/>
    </row>
    <row r="161" spans="7:7" x14ac:dyDescent="0.35">
      <c r="G161" s="359"/>
    </row>
    <row r="162" spans="7:7" x14ac:dyDescent="0.35">
      <c r="G162" s="359"/>
    </row>
    <row r="163" spans="7:7" x14ac:dyDescent="0.35">
      <c r="G163" s="359"/>
    </row>
    <row r="164" spans="7:7" x14ac:dyDescent="0.35">
      <c r="G164" s="359"/>
    </row>
    <row r="165" spans="7:7" x14ac:dyDescent="0.35">
      <c r="G165" s="359"/>
    </row>
    <row r="166" spans="7:7" x14ac:dyDescent="0.35">
      <c r="G166" s="359"/>
    </row>
    <row r="167" spans="7:7" x14ac:dyDescent="0.35">
      <c r="G167" s="359"/>
    </row>
    <row r="168" spans="7:7" x14ac:dyDescent="0.35">
      <c r="G168" s="359"/>
    </row>
    <row r="169" spans="7:7" x14ac:dyDescent="0.35">
      <c r="G169" s="359"/>
    </row>
    <row r="170" spans="7:7" x14ac:dyDescent="0.35">
      <c r="G170" s="359"/>
    </row>
    <row r="171" spans="7:7" x14ac:dyDescent="0.35">
      <c r="G171" s="359"/>
    </row>
    <row r="172" spans="7:7" x14ac:dyDescent="0.35">
      <c r="G172" s="359"/>
    </row>
    <row r="173" spans="7:7" x14ac:dyDescent="0.35">
      <c r="G173" s="359"/>
    </row>
    <row r="174" spans="7:7" x14ac:dyDescent="0.35">
      <c r="G174" s="359"/>
    </row>
    <row r="175" spans="7:7" x14ac:dyDescent="0.35">
      <c r="G175" s="359"/>
    </row>
    <row r="176" spans="7:7" x14ac:dyDescent="0.35">
      <c r="G176" s="359"/>
    </row>
    <row r="177" spans="7:7" x14ac:dyDescent="0.35">
      <c r="G177" s="359"/>
    </row>
    <row r="178" spans="7:7" x14ac:dyDescent="0.35">
      <c r="G178" s="359"/>
    </row>
    <row r="179" spans="7:7" x14ac:dyDescent="0.35">
      <c r="G179" s="359"/>
    </row>
    <row r="180" spans="7:7" x14ac:dyDescent="0.35">
      <c r="G180" s="359"/>
    </row>
    <row r="181" spans="7:7" x14ac:dyDescent="0.35">
      <c r="G181" s="359"/>
    </row>
    <row r="182" spans="7:7" x14ac:dyDescent="0.35">
      <c r="G182" s="359"/>
    </row>
    <row r="183" spans="7:7" x14ac:dyDescent="0.35">
      <c r="G183" s="359"/>
    </row>
    <row r="184" spans="7:7" x14ac:dyDescent="0.35">
      <c r="G184" s="359"/>
    </row>
    <row r="185" spans="7:7" x14ac:dyDescent="0.35">
      <c r="G185" s="359"/>
    </row>
    <row r="186" spans="7:7" x14ac:dyDescent="0.35">
      <c r="G186" s="359"/>
    </row>
    <row r="187" spans="7:7" x14ac:dyDescent="0.35">
      <c r="G187" s="359"/>
    </row>
    <row r="188" spans="7:7" x14ac:dyDescent="0.35">
      <c r="G188" s="359"/>
    </row>
    <row r="189" spans="7:7" x14ac:dyDescent="0.35">
      <c r="G189" s="359"/>
    </row>
    <row r="190" spans="7:7" x14ac:dyDescent="0.35">
      <c r="G190" s="359"/>
    </row>
    <row r="191" spans="7:7" x14ac:dyDescent="0.35">
      <c r="G191" s="359"/>
    </row>
    <row r="192" spans="7:7" x14ac:dyDescent="0.35">
      <c r="G192" s="359"/>
    </row>
    <row r="193" spans="7:7" x14ac:dyDescent="0.35">
      <c r="G193" s="359"/>
    </row>
    <row r="194" spans="7:7" x14ac:dyDescent="0.35">
      <c r="G194" s="359"/>
    </row>
    <row r="195" spans="7:7" x14ac:dyDescent="0.35">
      <c r="G195" s="359"/>
    </row>
    <row r="196" spans="7:7" x14ac:dyDescent="0.35">
      <c r="G196" s="359"/>
    </row>
    <row r="197" spans="7:7" x14ac:dyDescent="0.35">
      <c r="G197" s="359"/>
    </row>
    <row r="198" spans="7:7" x14ac:dyDescent="0.35">
      <c r="G198" s="359"/>
    </row>
    <row r="199" spans="7:7" x14ac:dyDescent="0.35">
      <c r="G199" s="359"/>
    </row>
    <row r="200" spans="7:7" x14ac:dyDescent="0.35">
      <c r="G200" s="359"/>
    </row>
    <row r="201" spans="7:7" x14ac:dyDescent="0.35">
      <c r="G201" s="359"/>
    </row>
    <row r="202" spans="7:7" x14ac:dyDescent="0.35">
      <c r="G202" s="359"/>
    </row>
    <row r="203" spans="7:7" x14ac:dyDescent="0.35">
      <c r="G203" s="359"/>
    </row>
    <row r="204" spans="7:7" x14ac:dyDescent="0.35">
      <c r="G204" s="359"/>
    </row>
    <row r="205" spans="7:7" x14ac:dyDescent="0.35">
      <c r="G205" s="359"/>
    </row>
    <row r="206" spans="7:7" x14ac:dyDescent="0.35">
      <c r="G206" s="359"/>
    </row>
    <row r="207" spans="7:7" x14ac:dyDescent="0.35">
      <c r="G207" s="359"/>
    </row>
    <row r="208" spans="7:7" x14ac:dyDescent="0.35">
      <c r="G208" s="359"/>
    </row>
    <row r="209" spans="7:7" x14ac:dyDescent="0.35">
      <c r="G209" s="359"/>
    </row>
    <row r="210" spans="7:7" x14ac:dyDescent="0.35">
      <c r="G210" s="359"/>
    </row>
    <row r="211" spans="7:7" x14ac:dyDescent="0.35">
      <c r="G211" s="359"/>
    </row>
    <row r="212" spans="7:7" x14ac:dyDescent="0.35">
      <c r="G212" s="359"/>
    </row>
    <row r="213" spans="7:7" x14ac:dyDescent="0.35">
      <c r="G213" s="359"/>
    </row>
    <row r="214" spans="7:7" x14ac:dyDescent="0.35">
      <c r="G214" s="359"/>
    </row>
    <row r="215" spans="7:7" x14ac:dyDescent="0.35">
      <c r="G215" s="359"/>
    </row>
    <row r="216" spans="7:7" x14ac:dyDescent="0.35">
      <c r="G216" s="359"/>
    </row>
    <row r="217" spans="7:7" x14ac:dyDescent="0.35">
      <c r="G217" s="359"/>
    </row>
    <row r="218" spans="7:7" x14ac:dyDescent="0.35">
      <c r="G218" s="359"/>
    </row>
    <row r="219" spans="7:7" x14ac:dyDescent="0.35">
      <c r="G219" s="359"/>
    </row>
    <row r="220" spans="7:7" x14ac:dyDescent="0.35">
      <c r="G220" s="359"/>
    </row>
    <row r="221" spans="7:7" x14ac:dyDescent="0.35">
      <c r="G221" s="359"/>
    </row>
    <row r="222" spans="7:7" x14ac:dyDescent="0.35">
      <c r="G222" s="359"/>
    </row>
    <row r="223" spans="7:7" x14ac:dyDescent="0.35">
      <c r="G223" s="359"/>
    </row>
    <row r="224" spans="7:7" x14ac:dyDescent="0.35">
      <c r="G224" s="359"/>
    </row>
    <row r="225" spans="7:7" x14ac:dyDescent="0.35">
      <c r="G225" s="359"/>
    </row>
    <row r="226" spans="7:7" x14ac:dyDescent="0.35">
      <c r="G226" s="359"/>
    </row>
    <row r="227" spans="7:7" x14ac:dyDescent="0.35">
      <c r="G227" s="359"/>
    </row>
    <row r="228" spans="7:7" x14ac:dyDescent="0.35">
      <c r="G228" s="359"/>
    </row>
    <row r="229" spans="7:7" x14ac:dyDescent="0.35">
      <c r="G229" s="359"/>
    </row>
    <row r="230" spans="7:7" x14ac:dyDescent="0.35">
      <c r="G230" s="359"/>
    </row>
    <row r="231" spans="7:7" x14ac:dyDescent="0.35">
      <c r="G231" s="359"/>
    </row>
    <row r="232" spans="7:7" x14ac:dyDescent="0.35">
      <c r="G232" s="359"/>
    </row>
    <row r="233" spans="7:7" x14ac:dyDescent="0.35">
      <c r="G233" s="359"/>
    </row>
    <row r="234" spans="7:7" x14ac:dyDescent="0.35">
      <c r="G234" s="359"/>
    </row>
    <row r="235" spans="7:7" x14ac:dyDescent="0.35">
      <c r="G235" s="359"/>
    </row>
    <row r="236" spans="7:7" x14ac:dyDescent="0.35">
      <c r="G236" s="359"/>
    </row>
    <row r="237" spans="7:7" x14ac:dyDescent="0.35">
      <c r="G237" s="359"/>
    </row>
    <row r="238" spans="7:7" x14ac:dyDescent="0.35">
      <c r="G238" s="359"/>
    </row>
    <row r="239" spans="7:7" x14ac:dyDescent="0.35">
      <c r="G239" s="359"/>
    </row>
    <row r="240" spans="7:7" x14ac:dyDescent="0.35">
      <c r="G240" s="359"/>
    </row>
    <row r="241" spans="7:7" x14ac:dyDescent="0.35">
      <c r="G241" s="359"/>
    </row>
    <row r="242" spans="7:7" x14ac:dyDescent="0.35">
      <c r="G242" s="359"/>
    </row>
    <row r="243" spans="7:7" x14ac:dyDescent="0.35">
      <c r="G243" s="359"/>
    </row>
    <row r="244" spans="7:7" x14ac:dyDescent="0.35">
      <c r="G244" s="359"/>
    </row>
    <row r="245" spans="7:7" x14ac:dyDescent="0.35">
      <c r="G245" s="359"/>
    </row>
    <row r="246" spans="7:7" x14ac:dyDescent="0.35">
      <c r="G246" s="359"/>
    </row>
    <row r="247" spans="7:7" x14ac:dyDescent="0.35">
      <c r="G247" s="359"/>
    </row>
    <row r="248" spans="7:7" x14ac:dyDescent="0.35">
      <c r="G248" s="359"/>
    </row>
    <row r="249" spans="7:7" x14ac:dyDescent="0.35">
      <c r="G249" s="359"/>
    </row>
    <row r="250" spans="7:7" x14ac:dyDescent="0.35">
      <c r="G250" s="359"/>
    </row>
    <row r="251" spans="7:7" x14ac:dyDescent="0.35">
      <c r="G251" s="359"/>
    </row>
    <row r="252" spans="7:7" x14ac:dyDescent="0.35">
      <c r="G252" s="359"/>
    </row>
    <row r="253" spans="7:7" x14ac:dyDescent="0.35">
      <c r="G253" s="359"/>
    </row>
    <row r="254" spans="7:7" x14ac:dyDescent="0.35">
      <c r="G254" s="359"/>
    </row>
    <row r="255" spans="7:7" x14ac:dyDescent="0.35">
      <c r="G255" s="359"/>
    </row>
    <row r="256" spans="7:7" x14ac:dyDescent="0.35">
      <c r="G256" s="359"/>
    </row>
    <row r="257" spans="7:7" x14ac:dyDescent="0.35">
      <c r="G257" s="359"/>
    </row>
    <row r="258" spans="7:7" x14ac:dyDescent="0.35">
      <c r="G258" s="359"/>
    </row>
    <row r="259" spans="7:7" x14ac:dyDescent="0.35">
      <c r="G259" s="359"/>
    </row>
    <row r="260" spans="7:7" x14ac:dyDescent="0.35">
      <c r="G260" s="359"/>
    </row>
    <row r="261" spans="7:7" x14ac:dyDescent="0.35">
      <c r="G261" s="359"/>
    </row>
    <row r="262" spans="7:7" x14ac:dyDescent="0.35">
      <c r="G262" s="359"/>
    </row>
    <row r="263" spans="7:7" x14ac:dyDescent="0.35">
      <c r="G263" s="359"/>
    </row>
    <row r="264" spans="7:7" x14ac:dyDescent="0.35">
      <c r="G264" s="359"/>
    </row>
    <row r="265" spans="7:7" x14ac:dyDescent="0.35">
      <c r="G265" s="359"/>
    </row>
    <row r="266" spans="7:7" x14ac:dyDescent="0.35">
      <c r="G266" s="359"/>
    </row>
    <row r="267" spans="7:7" x14ac:dyDescent="0.35">
      <c r="G267" s="359"/>
    </row>
    <row r="268" spans="7:7" x14ac:dyDescent="0.35">
      <c r="G268" s="359"/>
    </row>
    <row r="269" spans="7:7" x14ac:dyDescent="0.35">
      <c r="G269" s="359"/>
    </row>
    <row r="270" spans="7:7" x14ac:dyDescent="0.35">
      <c r="G270" s="359"/>
    </row>
    <row r="271" spans="7:7" x14ac:dyDescent="0.35">
      <c r="G271" s="359"/>
    </row>
    <row r="272" spans="7:7" x14ac:dyDescent="0.35">
      <c r="G272" s="359"/>
    </row>
    <row r="273" spans="7:7" x14ac:dyDescent="0.35">
      <c r="G273" s="359"/>
    </row>
    <row r="274" spans="7:7" x14ac:dyDescent="0.35">
      <c r="G274" s="359"/>
    </row>
    <row r="275" spans="7:7" x14ac:dyDescent="0.35">
      <c r="G275" s="359"/>
    </row>
    <row r="276" spans="7:7" x14ac:dyDescent="0.35">
      <c r="G276" s="359"/>
    </row>
    <row r="277" spans="7:7" x14ac:dyDescent="0.35">
      <c r="G277" s="359"/>
    </row>
    <row r="278" spans="7:7" x14ac:dyDescent="0.35">
      <c r="G278" s="359"/>
    </row>
    <row r="279" spans="7:7" x14ac:dyDescent="0.35">
      <c r="G279" s="359"/>
    </row>
    <row r="280" spans="7:7" x14ac:dyDescent="0.35">
      <c r="G280" s="359"/>
    </row>
    <row r="281" spans="7:7" x14ac:dyDescent="0.35">
      <c r="G281" s="359"/>
    </row>
    <row r="282" spans="7:7" x14ac:dyDescent="0.35">
      <c r="G282" s="359"/>
    </row>
    <row r="283" spans="7:7" x14ac:dyDescent="0.35">
      <c r="G283" s="359"/>
    </row>
    <row r="284" spans="7:7" x14ac:dyDescent="0.35">
      <c r="G284" s="359"/>
    </row>
    <row r="285" spans="7:7" x14ac:dyDescent="0.35">
      <c r="G285" s="359"/>
    </row>
    <row r="286" spans="7:7" x14ac:dyDescent="0.35">
      <c r="G286" s="359"/>
    </row>
    <row r="287" spans="7:7" x14ac:dyDescent="0.35">
      <c r="G287" s="359"/>
    </row>
    <row r="288" spans="7:7" x14ac:dyDescent="0.35">
      <c r="G288" s="359"/>
    </row>
    <row r="289" spans="7:7" x14ac:dyDescent="0.35">
      <c r="G289" s="359"/>
    </row>
    <row r="290" spans="7:7" x14ac:dyDescent="0.35">
      <c r="G290" s="359"/>
    </row>
    <row r="291" spans="7:7" x14ac:dyDescent="0.35">
      <c r="G291" s="359"/>
    </row>
    <row r="292" spans="7:7" x14ac:dyDescent="0.35">
      <c r="G292" s="359"/>
    </row>
    <row r="293" spans="7:7" x14ac:dyDescent="0.35">
      <c r="G293" s="359"/>
    </row>
    <row r="294" spans="7:7" x14ac:dyDescent="0.35">
      <c r="G294" s="359"/>
    </row>
    <row r="295" spans="7:7" x14ac:dyDescent="0.35">
      <c r="G295" s="359"/>
    </row>
    <row r="296" spans="7:7" x14ac:dyDescent="0.35">
      <c r="G296" s="359"/>
    </row>
    <row r="297" spans="7:7" x14ac:dyDescent="0.35">
      <c r="G297" s="359"/>
    </row>
    <row r="298" spans="7:7" x14ac:dyDescent="0.35">
      <c r="G298" s="359"/>
    </row>
    <row r="299" spans="7:7" x14ac:dyDescent="0.35">
      <c r="G299" s="359"/>
    </row>
    <row r="300" spans="7:7" x14ac:dyDescent="0.35">
      <c r="G300" s="359"/>
    </row>
    <row r="301" spans="7:7" x14ac:dyDescent="0.35">
      <c r="G301" s="359"/>
    </row>
    <row r="302" spans="7:7" x14ac:dyDescent="0.35">
      <c r="G302" s="359"/>
    </row>
    <row r="303" spans="7:7" x14ac:dyDescent="0.35">
      <c r="G303" s="359"/>
    </row>
    <row r="304" spans="7:7" x14ac:dyDescent="0.35">
      <c r="G304" s="359"/>
    </row>
    <row r="305" spans="7:7" x14ac:dyDescent="0.35">
      <c r="G305" s="359"/>
    </row>
    <row r="306" spans="7:7" x14ac:dyDescent="0.35">
      <c r="G306" s="359"/>
    </row>
    <row r="307" spans="7:7" x14ac:dyDescent="0.35">
      <c r="G307" s="359"/>
    </row>
    <row r="308" spans="7:7" x14ac:dyDescent="0.35">
      <c r="G308" s="359"/>
    </row>
    <row r="309" spans="7:7" x14ac:dyDescent="0.35">
      <c r="G309" s="359"/>
    </row>
    <row r="310" spans="7:7" x14ac:dyDescent="0.35">
      <c r="G310" s="359"/>
    </row>
    <row r="311" spans="7:7" x14ac:dyDescent="0.35">
      <c r="G311" s="359"/>
    </row>
    <row r="312" spans="7:7" x14ac:dyDescent="0.35">
      <c r="G312" s="359"/>
    </row>
    <row r="313" spans="7:7" x14ac:dyDescent="0.35">
      <c r="G313" s="359"/>
    </row>
    <row r="314" spans="7:7" x14ac:dyDescent="0.35">
      <c r="G314" s="359"/>
    </row>
    <row r="315" spans="7:7" x14ac:dyDescent="0.35">
      <c r="G315" s="359"/>
    </row>
    <row r="316" spans="7:7" x14ac:dyDescent="0.35">
      <c r="G316" s="359"/>
    </row>
    <row r="317" spans="7:7" x14ac:dyDescent="0.35">
      <c r="G317" s="359"/>
    </row>
    <row r="318" spans="7:7" x14ac:dyDescent="0.35">
      <c r="G318" s="359"/>
    </row>
    <row r="319" spans="7:7" x14ac:dyDescent="0.35">
      <c r="G319" s="359"/>
    </row>
    <row r="320" spans="7:7" x14ac:dyDescent="0.35">
      <c r="G320" s="359"/>
    </row>
    <row r="321" spans="7:7" x14ac:dyDescent="0.35">
      <c r="G321" s="359"/>
    </row>
    <row r="322" spans="7:7" x14ac:dyDescent="0.35">
      <c r="G322" s="359"/>
    </row>
    <row r="323" spans="7:7" x14ac:dyDescent="0.35">
      <c r="G323" s="359"/>
    </row>
    <row r="324" spans="7:7" x14ac:dyDescent="0.35">
      <c r="G324" s="359"/>
    </row>
    <row r="325" spans="7:7" x14ac:dyDescent="0.35">
      <c r="G325" s="359"/>
    </row>
    <row r="326" spans="7:7" x14ac:dyDescent="0.35">
      <c r="G326" s="359"/>
    </row>
    <row r="327" spans="7:7" x14ac:dyDescent="0.35">
      <c r="G327" s="359"/>
    </row>
    <row r="328" spans="7:7" x14ac:dyDescent="0.35">
      <c r="G328" s="359"/>
    </row>
    <row r="329" spans="7:7" x14ac:dyDescent="0.35">
      <c r="G329" s="359"/>
    </row>
    <row r="330" spans="7:7" x14ac:dyDescent="0.35">
      <c r="G330" s="359"/>
    </row>
    <row r="331" spans="7:7" x14ac:dyDescent="0.35">
      <c r="G331" s="359"/>
    </row>
    <row r="332" spans="7:7" x14ac:dyDescent="0.35">
      <c r="G332" s="359"/>
    </row>
    <row r="333" spans="7:7" x14ac:dyDescent="0.35">
      <c r="G333" s="359"/>
    </row>
    <row r="334" spans="7:7" x14ac:dyDescent="0.35">
      <c r="G334" s="359"/>
    </row>
    <row r="335" spans="7:7" x14ac:dyDescent="0.35">
      <c r="G335" s="359"/>
    </row>
    <row r="336" spans="7:7" x14ac:dyDescent="0.35">
      <c r="G336" s="359"/>
    </row>
    <row r="337" spans="7:7" x14ac:dyDescent="0.35">
      <c r="G337" s="359"/>
    </row>
    <row r="338" spans="7:7" x14ac:dyDescent="0.35">
      <c r="G338" s="359"/>
    </row>
    <row r="339" spans="7:7" x14ac:dyDescent="0.35">
      <c r="G339" s="359"/>
    </row>
    <row r="340" spans="7:7" x14ac:dyDescent="0.35">
      <c r="G340" s="359"/>
    </row>
    <row r="341" spans="7:7" x14ac:dyDescent="0.35">
      <c r="G341" s="359"/>
    </row>
    <row r="342" spans="7:7" x14ac:dyDescent="0.35">
      <c r="G342" s="359"/>
    </row>
    <row r="343" spans="7:7" x14ac:dyDescent="0.35">
      <c r="G343" s="359"/>
    </row>
    <row r="344" spans="7:7" x14ac:dyDescent="0.35">
      <c r="G344" s="359"/>
    </row>
    <row r="345" spans="7:7" x14ac:dyDescent="0.35">
      <c r="G345" s="359"/>
    </row>
    <row r="346" spans="7:7" x14ac:dyDescent="0.35">
      <c r="G346" s="359"/>
    </row>
    <row r="347" spans="7:7" x14ac:dyDescent="0.35">
      <c r="G347" s="359"/>
    </row>
    <row r="348" spans="7:7" x14ac:dyDescent="0.35">
      <c r="G348" s="359"/>
    </row>
    <row r="349" spans="7:7" x14ac:dyDescent="0.35">
      <c r="G349" s="359"/>
    </row>
    <row r="350" spans="7:7" x14ac:dyDescent="0.35">
      <c r="G350" s="359"/>
    </row>
    <row r="351" spans="7:7" x14ac:dyDescent="0.35">
      <c r="G351" s="359"/>
    </row>
    <row r="352" spans="7:7" x14ac:dyDescent="0.35">
      <c r="G352" s="359"/>
    </row>
    <row r="353" spans="7:7" x14ac:dyDescent="0.35">
      <c r="G353" s="359"/>
    </row>
    <row r="354" spans="7:7" x14ac:dyDescent="0.35">
      <c r="G354" s="359"/>
    </row>
    <row r="355" spans="7:7" x14ac:dyDescent="0.35">
      <c r="G355" s="359"/>
    </row>
    <row r="356" spans="7:7" x14ac:dyDescent="0.35">
      <c r="G356" s="359"/>
    </row>
    <row r="357" spans="7:7" x14ac:dyDescent="0.35">
      <c r="G357" s="359"/>
    </row>
    <row r="358" spans="7:7" x14ac:dyDescent="0.35">
      <c r="G358" s="359"/>
    </row>
    <row r="359" spans="7:7" x14ac:dyDescent="0.35">
      <c r="G359" s="359"/>
    </row>
    <row r="360" spans="7:7" x14ac:dyDescent="0.35">
      <c r="G360" s="359"/>
    </row>
    <row r="361" spans="7:7" x14ac:dyDescent="0.35">
      <c r="G361" s="359"/>
    </row>
    <row r="362" spans="7:7" x14ac:dyDescent="0.35">
      <c r="G362" s="359"/>
    </row>
    <row r="363" spans="7:7" x14ac:dyDescent="0.35">
      <c r="G363" s="359"/>
    </row>
    <row r="364" spans="7:7" x14ac:dyDescent="0.35">
      <c r="G364" s="359"/>
    </row>
    <row r="365" spans="7:7" x14ac:dyDescent="0.35">
      <c r="G365" s="359"/>
    </row>
    <row r="366" spans="7:7" x14ac:dyDescent="0.35">
      <c r="G366" s="359"/>
    </row>
    <row r="367" spans="7:7" x14ac:dyDescent="0.35">
      <c r="G367" s="359"/>
    </row>
    <row r="368" spans="7:7" x14ac:dyDescent="0.35">
      <c r="G368" s="359"/>
    </row>
    <row r="369" spans="7:7" x14ac:dyDescent="0.35">
      <c r="G369" s="359"/>
    </row>
    <row r="370" spans="7:7" x14ac:dyDescent="0.35">
      <c r="G370" s="359"/>
    </row>
    <row r="371" spans="7:7" x14ac:dyDescent="0.35">
      <c r="G371" s="359"/>
    </row>
    <row r="372" spans="7:7" x14ac:dyDescent="0.35">
      <c r="G372" s="359"/>
    </row>
    <row r="373" spans="7:7" x14ac:dyDescent="0.35">
      <c r="G373" s="359"/>
    </row>
    <row r="374" spans="7:7" x14ac:dyDescent="0.35">
      <c r="G374" s="359"/>
    </row>
    <row r="375" spans="7:7" x14ac:dyDescent="0.35">
      <c r="G375" s="359"/>
    </row>
    <row r="376" spans="7:7" x14ac:dyDescent="0.35">
      <c r="G376" s="359"/>
    </row>
    <row r="377" spans="7:7" x14ac:dyDescent="0.35">
      <c r="G377" s="359"/>
    </row>
    <row r="378" spans="7:7" x14ac:dyDescent="0.35">
      <c r="G378" s="359"/>
    </row>
    <row r="379" spans="7:7" x14ac:dyDescent="0.35">
      <c r="G379" s="359"/>
    </row>
    <row r="380" spans="7:7" x14ac:dyDescent="0.35">
      <c r="G380" s="359"/>
    </row>
    <row r="381" spans="7:7" x14ac:dyDescent="0.35">
      <c r="G381" s="359"/>
    </row>
    <row r="382" spans="7:7" x14ac:dyDescent="0.35">
      <c r="G382" s="359"/>
    </row>
    <row r="383" spans="7:7" x14ac:dyDescent="0.35">
      <c r="G383" s="359"/>
    </row>
    <row r="384" spans="7:7" x14ac:dyDescent="0.35">
      <c r="G384" s="359"/>
    </row>
    <row r="385" spans="7:7" x14ac:dyDescent="0.35">
      <c r="G385" s="359"/>
    </row>
    <row r="386" spans="7:7" x14ac:dyDescent="0.35">
      <c r="G386" s="359"/>
    </row>
    <row r="387" spans="7:7" x14ac:dyDescent="0.35">
      <c r="G387" s="359"/>
    </row>
    <row r="388" spans="7:7" x14ac:dyDescent="0.35">
      <c r="G388" s="359"/>
    </row>
    <row r="389" spans="7:7" x14ac:dyDescent="0.35">
      <c r="G389" s="359"/>
    </row>
    <row r="390" spans="7:7" x14ac:dyDescent="0.35">
      <c r="G390" s="359"/>
    </row>
    <row r="391" spans="7:7" x14ac:dyDescent="0.35">
      <c r="G391" s="359"/>
    </row>
    <row r="392" spans="7:7" x14ac:dyDescent="0.35">
      <c r="G392" s="359"/>
    </row>
    <row r="393" spans="7:7" x14ac:dyDescent="0.35">
      <c r="G393" s="359"/>
    </row>
    <row r="394" spans="7:7" x14ac:dyDescent="0.35">
      <c r="G394" s="359"/>
    </row>
    <row r="395" spans="7:7" x14ac:dyDescent="0.35">
      <c r="G395" s="359"/>
    </row>
    <row r="396" spans="7:7" x14ac:dyDescent="0.35">
      <c r="G396" s="359"/>
    </row>
    <row r="397" spans="7:7" x14ac:dyDescent="0.35">
      <c r="G397" s="359"/>
    </row>
    <row r="398" spans="7:7" x14ac:dyDescent="0.35">
      <c r="G398" s="359"/>
    </row>
    <row r="399" spans="7:7" x14ac:dyDescent="0.35">
      <c r="G399" s="359"/>
    </row>
    <row r="400" spans="7:7" x14ac:dyDescent="0.35">
      <c r="G400" s="359"/>
    </row>
    <row r="401" spans="7:7" x14ac:dyDescent="0.35">
      <c r="G401" s="359"/>
    </row>
    <row r="402" spans="7:7" x14ac:dyDescent="0.35">
      <c r="G402" s="359"/>
    </row>
    <row r="403" spans="7:7" x14ac:dyDescent="0.35">
      <c r="G403" s="359"/>
    </row>
    <row r="404" spans="7:7" x14ac:dyDescent="0.35">
      <c r="G404" s="359"/>
    </row>
    <row r="405" spans="7:7" x14ac:dyDescent="0.35">
      <c r="G405" s="359"/>
    </row>
    <row r="406" spans="7:7" x14ac:dyDescent="0.35">
      <c r="G406" s="359"/>
    </row>
    <row r="407" spans="7:7" x14ac:dyDescent="0.35">
      <c r="G407" s="359"/>
    </row>
    <row r="408" spans="7:7" x14ac:dyDescent="0.35">
      <c r="G408" s="359"/>
    </row>
    <row r="409" spans="7:7" x14ac:dyDescent="0.35">
      <c r="G409" s="359"/>
    </row>
    <row r="410" spans="7:7" x14ac:dyDescent="0.35">
      <c r="G410" s="359"/>
    </row>
    <row r="411" spans="7:7" x14ac:dyDescent="0.35">
      <c r="G411" s="359"/>
    </row>
    <row r="412" spans="7:7" x14ac:dyDescent="0.35">
      <c r="G412" s="359"/>
    </row>
    <row r="413" spans="7:7" x14ac:dyDescent="0.35">
      <c r="G413" s="359"/>
    </row>
    <row r="414" spans="7:7" x14ac:dyDescent="0.35">
      <c r="G414" s="359"/>
    </row>
    <row r="415" spans="7:7" x14ac:dyDescent="0.35">
      <c r="G415" s="359"/>
    </row>
    <row r="416" spans="7:7" x14ac:dyDescent="0.35">
      <c r="G416" s="359"/>
    </row>
    <row r="417" spans="7:7" x14ac:dyDescent="0.35">
      <c r="G417" s="359"/>
    </row>
    <row r="418" spans="7:7" x14ac:dyDescent="0.35">
      <c r="G418" s="359"/>
    </row>
    <row r="419" spans="7:7" x14ac:dyDescent="0.35">
      <c r="G419" s="359"/>
    </row>
    <row r="420" spans="7:7" x14ac:dyDescent="0.35">
      <c r="G420" s="359"/>
    </row>
    <row r="421" spans="7:7" x14ac:dyDescent="0.35">
      <c r="G421" s="359"/>
    </row>
    <row r="422" spans="7:7" x14ac:dyDescent="0.35">
      <c r="G422" s="359"/>
    </row>
    <row r="423" spans="7:7" x14ac:dyDescent="0.35">
      <c r="G423" s="359"/>
    </row>
    <row r="424" spans="7:7" x14ac:dyDescent="0.35">
      <c r="G424" s="359"/>
    </row>
    <row r="425" spans="7:7" x14ac:dyDescent="0.35">
      <c r="G425" s="359"/>
    </row>
    <row r="426" spans="7:7" x14ac:dyDescent="0.35">
      <c r="G426" s="359"/>
    </row>
    <row r="427" spans="7:7" x14ac:dyDescent="0.35">
      <c r="G427" s="359"/>
    </row>
    <row r="428" spans="7:7" x14ac:dyDescent="0.35">
      <c r="G428" s="359"/>
    </row>
    <row r="429" spans="7:7" x14ac:dyDescent="0.35">
      <c r="G429" s="359"/>
    </row>
    <row r="430" spans="7:7" x14ac:dyDescent="0.35">
      <c r="G430" s="359"/>
    </row>
    <row r="431" spans="7:7" x14ac:dyDescent="0.35">
      <c r="G431" s="359"/>
    </row>
    <row r="432" spans="7:7" x14ac:dyDescent="0.35">
      <c r="G432" s="359"/>
    </row>
    <row r="433" spans="5:7" x14ac:dyDescent="0.35">
      <c r="G433" s="359"/>
    </row>
    <row r="434" spans="5:7" x14ac:dyDescent="0.35">
      <c r="G434" s="359"/>
    </row>
    <row r="435" spans="5:7" x14ac:dyDescent="0.35">
      <c r="G435" s="359"/>
    </row>
    <row r="436" spans="5:7" x14ac:dyDescent="0.35">
      <c r="G436" s="359"/>
    </row>
    <row r="437" spans="5:7" x14ac:dyDescent="0.35">
      <c r="G437" s="359"/>
    </row>
    <row r="438" spans="5:7" x14ac:dyDescent="0.35">
      <c r="G438" s="359"/>
    </row>
    <row r="439" spans="5:7" x14ac:dyDescent="0.35">
      <c r="G439" s="359"/>
    </row>
    <row r="440" spans="5:7" x14ac:dyDescent="0.35">
      <c r="G440" s="359"/>
    </row>
    <row r="441" spans="5:7" x14ac:dyDescent="0.35">
      <c r="G441" s="359"/>
    </row>
    <row r="442" spans="5:7" x14ac:dyDescent="0.35">
      <c r="G442" s="359"/>
    </row>
    <row r="443" spans="5:7" x14ac:dyDescent="0.35">
      <c r="G443" s="359"/>
    </row>
    <row r="444" spans="5:7" x14ac:dyDescent="0.35">
      <c r="G444" s="359"/>
    </row>
    <row r="445" spans="5:7" x14ac:dyDescent="0.35">
      <c r="G445" s="359"/>
    </row>
    <row r="446" spans="5:7" x14ac:dyDescent="0.35">
      <c r="G446" s="359"/>
    </row>
    <row r="447" spans="5:7" x14ac:dyDescent="0.35">
      <c r="E447" s="359"/>
      <c r="G447" s="359"/>
    </row>
    <row r="448" spans="5:7" x14ac:dyDescent="0.35">
      <c r="G448" s="359"/>
    </row>
    <row r="449" spans="7:7" x14ac:dyDescent="0.35">
      <c r="G449" s="359"/>
    </row>
  </sheetData>
  <sortState ref="H69:I86">
    <sortCondition ref="H69:H86"/>
  </sortState>
  <mergeCells count="58">
    <mergeCell ref="H50:K50"/>
    <mergeCell ref="H40:I40"/>
    <mergeCell ref="H46:M46"/>
    <mergeCell ref="H16:M16"/>
    <mergeCell ref="H17:M21"/>
    <mergeCell ref="H22:M23"/>
    <mergeCell ref="H39:I39"/>
    <mergeCell ref="H35:I35"/>
    <mergeCell ref="H36:I36"/>
    <mergeCell ref="H37:I37"/>
    <mergeCell ref="H38:I38"/>
    <mergeCell ref="H34:I34"/>
    <mergeCell ref="H31:I31"/>
    <mergeCell ref="H32:I32"/>
    <mergeCell ref="H33:I33"/>
    <mergeCell ref="H30:I30"/>
    <mergeCell ref="B25:F26"/>
    <mergeCell ref="B27:F28"/>
    <mergeCell ref="H51:K51"/>
    <mergeCell ref="H43:L43"/>
    <mergeCell ref="H41:I41"/>
    <mergeCell ref="H42:I42"/>
    <mergeCell ref="H44:I44"/>
    <mergeCell ref="H45:I45"/>
    <mergeCell ref="L48:M48"/>
    <mergeCell ref="L49:M49"/>
    <mergeCell ref="L50:M50"/>
    <mergeCell ref="L47:N47"/>
    <mergeCell ref="H47:K47"/>
    <mergeCell ref="H48:K48"/>
    <mergeCell ref="H49:K49"/>
    <mergeCell ref="H25:I25"/>
    <mergeCell ref="H26:I26"/>
    <mergeCell ref="H27:I27"/>
    <mergeCell ref="H28:I28"/>
    <mergeCell ref="H29:I29"/>
    <mergeCell ref="B12:F13"/>
    <mergeCell ref="B8:F8"/>
    <mergeCell ref="B9:F10"/>
    <mergeCell ref="B11:F11"/>
    <mergeCell ref="B29:F30"/>
    <mergeCell ref="H3:L3"/>
    <mergeCell ref="H4:L4"/>
    <mergeCell ref="A3:F3"/>
    <mergeCell ref="A4:F5"/>
    <mergeCell ref="A7:F7"/>
    <mergeCell ref="A33:F33"/>
    <mergeCell ref="A34:F34"/>
    <mergeCell ref="B14:F15"/>
    <mergeCell ref="B17:F17"/>
    <mergeCell ref="B31:E31"/>
    <mergeCell ref="B20:E20"/>
    <mergeCell ref="B23:F24"/>
    <mergeCell ref="B16:F16"/>
    <mergeCell ref="B18:F18"/>
    <mergeCell ref="B19:F19"/>
    <mergeCell ref="A21:F21"/>
    <mergeCell ref="B22:F22"/>
  </mergeCells>
  <hyperlinks>
    <hyperlink ref="A73" r:id="rId1" xr:uid="{E394B7B9-10BD-4E0B-B4F1-2AFE21CF15BE}"/>
    <hyperlink ref="H47" r:id="rId2" xr:uid="{A3451733-DCB7-4391-A6DE-9B36075F48B5}"/>
    <hyperlink ref="H48" r:id="rId3" xr:uid="{7412E559-BBC5-4DCA-AAE0-2C2857CD78A3}"/>
    <hyperlink ref="H49" r:id="rId4" xr:uid="{5CE5AE2A-42F6-41BC-B758-7E8957DD1A97}"/>
    <hyperlink ref="H50" r:id="rId5" xr:uid="{8CAB7450-DF04-49F5-8B48-73BD4ED0DFC4}"/>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08EBE-E294-4079-9980-B0097B6E7ACB}">
  <sheetPr>
    <tabColor rgb="FF92D050"/>
  </sheetPr>
  <dimension ref="A1:AF214"/>
  <sheetViews>
    <sheetView topLeftCell="E1" workbookViewId="0">
      <selection activeCell="Q3" sqref="Q3:T3"/>
    </sheetView>
  </sheetViews>
  <sheetFormatPr defaultRowHeight="12.75" x14ac:dyDescent="0.35"/>
  <cols>
    <col min="1" max="1" width="7.46484375" style="39" customWidth="1"/>
    <col min="2" max="2" width="5.59765625" style="196" customWidth="1"/>
    <col min="3" max="3" width="6.265625" style="44" customWidth="1"/>
    <col min="4" max="4" width="16.59765625" style="39" customWidth="1"/>
    <col min="5" max="5" width="12.06640625" style="39" customWidth="1"/>
    <col min="6" max="7" width="5.73046875" style="39" customWidth="1"/>
    <col min="8" max="8" width="13.06640625" style="39" customWidth="1"/>
    <col min="9" max="9" width="12.53125" style="43" customWidth="1"/>
    <col min="10" max="10" width="5.86328125" style="39" customWidth="1"/>
    <col min="11" max="11" width="10.53125" style="40" customWidth="1"/>
    <col min="12" max="12" width="5.19921875" style="39" customWidth="1"/>
    <col min="13" max="13" width="11.86328125" style="39" customWidth="1"/>
    <col min="14" max="14" width="11.06640625" style="42" customWidth="1"/>
    <col min="15" max="15" width="11.73046875" style="39" customWidth="1"/>
    <col min="16" max="16" width="1.265625" style="41" customWidth="1"/>
    <col min="17" max="17" width="22.59765625" style="40" customWidth="1"/>
    <col min="18" max="18" width="10.796875" style="40" customWidth="1"/>
    <col min="19" max="19" width="6.9296875" style="40" customWidth="1"/>
    <col min="20" max="20" width="12.53125" style="228" customWidth="1"/>
    <col min="21" max="21" width="9.06640625" style="361"/>
    <col min="22" max="16384" width="9.06640625" style="39"/>
  </cols>
  <sheetData>
    <row r="1" spans="1:20" ht="21" customHeight="1" x14ac:dyDescent="0.35">
      <c r="A1" s="863" t="s">
        <v>441</v>
      </c>
      <c r="B1" s="863"/>
      <c r="C1" s="863"/>
      <c r="D1" s="863"/>
      <c r="E1" s="863"/>
      <c r="F1" s="863"/>
      <c r="G1" s="863"/>
      <c r="H1" s="863"/>
      <c r="I1" s="863"/>
      <c r="J1" s="863"/>
      <c r="K1" s="863"/>
      <c r="L1" s="863"/>
      <c r="M1" s="863"/>
      <c r="N1" s="863"/>
      <c r="O1" s="863"/>
      <c r="P1" s="863"/>
      <c r="Q1" s="863"/>
      <c r="R1" s="863"/>
      <c r="S1" s="863"/>
      <c r="T1" s="863"/>
    </row>
    <row r="2" spans="1:20" x14ac:dyDescent="0.35">
      <c r="A2" s="53" t="s">
        <v>249</v>
      </c>
      <c r="B2" s="194" t="s">
        <v>248</v>
      </c>
      <c r="C2" s="65" t="s">
        <v>247</v>
      </c>
      <c r="D2" s="53" t="s">
        <v>15</v>
      </c>
      <c r="E2" s="53" t="s">
        <v>194</v>
      </c>
      <c r="F2" s="53" t="s">
        <v>246</v>
      </c>
      <c r="G2" s="53" t="s">
        <v>16</v>
      </c>
      <c r="H2" s="53" t="s">
        <v>245</v>
      </c>
      <c r="I2" s="64" t="s">
        <v>14</v>
      </c>
      <c r="J2" s="47" t="s">
        <v>244</v>
      </c>
      <c r="K2" s="47" t="s">
        <v>243</v>
      </c>
      <c r="L2" s="47" t="s">
        <v>17</v>
      </c>
      <c r="M2" s="47" t="s">
        <v>219</v>
      </c>
      <c r="N2" s="63" t="s">
        <v>242</v>
      </c>
      <c r="O2" s="47" t="s">
        <v>241</v>
      </c>
      <c r="P2" s="62"/>
      <c r="Q2" s="79"/>
    </row>
    <row r="3" spans="1:20" x14ac:dyDescent="0.35">
      <c r="A3" s="49" t="s">
        <v>191</v>
      </c>
      <c r="B3" s="195">
        <v>23</v>
      </c>
      <c r="C3" s="50">
        <v>2010</v>
      </c>
      <c r="D3" s="49" t="s">
        <v>32</v>
      </c>
      <c r="E3" s="49" t="s">
        <v>220</v>
      </c>
      <c r="F3" s="49"/>
      <c r="G3" s="49" t="s">
        <v>33</v>
      </c>
      <c r="H3" s="49" t="s">
        <v>481</v>
      </c>
      <c r="I3" s="57">
        <v>18626</v>
      </c>
      <c r="J3" s="79" t="s">
        <v>218</v>
      </c>
      <c r="K3" s="60">
        <f>IF(E3="Friendly",'US CBAs'!$J$82,IF(E3="World Cup",'US CBAs'!$J$84,0))</f>
        <v>3600</v>
      </c>
      <c r="L3" s="40">
        <v>20</v>
      </c>
      <c r="M3" s="59">
        <f t="shared" ref="M3:M16" si="0">K3*L3</f>
        <v>72000</v>
      </c>
      <c r="N3" s="45">
        <f>IF(J3="",I3*'US CBAs'!$C$118,0)</f>
        <v>0</v>
      </c>
      <c r="O3" s="59">
        <f t="shared" ref="O3:O16" si="1">M3+N3</f>
        <v>72000</v>
      </c>
      <c r="P3" s="61"/>
      <c r="Q3" s="404" t="s">
        <v>397</v>
      </c>
      <c r="R3" s="405" t="s">
        <v>6</v>
      </c>
      <c r="S3" s="405" t="s">
        <v>18</v>
      </c>
      <c r="T3" s="406" t="s">
        <v>91</v>
      </c>
    </row>
    <row r="4" spans="1:20" x14ac:dyDescent="0.35">
      <c r="A4" s="49" t="s">
        <v>192</v>
      </c>
      <c r="B4" s="195">
        <v>24</v>
      </c>
      <c r="C4" s="50">
        <v>2010</v>
      </c>
      <c r="D4" s="49" t="s">
        <v>46</v>
      </c>
      <c r="E4" s="49" t="s">
        <v>220</v>
      </c>
      <c r="F4" s="49"/>
      <c r="G4" s="49" t="s">
        <v>20</v>
      </c>
      <c r="H4" s="49" t="s">
        <v>482</v>
      </c>
      <c r="I4" s="57">
        <v>21737</v>
      </c>
      <c r="J4" s="79" t="s">
        <v>218</v>
      </c>
      <c r="K4" s="60">
        <f>IF(E4="Friendly",'US CBAs'!$J$82,IF(E4="World Cup",'US CBAs'!$J$84,0))</f>
        <v>3600</v>
      </c>
      <c r="L4" s="40">
        <v>20</v>
      </c>
      <c r="M4" s="59">
        <f t="shared" si="0"/>
        <v>72000</v>
      </c>
      <c r="N4" s="45">
        <f>IF(J4="",I4*'US CBAs'!$C$118,0)</f>
        <v>0</v>
      </c>
      <c r="O4" s="59">
        <f t="shared" si="1"/>
        <v>72000</v>
      </c>
      <c r="Q4" s="250" t="s">
        <v>217</v>
      </c>
      <c r="R4" s="251">
        <f>'US CBAs'!$J$83</f>
        <v>45000</v>
      </c>
      <c r="S4" s="256">
        <v>23</v>
      </c>
      <c r="T4" s="252">
        <f>R4*S4</f>
        <v>1035000</v>
      </c>
    </row>
    <row r="5" spans="1:20" x14ac:dyDescent="0.35">
      <c r="A5" s="49" t="s">
        <v>221</v>
      </c>
      <c r="B5" s="195">
        <v>3</v>
      </c>
      <c r="C5" s="50">
        <v>2010</v>
      </c>
      <c r="D5" s="49" t="s">
        <v>30</v>
      </c>
      <c r="E5" s="49" t="s">
        <v>220</v>
      </c>
      <c r="F5" s="49"/>
      <c r="G5" s="49" t="s">
        <v>33</v>
      </c>
      <c r="H5" s="49" t="s">
        <v>30</v>
      </c>
      <c r="I5" s="57">
        <v>46630</v>
      </c>
      <c r="J5" s="40" t="s">
        <v>218</v>
      </c>
      <c r="K5" s="60">
        <f>IF(E5="Friendly",'US CBAs'!$J$82,IF(E5="World Cup",'US CBAs'!$J$84,0))</f>
        <v>3600</v>
      </c>
      <c r="L5" s="40">
        <v>20</v>
      </c>
      <c r="M5" s="59">
        <f t="shared" si="0"/>
        <v>72000</v>
      </c>
      <c r="N5" s="45">
        <f>IF(J5="",I5*'US CBAs'!$C$118,0)</f>
        <v>0</v>
      </c>
      <c r="O5" s="59">
        <f t="shared" si="1"/>
        <v>72000</v>
      </c>
      <c r="Q5" s="250" t="s">
        <v>232</v>
      </c>
      <c r="R5" s="251"/>
      <c r="S5" s="256"/>
      <c r="T5" s="252">
        <f>'US CBAs'!$K$72</f>
        <v>2800000</v>
      </c>
    </row>
    <row r="6" spans="1:20" ht="13.15" x14ac:dyDescent="0.4">
      <c r="A6" s="49" t="s">
        <v>186</v>
      </c>
      <c r="B6" s="195">
        <v>25</v>
      </c>
      <c r="C6" s="50">
        <v>2010</v>
      </c>
      <c r="D6" s="49" t="s">
        <v>250</v>
      </c>
      <c r="E6" s="49" t="s">
        <v>220</v>
      </c>
      <c r="F6" s="49"/>
      <c r="G6" s="49" t="s">
        <v>33</v>
      </c>
      <c r="H6" s="49" t="s">
        <v>483</v>
      </c>
      <c r="I6" s="57">
        <v>36218</v>
      </c>
      <c r="J6" s="79" t="s">
        <v>218</v>
      </c>
      <c r="K6" s="60">
        <f>IF(E6="Friendly",'US CBAs'!$J$82,IF(E6="World Cup",'US CBAs'!$J$84,0))</f>
        <v>3600</v>
      </c>
      <c r="L6" s="40">
        <v>20</v>
      </c>
      <c r="M6" s="59">
        <f t="shared" si="0"/>
        <v>72000</v>
      </c>
      <c r="N6" s="45">
        <f>IF(J6="",I6*'US CBAs'!$C$118,0)</f>
        <v>0</v>
      </c>
      <c r="O6" s="59">
        <f t="shared" si="1"/>
        <v>72000</v>
      </c>
      <c r="P6" s="67"/>
      <c r="Q6" s="47" t="s">
        <v>90</v>
      </c>
      <c r="R6" s="299"/>
      <c r="S6" s="300"/>
      <c r="T6" s="257">
        <f>SUM(T4+T5)</f>
        <v>3835000</v>
      </c>
    </row>
    <row r="7" spans="1:20" x14ac:dyDescent="0.35">
      <c r="A7" s="49" t="s">
        <v>186</v>
      </c>
      <c r="B7" s="195">
        <v>29</v>
      </c>
      <c r="C7" s="50">
        <v>2010</v>
      </c>
      <c r="D7" s="49" t="s">
        <v>57</v>
      </c>
      <c r="E7" s="49" t="s">
        <v>220</v>
      </c>
      <c r="F7" s="49"/>
      <c r="G7" s="49" t="s">
        <v>20</v>
      </c>
      <c r="H7" s="49" t="s">
        <v>484</v>
      </c>
      <c r="I7" s="57">
        <v>55407</v>
      </c>
      <c r="J7" s="79" t="s">
        <v>218</v>
      </c>
      <c r="K7" s="60">
        <f>IF(E7="Friendly",'US CBAs'!$J$82,IF(E7="World Cup",'US CBAs'!$J$84,0))</f>
        <v>3600</v>
      </c>
      <c r="L7" s="40">
        <v>20</v>
      </c>
      <c r="M7" s="59">
        <f t="shared" si="0"/>
        <v>72000</v>
      </c>
      <c r="N7" s="45">
        <f>IF(J7="",I7*'US CBAs'!$C$118,0)</f>
        <v>0</v>
      </c>
      <c r="O7" s="59">
        <f t="shared" si="1"/>
        <v>72000</v>
      </c>
      <c r="Q7" s="407" t="s">
        <v>381</v>
      </c>
      <c r="R7" s="405" t="s">
        <v>6</v>
      </c>
      <c r="S7" s="405" t="s">
        <v>18</v>
      </c>
      <c r="T7" s="406" t="s">
        <v>91</v>
      </c>
    </row>
    <row r="8" spans="1:20" x14ac:dyDescent="0.35">
      <c r="A8" s="49" t="s">
        <v>223</v>
      </c>
      <c r="B8" s="195">
        <v>5</v>
      </c>
      <c r="C8" s="50">
        <v>2010</v>
      </c>
      <c r="D8" s="49" t="s">
        <v>37</v>
      </c>
      <c r="E8" s="49" t="s">
        <v>220</v>
      </c>
      <c r="F8" s="49" t="s">
        <v>31</v>
      </c>
      <c r="G8" s="49" t="s">
        <v>20</v>
      </c>
      <c r="H8" s="49" t="s">
        <v>74</v>
      </c>
      <c r="I8" s="57">
        <v>6000</v>
      </c>
      <c r="J8" s="79" t="s">
        <v>218</v>
      </c>
      <c r="K8" s="60">
        <f>IF(E8="Friendly",'US CBAs'!$J$82,IF(E8="World Cup",'US CBAs'!$J$84,0))</f>
        <v>3600</v>
      </c>
      <c r="L8" s="40">
        <v>20</v>
      </c>
      <c r="M8" s="59">
        <f t="shared" si="0"/>
        <v>72000</v>
      </c>
      <c r="N8" s="45">
        <f>IF(J8="",I8*'US CBAs'!$C$118,0)</f>
        <v>0</v>
      </c>
      <c r="O8" s="59">
        <f t="shared" si="1"/>
        <v>72000</v>
      </c>
      <c r="P8" s="61"/>
      <c r="Q8" s="360" t="s">
        <v>383</v>
      </c>
      <c r="R8" s="261">
        <f>'US CBAs'!$B$83</f>
        <v>4000</v>
      </c>
      <c r="S8" s="259">
        <v>23</v>
      </c>
      <c r="T8" s="252">
        <f>R8*S8</f>
        <v>92000</v>
      </c>
    </row>
    <row r="9" spans="1:20" ht="13.15" x14ac:dyDescent="0.4">
      <c r="A9" s="49" t="s">
        <v>223</v>
      </c>
      <c r="B9" s="195">
        <v>12</v>
      </c>
      <c r="C9" s="50">
        <v>2010</v>
      </c>
      <c r="D9" s="49" t="s">
        <v>61</v>
      </c>
      <c r="E9" s="49" t="s">
        <v>1</v>
      </c>
      <c r="F9" s="49"/>
      <c r="G9" s="49" t="s">
        <v>83</v>
      </c>
      <c r="H9" s="49" t="s">
        <v>74</v>
      </c>
      <c r="I9" s="57">
        <v>38646</v>
      </c>
      <c r="J9" s="40" t="s">
        <v>218</v>
      </c>
      <c r="K9" s="60">
        <f>IF(E9="Friendly",'US CBAs'!$J$82,IF(E9="World Cup",'US CBAs'!$J$84,0))</f>
        <v>4500</v>
      </c>
      <c r="L9" s="40">
        <v>23</v>
      </c>
      <c r="M9" s="59">
        <f t="shared" si="0"/>
        <v>103500</v>
      </c>
      <c r="N9" s="45">
        <f>IF(J9="",I9*'US CBAs'!$C$118,0)</f>
        <v>0</v>
      </c>
      <c r="O9" s="59">
        <f t="shared" si="1"/>
        <v>103500</v>
      </c>
      <c r="P9" s="61"/>
      <c r="Q9" s="47" t="s">
        <v>90</v>
      </c>
      <c r="R9" s="299"/>
      <c r="S9" s="300"/>
      <c r="T9" s="257">
        <f>T8</f>
        <v>92000</v>
      </c>
    </row>
    <row r="10" spans="1:20" x14ac:dyDescent="0.35">
      <c r="A10" s="49" t="s">
        <v>223</v>
      </c>
      <c r="B10" s="195">
        <v>18</v>
      </c>
      <c r="C10" s="50">
        <v>2010</v>
      </c>
      <c r="D10" s="49" t="s">
        <v>254</v>
      </c>
      <c r="E10" s="49" t="s">
        <v>1</v>
      </c>
      <c r="F10" s="49"/>
      <c r="G10" s="49" t="s">
        <v>83</v>
      </c>
      <c r="H10" s="49" t="s">
        <v>74</v>
      </c>
      <c r="I10" s="57">
        <v>45573</v>
      </c>
      <c r="J10" s="40" t="s">
        <v>218</v>
      </c>
      <c r="K10" s="60">
        <f>IF(E10="Friendly",'US CBAs'!$J$82,IF(E10="World Cup",'US CBAs'!$J$84,0))</f>
        <v>4500</v>
      </c>
      <c r="L10" s="40">
        <v>23</v>
      </c>
      <c r="M10" s="59">
        <f t="shared" si="0"/>
        <v>103500</v>
      </c>
      <c r="N10" s="45">
        <f>IF(J10="",I10*'US CBAs'!$C$118,0)</f>
        <v>0</v>
      </c>
      <c r="O10" s="59">
        <f t="shared" si="1"/>
        <v>103500</v>
      </c>
      <c r="P10" s="61"/>
      <c r="Q10" s="404" t="s">
        <v>402</v>
      </c>
      <c r="R10" s="405" t="s">
        <v>6</v>
      </c>
      <c r="S10" s="405" t="s">
        <v>18</v>
      </c>
      <c r="T10" s="406" t="s">
        <v>91</v>
      </c>
    </row>
    <row r="11" spans="1:20" x14ac:dyDescent="0.35">
      <c r="A11" s="49" t="s">
        <v>223</v>
      </c>
      <c r="B11" s="195">
        <v>23</v>
      </c>
      <c r="C11" s="50">
        <v>2010</v>
      </c>
      <c r="D11" s="49" t="s">
        <v>258</v>
      </c>
      <c r="E11" s="49" t="s">
        <v>1</v>
      </c>
      <c r="F11" s="49"/>
      <c r="G11" s="49" t="s">
        <v>20</v>
      </c>
      <c r="H11" s="49" t="s">
        <v>74</v>
      </c>
      <c r="I11" s="57">
        <v>35827</v>
      </c>
      <c r="J11" s="40" t="s">
        <v>218</v>
      </c>
      <c r="K11" s="60">
        <f>IF(E11="Friendly",'US CBAs'!$J$82,IF(E11="World Cup",'US CBAs'!$J$84,0))</f>
        <v>4500</v>
      </c>
      <c r="L11" s="40">
        <v>23</v>
      </c>
      <c r="M11" s="59">
        <f t="shared" si="0"/>
        <v>103500</v>
      </c>
      <c r="N11" s="45">
        <f>IF(J11="",I11*'US CBAs'!$C$118,0)</f>
        <v>0</v>
      </c>
      <c r="O11" s="59">
        <f t="shared" si="1"/>
        <v>103500</v>
      </c>
      <c r="P11" s="61"/>
      <c r="Q11" s="275" t="s">
        <v>382</v>
      </c>
      <c r="R11" s="261">
        <f>'US CBAs'!$B$82</f>
        <v>9000</v>
      </c>
      <c r="S11" s="259">
        <v>23</v>
      </c>
      <c r="T11" s="252">
        <f>R11*S11</f>
        <v>207000</v>
      </c>
    </row>
    <row r="12" spans="1:20" x14ac:dyDescent="0.35">
      <c r="A12" s="49" t="s">
        <v>223</v>
      </c>
      <c r="B12" s="195">
        <v>26</v>
      </c>
      <c r="C12" s="50">
        <v>2010</v>
      </c>
      <c r="D12" s="49" t="s">
        <v>77</v>
      </c>
      <c r="E12" s="49" t="s">
        <v>1</v>
      </c>
      <c r="F12" s="49"/>
      <c r="G12" s="49" t="s">
        <v>33</v>
      </c>
      <c r="H12" s="49" t="s">
        <v>74</v>
      </c>
      <c r="I12" s="57">
        <v>34976</v>
      </c>
      <c r="J12" s="40" t="s">
        <v>218</v>
      </c>
      <c r="K12" s="60">
        <f>IF(E12="Friendly",'US CBAs'!$J$82,IF(E12="World Cup",'US CBAs'!$J$84,0))</f>
        <v>4500</v>
      </c>
      <c r="L12" s="40">
        <v>23</v>
      </c>
      <c r="M12" s="59">
        <f t="shared" si="0"/>
        <v>103500</v>
      </c>
      <c r="N12" s="45">
        <f>IF(J12="",I12*'US CBAs'!$C$118,0)</f>
        <v>0</v>
      </c>
      <c r="O12" s="59">
        <f t="shared" si="1"/>
        <v>103500</v>
      </c>
      <c r="P12" s="61"/>
      <c r="Q12" s="275" t="s">
        <v>233</v>
      </c>
      <c r="R12" s="261"/>
      <c r="S12" s="259"/>
      <c r="T12" s="261">
        <f>'US CBAs'!$C$102</f>
        <v>2000000</v>
      </c>
    </row>
    <row r="13" spans="1:20" ht="13.15" x14ac:dyDescent="0.4">
      <c r="A13" s="49" t="s">
        <v>203</v>
      </c>
      <c r="B13" s="195">
        <v>10</v>
      </c>
      <c r="C13" s="50">
        <v>2010</v>
      </c>
      <c r="D13" s="49" t="s">
        <v>41</v>
      </c>
      <c r="E13" s="49" t="s">
        <v>220</v>
      </c>
      <c r="F13" s="49"/>
      <c r="G13" s="49" t="s">
        <v>33</v>
      </c>
      <c r="H13" s="49" t="s">
        <v>485</v>
      </c>
      <c r="I13" s="57">
        <v>77223</v>
      </c>
      <c r="J13" s="79" t="s">
        <v>218</v>
      </c>
      <c r="K13" s="60">
        <f>IF(E13="Friendly",'US CBAs'!$J$82,IF(E13="World Cup",'US CBAs'!$J$84,0))</f>
        <v>3600</v>
      </c>
      <c r="L13" s="40">
        <v>20</v>
      </c>
      <c r="M13" s="59">
        <f t="shared" si="0"/>
        <v>72000</v>
      </c>
      <c r="N13" s="45">
        <f>IF(J13="",I13*'US CBAs'!$C$118,0)</f>
        <v>0</v>
      </c>
      <c r="O13" s="59">
        <f t="shared" si="1"/>
        <v>72000</v>
      </c>
      <c r="P13" s="61"/>
      <c r="Q13" s="47" t="s">
        <v>90</v>
      </c>
      <c r="R13" s="299"/>
      <c r="S13" s="300"/>
      <c r="T13" s="257">
        <f>SUM(T11+T12)</f>
        <v>2207000</v>
      </c>
    </row>
    <row r="14" spans="1:20" x14ac:dyDescent="0.35">
      <c r="A14" s="49" t="s">
        <v>189</v>
      </c>
      <c r="B14" s="195">
        <v>9</v>
      </c>
      <c r="C14" s="50">
        <v>2010</v>
      </c>
      <c r="D14" s="49" t="s">
        <v>257</v>
      </c>
      <c r="E14" s="49" t="s">
        <v>220</v>
      </c>
      <c r="F14" s="49"/>
      <c r="G14" s="49" t="s">
        <v>83</v>
      </c>
      <c r="H14" s="49" t="s">
        <v>487</v>
      </c>
      <c r="I14" s="57">
        <v>31696</v>
      </c>
      <c r="J14" s="79" t="s">
        <v>218</v>
      </c>
      <c r="K14" s="60">
        <f>IF(E14="Friendly",'US CBAs'!$J$82,IF(E14="World Cup",'US CBAs'!$J$84,0))</f>
        <v>3600</v>
      </c>
      <c r="L14" s="40">
        <v>20</v>
      </c>
      <c r="M14" s="59">
        <f t="shared" si="0"/>
        <v>72000</v>
      </c>
      <c r="N14" s="45">
        <f>IF(J14="",I14*'US CBAs'!$C$118,0)</f>
        <v>0</v>
      </c>
      <c r="O14" s="59">
        <f t="shared" si="1"/>
        <v>72000</v>
      </c>
      <c r="P14" s="61"/>
      <c r="Q14" s="404" t="s">
        <v>384</v>
      </c>
      <c r="R14" s="405" t="s">
        <v>6</v>
      </c>
      <c r="S14" s="405" t="s">
        <v>18</v>
      </c>
      <c r="T14" s="406" t="s">
        <v>91</v>
      </c>
    </row>
    <row r="15" spans="1:20" x14ac:dyDescent="0.35">
      <c r="A15" s="49" t="s">
        <v>189</v>
      </c>
      <c r="B15" s="195">
        <v>12</v>
      </c>
      <c r="C15" s="50">
        <v>2010</v>
      </c>
      <c r="D15" s="49" t="s">
        <v>64</v>
      </c>
      <c r="E15" s="49" t="s">
        <v>220</v>
      </c>
      <c r="F15" s="49"/>
      <c r="G15" s="49" t="s">
        <v>83</v>
      </c>
      <c r="H15" s="49" t="s">
        <v>484</v>
      </c>
      <c r="I15" s="57">
        <v>8823</v>
      </c>
      <c r="J15" s="79" t="s">
        <v>218</v>
      </c>
      <c r="K15" s="60">
        <f>IF(E15="Friendly",'US CBAs'!$J$82,IF(E15="World Cup",'US CBAs'!$J$84,0))</f>
        <v>3600</v>
      </c>
      <c r="L15" s="40">
        <v>20</v>
      </c>
      <c r="M15" s="59">
        <f t="shared" si="0"/>
        <v>72000</v>
      </c>
      <c r="N15" s="45">
        <f>IF(J15="",I15*'US CBAs'!$C$118,0)</f>
        <v>0</v>
      </c>
      <c r="O15" s="59">
        <f t="shared" si="1"/>
        <v>72000</v>
      </c>
      <c r="P15" s="61"/>
      <c r="Q15" s="250" t="s">
        <v>217</v>
      </c>
      <c r="R15" s="251">
        <f>'US CBAs'!$B$103</f>
        <v>55000</v>
      </c>
      <c r="S15" s="256">
        <v>23</v>
      </c>
      <c r="T15" s="252">
        <f>R15*S15</f>
        <v>1265000</v>
      </c>
    </row>
    <row r="16" spans="1:20" x14ac:dyDescent="0.35">
      <c r="A16" s="49" t="s">
        <v>190</v>
      </c>
      <c r="B16" s="195">
        <v>17</v>
      </c>
      <c r="C16" s="50">
        <v>2010</v>
      </c>
      <c r="D16" s="49" t="s">
        <v>74</v>
      </c>
      <c r="E16" s="49" t="s">
        <v>220</v>
      </c>
      <c r="F16" s="49"/>
      <c r="G16" s="49" t="s">
        <v>20</v>
      </c>
      <c r="H16" s="49" t="s">
        <v>74</v>
      </c>
      <c r="I16" s="57">
        <v>52000</v>
      </c>
      <c r="J16" s="40" t="s">
        <v>218</v>
      </c>
      <c r="K16" s="60">
        <f>IF(E16="Friendly",'US CBAs'!$J$82,IF(E16="World Cup",'US CBAs'!$J$84,0))</f>
        <v>3600</v>
      </c>
      <c r="L16" s="40">
        <v>20</v>
      </c>
      <c r="M16" s="59">
        <f t="shared" si="0"/>
        <v>72000</v>
      </c>
      <c r="N16" s="45">
        <f>IF(J16="",I16*'US CBAs'!$C$118,0)</f>
        <v>0</v>
      </c>
      <c r="O16" s="59">
        <f t="shared" si="1"/>
        <v>72000</v>
      </c>
      <c r="P16" s="61"/>
      <c r="Q16" s="250" t="s">
        <v>232</v>
      </c>
      <c r="R16" s="251"/>
      <c r="S16" s="256"/>
      <c r="T16" s="252">
        <f>'US CBAs'!$C$107</f>
        <v>3600000</v>
      </c>
    </row>
    <row r="17" spans="1:20" x14ac:dyDescent="0.35">
      <c r="A17" s="49" t="s">
        <v>191</v>
      </c>
      <c r="B17" s="195">
        <v>22</v>
      </c>
      <c r="C17" s="50">
        <v>2011</v>
      </c>
      <c r="D17" s="49" t="s">
        <v>66</v>
      </c>
      <c r="E17" s="49" t="s">
        <v>220</v>
      </c>
      <c r="F17" s="49"/>
      <c r="G17" s="49" t="s">
        <v>83</v>
      </c>
      <c r="H17" s="49" t="s">
        <v>481</v>
      </c>
      <c r="I17" s="57">
        <v>18580</v>
      </c>
      <c r="J17" s="40"/>
      <c r="K17" s="59">
        <f>IF(G17="L",'US CBAs'!$B$73,
IF(AND(E17="Friendly",F17="T1",G17="W"),'US CBAs'!$B$68,
IF(AND(E17="Friendly",F17="T2",G17="W"),'US CBAs'!$B$69,
IF(AND(E17="Friendly",F17="",G17="W"),'US CBAs'!$B$70,
IF(AND(E17="Friendly",F17="T1",G17="D"),'US CBAs'!$B$71,
IF(AND(E17="Friendly",F17="",G17="D"),'US CBAs'!$B$72,
IF(AND(E17="Gold Cup",F17="T1",G17="W"),'US CBAs'!$B$78,
IF(AND(E17="Gold Cup",F17="",G17="W"),'US CBAs'!$B$79,
IF(AND(E17="Gold Cup",G17="D"),'US CBAs'!$B$80,
IF(AND(E17="Copa America",F17="",G17="W"),'US CBAs'!$B$85,
IF(AND(E17="Copa America",G17="D"),'US CBAs'!$B$86,
IF(AND(E17="WCQ SF",G17="W"),'US CBAs'!$B$94,
IF(AND(E17="WCQ SF",G17="D"),'US CBAs'!$B$95,
IF(AND(E17="WCQ Hex",G17="W"),'US CBAs'!$B$98,
IF(AND(E17="WCQ Hex",G17="D"),'US CBAs'!$B$99,
IF(E17="World Cup",'US CBAs'!$B$104,
0))))))))))))))))</f>
        <v>5000</v>
      </c>
      <c r="L17" s="40">
        <v>20</v>
      </c>
      <c r="M17" s="59">
        <f t="shared" ref="M17:M50" si="2">K17*L17</f>
        <v>100000</v>
      </c>
      <c r="N17" s="45">
        <f>IF(J17="",I17*'US CBAs'!$C$118,0)</f>
        <v>22296</v>
      </c>
      <c r="O17" s="59">
        <f t="shared" ref="O17:O50" si="3">M17+N17</f>
        <v>122296</v>
      </c>
      <c r="P17" s="61"/>
      <c r="R17" s="269" t="s">
        <v>387</v>
      </c>
      <c r="S17" s="269" t="s">
        <v>386</v>
      </c>
    </row>
    <row r="18" spans="1:20" x14ac:dyDescent="0.35">
      <c r="A18" s="49" t="s">
        <v>221</v>
      </c>
      <c r="B18" s="195">
        <v>26</v>
      </c>
      <c r="C18" s="50">
        <v>2011</v>
      </c>
      <c r="D18" s="49" t="s">
        <v>60</v>
      </c>
      <c r="E18" s="49" t="s">
        <v>220</v>
      </c>
      <c r="F18" s="49" t="s">
        <v>28</v>
      </c>
      <c r="G18" s="49" t="s">
        <v>83</v>
      </c>
      <c r="H18" s="49" t="s">
        <v>485</v>
      </c>
      <c r="I18" s="57">
        <v>78936</v>
      </c>
      <c r="J18" s="40"/>
      <c r="K18" s="59">
        <f>IF(G18="L",'US CBAs'!$B$73,
IF(AND(E18="Friendly",F18="T1",G18="W"),'US CBAs'!$B$68,
IF(AND(E18="Friendly",F18="T2",G18="W"),'US CBAs'!$B$69,
IF(AND(E18="Friendly",F18="",G18="W"),'US CBAs'!$B$70,
IF(AND(E18="Friendly",F18="T1",G18="D"),'US CBAs'!$B$71,
IF(AND(E18="Friendly",F18="",G18="D"),'US CBAs'!$B$72,
IF(AND(E18="Gold Cup",F18="T1",G18="W"),'US CBAs'!$B$78,
IF(AND(E18="Gold Cup",F18="",G18="W"),'US CBAs'!$B$79,
IF(AND(E18="Gold Cup",G18="D"),'US CBAs'!$B$80,
IF(AND(E18="Copa America",F18="",G18="W"),'US CBAs'!$B$85,
IF(AND(E18="Copa America",G18="D"),'US CBAs'!$B$86,
IF(AND(E18="WCQ SF",G18="W"),'US CBAs'!$B$94,
IF(AND(E18="WCQ SF",G18="D"),'US CBAs'!$B$95,
IF(AND(E18="WCQ Hex",G18="W"),'US CBAs'!$B$98,
IF(AND(E18="WCQ Hex",G18="D"),'US CBAs'!$B$99,
IF(E18="World Cup",'US CBAs'!$B$104,
0))))))))))))))))</f>
        <v>6500</v>
      </c>
      <c r="L18" s="40">
        <v>20</v>
      </c>
      <c r="M18" s="59">
        <f t="shared" si="2"/>
        <v>130000</v>
      </c>
      <c r="N18" s="45">
        <f>IF(J18="",I18*'US CBAs'!$C$118,0)</f>
        <v>94723.199999999997</v>
      </c>
      <c r="O18" s="59">
        <f t="shared" si="3"/>
        <v>224723.20000000001</v>
      </c>
      <c r="P18" s="61"/>
      <c r="Q18" s="79" t="s">
        <v>385</v>
      </c>
      <c r="R18" s="270">
        <f>'US CBAs'!$C$106</f>
        <v>175000</v>
      </c>
      <c r="S18" s="40">
        <v>4</v>
      </c>
      <c r="T18" s="252">
        <f>R18*S18</f>
        <v>700000</v>
      </c>
    </row>
    <row r="19" spans="1:20" x14ac:dyDescent="0.35">
      <c r="A19" s="49" t="s">
        <v>221</v>
      </c>
      <c r="B19" s="195">
        <v>29</v>
      </c>
      <c r="C19" s="50">
        <v>2011</v>
      </c>
      <c r="D19" s="49" t="s">
        <v>73</v>
      </c>
      <c r="E19" s="49" t="s">
        <v>220</v>
      </c>
      <c r="F19" s="49"/>
      <c r="G19" s="49" t="s">
        <v>33</v>
      </c>
      <c r="H19" s="49" t="s">
        <v>486</v>
      </c>
      <c r="I19" s="57">
        <v>29059</v>
      </c>
      <c r="J19" s="40"/>
      <c r="K19" s="59">
        <f>IF(G19="L",'US CBAs'!$B$73,
IF(AND(E19="Friendly",F19="T1",G19="W"),'US CBAs'!$B$68,
IF(AND(E19="Friendly",F19="T2",G19="W"),'US CBAs'!$B$69,
IF(AND(E19="Friendly",F19="",G19="W"),'US CBAs'!$B$70,
IF(AND(E19="Friendly",F19="T1",G19="D"),'US CBAs'!$B$71,
IF(AND(E19="Friendly",F19="",G19="D"),'US CBAs'!$B$72,
IF(AND(E19="Gold Cup",F19="T1",G19="W"),'US CBAs'!$B$78,
IF(AND(E19="Gold Cup",F19="",G19="W"),'US CBAs'!$B$79,
IF(AND(E19="Gold Cup",G19="D"),'US CBAs'!$B$80,
IF(AND(E19="Copa America",F19="",G19="W"),'US CBAs'!$B$85,
IF(AND(E19="Copa America",G19="D"),'US CBAs'!$B$86,
IF(AND(E19="WCQ SF",G19="W"),'US CBAs'!$B$94,
IF(AND(E19="WCQ SF",G19="D"),'US CBAs'!$B$95,
IF(AND(E19="WCQ Hex",G19="W"),'US CBAs'!$B$98,
IF(AND(E19="WCQ Hex",G19="D"),'US CBAs'!$B$99,
IF(E19="World Cup",'US CBAs'!$B$104,
0))))))))))))))))</f>
        <v>4000</v>
      </c>
      <c r="L19" s="40">
        <v>20</v>
      </c>
      <c r="M19" s="59">
        <f t="shared" si="2"/>
        <v>80000</v>
      </c>
      <c r="N19" s="45">
        <f>IF(J19="",I19*'US CBAs'!$C$118,0)</f>
        <v>34870.799999999996</v>
      </c>
      <c r="O19" s="59">
        <f t="shared" si="3"/>
        <v>114870.79999999999</v>
      </c>
      <c r="P19" s="61"/>
      <c r="Q19" s="253" t="s">
        <v>90</v>
      </c>
      <c r="R19" s="251"/>
      <c r="S19" s="256"/>
      <c r="T19" s="257">
        <f>T15+T16</f>
        <v>4865000</v>
      </c>
    </row>
    <row r="20" spans="1:20" x14ac:dyDescent="0.35">
      <c r="A20" s="49" t="s">
        <v>223</v>
      </c>
      <c r="B20" s="195">
        <v>4</v>
      </c>
      <c r="C20" s="50">
        <v>2011</v>
      </c>
      <c r="D20" s="49" t="s">
        <v>256</v>
      </c>
      <c r="E20" s="49" t="s">
        <v>220</v>
      </c>
      <c r="F20" s="49"/>
      <c r="G20" s="49" t="s">
        <v>33</v>
      </c>
      <c r="H20" s="49" t="s">
        <v>488</v>
      </c>
      <c r="I20" s="57">
        <v>64121</v>
      </c>
      <c r="J20" s="40"/>
      <c r="K20" s="59">
        <f>IF(G20="L",'US CBAs'!$B$73,
IF(AND(E20="Friendly",F20="T1",G20="W"),'US CBAs'!$B$68,
IF(AND(E20="Friendly",F20="T2",G20="W"),'US CBAs'!$B$69,
IF(AND(E20="Friendly",F20="",G20="W"),'US CBAs'!$B$70,
IF(AND(E20="Friendly",F20="T1",G20="D"),'US CBAs'!$B$71,
IF(AND(E20="Friendly",F20="",G20="D"),'US CBAs'!$B$72,
IF(AND(E20="Gold Cup",F20="T1",G20="W"),'US CBAs'!$B$78,
IF(AND(E20="Gold Cup",F20="",G20="W"),'US CBAs'!$B$79,
IF(AND(E20="Gold Cup",G20="D"),'US CBAs'!$B$80,
IF(AND(E20="Copa America",F20="",G20="W"),'US CBAs'!$B$85,
IF(AND(E20="Copa America",G20="D"),'US CBAs'!$B$86,
IF(AND(E20="WCQ SF",G20="W"),'US CBAs'!$B$94,
IF(AND(E20="WCQ SF",G20="D"),'US CBAs'!$B$95,
IF(AND(E20="WCQ Hex",G20="W"),'US CBAs'!$B$98,
IF(AND(E20="WCQ Hex",G20="D"),'US CBAs'!$B$99,
IF(E20="World Cup",'US CBAs'!$B$104,
0))))))))))))))))</f>
        <v>4000</v>
      </c>
      <c r="L20" s="40">
        <v>20</v>
      </c>
      <c r="M20" s="59">
        <f t="shared" si="2"/>
        <v>80000</v>
      </c>
      <c r="N20" s="45">
        <f>IF(J20="",I20*'US CBAs'!$C$118,0)</f>
        <v>76945.2</v>
      </c>
      <c r="O20" s="59">
        <f t="shared" si="3"/>
        <v>156945.20000000001</v>
      </c>
      <c r="P20" s="61"/>
      <c r="Q20" s="404" t="s">
        <v>389</v>
      </c>
      <c r="R20" s="405" t="s">
        <v>6</v>
      </c>
      <c r="S20" s="405" t="s">
        <v>18</v>
      </c>
      <c r="T20" s="406" t="s">
        <v>91</v>
      </c>
    </row>
    <row r="21" spans="1:20" x14ac:dyDescent="0.35">
      <c r="A21" s="49" t="s">
        <v>223</v>
      </c>
      <c r="B21" s="195">
        <v>7</v>
      </c>
      <c r="C21" s="50">
        <v>2011</v>
      </c>
      <c r="D21" s="49" t="s">
        <v>29</v>
      </c>
      <c r="E21" s="49" t="s">
        <v>229</v>
      </c>
      <c r="F21" s="49"/>
      <c r="G21" s="49" t="s">
        <v>20</v>
      </c>
      <c r="H21" s="49" t="s">
        <v>489</v>
      </c>
      <c r="I21" s="57">
        <v>28209</v>
      </c>
      <c r="J21" s="40" t="s">
        <v>218</v>
      </c>
      <c r="K21" s="59">
        <f>IF(G21="L",'US CBAs'!$B$73,
IF(AND(E21="Friendly",F21="T1",G21="W"),'US CBAs'!$B$68,
IF(AND(E21="Friendly",F21="T2",G21="W"),'US CBAs'!$B$69,
IF(AND(E21="Friendly",F21="",G21="W"),'US CBAs'!$B$70,
IF(AND(E21="Friendly",F21="T1",G21="D"),'US CBAs'!$B$71,
IF(AND(E21="Friendly",F21="",G21="D"),'US CBAs'!$B$72,
IF(AND(E21="Gold Cup",F21="T1",G21="W"),'US CBAs'!$B$78,
IF(AND(E21="Gold Cup",F21="",G21="W"),'US CBAs'!$B$79,
IF(AND(E21="Gold Cup",G21="D"),'US CBAs'!$B$80,
IF(AND(E21="Copa America",F21="",G21="W"),'US CBAs'!$B$85,
IF(AND(E21="Copa America",G21="D"),'US CBAs'!$B$86,
IF(AND(E21="WCQ SF",G21="W"),'US CBAs'!$B$94,
IF(AND(E21="WCQ SF",G21="D"),'US CBAs'!$B$95,
IF(AND(E21="WCQ Hex",G21="W"),'US CBAs'!$B$98,
IF(AND(E21="WCQ Hex",G21="D"),'US CBAs'!$B$99,
IF(E21="World Cup",'US CBAs'!$B$104,
0))))))))))))))))</f>
        <v>7500</v>
      </c>
      <c r="L21" s="40">
        <v>23</v>
      </c>
      <c r="M21" s="59">
        <f t="shared" si="2"/>
        <v>172500</v>
      </c>
      <c r="N21" s="45">
        <f>IF(J21="",I21*'US CBAs'!$C$118,0)</f>
        <v>0</v>
      </c>
      <c r="O21" s="59">
        <f t="shared" si="3"/>
        <v>172500</v>
      </c>
      <c r="P21" s="61"/>
      <c r="Q21" s="275" t="s">
        <v>390</v>
      </c>
      <c r="R21" s="261">
        <f>'US CBAs'!$F$92</f>
        <v>12500</v>
      </c>
      <c r="S21" s="259">
        <v>23</v>
      </c>
      <c r="T21" s="252">
        <f>R21*S21</f>
        <v>287500</v>
      </c>
    </row>
    <row r="22" spans="1:20" x14ac:dyDescent="0.35">
      <c r="A22" s="49" t="s">
        <v>223</v>
      </c>
      <c r="B22" s="195">
        <v>11</v>
      </c>
      <c r="C22" s="50">
        <v>2011</v>
      </c>
      <c r="D22" s="49" t="s">
        <v>42</v>
      </c>
      <c r="E22" s="49" t="s">
        <v>229</v>
      </c>
      <c r="F22" s="49"/>
      <c r="G22" s="49" t="s">
        <v>33</v>
      </c>
      <c r="H22" s="49" t="s">
        <v>482</v>
      </c>
      <c r="I22" s="57">
        <v>27731</v>
      </c>
      <c r="J22" s="40" t="s">
        <v>218</v>
      </c>
      <c r="K22" s="59">
        <f>IF(G22="L",'US CBAs'!$B$73,
IF(AND(E22="Friendly",F22="T1",G22="W"),'US CBAs'!$B$68,
IF(AND(E22="Friendly",F22="T2",G22="W"),'US CBAs'!$B$69,
IF(AND(E22="Friendly",F22="",G22="W"),'US CBAs'!$B$70,
IF(AND(E22="Friendly",F22="T1",G22="D"),'US CBAs'!$B$71,
IF(AND(E22="Friendly",F22="",G22="D"),'US CBAs'!$B$72,
IF(AND(E22="Gold Cup",F22="T1",G22="W"),'US CBAs'!$B$78,
IF(AND(E22="Gold Cup",F22="",G22="W"),'US CBAs'!$B$79,
IF(AND(E22="Gold Cup",G22="D"),'US CBAs'!$B$80,
IF(AND(E22="Copa America",F22="",G22="W"),'US CBAs'!$B$85,
IF(AND(E22="Copa America",G22="D"),'US CBAs'!$B$86,
IF(AND(E22="WCQ SF",G22="W"),'US CBAs'!$B$94,
IF(AND(E22="WCQ SF",G22="D"),'US CBAs'!$B$95,
IF(AND(E22="WCQ Hex",G22="W"),'US CBAs'!$B$98,
IF(AND(E22="WCQ Hex",G22="D"),'US CBAs'!$B$99,
IF(E22="World Cup",'US CBAs'!$B$104,
0))))))))))))))))</f>
        <v>4000</v>
      </c>
      <c r="L22" s="40">
        <v>23</v>
      </c>
      <c r="M22" s="59">
        <f t="shared" si="2"/>
        <v>92000</v>
      </c>
      <c r="N22" s="45">
        <f>IF(J22="",I22*'US CBAs'!$C$118,0)</f>
        <v>0</v>
      </c>
      <c r="O22" s="59">
        <f t="shared" si="3"/>
        <v>92000</v>
      </c>
      <c r="P22" s="61"/>
      <c r="Q22" s="274" t="s">
        <v>391</v>
      </c>
      <c r="R22" s="261">
        <f>'US CBAs'!$F$91</f>
        <v>6875</v>
      </c>
      <c r="S22" s="259">
        <v>23</v>
      </c>
      <c r="T22" s="252">
        <f>R22*S22</f>
        <v>158125</v>
      </c>
    </row>
    <row r="23" spans="1:20" ht="13.15" x14ac:dyDescent="0.4">
      <c r="A23" s="49" t="s">
        <v>223</v>
      </c>
      <c r="B23" s="195">
        <v>14</v>
      </c>
      <c r="C23" s="50">
        <v>2011</v>
      </c>
      <c r="D23" s="49" t="s">
        <v>255</v>
      </c>
      <c r="E23" s="49" t="s">
        <v>229</v>
      </c>
      <c r="F23" s="49"/>
      <c r="G23" s="49" t="s">
        <v>20</v>
      </c>
      <c r="H23" s="49" t="s">
        <v>490</v>
      </c>
      <c r="I23" s="57">
        <v>21109</v>
      </c>
      <c r="J23" s="40" t="s">
        <v>218</v>
      </c>
      <c r="K23" s="59">
        <f>IF(G23="L",'US CBAs'!$B$73,
IF(AND(E23="Friendly",F23="T1",G23="W"),'US CBAs'!$B$68,
IF(AND(E23="Friendly",F23="T2",G23="W"),'US CBAs'!$B$69,
IF(AND(E23="Friendly",F23="",G23="W"),'US CBAs'!$B$70,
IF(AND(E23="Friendly",F23="T1",G23="D"),'US CBAs'!$B$71,
IF(AND(E23="Friendly",F23="",G23="D"),'US CBAs'!$B$72,
IF(AND(E23="Gold Cup",F23="T1",G23="W"),'US CBAs'!$B$78,
IF(AND(E23="Gold Cup",F23="",G23="W"),'US CBAs'!$B$79,
IF(AND(E23="Gold Cup",G23="D"),'US CBAs'!$B$80,
IF(AND(E23="Copa America",F23="",G23="W"),'US CBAs'!$B$85,
IF(AND(E23="Copa America",G23="D"),'US CBAs'!$B$86,
IF(AND(E23="WCQ SF",G23="W"),'US CBAs'!$B$94,
IF(AND(E23="WCQ SF",G23="D"),'US CBAs'!$B$95,
IF(AND(E23="WCQ Hex",G23="W"),'US CBAs'!$B$98,
IF(AND(E23="WCQ Hex",G23="D"),'US CBAs'!$B$99,
IF(E23="World Cup",'US CBAs'!$B$104,
0))))))))))))))))</f>
        <v>7500</v>
      </c>
      <c r="L23" s="40">
        <v>23</v>
      </c>
      <c r="M23" s="59">
        <f t="shared" si="2"/>
        <v>172500</v>
      </c>
      <c r="N23" s="45">
        <f>IF(J23="",I23*'US CBAs'!$C$118,0)</f>
        <v>0</v>
      </c>
      <c r="O23" s="59">
        <f t="shared" si="3"/>
        <v>172500</v>
      </c>
      <c r="P23" s="61"/>
      <c r="Q23" s="47" t="s">
        <v>90</v>
      </c>
      <c r="R23" s="299"/>
      <c r="S23" s="300"/>
      <c r="T23" s="257">
        <f>SUM(T21+T22)</f>
        <v>445625</v>
      </c>
    </row>
    <row r="24" spans="1:20" x14ac:dyDescent="0.35">
      <c r="A24" s="49" t="s">
        <v>223</v>
      </c>
      <c r="B24" s="195">
        <v>19</v>
      </c>
      <c r="C24" s="50">
        <v>2011</v>
      </c>
      <c r="D24" s="49" t="s">
        <v>40</v>
      </c>
      <c r="E24" s="49" t="s">
        <v>229</v>
      </c>
      <c r="F24" s="49"/>
      <c r="G24" s="49" t="s">
        <v>20</v>
      </c>
      <c r="H24" s="49" t="s">
        <v>491</v>
      </c>
      <c r="I24" s="57">
        <v>45423</v>
      </c>
      <c r="J24" s="40" t="s">
        <v>218</v>
      </c>
      <c r="K24" s="59">
        <f>IF(G24="L",'US CBAs'!$B$73,
IF(AND(E24="Friendly",F24="T1",G24="W"),'US CBAs'!$B$68,
IF(AND(E24="Friendly",F24="T2",G24="W"),'US CBAs'!$B$69,
IF(AND(E24="Friendly",F24="",G24="W"),'US CBAs'!$B$70,
IF(AND(E24="Friendly",F24="T1",G24="D"),'US CBAs'!$B$71,
IF(AND(E24="Friendly",F24="",G24="D"),'US CBAs'!$B$72,
IF(AND(E24="Gold Cup",F24="T1",G24="W"),'US CBAs'!$B$78,
IF(AND(E24="Gold Cup",F24="",G24="W"),'US CBAs'!$B$79,
IF(AND(E24="Gold Cup",G24="D"),'US CBAs'!$B$80,
IF(AND(E24="Copa America",F24="",G24="W"),'US CBAs'!$B$85,
IF(AND(E24="Copa America",G24="D"),'US CBAs'!$B$86,
IF(AND(E24="WCQ SF",G24="W"),'US CBAs'!$B$94,
IF(AND(E24="WCQ SF",G24="D"),'US CBAs'!$B$95,
IF(AND(E24="WCQ Hex",G24="W"),'US CBAs'!$B$98,
IF(AND(E24="WCQ Hex",G24="D"),'US CBAs'!$B$99,
IF(E24="World Cup",'US CBAs'!$B$104,
0))))))))))))))))</f>
        <v>7500</v>
      </c>
      <c r="L24" s="40">
        <v>23</v>
      </c>
      <c r="M24" s="59">
        <f t="shared" si="2"/>
        <v>172500</v>
      </c>
      <c r="N24" s="45">
        <f>IF(J24="",I24*'US CBAs'!$C$118,0)</f>
        <v>0</v>
      </c>
      <c r="O24" s="59">
        <f t="shared" si="3"/>
        <v>172500</v>
      </c>
      <c r="P24" s="61"/>
      <c r="Q24" s="404" t="s">
        <v>388</v>
      </c>
      <c r="R24" s="405" t="s">
        <v>6</v>
      </c>
      <c r="S24" s="405" t="s">
        <v>18</v>
      </c>
      <c r="T24" s="406" t="s">
        <v>91</v>
      </c>
    </row>
    <row r="25" spans="1:20" x14ac:dyDescent="0.35">
      <c r="A25" s="49" t="s">
        <v>223</v>
      </c>
      <c r="B25" s="195">
        <v>22</v>
      </c>
      <c r="C25" s="50">
        <v>2011</v>
      </c>
      <c r="D25" s="49" t="s">
        <v>42</v>
      </c>
      <c r="E25" s="49" t="s">
        <v>229</v>
      </c>
      <c r="F25" s="49"/>
      <c r="G25" s="49" t="s">
        <v>20</v>
      </c>
      <c r="H25" s="49" t="s">
        <v>492</v>
      </c>
      <c r="I25" s="57">
        <v>70267</v>
      </c>
      <c r="J25" s="40" t="s">
        <v>218</v>
      </c>
      <c r="K25" s="59">
        <f>IF(G25="L",'US CBAs'!$B$73,
IF(AND(E25="Friendly",F25="T1",G25="W"),'US CBAs'!$B$68,
IF(AND(E25="Friendly",F25="T2",G25="W"),'US CBAs'!$B$69,
IF(AND(E25="Friendly",F25="",G25="W"),'US CBAs'!$B$70,
IF(AND(E25="Friendly",F25="T1",G25="D"),'US CBAs'!$B$71,
IF(AND(E25="Friendly",F25="",G25="D"),'US CBAs'!$B$72,
IF(AND(E25="Gold Cup",F25="T1",G25="W"),'US CBAs'!$B$78,
IF(AND(E25="Gold Cup",F25="",G25="W"),'US CBAs'!$B$79,
IF(AND(E25="Gold Cup",G25="D"),'US CBAs'!$B$80,
IF(AND(E25="Copa America",F25="",G25="W"),'US CBAs'!$B$85,
IF(AND(E25="Copa America",G25="D"),'US CBAs'!$B$86,
IF(AND(E25="WCQ SF",G25="W"),'US CBAs'!$B$94,
IF(AND(E25="WCQ SF",G25="D"),'US CBAs'!$B$95,
IF(AND(E25="WCQ Hex",G25="W"),'US CBAs'!$B$98,
IF(AND(E25="WCQ Hex",G25="D"),'US CBAs'!$B$99,
IF(E25="World Cup",'US CBAs'!$B$104,
0))))))))))))))))</f>
        <v>7500</v>
      </c>
      <c r="L25" s="40">
        <v>23</v>
      </c>
      <c r="M25" s="59">
        <f t="shared" si="2"/>
        <v>172500</v>
      </c>
      <c r="N25" s="45">
        <f>IF(J25="",I25*'US CBAs'!$C$118,0)</f>
        <v>0</v>
      </c>
      <c r="O25" s="59">
        <f t="shared" si="3"/>
        <v>172500</v>
      </c>
      <c r="P25" s="61"/>
      <c r="Q25" s="275" t="s">
        <v>382</v>
      </c>
      <c r="R25" s="261">
        <f>'US CBAs'!$F$82</f>
        <v>11250</v>
      </c>
      <c r="S25" s="259">
        <v>23</v>
      </c>
      <c r="T25" s="252">
        <f>R25*S25</f>
        <v>258750</v>
      </c>
    </row>
    <row r="26" spans="1:20" x14ac:dyDescent="0.35">
      <c r="A26" s="49" t="s">
        <v>223</v>
      </c>
      <c r="B26" s="195">
        <v>25</v>
      </c>
      <c r="C26" s="50">
        <v>2011</v>
      </c>
      <c r="D26" s="49" t="s">
        <v>35</v>
      </c>
      <c r="E26" s="49" t="s">
        <v>229</v>
      </c>
      <c r="F26" s="49"/>
      <c r="G26" s="49" t="s">
        <v>33</v>
      </c>
      <c r="H26" s="49" t="s">
        <v>481</v>
      </c>
      <c r="I26" s="57">
        <v>93420</v>
      </c>
      <c r="J26" s="40" t="s">
        <v>218</v>
      </c>
      <c r="K26" s="59">
        <f>IF(G26="L",'US CBAs'!$B$73,
IF(AND(E26="Friendly",F26="T1",G26="W"),'US CBAs'!$B$68,
IF(AND(E26="Friendly",F26="T2",G26="W"),'US CBAs'!$B$69,
IF(AND(E26="Friendly",F26="",G26="W"),'US CBAs'!$B$70,
IF(AND(E26="Friendly",F26="T1",G26="D"),'US CBAs'!$B$71,
IF(AND(E26="Friendly",F26="",G26="D"),'US CBAs'!$B$72,
IF(AND(E26="Gold Cup",F26="T1",G26="W"),'US CBAs'!$B$78,
IF(AND(E26="Gold Cup",F26="",G26="W"),'US CBAs'!$B$79,
IF(AND(E26="Gold Cup",G26="D"),'US CBAs'!$B$80,
IF(AND(E26="Copa America",F26="",G26="W"),'US CBAs'!$B$85,
IF(AND(E26="Copa America",G26="D"),'US CBAs'!$B$86,
IF(AND(E26="WCQ SF",G26="W"),'US CBAs'!$B$94,
IF(AND(E26="WCQ SF",G26="D"),'US CBAs'!$B$95,
IF(AND(E26="WCQ Hex",G26="W"),'US CBAs'!$B$98,
IF(AND(E26="WCQ Hex",G26="D"),'US CBAs'!$B$99,
IF(E26="World Cup",'US CBAs'!$B$104,
0))))))))))))))))</f>
        <v>4000</v>
      </c>
      <c r="L26" s="40">
        <v>23</v>
      </c>
      <c r="M26" s="59">
        <f t="shared" si="2"/>
        <v>92000</v>
      </c>
      <c r="N26" s="45">
        <f>IF(J26="",I26*'US CBAs'!$C$118,0)</f>
        <v>0</v>
      </c>
      <c r="O26" s="59">
        <f t="shared" si="3"/>
        <v>92000</v>
      </c>
      <c r="P26" s="61"/>
      <c r="Q26" s="232" t="s">
        <v>90</v>
      </c>
      <c r="R26" s="236"/>
      <c r="S26" s="233"/>
      <c r="T26" s="402">
        <f>T25</f>
        <v>258750</v>
      </c>
    </row>
    <row r="27" spans="1:20" x14ac:dyDescent="0.35">
      <c r="A27" s="49" t="s">
        <v>203</v>
      </c>
      <c r="B27" s="195">
        <v>10</v>
      </c>
      <c r="C27" s="50">
        <v>2011</v>
      </c>
      <c r="D27" s="49" t="s">
        <v>35</v>
      </c>
      <c r="E27" s="49" t="s">
        <v>220</v>
      </c>
      <c r="F27" s="49" t="s">
        <v>28</v>
      </c>
      <c r="G27" s="49" t="s">
        <v>83</v>
      </c>
      <c r="H27" s="49" t="s">
        <v>484</v>
      </c>
      <c r="I27" s="57">
        <v>30138</v>
      </c>
      <c r="J27" s="40"/>
      <c r="K27" s="59">
        <f>IF(G27="L",'US CBAs'!$B$73,
IF(AND(E27="Friendly",F27="T1",G27="W"),'US CBAs'!$B$68,
IF(AND(E27="Friendly",F27="T2",G27="W"),'US CBAs'!$B$69,
IF(AND(E27="Friendly",F27="",G27="W"),'US CBAs'!$B$70,
IF(AND(E27="Friendly",F27="T1",G27="D"),'US CBAs'!$B$71,
IF(AND(E27="Friendly",F27="",G27="D"),'US CBAs'!$B$72,
IF(AND(E27="Gold Cup",F27="T1",G27="W"),'US CBAs'!$B$78,
IF(AND(E27="Gold Cup",F27="",G27="W"),'US CBAs'!$B$79,
IF(AND(E27="Gold Cup",G27="D"),'US CBAs'!$B$80,
IF(AND(E27="Copa America",F27="",G27="W"),'US CBAs'!$B$85,
IF(AND(E27="Copa America",G27="D"),'US CBAs'!$B$86,
IF(AND(E27="WCQ SF",G27="W"),'US CBAs'!$B$94,
IF(AND(E27="WCQ SF",G27="D"),'US CBAs'!$B$95,
IF(AND(E27="WCQ Hex",G27="W"),'US CBAs'!$B$98,
IF(AND(E27="WCQ Hex",G27="D"),'US CBAs'!$B$99,
IF(E27="World Cup",'US CBAs'!$B$104,
0))))))))))))))))</f>
        <v>6500</v>
      </c>
      <c r="L27" s="40">
        <v>20</v>
      </c>
      <c r="M27" s="59">
        <f t="shared" si="2"/>
        <v>130000</v>
      </c>
      <c r="N27" s="45">
        <f>IF(J27="",I27*'US CBAs'!$C$118,0)</f>
        <v>36165.599999999999</v>
      </c>
      <c r="O27" s="59">
        <f t="shared" si="3"/>
        <v>166165.6</v>
      </c>
      <c r="P27" s="61"/>
      <c r="Q27" s="404" t="s">
        <v>573</v>
      </c>
      <c r="R27" s="405" t="s">
        <v>6</v>
      </c>
      <c r="S27" s="405" t="s">
        <v>18</v>
      </c>
      <c r="T27" s="406" t="s">
        <v>91</v>
      </c>
    </row>
    <row r="28" spans="1:20" x14ac:dyDescent="0.35">
      <c r="A28" s="49" t="s">
        <v>222</v>
      </c>
      <c r="B28" s="195">
        <v>2</v>
      </c>
      <c r="C28" s="50">
        <v>2011</v>
      </c>
      <c r="D28" s="49" t="s">
        <v>36</v>
      </c>
      <c r="E28" s="49" t="s">
        <v>220</v>
      </c>
      <c r="F28" s="49"/>
      <c r="G28" s="49" t="s">
        <v>33</v>
      </c>
      <c r="H28" s="49" t="s">
        <v>481</v>
      </c>
      <c r="I28" s="57">
        <v>15798</v>
      </c>
      <c r="J28" s="40"/>
      <c r="K28" s="59">
        <f>IF(G28="L",'US CBAs'!$B$73,
IF(AND(E28="Friendly",F28="T1",G28="W"),'US CBAs'!$B$68,
IF(AND(E28="Friendly",F28="T2",G28="W"),'US CBAs'!$B$69,
IF(AND(E28="Friendly",F28="",G28="W"),'US CBAs'!$B$70,
IF(AND(E28="Friendly",F28="T1",G28="D"),'US CBAs'!$B$71,
IF(AND(E28="Friendly",F28="",G28="D"),'US CBAs'!$B$72,
IF(AND(E28="Gold Cup",F28="T1",G28="W"),'US CBAs'!$B$78,
IF(AND(E28="Gold Cup",F28="",G28="W"),'US CBAs'!$B$79,
IF(AND(E28="Gold Cup",G28="D"),'US CBAs'!$B$80,
IF(AND(E28="Copa America",F28="",G28="W"),'US CBAs'!$B$85,
IF(AND(E28="Copa America",G28="D"),'US CBAs'!$B$86,
IF(AND(E28="WCQ SF",G28="W"),'US CBAs'!$B$94,
IF(AND(E28="WCQ SF",G28="D"),'US CBAs'!$B$95,
IF(AND(E28="WCQ Hex",G28="W"),'US CBAs'!$B$98,
IF(AND(E28="WCQ Hex",G28="D"),'US CBAs'!$B$99,
IF(E28="World Cup",'US CBAs'!$B$104,
0))))))))))))))))</f>
        <v>4000</v>
      </c>
      <c r="L28" s="40">
        <v>20</v>
      </c>
      <c r="M28" s="59">
        <f t="shared" si="2"/>
        <v>80000</v>
      </c>
      <c r="N28" s="45">
        <f>IF(J28="",I28*'US CBAs'!$C$118,0)</f>
        <v>18957.599999999999</v>
      </c>
      <c r="O28" s="59">
        <f t="shared" si="3"/>
        <v>98957.6</v>
      </c>
      <c r="P28" s="61"/>
      <c r="Q28" s="275" t="s">
        <v>383</v>
      </c>
      <c r="R28" s="261">
        <f>'US CBAs'!$F$83</f>
        <v>6875</v>
      </c>
      <c r="S28" s="259">
        <v>23</v>
      </c>
      <c r="T28" s="252">
        <f>R28*S28</f>
        <v>158125</v>
      </c>
    </row>
    <row r="29" spans="1:20" x14ac:dyDescent="0.35">
      <c r="A29" s="49" t="s">
        <v>222</v>
      </c>
      <c r="B29" s="195">
        <v>6</v>
      </c>
      <c r="C29" s="50">
        <v>2011</v>
      </c>
      <c r="D29" s="49" t="s">
        <v>39</v>
      </c>
      <c r="E29" s="49" t="s">
        <v>220</v>
      </c>
      <c r="F29" s="49"/>
      <c r="G29" s="49" t="s">
        <v>33</v>
      </c>
      <c r="H29" s="49" t="s">
        <v>39</v>
      </c>
      <c r="I29" s="57">
        <v>21946</v>
      </c>
      <c r="J29" s="40" t="s">
        <v>218</v>
      </c>
      <c r="K29" s="59">
        <f>IF(G29="L",'US CBAs'!$B$73,
IF(AND(E29="Friendly",F29="T1",G29="W"),'US CBAs'!$B$68,
IF(AND(E29="Friendly",F29="T2",G29="W"),'US CBAs'!$B$69,
IF(AND(E29="Friendly",F29="",G29="W"),'US CBAs'!$B$70,
IF(AND(E29="Friendly",F29="T1",G29="D"),'US CBAs'!$B$71,
IF(AND(E29="Friendly",F29="",G29="D"),'US CBAs'!$B$72,
IF(AND(E29="Gold Cup",F29="T1",G29="W"),'US CBAs'!$B$78,
IF(AND(E29="Gold Cup",F29="",G29="W"),'US CBAs'!$B$79,
IF(AND(E29="Gold Cup",G29="D"),'US CBAs'!$B$80,
IF(AND(E29="Copa America",F29="",G29="W"),'US CBAs'!$B$85,
IF(AND(E29="Copa America",G29="D"),'US CBAs'!$B$86,
IF(AND(E29="WCQ SF",G29="W"),'US CBAs'!$B$94,
IF(AND(E29="WCQ SF",G29="D"),'US CBAs'!$B$95,
IF(AND(E29="WCQ Hex",G29="W"),'US CBAs'!$B$98,
IF(AND(E29="WCQ Hex",G29="D"),'US CBAs'!$B$99,
IF(E29="World Cup",'US CBAs'!$B$104,
0))))))))))))))))</f>
        <v>4000</v>
      </c>
      <c r="L29" s="40">
        <v>20</v>
      </c>
      <c r="M29" s="59">
        <f t="shared" si="2"/>
        <v>80000</v>
      </c>
      <c r="N29" s="45">
        <f>IF(J29="",I29*'US CBAs'!$C$118,0)</f>
        <v>0</v>
      </c>
      <c r="O29" s="59">
        <f t="shared" si="3"/>
        <v>80000</v>
      </c>
      <c r="P29" s="61"/>
      <c r="Q29" s="232" t="s">
        <v>90</v>
      </c>
      <c r="R29" s="236"/>
      <c r="S29" s="233"/>
      <c r="T29" s="402">
        <f>T28</f>
        <v>158125</v>
      </c>
    </row>
    <row r="30" spans="1:20" x14ac:dyDescent="0.35">
      <c r="A30" s="49" t="s">
        <v>189</v>
      </c>
      <c r="B30" s="195">
        <v>8</v>
      </c>
      <c r="C30" s="50">
        <v>2011</v>
      </c>
      <c r="D30" s="49" t="s">
        <v>32</v>
      </c>
      <c r="E30" s="49" t="s">
        <v>220</v>
      </c>
      <c r="F30" s="49"/>
      <c r="G30" s="49" t="s">
        <v>20</v>
      </c>
      <c r="H30" s="49" t="s">
        <v>482</v>
      </c>
      <c r="I30" s="57">
        <v>21170</v>
      </c>
      <c r="J30" s="40"/>
      <c r="K30" s="59">
        <f>IF(G30="L",'US CBAs'!$B$73,
IF(AND(E30="Friendly",F30="T1",G30="W"),'US CBAs'!$B$68,
IF(AND(E30="Friendly",F30="T2",G30="W"),'US CBAs'!$B$69,
IF(AND(E30="Friendly",F30="",G30="W"),'US CBAs'!$B$70,
IF(AND(E30="Friendly",F30="T1",G30="D"),'US CBAs'!$B$71,
IF(AND(E30="Friendly",F30="",G30="D"),'US CBAs'!$B$72,
IF(AND(E30="Gold Cup",F30="T1",G30="W"),'US CBAs'!$B$78,
IF(AND(E30="Gold Cup",F30="",G30="W"),'US CBAs'!$B$79,
IF(AND(E30="Gold Cup",G30="D"),'US CBAs'!$B$80,
IF(AND(E30="Copa America",F30="",G30="W"),'US CBAs'!$B$85,
IF(AND(E30="Copa America",G30="D"),'US CBAs'!$B$86,
IF(AND(E30="WCQ SF",G30="W"),'US CBAs'!$B$94,
IF(AND(E30="WCQ SF",G30="D"),'US CBAs'!$B$95,
IF(AND(E30="WCQ Hex",G30="W"),'US CBAs'!$B$98,
IF(AND(E30="WCQ Hex",G30="D"),'US CBAs'!$B$99,
IF(E30="World Cup",'US CBAs'!$B$104,
0))))))))))))))))</f>
        <v>7500</v>
      </c>
      <c r="L30" s="40">
        <v>20</v>
      </c>
      <c r="M30" s="59">
        <f t="shared" si="2"/>
        <v>150000</v>
      </c>
      <c r="N30" s="45">
        <f>IF(J30="",I30*'US CBAs'!$C$118,0)</f>
        <v>25404</v>
      </c>
      <c r="O30" s="59">
        <f t="shared" si="3"/>
        <v>175404</v>
      </c>
      <c r="P30" s="61"/>
      <c r="Q30" s="39"/>
      <c r="R30" s="39"/>
      <c r="S30" s="39"/>
      <c r="T30" s="351"/>
    </row>
    <row r="31" spans="1:20" x14ac:dyDescent="0.35">
      <c r="A31" s="49" t="s">
        <v>189</v>
      </c>
      <c r="B31" s="195">
        <v>11</v>
      </c>
      <c r="C31" s="50">
        <v>2011</v>
      </c>
      <c r="D31" s="49" t="s">
        <v>63</v>
      </c>
      <c r="E31" s="49" t="s">
        <v>220</v>
      </c>
      <c r="F31" s="49"/>
      <c r="G31" s="49" t="s">
        <v>33</v>
      </c>
      <c r="H31" s="49" t="s">
        <v>485</v>
      </c>
      <c r="I31" s="57">
        <v>20707</v>
      </c>
      <c r="J31" s="40"/>
      <c r="K31" s="59">
        <f>IF(G31="L",'US CBAs'!$B$73,
IF(AND(E31="Friendly",F31="T1",G31="W"),'US CBAs'!$B$68,
IF(AND(E31="Friendly",F31="T2",G31="W"),'US CBAs'!$B$69,
IF(AND(E31="Friendly",F31="",G31="W"),'US CBAs'!$B$70,
IF(AND(E31="Friendly",F31="T1",G31="D"),'US CBAs'!$B$71,
IF(AND(E31="Friendly",F31="",G31="D"),'US CBAs'!$B$72,
IF(AND(E31="Gold Cup",F31="T1",G31="W"),'US CBAs'!$B$78,
IF(AND(E31="Gold Cup",F31="",G31="W"),'US CBAs'!$B$79,
IF(AND(E31="Gold Cup",G31="D"),'US CBAs'!$B$80,
IF(AND(E31="Copa America",F31="",G31="W"),'US CBAs'!$B$85,
IF(AND(E31="Copa America",G31="D"),'US CBAs'!$B$86,
IF(AND(E31="WCQ SF",G31="W"),'US CBAs'!$B$94,
IF(AND(E31="WCQ SF",G31="D"),'US CBAs'!$B$95,
IF(AND(E31="WCQ Hex",G31="W"),'US CBAs'!$B$98,
IF(AND(E31="WCQ Hex",G31="D"),'US CBAs'!$B$99,
IF(E31="World Cup",'US CBAs'!$B$104,
0))))))))))))))))</f>
        <v>4000</v>
      </c>
      <c r="L31" s="40">
        <v>20</v>
      </c>
      <c r="M31" s="59">
        <f t="shared" si="2"/>
        <v>80000</v>
      </c>
      <c r="N31" s="45">
        <f>IF(J31="",I31*'US CBAs'!$C$118,0)</f>
        <v>24848.399999999998</v>
      </c>
      <c r="O31" s="59">
        <f t="shared" si="3"/>
        <v>104848.4</v>
      </c>
      <c r="P31" s="61"/>
      <c r="Q31" s="275"/>
      <c r="R31" s="264"/>
      <c r="S31" s="259"/>
      <c r="T31" s="351"/>
    </row>
    <row r="32" spans="1:20" x14ac:dyDescent="0.35">
      <c r="A32" s="49" t="s">
        <v>190</v>
      </c>
      <c r="B32" s="195">
        <v>11</v>
      </c>
      <c r="C32" s="50">
        <v>2011</v>
      </c>
      <c r="D32" s="49" t="s">
        <v>53</v>
      </c>
      <c r="E32" s="49" t="s">
        <v>220</v>
      </c>
      <c r="F32" s="49"/>
      <c r="G32" s="49" t="s">
        <v>33</v>
      </c>
      <c r="H32" s="49" t="s">
        <v>53</v>
      </c>
      <c r="I32" s="57">
        <v>70018</v>
      </c>
      <c r="J32" s="40" t="s">
        <v>218</v>
      </c>
      <c r="K32" s="59">
        <f>IF(G32="L",'US CBAs'!$B$73,
IF(AND(E32="Friendly",F32="T1",G32="W"),'US CBAs'!$B$68,
IF(AND(E32="Friendly",F32="T2",G32="W"),'US CBAs'!$B$69,
IF(AND(E32="Friendly",F32="",G32="W"),'US CBAs'!$B$70,
IF(AND(E32="Friendly",F32="T1",G32="D"),'US CBAs'!$B$71,
IF(AND(E32="Friendly",F32="",G32="D"),'US CBAs'!$B$72,
IF(AND(E32="Gold Cup",F32="T1",G32="W"),'US CBAs'!$B$78,
IF(AND(E32="Gold Cup",F32="",G32="W"),'US CBAs'!$B$79,
IF(AND(E32="Gold Cup",G32="D"),'US CBAs'!$B$80,
IF(AND(E32="Copa America",F32="",G32="W"),'US CBAs'!$B$85,
IF(AND(E32="Copa America",G32="D"),'US CBAs'!$B$86,
IF(AND(E32="WCQ SF",G32="W"),'US CBAs'!$B$94,
IF(AND(E32="WCQ SF",G32="D"),'US CBAs'!$B$95,
IF(AND(E32="WCQ Hex",G32="W"),'US CBAs'!$B$98,
IF(AND(E32="WCQ Hex",G32="D"),'US CBAs'!$B$99,
IF(E32="World Cup",'US CBAs'!$B$104,
0))))))))))))))))</f>
        <v>4000</v>
      </c>
      <c r="L32" s="40">
        <v>20</v>
      </c>
      <c r="M32" s="59">
        <f t="shared" si="2"/>
        <v>80000</v>
      </c>
      <c r="N32" s="45">
        <f>IF(J32="",I32*'US CBAs'!$C$118,0)</f>
        <v>0</v>
      </c>
      <c r="O32" s="59">
        <f t="shared" si="3"/>
        <v>80000</v>
      </c>
      <c r="P32" s="61"/>
      <c r="Q32" s="279"/>
      <c r="R32" s="265"/>
      <c r="S32" s="259"/>
      <c r="T32" s="351"/>
    </row>
    <row r="33" spans="1:20" x14ac:dyDescent="0.35">
      <c r="A33" s="49" t="s">
        <v>190</v>
      </c>
      <c r="B33" s="195">
        <v>15</v>
      </c>
      <c r="C33" s="50">
        <v>2011</v>
      </c>
      <c r="D33" s="49" t="s">
        <v>254</v>
      </c>
      <c r="E33" s="49" t="s">
        <v>220</v>
      </c>
      <c r="F33" s="49"/>
      <c r="G33" s="49" t="s">
        <v>20</v>
      </c>
      <c r="H33" s="49" t="s">
        <v>254</v>
      </c>
      <c r="I33" s="57">
        <v>8140</v>
      </c>
      <c r="J33" s="40" t="s">
        <v>218</v>
      </c>
      <c r="K33" s="59">
        <f>IF(G33="L",'US CBAs'!$B$73,
IF(AND(E33="Friendly",F33="T1",G33="W"),'US CBAs'!$B$68,
IF(AND(E33="Friendly",F33="T2",G33="W"),'US CBAs'!$B$69,
IF(AND(E33="Friendly",F33="",G33="W"),'US CBAs'!$B$70,
IF(AND(E33="Friendly",F33="T1",G33="D"),'US CBAs'!$B$71,
IF(AND(E33="Friendly",F33="",G33="D"),'US CBAs'!$B$72,
IF(AND(E33="Gold Cup",F33="T1",G33="W"),'US CBAs'!$B$78,
IF(AND(E33="Gold Cup",F33="",G33="W"),'US CBAs'!$B$79,
IF(AND(E33="Gold Cup",G33="D"),'US CBAs'!$B$80,
IF(AND(E33="Copa America",F33="",G33="W"),'US CBAs'!$B$85,
IF(AND(E33="Copa America",G33="D"),'US CBAs'!$B$86,
IF(AND(E33="WCQ SF",G33="W"),'US CBAs'!$B$94,
IF(AND(E33="WCQ SF",G33="D"),'US CBAs'!$B$95,
IF(AND(E33="WCQ Hex",G33="W"),'US CBAs'!$B$98,
IF(AND(E33="WCQ Hex",G33="D"),'US CBAs'!$B$99,
IF(E33="World Cup",'US CBAs'!$B$104,
0))))))))))))))))</f>
        <v>7500</v>
      </c>
      <c r="L33" s="40">
        <v>20</v>
      </c>
      <c r="M33" s="59">
        <f t="shared" si="2"/>
        <v>150000</v>
      </c>
      <c r="N33" s="45">
        <f>IF(J33="",I33*'US CBAs'!$C$118,0)</f>
        <v>0</v>
      </c>
      <c r="O33" s="59">
        <f t="shared" si="3"/>
        <v>150000</v>
      </c>
      <c r="P33" s="61"/>
      <c r="Q33" s="277"/>
      <c r="R33" s="258"/>
      <c r="S33" s="259"/>
      <c r="T33" s="351"/>
    </row>
    <row r="34" spans="1:20" x14ac:dyDescent="0.35">
      <c r="A34" s="49"/>
      <c r="B34" s="195"/>
      <c r="C34" s="50"/>
      <c r="D34" s="58" t="s">
        <v>574</v>
      </c>
      <c r="E34" s="49"/>
      <c r="F34" s="49"/>
      <c r="G34" s="49"/>
      <c r="H34" s="49"/>
      <c r="I34" s="57"/>
      <c r="J34" s="40"/>
      <c r="K34" s="54">
        <f>'US CBAs'!$B$75</f>
        <v>1500</v>
      </c>
      <c r="L34" s="56">
        <v>10</v>
      </c>
      <c r="M34" s="54">
        <f t="shared" si="2"/>
        <v>15000</v>
      </c>
      <c r="N34" s="55"/>
      <c r="O34" s="54">
        <f t="shared" si="3"/>
        <v>15000</v>
      </c>
      <c r="P34" s="61"/>
    </row>
    <row r="35" spans="1:20" x14ac:dyDescent="0.35">
      <c r="A35" s="49" t="s">
        <v>191</v>
      </c>
      <c r="B35" s="197">
        <v>21</v>
      </c>
      <c r="C35" s="50">
        <v>2012</v>
      </c>
      <c r="D35" s="49" t="s">
        <v>76</v>
      </c>
      <c r="E35" s="49" t="s">
        <v>220</v>
      </c>
      <c r="F35" s="49"/>
      <c r="G35" s="49" t="s">
        <v>20</v>
      </c>
      <c r="H35" s="49" t="s">
        <v>493</v>
      </c>
      <c r="I35" s="57">
        <v>22403</v>
      </c>
      <c r="J35" s="40"/>
      <c r="K35" s="59">
        <f>IF(G35="L",'US CBAs'!$B$73,
IF(AND(E35="Friendly",F35="T1",G35="W"),'US CBAs'!$B$68,
IF(AND(E35="Friendly",F35="T2",G35="W"),'US CBAs'!$B$69,
IF(AND(E35="Friendly",F35="",G35="W"),'US CBAs'!$B$70,
IF(AND(E35="Friendly",F35="T1",G35="D"),'US CBAs'!$B$71,
IF(AND(E35="Friendly",F35="",G35="D"),'US CBAs'!$B$72,
IF(AND(E35="Gold Cup",F35="T1",G35="W"),'US CBAs'!$B$78,
IF(AND(E35="Gold Cup",F35="",G35="W"),'US CBAs'!$B$79,
IF(AND(E35="Gold Cup",G35="D"),'US CBAs'!$B$80,
IF(AND(E35="Copa America",F35="",G35="W"),'US CBAs'!$B$85,
IF(AND(E35="Copa America",G35="D"),'US CBAs'!$B$86,
IF(AND(E35="WCQ SF",G35="W"),'US CBAs'!$B$94,
IF(AND(E35="WCQ SF",G35="D"),'US CBAs'!$B$95,
IF(AND(E35="WCQ Hex",G35="W"),'US CBAs'!$B$98,
IF(AND(E35="WCQ Hex",G35="D"),'US CBAs'!$B$99,
IF(E35="World Cup",'US CBAs'!$B$104,
0))))))))))))))))</f>
        <v>7500</v>
      </c>
      <c r="L35" s="40">
        <v>20</v>
      </c>
      <c r="M35" s="59">
        <f t="shared" si="2"/>
        <v>150000</v>
      </c>
      <c r="N35" s="45">
        <f>IF(J35="",I35*'US CBAs'!$C$118,0)</f>
        <v>26883.599999999999</v>
      </c>
      <c r="O35" s="59">
        <f t="shared" si="3"/>
        <v>176883.6</v>
      </c>
      <c r="P35" s="61"/>
    </row>
    <row r="36" spans="1:20" x14ac:dyDescent="0.35">
      <c r="A36" s="49" t="s">
        <v>191</v>
      </c>
      <c r="B36" s="195">
        <v>25</v>
      </c>
      <c r="C36" s="50">
        <v>2012</v>
      </c>
      <c r="D36" s="49" t="s">
        <v>42</v>
      </c>
      <c r="E36" s="49" t="s">
        <v>220</v>
      </c>
      <c r="F36" s="49"/>
      <c r="G36" s="49" t="s">
        <v>20</v>
      </c>
      <c r="H36" s="49" t="s">
        <v>42</v>
      </c>
      <c r="I36" s="57">
        <v>15000</v>
      </c>
      <c r="J36" s="40" t="s">
        <v>218</v>
      </c>
      <c r="K36" s="59">
        <f>IF(G36="L",'US CBAs'!$B$73,
IF(AND(E36="Friendly",F36="T1",G36="W"),'US CBAs'!$B$68,
IF(AND(E36="Friendly",F36="T2",G36="W"),'US CBAs'!$B$69,
IF(AND(E36="Friendly",F36="",G36="W"),'US CBAs'!$B$70,
IF(AND(E36="Friendly",F36="T1",G36="D"),'US CBAs'!$B$71,
IF(AND(E36="Friendly",F36="",G36="D"),'US CBAs'!$B$72,
IF(AND(E36="Gold Cup",F36="T1",G36="W"),'US CBAs'!$B$78,
IF(AND(E36="Gold Cup",F36="",G36="W"),'US CBAs'!$B$79,
IF(AND(E36="Gold Cup",G36="D"),'US CBAs'!$B$80,
IF(AND(E36="Copa America",F36="",G36="W"),'US CBAs'!$B$85,
IF(AND(E36="Copa America",G36="D"),'US CBAs'!$B$86,
IF(AND(E36="WCQ SF",G36="W"),'US CBAs'!$B$94,
IF(AND(E36="WCQ SF",G36="D"),'US CBAs'!$B$95,
IF(AND(E36="WCQ Hex",G36="W"),'US CBAs'!$B$98,
IF(AND(E36="WCQ Hex",G36="D"),'US CBAs'!$B$99,
IF(E36="World Cup",'US CBAs'!$B$104,
0))))))))))))))))</f>
        <v>7500</v>
      </c>
      <c r="L36" s="40">
        <v>20</v>
      </c>
      <c r="M36" s="59">
        <f t="shared" si="2"/>
        <v>150000</v>
      </c>
      <c r="N36" s="45">
        <f>IF(J36="",I36*'US CBAs'!$C$118,0)</f>
        <v>0</v>
      </c>
      <c r="O36" s="59">
        <f t="shared" si="3"/>
        <v>150000</v>
      </c>
      <c r="P36" s="61"/>
    </row>
    <row r="37" spans="1:20" x14ac:dyDescent="0.35">
      <c r="A37" s="49" t="s">
        <v>192</v>
      </c>
      <c r="B37" s="195">
        <v>29</v>
      </c>
      <c r="C37" s="50">
        <v>2012</v>
      </c>
      <c r="D37" s="49" t="s">
        <v>84</v>
      </c>
      <c r="E37" s="49" t="s">
        <v>220</v>
      </c>
      <c r="F37" s="49" t="s">
        <v>28</v>
      </c>
      <c r="G37" s="49" t="s">
        <v>20</v>
      </c>
      <c r="H37" s="49" t="s">
        <v>84</v>
      </c>
      <c r="I37" s="57">
        <v>15000</v>
      </c>
      <c r="J37" s="40" t="s">
        <v>218</v>
      </c>
      <c r="K37" s="59">
        <f>IF(G37="L",'US CBAs'!$B$73,
IF(AND(E37="Friendly",F37="T1",G37="W"),'US CBAs'!$B$68,
IF(AND(E37="Friendly",F37="T2",G37="W"),'US CBAs'!$B$69,
IF(AND(E37="Friendly",F37="",G37="W"),'US CBAs'!$B$70,
IF(AND(E37="Friendly",F37="T1",G37="D"),'US CBAs'!$B$71,
IF(AND(E37="Friendly",F37="",G37="D"),'US CBAs'!$B$72,
IF(AND(E37="Gold Cup",F37="T1",G37="W"),'US CBAs'!$B$78,
IF(AND(E37="Gold Cup",F37="",G37="W"),'US CBAs'!$B$79,
IF(AND(E37="Gold Cup",G37="D"),'US CBAs'!$B$80,
IF(AND(E37="Copa America",F37="",G37="W"),'US CBAs'!$B$85,
IF(AND(E37="Copa America",G37="D"),'US CBAs'!$B$86,
IF(AND(E37="WCQ SF",G37="W"),'US CBAs'!$B$94,
IF(AND(E37="WCQ SF",G37="D"),'US CBAs'!$B$95,
IF(AND(E37="WCQ Hex",G37="W"),'US CBAs'!$B$98,
IF(AND(E37="WCQ Hex",G37="D"),'US CBAs'!$B$99,
IF(E37="World Cup",'US CBAs'!$B$104,
0))))))))))))))))</f>
        <v>14100</v>
      </c>
      <c r="L37" s="40">
        <v>20</v>
      </c>
      <c r="M37" s="59">
        <f t="shared" si="2"/>
        <v>282000</v>
      </c>
      <c r="N37" s="45">
        <f>IF(J37="",I37*'US CBAs'!$C$118,0)</f>
        <v>0</v>
      </c>
      <c r="O37" s="59">
        <f t="shared" si="3"/>
        <v>282000</v>
      </c>
      <c r="P37" s="61"/>
    </row>
    <row r="38" spans="1:20" x14ac:dyDescent="0.35">
      <c r="A38" s="49" t="s">
        <v>186</v>
      </c>
      <c r="B38" s="195">
        <v>26</v>
      </c>
      <c r="C38" s="50">
        <v>2012</v>
      </c>
      <c r="D38" s="49" t="s">
        <v>19</v>
      </c>
      <c r="E38" s="49" t="s">
        <v>220</v>
      </c>
      <c r="F38" s="49"/>
      <c r="G38" s="49" t="s">
        <v>20</v>
      </c>
      <c r="H38" s="49" t="s">
        <v>482</v>
      </c>
      <c r="I38" s="57">
        <v>44438</v>
      </c>
      <c r="J38" s="40"/>
      <c r="K38" s="59">
        <f>IF(G38="L",'US CBAs'!$B$73,
IF(AND(E38="Friendly",F38="T1",G38="W"),'US CBAs'!$B$68,
IF(AND(E38="Friendly",F38="T2",G38="W"),'US CBAs'!$B$69,
IF(AND(E38="Friendly",F38="",G38="W"),'US CBAs'!$B$70,
IF(AND(E38="Friendly",F38="T1",G38="D"),'US CBAs'!$B$71,
IF(AND(E38="Friendly",F38="",G38="D"),'US CBAs'!$B$72,
IF(AND(E38="Gold Cup",F38="T1",G38="W"),'US CBAs'!$B$78,
IF(AND(E38="Gold Cup",F38="",G38="W"),'US CBAs'!$B$79,
IF(AND(E38="Gold Cup",G38="D"),'US CBAs'!$B$80,
IF(AND(E38="Copa America",F38="",G38="W"),'US CBAs'!$B$85,
IF(AND(E38="Copa America",G38="D"),'US CBAs'!$B$86,
IF(AND(E38="WCQ SF",G38="W"),'US CBAs'!$B$94,
IF(AND(E38="WCQ SF",G38="D"),'US CBAs'!$B$95,
IF(AND(E38="WCQ Hex",G38="W"),'US CBAs'!$B$98,
IF(AND(E38="WCQ Hex",G38="D"),'US CBAs'!$B$99,
IF(E38="World Cup",'US CBAs'!$B$104,
0))))))))))))))))</f>
        <v>7500</v>
      </c>
      <c r="L38" s="40">
        <v>20</v>
      </c>
      <c r="M38" s="59">
        <f t="shared" si="2"/>
        <v>150000</v>
      </c>
      <c r="N38" s="45">
        <f>IF(J38="",I38*'US CBAs'!$C$118,0)</f>
        <v>53325.599999999999</v>
      </c>
      <c r="O38" s="59">
        <f t="shared" si="3"/>
        <v>203325.6</v>
      </c>
      <c r="P38" s="61"/>
    </row>
    <row r="39" spans="1:20" x14ac:dyDescent="0.35">
      <c r="A39" s="49" t="s">
        <v>186</v>
      </c>
      <c r="B39" s="195">
        <v>30</v>
      </c>
      <c r="C39" s="50">
        <v>2012</v>
      </c>
      <c r="D39" s="49" t="s">
        <v>41</v>
      </c>
      <c r="E39" s="49" t="s">
        <v>220</v>
      </c>
      <c r="F39" s="49"/>
      <c r="G39" s="49" t="s">
        <v>33</v>
      </c>
      <c r="H39" s="49" t="s">
        <v>494</v>
      </c>
      <c r="I39" s="57">
        <v>67619</v>
      </c>
      <c r="J39" s="40"/>
      <c r="K39" s="59">
        <f>IF(G39="L",'US CBAs'!$B$73,
IF(AND(E39="Friendly",F39="T1",G39="W"),'US CBAs'!$B$68,
IF(AND(E39="Friendly",F39="T2",G39="W"),'US CBAs'!$B$69,
IF(AND(E39="Friendly",F39="",G39="W"),'US CBAs'!$B$70,
IF(AND(E39="Friendly",F39="T1",G39="D"),'US CBAs'!$B$71,
IF(AND(E39="Friendly",F39="",G39="D"),'US CBAs'!$B$72,
IF(AND(E39="Gold Cup",F39="T1",G39="W"),'US CBAs'!$B$78,
IF(AND(E39="Gold Cup",F39="",G39="W"),'US CBAs'!$B$79,
IF(AND(E39="Gold Cup",G39="D"),'US CBAs'!$B$80,
IF(AND(E39="Copa America",F39="",G39="W"),'US CBAs'!$B$85,
IF(AND(E39="Copa America",G39="D"),'US CBAs'!$B$86,
IF(AND(E39="WCQ SF",G39="W"),'US CBAs'!$B$94,
IF(AND(E39="WCQ SF",G39="D"),'US CBAs'!$B$95,
IF(AND(E39="WCQ Hex",G39="W"),'US CBAs'!$B$98,
IF(AND(E39="WCQ Hex",G39="D"),'US CBAs'!$B$99,
IF(E39="World Cup",'US CBAs'!$B$104,
0))))))))))))))))</f>
        <v>4000</v>
      </c>
      <c r="L39" s="40">
        <v>20</v>
      </c>
      <c r="M39" s="59">
        <f t="shared" si="2"/>
        <v>80000</v>
      </c>
      <c r="N39" s="45">
        <f>IF(J39="",I39*'US CBAs'!$C$118,0)</f>
        <v>81142.8</v>
      </c>
      <c r="O39" s="59">
        <f t="shared" si="3"/>
        <v>161142.79999999999</v>
      </c>
      <c r="P39" s="61"/>
    </row>
    <row r="40" spans="1:20" x14ac:dyDescent="0.35">
      <c r="A40" s="49" t="s">
        <v>223</v>
      </c>
      <c r="B40" s="195">
        <v>3</v>
      </c>
      <c r="C40" s="50">
        <v>2012</v>
      </c>
      <c r="D40" s="49" t="s">
        <v>29</v>
      </c>
      <c r="E40" s="49" t="s">
        <v>220</v>
      </c>
      <c r="F40" s="49"/>
      <c r="G40" s="49" t="s">
        <v>83</v>
      </c>
      <c r="H40" s="49" t="s">
        <v>29</v>
      </c>
      <c r="I40" s="57">
        <v>15247</v>
      </c>
      <c r="J40" s="40" t="s">
        <v>218</v>
      </c>
      <c r="K40" s="59">
        <f>IF(G40="L",'US CBAs'!$B$73,
IF(AND(E40="Friendly",F40="T1",G40="W"),'US CBAs'!$B$68,
IF(AND(E40="Friendly",F40="T2",G40="W"),'US CBAs'!$B$69,
IF(AND(E40="Friendly",F40="",G40="W"),'US CBAs'!$B$70,
IF(AND(E40="Friendly",F40="T1",G40="D"),'US CBAs'!$B$71,
IF(AND(E40="Friendly",F40="",G40="D"),'US CBAs'!$B$72,
IF(AND(E40="Gold Cup",F40="T1",G40="W"),'US CBAs'!$B$78,
IF(AND(E40="Gold Cup",F40="",G40="W"),'US CBAs'!$B$79,
IF(AND(E40="Gold Cup",G40="D"),'US CBAs'!$B$80,
IF(AND(E40="Copa America",F40="",G40="W"),'US CBAs'!$B$85,
IF(AND(E40="Copa America",G40="D"),'US CBAs'!$B$86,
IF(AND(E40="WCQ SF",G40="W"),'US CBAs'!$B$94,
IF(AND(E40="WCQ SF",G40="D"),'US CBAs'!$B$95,
IF(AND(E40="WCQ Hex",G40="W"),'US CBAs'!$B$98,
IF(AND(E40="WCQ Hex",G40="D"),'US CBAs'!$B$99,
IF(E40="World Cup",'US CBAs'!$B$104,
0))))))))))))))))</f>
        <v>5000</v>
      </c>
      <c r="L40" s="40">
        <v>20</v>
      </c>
      <c r="M40" s="59">
        <f t="shared" si="2"/>
        <v>100000</v>
      </c>
      <c r="N40" s="45">
        <f>IF(J40="",I40*'US CBAs'!$C$118,0)</f>
        <v>0</v>
      </c>
      <c r="O40" s="59">
        <f t="shared" si="3"/>
        <v>100000</v>
      </c>
      <c r="P40" s="61"/>
    </row>
    <row r="41" spans="1:20" x14ac:dyDescent="0.35">
      <c r="A41" s="49" t="s">
        <v>223</v>
      </c>
      <c r="B41" s="195">
        <v>8</v>
      </c>
      <c r="C41" s="50">
        <v>2012</v>
      </c>
      <c r="D41" s="49" t="s">
        <v>253</v>
      </c>
      <c r="E41" s="49" t="s">
        <v>234</v>
      </c>
      <c r="F41" s="49"/>
      <c r="G41" s="49" t="s">
        <v>20</v>
      </c>
      <c r="H41" s="49" t="s">
        <v>482</v>
      </c>
      <c r="I41" s="57">
        <v>23971</v>
      </c>
      <c r="J41" s="40"/>
      <c r="K41" s="59">
        <f>IF(G41="L",'US CBAs'!$B$73,
IF(AND(E41="Friendly",F41="T1",G41="W"),'US CBAs'!$B$68,
IF(AND(E41="Friendly",F41="T2",G41="W"),'US CBAs'!$B$69,
IF(AND(E41="Friendly",F41="",G41="W"),'US CBAs'!$B$70,
IF(AND(E41="Friendly",F41="T1",G41="D"),'US CBAs'!$B$71,
IF(AND(E41="Friendly",F41="",G41="D"),'US CBAs'!$B$72,
IF(AND(E41="Gold Cup",F41="T1",G41="W"),'US CBAs'!$B$78,
IF(AND(E41="Gold Cup",F41="",G41="W"),'US CBAs'!$B$79,
IF(AND(E41="Gold Cup",G41="D"),'US CBAs'!$B$80,
IF(AND(E41="Copa America",F41="",G41="W"),'US CBAs'!$B$85,
IF(AND(E41="Copa America",G41="D"),'US CBAs'!$B$86,
IF(AND(E41="WCQ SF",G41="W"),'US CBAs'!$B$94,
IF(AND(E41="WCQ SF",G41="D"),'US CBAs'!$B$95,
IF(AND(E41="WCQ Hex",G41="W"),'US CBAs'!$B$98,
IF(AND(E41="WCQ Hex",G41="D"),'US CBAs'!$B$99,
IF(E41="World Cup",'US CBAs'!$B$104,
0))))))))))))))))</f>
        <v>12500</v>
      </c>
      <c r="L41" s="40">
        <v>23</v>
      </c>
      <c r="M41" s="59">
        <f t="shared" si="2"/>
        <v>287500</v>
      </c>
      <c r="N41" s="45">
        <f>IF(J41="",I41*'US CBAs'!$C$118,0)</f>
        <v>28765.200000000001</v>
      </c>
      <c r="O41" s="59">
        <f t="shared" si="3"/>
        <v>316265.2</v>
      </c>
      <c r="P41" s="61"/>
      <c r="Q41" s="239"/>
      <c r="R41" s="239"/>
      <c r="S41" s="247"/>
      <c r="T41" s="248"/>
    </row>
    <row r="42" spans="1:20" x14ac:dyDescent="0.35">
      <c r="A42" s="49" t="s">
        <v>223</v>
      </c>
      <c r="B42" s="195">
        <v>12</v>
      </c>
      <c r="C42" s="50">
        <v>2012</v>
      </c>
      <c r="D42" s="49" t="s">
        <v>43</v>
      </c>
      <c r="E42" s="49" t="s">
        <v>234</v>
      </c>
      <c r="F42" s="49"/>
      <c r="G42" s="49" t="s">
        <v>83</v>
      </c>
      <c r="H42" s="49" t="s">
        <v>43</v>
      </c>
      <c r="I42" s="57">
        <v>18000</v>
      </c>
      <c r="J42" s="40" t="s">
        <v>218</v>
      </c>
      <c r="K42" s="59">
        <f>IF(G42="L",'US CBAs'!$B$73,
IF(AND(E42="Friendly",F42="T1",G42="W"),'US CBAs'!$B$68,
IF(AND(E42="Friendly",F42="T2",G42="W"),'US CBAs'!$B$69,
IF(AND(E42="Friendly",F42="",G42="W"),'US CBAs'!$B$70,
IF(AND(E42="Friendly",F42="T1",G42="D"),'US CBAs'!$B$71,
IF(AND(E42="Friendly",F42="",G42="D"),'US CBAs'!$B$72,
IF(AND(E42="Gold Cup",F42="T1",G42="W"),'US CBAs'!$B$78,
IF(AND(E42="Gold Cup",F42="",G42="W"),'US CBAs'!$B$79,
IF(AND(E42="Gold Cup",G42="D"),'US CBAs'!$B$80,
IF(AND(E42="Copa America",F42="",G42="W"),'US CBAs'!$B$85,
IF(AND(E42="Copa America",G42="D"),'US CBAs'!$B$86,
IF(AND(E42="WCQ SF",G42="W"),'US CBAs'!$B$94,
IF(AND(E42="WCQ SF",G42="D"),'US CBAs'!$B$95,
IF(AND(E42="WCQ Hex",G42="W"),'US CBAs'!$B$98,
IF(AND(E42="WCQ Hex",G42="D"),'US CBAs'!$B$99,
IF(E42="World Cup",'US CBAs'!$B$104,
0))))))))))))))))</f>
        <v>6000</v>
      </c>
      <c r="L42" s="40">
        <v>23</v>
      </c>
      <c r="M42" s="59">
        <f t="shared" si="2"/>
        <v>138000</v>
      </c>
      <c r="N42" s="45">
        <f>IF(J42="",I42*'US CBAs'!$C$118,0)</f>
        <v>0</v>
      </c>
      <c r="O42" s="59">
        <f t="shared" si="3"/>
        <v>138000</v>
      </c>
      <c r="P42" s="61"/>
      <c r="Q42" s="242"/>
      <c r="R42" s="242"/>
      <c r="S42" s="247"/>
      <c r="T42" s="248"/>
    </row>
    <row r="43" spans="1:20" x14ac:dyDescent="0.35">
      <c r="A43" s="49" t="s">
        <v>203</v>
      </c>
      <c r="B43" s="195">
        <v>15</v>
      </c>
      <c r="C43" s="50">
        <v>2012</v>
      </c>
      <c r="D43" s="49" t="s">
        <v>35</v>
      </c>
      <c r="E43" s="49" t="s">
        <v>220</v>
      </c>
      <c r="F43" s="49" t="s">
        <v>28</v>
      </c>
      <c r="G43" s="49" t="s">
        <v>20</v>
      </c>
      <c r="H43" s="49" t="s">
        <v>35</v>
      </c>
      <c r="I43" s="57">
        <v>56000</v>
      </c>
      <c r="J43" s="49" t="s">
        <v>218</v>
      </c>
      <c r="K43" s="59">
        <f>IF(G43="L",'US CBAs'!$B$73,
IF(AND(E43="Friendly",F43="T1",G43="W"),'US CBAs'!$B$68,
IF(AND(E43="Friendly",F43="T2",G43="W"),'US CBAs'!$B$69,
IF(AND(E43="Friendly",F43="",G43="W"),'US CBAs'!$B$70,
IF(AND(E43="Friendly",F43="T1",G43="D"),'US CBAs'!$B$71,
IF(AND(E43="Friendly",F43="",G43="D"),'US CBAs'!$B$72,
IF(AND(E43="Gold Cup",F43="T1",G43="W"),'US CBAs'!$B$78,
IF(AND(E43="Gold Cup",F43="",G43="W"),'US CBAs'!$B$79,
IF(AND(E43="Gold Cup",G43="D"),'US CBAs'!$B$80,
IF(AND(E43="Copa America",F43="",G43="W"),'US CBAs'!$B$85,
IF(AND(E43="Copa America",G43="D"),'US CBAs'!$B$86,
IF(AND(E43="WCQ SF",G43="W"),'US CBAs'!$B$94,
IF(AND(E43="WCQ SF",G43="D"),'US CBAs'!$B$95,
IF(AND(E43="WCQ Hex",G43="W"),'US CBAs'!$B$98,
IF(AND(E43="WCQ Hex",G43="D"),'US CBAs'!$B$99,
IF(E43="World Cup",'US CBAs'!$B$104,
0))))))))))))))))</f>
        <v>14100</v>
      </c>
      <c r="L43" s="40">
        <v>20</v>
      </c>
      <c r="M43" s="59">
        <f t="shared" si="2"/>
        <v>282000</v>
      </c>
      <c r="N43" s="45">
        <f>IF(J43="",I43*'US CBAs'!$C$118,0)</f>
        <v>0</v>
      </c>
      <c r="O43" s="59">
        <f t="shared" si="3"/>
        <v>282000</v>
      </c>
      <c r="P43" s="61"/>
      <c r="Q43" s="242"/>
      <c r="R43" s="242"/>
      <c r="S43" s="247"/>
      <c r="T43" s="248"/>
    </row>
    <row r="44" spans="1:20" x14ac:dyDescent="0.35">
      <c r="A44" s="49" t="s">
        <v>222</v>
      </c>
      <c r="B44" s="195">
        <v>7</v>
      </c>
      <c r="C44" s="50">
        <v>2012</v>
      </c>
      <c r="D44" s="49" t="s">
        <v>40</v>
      </c>
      <c r="E44" s="49" t="s">
        <v>234</v>
      </c>
      <c r="F44" s="49"/>
      <c r="G44" s="49" t="s">
        <v>33</v>
      </c>
      <c r="H44" s="49" t="s">
        <v>40</v>
      </c>
      <c r="I44" s="57">
        <v>24000</v>
      </c>
      <c r="J44" s="40" t="s">
        <v>218</v>
      </c>
      <c r="K44" s="59">
        <f>IF(G44="L",'US CBAs'!$B$73,
IF(AND(E44="Friendly",F44="T1",G44="W"),'US CBAs'!$B$68,
IF(AND(E44="Friendly",F44="T2",G44="W"),'US CBAs'!$B$69,
IF(AND(E44="Friendly",F44="",G44="W"),'US CBAs'!$B$70,
IF(AND(E44="Friendly",F44="T1",G44="D"),'US CBAs'!$B$71,
IF(AND(E44="Friendly",F44="",G44="D"),'US CBAs'!$B$72,
IF(AND(E44="Gold Cup",F44="T1",G44="W"),'US CBAs'!$B$78,
IF(AND(E44="Gold Cup",F44="",G44="W"),'US CBAs'!$B$79,
IF(AND(E44="Gold Cup",G44="D"),'US CBAs'!$B$80,
IF(AND(E44="Copa America",F44="",G44="W"),'US CBAs'!$B$85,
IF(AND(E44="Copa America",G44="D"),'US CBAs'!$B$86,
IF(AND(E44="WCQ SF",G44="W"),'US CBAs'!$B$94,
IF(AND(E44="WCQ SF",G44="D"),'US CBAs'!$B$95,
IF(AND(E44="WCQ Hex",G44="W"),'US CBAs'!$B$98,
IF(AND(E44="WCQ Hex",G44="D"),'US CBAs'!$B$99,
IF(E44="World Cup",'US CBAs'!$B$104,
0))))))))))))))))</f>
        <v>4000</v>
      </c>
      <c r="L44" s="40">
        <v>23</v>
      </c>
      <c r="M44" s="59">
        <f t="shared" si="2"/>
        <v>92000</v>
      </c>
      <c r="N44" s="45">
        <f>IF(J44="",I44*'US CBAs'!$C$118,0)</f>
        <v>0</v>
      </c>
      <c r="O44" s="59">
        <f t="shared" si="3"/>
        <v>92000</v>
      </c>
      <c r="P44" s="61"/>
      <c r="Q44" s="397"/>
      <c r="R44" s="398"/>
      <c r="S44" s="233"/>
    </row>
    <row r="45" spans="1:20" x14ac:dyDescent="0.35">
      <c r="A45" s="49" t="s">
        <v>222</v>
      </c>
      <c r="B45" s="195">
        <v>11</v>
      </c>
      <c r="C45" s="50">
        <v>2012</v>
      </c>
      <c r="D45" s="49" t="s">
        <v>40</v>
      </c>
      <c r="E45" s="49" t="s">
        <v>234</v>
      </c>
      <c r="F45" s="49"/>
      <c r="G45" s="49" t="s">
        <v>20</v>
      </c>
      <c r="H45" s="49" t="s">
        <v>495</v>
      </c>
      <c r="I45" s="57">
        <v>23881</v>
      </c>
      <c r="J45" s="40"/>
      <c r="K45" s="59">
        <f>IF(G45="L",'US CBAs'!$B$73,
IF(AND(E45="Friendly",F45="T1",G45="W"),'US CBAs'!$B$68,
IF(AND(E45="Friendly",F45="T2",G45="W"),'US CBAs'!$B$69,
IF(AND(E45="Friendly",F45="",G45="W"),'US CBAs'!$B$70,
IF(AND(E45="Friendly",F45="T1",G45="D"),'US CBAs'!$B$71,
IF(AND(E45="Friendly",F45="",G45="D"),'US CBAs'!$B$72,
IF(AND(E45="Gold Cup",F45="T1",G45="W"),'US CBAs'!$B$78,
IF(AND(E45="Gold Cup",F45="",G45="W"),'US CBAs'!$B$79,
IF(AND(E45="Gold Cup",G45="D"),'US CBAs'!$B$80,
IF(AND(E45="Copa America",F45="",G45="W"),'US CBAs'!$B$85,
IF(AND(E45="Copa America",G45="D"),'US CBAs'!$B$86,
IF(AND(E45="WCQ SF",G45="W"),'US CBAs'!$B$94,
IF(AND(E45="WCQ SF",G45="D"),'US CBAs'!$B$95,
IF(AND(E45="WCQ Hex",G45="W"),'US CBAs'!$B$98,
IF(AND(E45="WCQ Hex",G45="D"),'US CBAs'!$B$99,
IF(E45="World Cup",'US CBAs'!$B$104,
0))))))))))))))))</f>
        <v>12500</v>
      </c>
      <c r="L45" s="40">
        <v>23</v>
      </c>
      <c r="M45" s="59">
        <f t="shared" si="2"/>
        <v>287500</v>
      </c>
      <c r="N45" s="45">
        <f>IF(J45="",I45*'US CBAs'!$C$118,0)</f>
        <v>28657.200000000001</v>
      </c>
      <c r="O45" s="59">
        <f t="shared" si="3"/>
        <v>316157.2</v>
      </c>
      <c r="P45" s="61"/>
      <c r="Q45" s="399"/>
      <c r="R45" s="400"/>
      <c r="S45" s="247"/>
      <c r="T45" s="248"/>
    </row>
    <row r="46" spans="1:20" x14ac:dyDescent="0.35">
      <c r="A46" s="49" t="s">
        <v>189</v>
      </c>
      <c r="B46" s="195">
        <v>12</v>
      </c>
      <c r="C46" s="50">
        <v>2012</v>
      </c>
      <c r="D46" s="49" t="s">
        <v>253</v>
      </c>
      <c r="E46" s="49" t="s">
        <v>234</v>
      </c>
      <c r="F46" s="49"/>
      <c r="G46" s="49" t="s">
        <v>20</v>
      </c>
      <c r="H46" s="49" t="s">
        <v>252</v>
      </c>
      <c r="I46" s="57">
        <v>7000</v>
      </c>
      <c r="J46" s="40" t="s">
        <v>218</v>
      </c>
      <c r="K46" s="59">
        <f>IF(G46="L",'US CBAs'!$B$73,
IF(AND(E46="Friendly",F46="T1",G46="W"),'US CBAs'!$B$68,
IF(AND(E46="Friendly",F46="T2",G46="W"),'US CBAs'!$B$69,
IF(AND(E46="Friendly",F46="",G46="W"),'US CBAs'!$B$70,
IF(AND(E46="Friendly",F46="T1",G46="D"),'US CBAs'!$B$71,
IF(AND(E46="Friendly",F46="",G46="D"),'US CBAs'!$B$72,
IF(AND(E46="Gold Cup",F46="T1",G46="W"),'US CBAs'!$B$78,
IF(AND(E46="Gold Cup",F46="",G46="W"),'US CBAs'!$B$79,
IF(AND(E46="Gold Cup",G46="D"),'US CBAs'!$B$80,
IF(AND(E46="Copa America",F46="",G46="W"),'US CBAs'!$B$85,
IF(AND(E46="Copa America",G46="D"),'US CBAs'!$B$86,
IF(AND(E46="WCQ SF",G46="W"),'US CBAs'!$B$94,
IF(AND(E46="WCQ SF",G46="D"),'US CBAs'!$B$95,
IF(AND(E46="WCQ Hex",G46="W"),'US CBAs'!$B$98,
IF(AND(E46="WCQ Hex",G46="D"),'US CBAs'!$B$99,
IF(E46="World Cup",'US CBAs'!$B$104,
0))))))))))))))))</f>
        <v>12500</v>
      </c>
      <c r="L46" s="40">
        <v>23</v>
      </c>
      <c r="M46" s="59">
        <f t="shared" si="2"/>
        <v>287500</v>
      </c>
      <c r="N46" s="45">
        <f>IF(J46="",I46*'US CBAs'!$C$118,0)</f>
        <v>0</v>
      </c>
      <c r="O46" s="59">
        <f t="shared" si="3"/>
        <v>287500</v>
      </c>
      <c r="P46" s="61"/>
      <c r="Q46" s="401"/>
      <c r="R46" s="400"/>
      <c r="S46" s="247"/>
      <c r="T46" s="248"/>
    </row>
    <row r="47" spans="1:20" x14ac:dyDescent="0.35">
      <c r="A47" s="49" t="s">
        <v>189</v>
      </c>
      <c r="B47" s="195">
        <v>16</v>
      </c>
      <c r="C47" s="50">
        <v>2012</v>
      </c>
      <c r="D47" s="49" t="s">
        <v>43</v>
      </c>
      <c r="E47" s="49" t="s">
        <v>234</v>
      </c>
      <c r="F47" s="49"/>
      <c r="G47" s="49" t="s">
        <v>20</v>
      </c>
      <c r="H47" s="49" t="s">
        <v>490</v>
      </c>
      <c r="I47" s="57">
        <v>16947</v>
      </c>
      <c r="J47" s="40"/>
      <c r="K47" s="59">
        <f>IF(G47="L",'US CBAs'!$B$73,
IF(AND(E47="Friendly",F47="T1",G47="W"),'US CBAs'!$B$68,
IF(AND(E47="Friendly",F47="T2",G47="W"),'US CBAs'!$B$69,
IF(AND(E47="Friendly",F47="",G47="W"),'US CBAs'!$B$70,
IF(AND(E47="Friendly",F47="T1",G47="D"),'US CBAs'!$B$71,
IF(AND(E47="Friendly",F47="",G47="D"),'US CBAs'!$B$72,
IF(AND(E47="Gold Cup",F47="T1",G47="W"),'US CBAs'!$B$78,
IF(AND(E47="Gold Cup",F47="",G47="W"),'US CBAs'!$B$79,
IF(AND(E47="Gold Cup",G47="D"),'US CBAs'!$B$80,
IF(AND(E47="Copa America",F47="",G47="W"),'US CBAs'!$B$85,
IF(AND(E47="Copa America",G47="D"),'US CBAs'!$B$86,
IF(AND(E47="WCQ SF",G47="W"),'US CBAs'!$B$94,
IF(AND(E47="WCQ SF",G47="D"),'US CBAs'!$B$95,
IF(AND(E47="WCQ Hex",G47="W"),'US CBAs'!$B$98,
IF(AND(E47="WCQ Hex",G47="D"),'US CBAs'!$B$99,
IF(E47="World Cup",'US CBAs'!$B$104,
0))))))))))))))))</f>
        <v>12500</v>
      </c>
      <c r="L47" s="40">
        <v>23</v>
      </c>
      <c r="M47" s="59">
        <f t="shared" si="2"/>
        <v>287500</v>
      </c>
      <c r="N47" s="45">
        <f>IF(J47="",I47*'US CBAs'!$C$118,0)</f>
        <v>20336.399999999998</v>
      </c>
      <c r="O47" s="59">
        <f t="shared" si="3"/>
        <v>307836.40000000002</v>
      </c>
      <c r="P47" s="61"/>
      <c r="Q47" s="275"/>
      <c r="R47" s="261"/>
      <c r="S47" s="247"/>
      <c r="T47" s="248"/>
    </row>
    <row r="48" spans="1:20" x14ac:dyDescent="0.35">
      <c r="A48" s="49" t="s">
        <v>190</v>
      </c>
      <c r="B48" s="195">
        <v>14</v>
      </c>
      <c r="C48" s="50">
        <v>2012</v>
      </c>
      <c r="D48" s="49" t="s">
        <v>49</v>
      </c>
      <c r="E48" s="49" t="s">
        <v>220</v>
      </c>
      <c r="F48" s="49"/>
      <c r="G48" s="49" t="s">
        <v>83</v>
      </c>
      <c r="H48" s="49" t="s">
        <v>49</v>
      </c>
      <c r="I48" s="57">
        <v>28200</v>
      </c>
      <c r="J48" s="40" t="s">
        <v>218</v>
      </c>
      <c r="K48" s="59">
        <f>IF(G48="L",'US CBAs'!$B$73,
IF(AND(E48="Friendly",F48="T1",G48="W"),'US CBAs'!$B$68,
IF(AND(E48="Friendly",F48="T2",G48="W"),'US CBAs'!$B$69,
IF(AND(E48="Friendly",F48="",G48="W"),'US CBAs'!$B$70,
IF(AND(E48="Friendly",F48="T1",G48="D"),'US CBAs'!$B$71,
IF(AND(E48="Friendly",F48="",G48="D"),'US CBAs'!$B$72,
IF(AND(E48="Gold Cup",F48="T1",G48="W"),'US CBAs'!$B$78,
IF(AND(E48="Gold Cup",F48="",G48="W"),'US CBAs'!$B$79,
IF(AND(E48="Gold Cup",G48="D"),'US CBAs'!$B$80,
IF(AND(E48="Copa America",F48="",G48="W"),'US CBAs'!$B$85,
IF(AND(E48="Copa America",G48="D"),'US CBAs'!$B$86,
IF(AND(E48="WCQ SF",G48="W"),'US CBAs'!$B$94,
IF(AND(E48="WCQ SF",G48="D"),'US CBAs'!$B$95,
IF(AND(E48="WCQ Hex",G48="W"),'US CBAs'!$B$98,
IF(AND(E48="WCQ Hex",G48="D"),'US CBAs'!$B$99,
IF(E48="World Cup",'US CBAs'!$B$104,
0))))))))))))))))</f>
        <v>5000</v>
      </c>
      <c r="L48" s="40">
        <v>20</v>
      </c>
      <c r="M48" s="59">
        <f t="shared" si="2"/>
        <v>100000</v>
      </c>
      <c r="N48" s="45">
        <f>IF(J48="",I48*'US CBAs'!$C$118,0)</f>
        <v>0</v>
      </c>
      <c r="O48" s="59">
        <f t="shared" si="3"/>
        <v>100000</v>
      </c>
      <c r="P48" s="61"/>
      <c r="Q48" s="275"/>
      <c r="R48" s="261"/>
      <c r="S48" s="247"/>
      <c r="T48" s="248"/>
    </row>
    <row r="49" spans="1:20" x14ac:dyDescent="0.35">
      <c r="A49" s="49"/>
      <c r="B49" s="195"/>
      <c r="C49" s="50"/>
      <c r="D49" s="58" t="s">
        <v>575</v>
      </c>
      <c r="E49" s="49"/>
      <c r="F49" s="49"/>
      <c r="G49" s="49"/>
      <c r="H49" s="49"/>
      <c r="I49" s="57"/>
      <c r="J49" s="40"/>
      <c r="K49" s="54">
        <f>'US CBAs'!$B$75</f>
        <v>1500</v>
      </c>
      <c r="L49" s="56">
        <v>10</v>
      </c>
      <c r="M49" s="54">
        <f t="shared" si="2"/>
        <v>15000</v>
      </c>
      <c r="N49" s="55"/>
      <c r="O49" s="54">
        <f t="shared" si="3"/>
        <v>15000</v>
      </c>
      <c r="P49" s="61"/>
      <c r="Q49" s="277"/>
      <c r="R49" s="258"/>
      <c r="S49" s="246"/>
      <c r="T49" s="241"/>
    </row>
    <row r="50" spans="1:20" x14ac:dyDescent="0.35">
      <c r="A50" s="49"/>
      <c r="B50" s="195"/>
      <c r="C50" s="50"/>
      <c r="D50" s="58" t="s">
        <v>576</v>
      </c>
      <c r="E50" s="49"/>
      <c r="F50" s="49"/>
      <c r="G50" s="49"/>
      <c r="H50" s="49"/>
      <c r="I50" s="57"/>
      <c r="J50" s="40"/>
      <c r="K50" s="54">
        <f>'US CBAs'!$B$76</f>
        <v>2000</v>
      </c>
      <c r="L50" s="56">
        <v>10</v>
      </c>
      <c r="M50" s="54">
        <f t="shared" si="2"/>
        <v>20000</v>
      </c>
      <c r="N50" s="55"/>
      <c r="O50" s="54">
        <f t="shared" si="3"/>
        <v>20000</v>
      </c>
      <c r="P50" s="61"/>
      <c r="Q50" s="39"/>
      <c r="R50" s="39"/>
      <c r="S50" s="240"/>
      <c r="T50" s="241"/>
    </row>
    <row r="51" spans="1:20" x14ac:dyDescent="0.35">
      <c r="A51" s="49" t="s">
        <v>191</v>
      </c>
      <c r="B51" s="195">
        <v>29</v>
      </c>
      <c r="C51" s="50">
        <v>2013</v>
      </c>
      <c r="D51" s="49" t="s">
        <v>29</v>
      </c>
      <c r="E51" s="49" t="s">
        <v>220</v>
      </c>
      <c r="F51" s="49"/>
      <c r="G51" s="49" t="s">
        <v>83</v>
      </c>
      <c r="H51" s="49" t="s">
        <v>492</v>
      </c>
      <c r="I51" s="57">
        <v>11737</v>
      </c>
      <c r="J51" s="40"/>
      <c r="K51" s="59">
        <f>IF(G51="L",'US CBAs'!$B$73,
IF(AND(E51="Friendly",F51="T1",G51="W"),'US CBAs'!$B$68,
IF(AND(E51="Friendly",F51="T2",G51="W"),'US CBAs'!$B$69,
IF(AND(E51="Friendly",F51="",G51="W"),'US CBAs'!$B$70,
IF(AND(E51="Friendly",F51="T1",G51="D"),'US CBAs'!$B$71,
IF(AND(E51="Friendly",F51="",G51="D"),'US CBAs'!$B$72,
IF(AND(E51="Gold Cup",F51="T1",G51="W"),'US CBAs'!$B$78,
IF(AND(E51="Gold Cup",F51="",G51="W"),'US CBAs'!$B$79,
IF(AND(E51="Gold Cup",G51="D"),'US CBAs'!$B$80,
IF(AND(E51="Copa America",F51="",G51="W"),'US CBAs'!$B$85,
IF(AND(E51="Copa America",G51="D"),'US CBAs'!$B$86,
IF(AND(E51="WCQ SF",G51="W"),'US CBAs'!$B$94,
IF(AND(E51="WCQ SF",G51="D"),'US CBAs'!$B$95,
IF(AND(E51="WCQ Hex",G51="W"),'US CBAs'!$B$98,
IF(AND(E51="WCQ Hex",G51="D"),'US CBAs'!$B$99,
IF(E51="World Cup",'US CBAs'!$B$104,
0))))))))))))))))</f>
        <v>5000</v>
      </c>
      <c r="L51" s="40">
        <v>20</v>
      </c>
      <c r="M51" s="59">
        <f t="shared" ref="M51:M72" si="4">K51*L51</f>
        <v>100000</v>
      </c>
      <c r="N51" s="45">
        <f>IF(J51="",I51*'US CBAs'!$C$118,0)</f>
        <v>14084.4</v>
      </c>
      <c r="O51" s="59">
        <f t="shared" ref="O51:O72" si="5">M51+N51</f>
        <v>114084.4</v>
      </c>
      <c r="P51" s="61"/>
      <c r="Q51" s="243"/>
      <c r="R51" s="243"/>
      <c r="S51" s="240"/>
      <c r="T51" s="241"/>
    </row>
    <row r="52" spans="1:20" x14ac:dyDescent="0.35">
      <c r="A52" s="49" t="s">
        <v>192</v>
      </c>
      <c r="B52" s="195">
        <v>6</v>
      </c>
      <c r="C52" s="50">
        <v>2013</v>
      </c>
      <c r="D52" s="49" t="s">
        <v>32</v>
      </c>
      <c r="E52" s="49" t="s">
        <v>227</v>
      </c>
      <c r="F52" s="49"/>
      <c r="G52" s="49" t="s">
        <v>33</v>
      </c>
      <c r="H52" s="49" t="s">
        <v>32</v>
      </c>
      <c r="I52" s="57">
        <v>37000</v>
      </c>
      <c r="J52" s="40" t="s">
        <v>218</v>
      </c>
      <c r="K52" s="59">
        <f>IF(G52="L",'US CBAs'!$B$73,
IF(AND(E52="Friendly",F52="T1",G52="W"),'US CBAs'!$B$68,
IF(AND(E52="Friendly",F52="T2",G52="W"),'US CBAs'!$B$69,
IF(AND(E52="Friendly",F52="",G52="W"),'US CBAs'!$B$70,
IF(AND(E52="Friendly",F52="T1",G52="D"),'US CBAs'!$B$71,
IF(AND(E52="Friendly",F52="",G52="D"),'US CBAs'!$B$72,
IF(AND(E52="Gold Cup",F52="T1",G52="W"),'US CBAs'!$B$78,
IF(AND(E52="Gold Cup",F52="",G52="W"),'US CBAs'!$B$79,
IF(AND(E52="Gold Cup",G52="D"),'US CBAs'!$B$80,
IF(AND(E52="Copa America",F52="",G52="W"),'US CBAs'!$B$85,
IF(AND(E52="Copa America",G52="D"),'US CBAs'!$B$86,
IF(AND(E52="WCQ SF",G52="W"),'US CBAs'!$B$94,
IF(AND(E52="WCQ SF",G52="D"),'US CBAs'!$B$95,
IF(AND(E52="WCQ Hex",G52="W"),'US CBAs'!$B$98,
IF(AND(E52="WCQ Hex",G52="D"),'US CBAs'!$B$99,
IF(E52="World Cup",'US CBAs'!$B$104,
0))))))))))))))))</f>
        <v>4000</v>
      </c>
      <c r="L52" s="40">
        <v>23</v>
      </c>
      <c r="M52" s="59">
        <f t="shared" si="4"/>
        <v>92000</v>
      </c>
      <c r="N52" s="45">
        <f>IF(J52="",I52*'US CBAs'!$C$118,0)</f>
        <v>0</v>
      </c>
      <c r="O52" s="59">
        <f t="shared" si="5"/>
        <v>92000</v>
      </c>
      <c r="P52" s="61"/>
    </row>
    <row r="53" spans="1:20" x14ac:dyDescent="0.35">
      <c r="A53" s="49" t="s">
        <v>221</v>
      </c>
      <c r="B53" s="195">
        <v>22</v>
      </c>
      <c r="C53" s="50">
        <v>2013</v>
      </c>
      <c r="D53" s="49" t="s">
        <v>36</v>
      </c>
      <c r="E53" s="49" t="s">
        <v>227</v>
      </c>
      <c r="F53" s="49"/>
      <c r="G53" s="49" t="s">
        <v>20</v>
      </c>
      <c r="H53" s="49" t="s">
        <v>496</v>
      </c>
      <c r="I53" s="57">
        <v>19374</v>
      </c>
      <c r="J53" s="40"/>
      <c r="K53" s="59">
        <f>IF(G53="L",'US CBAs'!$B$73,
IF(AND(E53="Friendly",F53="T1",G53="W"),'US CBAs'!$B$68,
IF(AND(E53="Friendly",F53="T2",G53="W"),'US CBAs'!$B$69,
IF(AND(E53="Friendly",F53="",G53="W"),'US CBAs'!$B$70,
IF(AND(E53="Friendly",F53="T1",G53="D"),'US CBAs'!$B$71,
IF(AND(E53="Friendly",F53="",G53="D"),'US CBAs'!$B$72,
IF(AND(E53="Gold Cup",F53="T1",G53="W"),'US CBAs'!$B$78,
IF(AND(E53="Gold Cup",F53="",G53="W"),'US CBAs'!$B$79,
IF(AND(E53="Gold Cup",G53="D"),'US CBAs'!$B$80,
IF(AND(E53="Copa America",F53="",G53="W"),'US CBAs'!$B$85,
IF(AND(E53="Copa America",G53="D"),'US CBAs'!$B$86,
IF(AND(E53="WCQ SF",G53="W"),'US CBAs'!$B$94,
IF(AND(E53="WCQ SF",G53="D"),'US CBAs'!$B$95,
IF(AND(E53="WCQ Hex",G53="W"),'US CBAs'!$B$98,
IF(AND(E53="WCQ Hex",G53="D"),'US CBAs'!$B$99,
IF(E53="World Cup",'US CBAs'!$B$104,
0))))))))))))))))</f>
        <v>14500</v>
      </c>
      <c r="L53" s="40">
        <v>23</v>
      </c>
      <c r="M53" s="59">
        <f t="shared" si="4"/>
        <v>333500</v>
      </c>
      <c r="N53" s="45">
        <f>IF(J53="",I53*'US CBAs'!$C$118,0)</f>
        <v>23248.799999999999</v>
      </c>
      <c r="O53" s="59">
        <f t="shared" si="5"/>
        <v>356748.79999999999</v>
      </c>
      <c r="P53" s="61"/>
    </row>
    <row r="54" spans="1:20" x14ac:dyDescent="0.35">
      <c r="A54" s="49" t="s">
        <v>221</v>
      </c>
      <c r="B54" s="195">
        <v>26</v>
      </c>
      <c r="C54" s="50">
        <v>2013</v>
      </c>
      <c r="D54" s="49" t="s">
        <v>35</v>
      </c>
      <c r="E54" s="49" t="s">
        <v>227</v>
      </c>
      <c r="F54" s="49"/>
      <c r="G54" s="49" t="s">
        <v>83</v>
      </c>
      <c r="H54" s="49" t="s">
        <v>35</v>
      </c>
      <c r="I54" s="57">
        <v>85500</v>
      </c>
      <c r="J54" s="40" t="s">
        <v>218</v>
      </c>
      <c r="K54" s="59">
        <f>IF(G54="L",'US CBAs'!$B$73,
IF(AND(E54="Friendly",F54="T1",G54="W"),'US CBAs'!$B$68,
IF(AND(E54="Friendly",F54="T2",G54="W"),'US CBAs'!$B$69,
IF(AND(E54="Friendly",F54="",G54="W"),'US CBAs'!$B$70,
IF(AND(E54="Friendly",F54="T1",G54="D"),'US CBAs'!$B$71,
IF(AND(E54="Friendly",F54="",G54="D"),'US CBAs'!$B$72,
IF(AND(E54="Gold Cup",F54="T1",G54="W"),'US CBAs'!$B$78,
IF(AND(E54="Gold Cup",F54="",G54="W"),'US CBAs'!$B$79,
IF(AND(E54="Gold Cup",G54="D"),'US CBAs'!$B$80,
IF(AND(E54="Copa America",F54="",G54="W"),'US CBAs'!$B$85,
IF(AND(E54="Copa America",G54="D"),'US CBAs'!$B$86,
IF(AND(E54="WCQ SF",G54="W"),'US CBAs'!$B$94,
IF(AND(E54="WCQ SF",G54="D"),'US CBAs'!$B$95,
IF(AND(E54="WCQ Hex",G54="W"),'US CBAs'!$B$98,
IF(AND(E54="WCQ Hex",G54="D"),'US CBAs'!$B$99,
IF(E54="World Cup",'US CBAs'!$B$104,
0))))))))))))))))</f>
        <v>8000</v>
      </c>
      <c r="L54" s="40">
        <v>23</v>
      </c>
      <c r="M54" s="59">
        <f t="shared" si="4"/>
        <v>184000</v>
      </c>
      <c r="N54" s="45">
        <f>IF(J54="",I54*'US CBAs'!$C$118,0)</f>
        <v>0</v>
      </c>
      <c r="O54" s="59">
        <f t="shared" si="5"/>
        <v>184000</v>
      </c>
      <c r="P54" s="61"/>
    </row>
    <row r="55" spans="1:20" x14ac:dyDescent="0.35">
      <c r="A55" s="49" t="s">
        <v>186</v>
      </c>
      <c r="B55" s="195">
        <v>29</v>
      </c>
      <c r="C55" s="50">
        <v>2013</v>
      </c>
      <c r="D55" s="49" t="s">
        <v>39</v>
      </c>
      <c r="E55" s="49" t="s">
        <v>220</v>
      </c>
      <c r="F55" s="49"/>
      <c r="G55" s="49" t="s">
        <v>33</v>
      </c>
      <c r="H55" s="49" t="s">
        <v>495</v>
      </c>
      <c r="I55" s="57">
        <v>27720</v>
      </c>
      <c r="J55" s="40"/>
      <c r="K55" s="59">
        <f>IF(G55="L",'US CBAs'!$B$73,
IF(AND(E55="Friendly",F55="T1",G55="W"),'US CBAs'!$B$68,
IF(AND(E55="Friendly",F55="T2",G55="W"),'US CBAs'!$B$69,
IF(AND(E55="Friendly",F55="",G55="W"),'US CBAs'!$B$70,
IF(AND(E55="Friendly",F55="T1",G55="D"),'US CBAs'!$B$71,
IF(AND(E55="Friendly",F55="",G55="D"),'US CBAs'!$B$72,
IF(AND(E55="Gold Cup",F55="T1",G55="W"),'US CBAs'!$B$78,
IF(AND(E55="Gold Cup",F55="",G55="W"),'US CBAs'!$B$79,
IF(AND(E55="Gold Cup",G55="D"),'US CBAs'!$B$80,
IF(AND(E55="Copa America",F55="",G55="W"),'US CBAs'!$B$85,
IF(AND(E55="Copa America",G55="D"),'US CBAs'!$B$86,
IF(AND(E55="WCQ SF",G55="W"),'US CBAs'!$B$94,
IF(AND(E55="WCQ SF",G55="D"),'US CBAs'!$B$95,
IF(AND(E55="WCQ Hex",G55="W"),'US CBAs'!$B$98,
IF(AND(E55="WCQ Hex",G55="D"),'US CBAs'!$B$99,
IF(E55="World Cup",'US CBAs'!$B$104,
0))))))))))))))))</f>
        <v>4000</v>
      </c>
      <c r="L55" s="40">
        <v>20</v>
      </c>
      <c r="M55" s="59">
        <f t="shared" si="4"/>
        <v>80000</v>
      </c>
      <c r="N55" s="45">
        <f>IF(J55="",I55*'US CBAs'!$C$118,0)</f>
        <v>33264</v>
      </c>
      <c r="O55" s="59">
        <f t="shared" si="5"/>
        <v>113264</v>
      </c>
      <c r="P55" s="61"/>
    </row>
    <row r="56" spans="1:20" x14ac:dyDescent="0.35">
      <c r="A56" s="49" t="s">
        <v>223</v>
      </c>
      <c r="B56" s="195">
        <v>2</v>
      </c>
      <c r="C56" s="50">
        <v>2013</v>
      </c>
      <c r="D56" s="49" t="s">
        <v>27</v>
      </c>
      <c r="E56" s="49" t="s">
        <v>220</v>
      </c>
      <c r="F56" s="49" t="s">
        <v>28</v>
      </c>
      <c r="G56" s="49" t="s">
        <v>20</v>
      </c>
      <c r="H56" s="49" t="s">
        <v>491</v>
      </c>
      <c r="I56" s="57">
        <v>47359</v>
      </c>
      <c r="J56" s="40"/>
      <c r="K56" s="59">
        <f>IF(G56="L",'US CBAs'!$B$73,
IF(AND(E56="Friendly",F56="T1",G56="W"),'US CBAs'!$B$68,
IF(AND(E56="Friendly",F56="T2",G56="W"),'US CBAs'!$B$69,
IF(AND(E56="Friendly",F56="",G56="W"),'US CBAs'!$B$70,
IF(AND(E56="Friendly",F56="T1",G56="D"),'US CBAs'!$B$71,
IF(AND(E56="Friendly",F56="",G56="D"),'US CBAs'!$B$72,
IF(AND(E56="Gold Cup",F56="T1",G56="W"),'US CBAs'!$B$78,
IF(AND(E56="Gold Cup",F56="",G56="W"),'US CBAs'!$B$79,
IF(AND(E56="Gold Cup",G56="D"),'US CBAs'!$B$80,
IF(AND(E56="Copa America",F56="",G56="W"),'US CBAs'!$B$85,
IF(AND(E56="Copa America",G56="D"),'US CBAs'!$B$86,
IF(AND(E56="WCQ SF",G56="W"),'US CBAs'!$B$94,
IF(AND(E56="WCQ SF",G56="D"),'US CBAs'!$B$95,
IF(AND(E56="WCQ Hex",G56="W"),'US CBAs'!$B$98,
IF(AND(E56="WCQ Hex",G56="D"),'US CBAs'!$B$99,
IF(E56="World Cup",'US CBAs'!$B$104,
0))))))))))))))))</f>
        <v>14100</v>
      </c>
      <c r="L56" s="40">
        <v>20</v>
      </c>
      <c r="M56" s="59">
        <f t="shared" si="4"/>
        <v>282000</v>
      </c>
      <c r="N56" s="45">
        <f>IF(J56="",I56*'US CBAs'!$C$118,0)</f>
        <v>56830.799999999996</v>
      </c>
      <c r="O56" s="59">
        <f t="shared" si="5"/>
        <v>338830.8</v>
      </c>
      <c r="P56" s="61"/>
    </row>
    <row r="57" spans="1:20" x14ac:dyDescent="0.35">
      <c r="A57" s="49" t="s">
        <v>223</v>
      </c>
      <c r="B57" s="195">
        <v>7</v>
      </c>
      <c r="C57" s="50">
        <v>2013</v>
      </c>
      <c r="D57" s="49" t="s">
        <v>40</v>
      </c>
      <c r="E57" s="49" t="s">
        <v>227</v>
      </c>
      <c r="F57" s="49"/>
      <c r="G57" s="49" t="s">
        <v>20</v>
      </c>
      <c r="H57" s="49" t="s">
        <v>40</v>
      </c>
      <c r="I57" s="57">
        <v>12130</v>
      </c>
      <c r="J57" s="40" t="s">
        <v>218</v>
      </c>
      <c r="K57" s="59">
        <f>IF(G57="L",'US CBAs'!$B$73,
IF(AND(E57="Friendly",F57="T1",G57="W"),'US CBAs'!$B$68,
IF(AND(E57="Friendly",F57="T2",G57="W"),'US CBAs'!$B$69,
IF(AND(E57="Friendly",F57="",G57="W"),'US CBAs'!$B$70,
IF(AND(E57="Friendly",F57="T1",G57="D"),'US CBAs'!$B$71,
IF(AND(E57="Friendly",F57="",G57="D"),'US CBAs'!$B$72,
IF(AND(E57="Gold Cup",F57="T1",G57="W"),'US CBAs'!$B$78,
IF(AND(E57="Gold Cup",F57="",G57="W"),'US CBAs'!$B$79,
IF(AND(E57="Gold Cup",G57="D"),'US CBAs'!$B$80,
IF(AND(E57="Copa America",F57="",G57="W"),'US CBAs'!$B$85,
IF(AND(E57="Copa America",G57="D"),'US CBAs'!$B$86,
IF(AND(E57="WCQ SF",G57="W"),'US CBAs'!$B$94,
IF(AND(E57="WCQ SF",G57="D"),'US CBAs'!$B$95,
IF(AND(E57="WCQ Hex",G57="W"),'US CBAs'!$B$98,
IF(AND(E57="WCQ Hex",G57="D"),'US CBAs'!$B$99,
IF(E57="World Cup",'US CBAs'!$B$104,
0))))))))))))))))</f>
        <v>14500</v>
      </c>
      <c r="L57" s="40">
        <v>23</v>
      </c>
      <c r="M57" s="59">
        <f t="shared" si="4"/>
        <v>333500</v>
      </c>
      <c r="N57" s="45">
        <f>IF(J57="",I57*'US CBAs'!$C$118,0)</f>
        <v>0</v>
      </c>
      <c r="O57" s="59">
        <f t="shared" si="5"/>
        <v>333500</v>
      </c>
      <c r="P57" s="61"/>
    </row>
    <row r="58" spans="1:20" x14ac:dyDescent="0.35">
      <c r="A58" s="49" t="s">
        <v>223</v>
      </c>
      <c r="B58" s="195">
        <v>11</v>
      </c>
      <c r="C58" s="50">
        <v>2013</v>
      </c>
      <c r="D58" s="49" t="s">
        <v>42</v>
      </c>
      <c r="E58" s="49" t="s">
        <v>227</v>
      </c>
      <c r="F58" s="49"/>
      <c r="G58" s="49" t="s">
        <v>20</v>
      </c>
      <c r="H58" s="49" t="s">
        <v>497</v>
      </c>
      <c r="I58" s="57">
        <v>40847</v>
      </c>
      <c r="J58" s="40"/>
      <c r="K58" s="59">
        <f>IF(G58="L",'US CBAs'!$B$73,
IF(AND(E58="Friendly",F58="T1",G58="W"),'US CBAs'!$B$68,
IF(AND(E58="Friendly",F58="T2",G58="W"),'US CBAs'!$B$69,
IF(AND(E58="Friendly",F58="",G58="W"),'US CBAs'!$B$70,
IF(AND(E58="Friendly",F58="T1",G58="D"),'US CBAs'!$B$71,
IF(AND(E58="Friendly",F58="",G58="D"),'US CBAs'!$B$72,
IF(AND(E58="Gold Cup",F58="T1",G58="W"),'US CBAs'!$B$78,
IF(AND(E58="Gold Cup",F58="",G58="W"),'US CBAs'!$B$79,
IF(AND(E58="Gold Cup",G58="D"),'US CBAs'!$B$80,
IF(AND(E58="Copa America",F58="",G58="W"),'US CBAs'!$B$85,
IF(AND(E58="Copa America",G58="D"),'US CBAs'!$B$86,
IF(AND(E58="WCQ SF",G58="W"),'US CBAs'!$B$94,
IF(AND(E58="WCQ SF",G58="D"),'US CBAs'!$B$95,
IF(AND(E58="WCQ Hex",G58="W"),'US CBAs'!$B$98,
IF(AND(E58="WCQ Hex",G58="D"),'US CBAs'!$B$99,
IF(E58="World Cup",'US CBAs'!$B$104,
0))))))))))))))))</f>
        <v>14500</v>
      </c>
      <c r="L58" s="40">
        <v>23</v>
      </c>
      <c r="M58" s="59">
        <f t="shared" si="4"/>
        <v>333500</v>
      </c>
      <c r="N58" s="45">
        <f>IF(J58="",I58*'US CBAs'!$C$118,0)</f>
        <v>49016.4</v>
      </c>
      <c r="O58" s="59">
        <f t="shared" si="5"/>
        <v>382516.4</v>
      </c>
      <c r="P58" s="61"/>
    </row>
    <row r="59" spans="1:20" x14ac:dyDescent="0.35">
      <c r="A59" s="49" t="s">
        <v>223</v>
      </c>
      <c r="B59" s="195">
        <v>18</v>
      </c>
      <c r="C59" s="50">
        <v>2013</v>
      </c>
      <c r="D59" s="49" t="s">
        <v>32</v>
      </c>
      <c r="E59" s="49" t="s">
        <v>227</v>
      </c>
      <c r="F59" s="49"/>
      <c r="G59" s="49" t="s">
        <v>20</v>
      </c>
      <c r="H59" s="49" t="s">
        <v>498</v>
      </c>
      <c r="I59" s="57">
        <v>20250</v>
      </c>
      <c r="J59" s="40"/>
      <c r="K59" s="59">
        <f>IF(G59="L",'US CBAs'!$B$73,
IF(AND(E59="Friendly",F59="T1",G59="W"),'US CBAs'!$B$68,
IF(AND(E59="Friendly",F59="T2",G59="W"),'US CBAs'!$B$69,
IF(AND(E59="Friendly",F59="",G59="W"),'US CBAs'!$B$70,
IF(AND(E59="Friendly",F59="T1",G59="D"),'US CBAs'!$B$71,
IF(AND(E59="Friendly",F59="",G59="D"),'US CBAs'!$B$72,
IF(AND(E59="Gold Cup",F59="T1",G59="W"),'US CBAs'!$B$78,
IF(AND(E59="Gold Cup",F59="",G59="W"),'US CBAs'!$B$79,
IF(AND(E59="Gold Cup",G59="D"),'US CBAs'!$B$80,
IF(AND(E59="Copa America",F59="",G59="W"),'US CBAs'!$B$85,
IF(AND(E59="Copa America",G59="D"),'US CBAs'!$B$86,
IF(AND(E59="WCQ SF",G59="W"),'US CBAs'!$B$94,
IF(AND(E59="WCQ SF",G59="D"),'US CBAs'!$B$95,
IF(AND(E59="WCQ Hex",G59="W"),'US CBAs'!$B$98,
IF(AND(E59="WCQ Hex",G59="D"),'US CBAs'!$B$99,
IF(E59="World Cup",'US CBAs'!$B$104,
0))))))))))))))))</f>
        <v>14500</v>
      </c>
      <c r="L59" s="40">
        <v>23</v>
      </c>
      <c r="M59" s="59">
        <f t="shared" si="4"/>
        <v>333500</v>
      </c>
      <c r="N59" s="45">
        <f>IF(J59="",I59*'US CBAs'!$C$118,0)</f>
        <v>24300</v>
      </c>
      <c r="O59" s="59">
        <f t="shared" si="5"/>
        <v>357800</v>
      </c>
      <c r="P59" s="61"/>
      <c r="Q59" s="39"/>
      <c r="R59" s="39"/>
      <c r="S59" s="39"/>
      <c r="T59" s="39"/>
    </row>
    <row r="60" spans="1:20" x14ac:dyDescent="0.35">
      <c r="A60" s="49" t="s">
        <v>230</v>
      </c>
      <c r="B60" s="195">
        <v>5</v>
      </c>
      <c r="C60" s="50">
        <v>2013</v>
      </c>
      <c r="D60" s="49" t="s">
        <v>43</v>
      </c>
      <c r="E60" s="49" t="s">
        <v>220</v>
      </c>
      <c r="F60" s="49"/>
      <c r="G60" s="49" t="s">
        <v>20</v>
      </c>
      <c r="H60" s="49" t="s">
        <v>481</v>
      </c>
      <c r="I60" s="57">
        <v>25080</v>
      </c>
      <c r="J60" s="40"/>
      <c r="K60" s="59">
        <f>IF(G60="L",'US CBAs'!$B$73,
IF(AND(E60="Friendly",F60="T1",G60="W"),'US CBAs'!$B$68,
IF(AND(E60="Friendly",F60="T2",G60="W"),'US CBAs'!$B$69,
IF(AND(E60="Friendly",F60="",G60="W"),'US CBAs'!$B$70,
IF(AND(E60="Friendly",F60="T1",G60="D"),'US CBAs'!$B$71,
IF(AND(E60="Friendly",F60="",G60="D"),'US CBAs'!$B$72,
IF(AND(E60="Gold Cup",F60="T1",G60="W"),'US CBAs'!$B$78,
IF(AND(E60="Gold Cup",F60="",G60="W"),'US CBAs'!$B$79,
IF(AND(E60="Gold Cup",G60="D"),'US CBAs'!$B$80,
IF(AND(E60="Copa America",F60="",G60="W"),'US CBAs'!$B$85,
IF(AND(E60="Copa America",G60="D"),'US CBAs'!$B$86,
IF(AND(E60="WCQ SF",G60="W"),'US CBAs'!$B$94,
IF(AND(E60="WCQ SF",G60="D"),'US CBAs'!$B$95,
IF(AND(E60="WCQ Hex",G60="W"),'US CBAs'!$B$98,
IF(AND(E60="WCQ Hex",G60="D"),'US CBAs'!$B$99,
IF(E60="World Cup",'US CBAs'!$B$104,
0))))))))))))))))</f>
        <v>7500</v>
      </c>
      <c r="L60" s="40">
        <v>20</v>
      </c>
      <c r="M60" s="59">
        <f t="shared" si="4"/>
        <v>150000</v>
      </c>
      <c r="N60" s="45">
        <f>IF(J60="",I60*'US CBAs'!$C$118,0)</f>
        <v>30096</v>
      </c>
      <c r="O60" s="59">
        <f t="shared" si="5"/>
        <v>180096</v>
      </c>
      <c r="P60" s="61"/>
    </row>
    <row r="61" spans="1:20" x14ac:dyDescent="0.35">
      <c r="A61" s="49" t="s">
        <v>230</v>
      </c>
      <c r="B61" s="195">
        <v>9</v>
      </c>
      <c r="C61" s="50">
        <v>2013</v>
      </c>
      <c r="D61" s="49" t="s">
        <v>44</v>
      </c>
      <c r="E61" s="49" t="s">
        <v>229</v>
      </c>
      <c r="F61" s="49"/>
      <c r="G61" s="49" t="s">
        <v>20</v>
      </c>
      <c r="H61" s="49" t="s">
        <v>499</v>
      </c>
      <c r="I61" s="57">
        <v>18724</v>
      </c>
      <c r="J61" s="40" t="s">
        <v>218</v>
      </c>
      <c r="K61" s="59">
        <f>IF(G61="L",'US CBAs'!$B$73,
IF(AND(E61="Friendly",F61="T1",G61="W"),'US CBAs'!$B$68,
IF(AND(E61="Friendly",F61="T2",G61="W"),'US CBAs'!$B$69,
IF(AND(E61="Friendly",F61="",G61="W"),'US CBAs'!$B$70,
IF(AND(E61="Friendly",F61="T1",G61="D"),'US CBAs'!$B$71,
IF(AND(E61="Friendly",F61="",G61="D"),'US CBAs'!$B$72,
IF(AND(E61="Gold Cup",F61="T1",G61="W"),'US CBAs'!$B$78,
IF(AND(E61="Gold Cup",F61="",G61="W"),'US CBAs'!$B$79,
IF(AND(E61="Gold Cup",G61="D"),'US CBAs'!$B$80,
IF(AND(E61="Copa America",F61="",G61="W"),'US CBAs'!$B$85,
IF(AND(E61="Copa America",G61="D"),'US CBAs'!$B$86,
IF(AND(E61="WCQ SF",G61="W"),'US CBAs'!$B$94,
IF(AND(E61="WCQ SF",G61="D"),'US CBAs'!$B$95,
IF(AND(E61="WCQ Hex",G61="W"),'US CBAs'!$B$98,
IF(AND(E61="WCQ Hex",G61="D"),'US CBAs'!$B$99,
IF(E61="World Cup",'US CBAs'!$B$104,
0))))))))))))))))</f>
        <v>7500</v>
      </c>
      <c r="L61" s="40">
        <v>23</v>
      </c>
      <c r="M61" s="59">
        <f t="shared" si="4"/>
        <v>172500</v>
      </c>
      <c r="N61" s="45">
        <f>IF(J61="",I61*'US CBAs'!$C$118,0)</f>
        <v>0</v>
      </c>
      <c r="O61" s="59">
        <f t="shared" si="5"/>
        <v>172500</v>
      </c>
      <c r="P61" s="61"/>
    </row>
    <row r="62" spans="1:20" x14ac:dyDescent="0.35">
      <c r="A62" s="49" t="s">
        <v>230</v>
      </c>
      <c r="B62" s="195">
        <v>13</v>
      </c>
      <c r="C62" s="50">
        <v>2013</v>
      </c>
      <c r="D62" s="49" t="s">
        <v>45</v>
      </c>
      <c r="E62" s="49" t="s">
        <v>229</v>
      </c>
      <c r="F62" s="49"/>
      <c r="G62" s="49" t="s">
        <v>20</v>
      </c>
      <c r="H62" s="49" t="s">
        <v>498</v>
      </c>
      <c r="I62" s="57">
        <v>17597</v>
      </c>
      <c r="J62" s="40" t="s">
        <v>218</v>
      </c>
      <c r="K62" s="59">
        <f>IF(G62="L",'US CBAs'!$B$73,
IF(AND(E62="Friendly",F62="T1",G62="W"),'US CBAs'!$B$68,
IF(AND(E62="Friendly",F62="T2",G62="W"),'US CBAs'!$B$69,
IF(AND(E62="Friendly",F62="",G62="W"),'US CBAs'!$B$70,
IF(AND(E62="Friendly",F62="T1",G62="D"),'US CBAs'!$B$71,
IF(AND(E62="Friendly",F62="",G62="D"),'US CBAs'!$B$72,
IF(AND(E62="Gold Cup",F62="T1",G62="W"),'US CBAs'!$B$78,
IF(AND(E62="Gold Cup",F62="",G62="W"),'US CBAs'!$B$79,
IF(AND(E62="Gold Cup",G62="D"),'US CBAs'!$B$80,
IF(AND(E62="Copa America",F62="",G62="W"),'US CBAs'!$B$85,
IF(AND(E62="Copa America",G62="D"),'US CBAs'!$B$86,
IF(AND(E62="WCQ SF",G62="W"),'US CBAs'!$B$94,
IF(AND(E62="WCQ SF",G62="D"),'US CBAs'!$B$95,
IF(AND(E62="WCQ Hex",G62="W"),'US CBAs'!$B$98,
IF(AND(E62="WCQ Hex",G62="D"),'US CBAs'!$B$99,
IF(E62="World Cup",'US CBAs'!$B$104,
0))))))))))))))))</f>
        <v>7500</v>
      </c>
      <c r="L62" s="40">
        <v>23</v>
      </c>
      <c r="M62" s="59">
        <f t="shared" si="4"/>
        <v>172500</v>
      </c>
      <c r="N62" s="45">
        <f>IF(J62="",I62*'US CBAs'!$C$118,0)</f>
        <v>0</v>
      </c>
      <c r="O62" s="59">
        <f t="shared" si="5"/>
        <v>172500</v>
      </c>
      <c r="P62" s="61"/>
    </row>
    <row r="63" spans="1:20" x14ac:dyDescent="0.35">
      <c r="A63" s="49" t="s">
        <v>230</v>
      </c>
      <c r="B63" s="195">
        <v>16</v>
      </c>
      <c r="C63" s="50">
        <v>2013</v>
      </c>
      <c r="D63" s="49" t="s">
        <v>36</v>
      </c>
      <c r="E63" s="49" t="s">
        <v>229</v>
      </c>
      <c r="F63" s="49"/>
      <c r="G63" s="49" t="s">
        <v>20</v>
      </c>
      <c r="H63" s="49" t="s">
        <v>483</v>
      </c>
      <c r="I63" s="57">
        <v>25432</v>
      </c>
      <c r="J63" s="40" t="s">
        <v>218</v>
      </c>
      <c r="K63" s="59">
        <f>IF(G63="L",'US CBAs'!$B$73,
IF(AND(E63="Friendly",F63="T1",G63="W"),'US CBAs'!$B$68,
IF(AND(E63="Friendly",F63="T2",G63="W"),'US CBAs'!$B$69,
IF(AND(E63="Friendly",F63="",G63="W"),'US CBAs'!$B$70,
IF(AND(E63="Friendly",F63="T1",G63="D"),'US CBAs'!$B$71,
IF(AND(E63="Friendly",F63="",G63="D"),'US CBAs'!$B$72,
IF(AND(E63="Gold Cup",F63="T1",G63="W"),'US CBAs'!$B$78,
IF(AND(E63="Gold Cup",F63="",G63="W"),'US CBAs'!$B$79,
IF(AND(E63="Gold Cup",G63="D"),'US CBAs'!$B$80,
IF(AND(E63="Copa America",F63="",G63="W"),'US CBAs'!$B$85,
IF(AND(E63="Copa America",G63="D"),'US CBAs'!$B$86,
IF(AND(E63="WCQ SF",G63="W"),'US CBAs'!$B$94,
IF(AND(E63="WCQ SF",G63="D"),'US CBAs'!$B$95,
IF(AND(E63="WCQ Hex",G63="W"),'US CBAs'!$B$98,
IF(AND(E63="WCQ Hex",G63="D"),'US CBAs'!$B$99,
IF(E63="World Cup",'US CBAs'!$B$104,
0))))))))))))))))</f>
        <v>7500</v>
      </c>
      <c r="L63" s="40">
        <v>23</v>
      </c>
      <c r="M63" s="59">
        <f t="shared" si="4"/>
        <v>172500</v>
      </c>
      <c r="N63" s="45">
        <f>IF(J63="",I63*'US CBAs'!$C$118,0)</f>
        <v>0</v>
      </c>
      <c r="O63" s="59">
        <f t="shared" si="5"/>
        <v>172500</v>
      </c>
      <c r="P63" s="61"/>
    </row>
    <row r="64" spans="1:20" x14ac:dyDescent="0.35">
      <c r="A64" s="49" t="s">
        <v>230</v>
      </c>
      <c r="B64" s="195">
        <v>21</v>
      </c>
      <c r="C64" s="50">
        <v>2013</v>
      </c>
      <c r="D64" s="49" t="s">
        <v>46</v>
      </c>
      <c r="E64" s="49" t="s">
        <v>229</v>
      </c>
      <c r="F64" s="49"/>
      <c r="G64" s="49" t="s">
        <v>20</v>
      </c>
      <c r="H64" s="49" t="s">
        <v>494</v>
      </c>
      <c r="I64" s="57">
        <v>70540</v>
      </c>
      <c r="J64" s="40" t="s">
        <v>218</v>
      </c>
      <c r="K64" s="59">
        <f>IF(G64="L",'US CBAs'!$B$73,
IF(AND(E64="Friendly",F64="T1",G64="W"),'US CBAs'!$B$68,
IF(AND(E64="Friendly",F64="T2",G64="W"),'US CBAs'!$B$69,
IF(AND(E64="Friendly",F64="",G64="W"),'US CBAs'!$B$70,
IF(AND(E64="Friendly",F64="T1",G64="D"),'US CBAs'!$B$71,
IF(AND(E64="Friendly",F64="",G64="D"),'US CBAs'!$B$72,
IF(AND(E64="Gold Cup",F64="T1",G64="W"),'US CBAs'!$B$78,
IF(AND(E64="Gold Cup",F64="",G64="W"),'US CBAs'!$B$79,
IF(AND(E64="Gold Cup",G64="D"),'US CBAs'!$B$80,
IF(AND(E64="Copa America",F64="",G64="W"),'US CBAs'!$B$85,
IF(AND(E64="Copa America",G64="D"),'US CBAs'!$B$86,
IF(AND(E64="WCQ SF",G64="W"),'US CBAs'!$B$94,
IF(AND(E64="WCQ SF",G64="D"),'US CBAs'!$B$95,
IF(AND(E64="WCQ Hex",G64="W"),'US CBAs'!$B$98,
IF(AND(E64="WCQ Hex",G64="D"),'US CBAs'!$B$99,
IF(E64="World Cup",'US CBAs'!$B$104,
0))))))))))))))))</f>
        <v>7500</v>
      </c>
      <c r="L64" s="40">
        <v>23</v>
      </c>
      <c r="M64" s="59">
        <f t="shared" si="4"/>
        <v>172500</v>
      </c>
      <c r="N64" s="45">
        <f>IF(J64="",I64*'US CBAs'!$C$118,0)</f>
        <v>0</v>
      </c>
      <c r="O64" s="59">
        <f t="shared" si="5"/>
        <v>172500</v>
      </c>
      <c r="P64" s="61"/>
    </row>
    <row r="65" spans="1:20" x14ac:dyDescent="0.35">
      <c r="A65" s="49" t="s">
        <v>230</v>
      </c>
      <c r="B65" s="195">
        <v>24</v>
      </c>
      <c r="C65" s="50">
        <v>2013</v>
      </c>
      <c r="D65" s="49" t="s">
        <v>32</v>
      </c>
      <c r="E65" s="49" t="s">
        <v>229</v>
      </c>
      <c r="F65" s="49"/>
      <c r="G65" s="49" t="s">
        <v>20</v>
      </c>
      <c r="H65" s="49" t="s">
        <v>492</v>
      </c>
      <c r="I65" s="57">
        <v>81410</v>
      </c>
      <c r="J65" s="40" t="s">
        <v>218</v>
      </c>
      <c r="K65" s="59">
        <f>IF(G65="L",'US CBAs'!$B$73,
IF(AND(E65="Friendly",F65="T1",G65="W"),'US CBAs'!$B$68,
IF(AND(E65="Friendly",F65="T2",G65="W"),'US CBAs'!$B$69,
IF(AND(E65="Friendly",F65="",G65="W"),'US CBAs'!$B$70,
IF(AND(E65="Friendly",F65="T1",G65="D"),'US CBAs'!$B$71,
IF(AND(E65="Friendly",F65="",G65="D"),'US CBAs'!$B$72,
IF(AND(E65="Gold Cup",F65="T1",G65="W"),'US CBAs'!$B$78,
IF(AND(E65="Gold Cup",F65="",G65="W"),'US CBAs'!$B$79,
IF(AND(E65="Gold Cup",G65="D"),'US CBAs'!$B$80,
IF(AND(E65="Copa America",F65="",G65="W"),'US CBAs'!$B$85,
IF(AND(E65="Copa America",G65="D"),'US CBAs'!$B$86,
IF(AND(E65="WCQ SF",G65="W"),'US CBAs'!$B$94,
IF(AND(E65="WCQ SF",G65="D"),'US CBAs'!$B$95,
IF(AND(E65="WCQ Hex",G65="W"),'US CBAs'!$B$98,
IF(AND(E65="WCQ Hex",G65="D"),'US CBAs'!$B$99,
IF(E65="World Cup",'US CBAs'!$B$104,
0))))))))))))))))</f>
        <v>7500</v>
      </c>
      <c r="L65" s="40">
        <v>23</v>
      </c>
      <c r="M65" s="59">
        <f t="shared" si="4"/>
        <v>172500</v>
      </c>
      <c r="N65" s="45">
        <f>IF(J65="",I65*'US CBAs'!$C$118,0)</f>
        <v>0</v>
      </c>
      <c r="O65" s="59">
        <f t="shared" si="5"/>
        <v>172500</v>
      </c>
      <c r="P65" s="61"/>
    </row>
    <row r="66" spans="1:20" x14ac:dyDescent="0.35">
      <c r="A66" s="49" t="s">
        <v>230</v>
      </c>
      <c r="B66" s="195">
        <v>28</v>
      </c>
      <c r="C66" s="50">
        <v>2013</v>
      </c>
      <c r="D66" s="49" t="s">
        <v>42</v>
      </c>
      <c r="E66" s="49" t="s">
        <v>229</v>
      </c>
      <c r="F66" s="49"/>
      <c r="G66" s="49" t="s">
        <v>20</v>
      </c>
      <c r="H66" s="49" t="s">
        <v>487</v>
      </c>
      <c r="I66" s="57">
        <v>57920</v>
      </c>
      <c r="J66" s="40" t="s">
        <v>218</v>
      </c>
      <c r="K66" s="59">
        <f>IF(G66="L",'US CBAs'!$B$73,
IF(AND(E66="Friendly",F66="T1",G66="W"),'US CBAs'!$B$68,
IF(AND(E66="Friendly",F66="T2",G66="W"),'US CBAs'!$B$69,
IF(AND(E66="Friendly",F66="",G66="W"),'US CBAs'!$B$70,
IF(AND(E66="Friendly",F66="T1",G66="D"),'US CBAs'!$B$71,
IF(AND(E66="Friendly",F66="",G66="D"),'US CBAs'!$B$72,
IF(AND(E66="Gold Cup",F66="T1",G66="W"),'US CBAs'!$B$78,
IF(AND(E66="Gold Cup",F66="",G66="W"),'US CBAs'!$B$79,
IF(AND(E66="Gold Cup",G66="D"),'US CBAs'!$B$80,
IF(AND(E66="Copa America",F66="",G66="W"),'US CBAs'!$B$85,
IF(AND(E66="Copa America",G66="D"),'US CBAs'!$B$86,
IF(AND(E66="WCQ SF",G66="W"),'US CBAs'!$B$94,
IF(AND(E66="WCQ SF",G66="D"),'US CBAs'!$B$95,
IF(AND(E66="WCQ Hex",G66="W"),'US CBAs'!$B$98,
IF(AND(E66="WCQ Hex",G66="D"),'US CBAs'!$B$99,
IF(E66="World Cup",'US CBAs'!$B$104,
0))))))))))))))))</f>
        <v>7500</v>
      </c>
      <c r="L66" s="40">
        <v>23</v>
      </c>
      <c r="M66" s="59">
        <f t="shared" si="4"/>
        <v>172500</v>
      </c>
      <c r="N66" s="45">
        <f>IF(J66="",I66*'US CBAs'!$C$118,0)</f>
        <v>0</v>
      </c>
      <c r="O66" s="59">
        <f t="shared" si="5"/>
        <v>172500</v>
      </c>
      <c r="P66" s="61"/>
      <c r="Q66" s="239"/>
      <c r="R66" s="239"/>
      <c r="S66" s="247"/>
      <c r="T66" s="248"/>
    </row>
    <row r="67" spans="1:20" x14ac:dyDescent="0.35">
      <c r="A67" s="49" t="s">
        <v>203</v>
      </c>
      <c r="B67" s="195">
        <v>14</v>
      </c>
      <c r="C67" s="50">
        <v>2013</v>
      </c>
      <c r="D67" s="49" t="s">
        <v>225</v>
      </c>
      <c r="E67" s="49" t="s">
        <v>220</v>
      </c>
      <c r="F67" s="49" t="s">
        <v>31</v>
      </c>
      <c r="G67" s="49" t="s">
        <v>20</v>
      </c>
      <c r="H67" s="49" t="s">
        <v>47</v>
      </c>
      <c r="I67" s="57">
        <v>24000</v>
      </c>
      <c r="J67" s="40" t="s">
        <v>218</v>
      </c>
      <c r="K67" s="59">
        <f>IF(G67="L",'US CBAs'!$B$73,
IF(AND(E67="Friendly",F67="T1",G67="W"),'US CBAs'!$B$68,
IF(AND(E67="Friendly",F67="T2",G67="W"),'US CBAs'!$B$69,
IF(AND(E67="Friendly",F67="",G67="W"),'US CBAs'!$B$70,
IF(AND(E67="Friendly",F67="T1",G67="D"),'US CBAs'!$B$71,
IF(AND(E67="Friendly",F67="",G67="D"),'US CBAs'!$B$72,
IF(AND(E67="Gold Cup",F67="T1",G67="W"),'US CBAs'!$B$78,
IF(AND(E67="Gold Cup",F67="",G67="W"),'US CBAs'!$B$79,
IF(AND(E67="Gold Cup",G67="D"),'US CBAs'!$B$80,
IF(AND(E67="Copa America",F67="",G67="W"),'US CBAs'!$B$85,
IF(AND(E67="Copa America",G67="D"),'US CBAs'!$B$86,
IF(AND(E67="WCQ SF",G67="W"),'US CBAs'!$B$94,
IF(AND(E67="WCQ SF",G67="D"),'US CBAs'!$B$95,
IF(AND(E67="WCQ Hex",G67="W"),'US CBAs'!$B$98,
IF(AND(E67="WCQ Hex",G67="D"),'US CBAs'!$B$99,
IF(E67="World Cup",'US CBAs'!$B$104,
0))))))))))))))))</f>
        <v>10000</v>
      </c>
      <c r="L67" s="40">
        <v>20</v>
      </c>
      <c r="M67" s="59">
        <f t="shared" si="4"/>
        <v>200000</v>
      </c>
      <c r="N67" s="45">
        <f>IF(J67="",I67*'US CBAs'!$C$118,0)</f>
        <v>0</v>
      </c>
      <c r="O67" s="59">
        <f t="shared" si="5"/>
        <v>200000</v>
      </c>
      <c r="P67" s="61"/>
      <c r="Q67" s="242"/>
      <c r="R67" s="242"/>
      <c r="S67" s="247"/>
      <c r="T67" s="248"/>
    </row>
    <row r="68" spans="1:20" s="361" customFormat="1" x14ac:dyDescent="0.35">
      <c r="A68" s="49" t="s">
        <v>222</v>
      </c>
      <c r="B68" s="195">
        <v>6</v>
      </c>
      <c r="C68" s="50">
        <v>2013</v>
      </c>
      <c r="D68" s="49" t="s">
        <v>36</v>
      </c>
      <c r="E68" s="49" t="s">
        <v>227</v>
      </c>
      <c r="F68" s="49"/>
      <c r="G68" s="49" t="s">
        <v>33</v>
      </c>
      <c r="H68" s="49" t="s">
        <v>36</v>
      </c>
      <c r="I68" s="57">
        <v>35000</v>
      </c>
      <c r="J68" s="40" t="s">
        <v>218</v>
      </c>
      <c r="K68" s="59">
        <f>IF(G68="L",'US CBAs'!$B$73,
IF(AND(E68="Friendly",F68="T1",G68="W"),'US CBAs'!$B$68,
IF(AND(E68="Friendly",F68="T2",G68="W"),'US CBAs'!$B$69,
IF(AND(E68="Friendly",F68="",G68="W"),'US CBAs'!$B$70,
IF(AND(E68="Friendly",F68="T1",G68="D"),'US CBAs'!$B$71,
IF(AND(E68="Friendly",F68="",G68="D"),'US CBAs'!$B$72,
IF(AND(E68="Gold Cup",F68="T1",G68="W"),'US CBAs'!$B$78,
IF(AND(E68="Gold Cup",F68="",G68="W"),'US CBAs'!$B$79,
IF(AND(E68="Gold Cup",G68="D"),'US CBAs'!$B$80,
IF(AND(E68="Copa America",F68="",G68="W"),'US CBAs'!$B$85,
IF(AND(E68="Copa America",G68="D"),'US CBAs'!$B$86,
IF(AND(E68="WCQ SF",G68="W"),'US CBAs'!$B$94,
IF(AND(E68="WCQ SF",G68="D"),'US CBAs'!$B$95,
IF(AND(E68="WCQ Hex",G68="W"),'US CBAs'!$B$98,
IF(AND(E68="WCQ Hex",G68="D"),'US CBAs'!$B$99,
IF(E68="World Cup",'US CBAs'!$B$104,
0))))))))))))))))</f>
        <v>4000</v>
      </c>
      <c r="L68" s="40">
        <v>23</v>
      </c>
      <c r="M68" s="59">
        <f t="shared" si="4"/>
        <v>92000</v>
      </c>
      <c r="N68" s="45">
        <f>IF(J68="",I68*'US CBAs'!$C$118,0)</f>
        <v>0</v>
      </c>
      <c r="O68" s="59">
        <f t="shared" si="5"/>
        <v>92000</v>
      </c>
      <c r="P68" s="61"/>
      <c r="Q68" s="39"/>
      <c r="R68" s="39"/>
      <c r="S68" s="39"/>
      <c r="T68" s="39"/>
    </row>
    <row r="69" spans="1:20" s="361" customFormat="1" x14ac:dyDescent="0.35">
      <c r="A69" s="49" t="s">
        <v>222</v>
      </c>
      <c r="B69" s="195">
        <v>10</v>
      </c>
      <c r="C69" s="50">
        <v>2013</v>
      </c>
      <c r="D69" s="49" t="s">
        <v>35</v>
      </c>
      <c r="E69" s="49" t="s">
        <v>227</v>
      </c>
      <c r="F69" s="49"/>
      <c r="G69" s="49" t="s">
        <v>20</v>
      </c>
      <c r="H69" s="49" t="s">
        <v>495</v>
      </c>
      <c r="I69" s="57">
        <v>24584</v>
      </c>
      <c r="J69" s="40"/>
      <c r="K69" s="59">
        <f>IF(G69="L",'US CBAs'!$B$73,
IF(AND(E69="Friendly",F69="T1",G69="W"),'US CBAs'!$B$68,
IF(AND(E69="Friendly",F69="T2",G69="W"),'US CBAs'!$B$69,
IF(AND(E69="Friendly",F69="",G69="W"),'US CBAs'!$B$70,
IF(AND(E69="Friendly",F69="T1",G69="D"),'US CBAs'!$B$71,
IF(AND(E69="Friendly",F69="",G69="D"),'US CBAs'!$B$72,
IF(AND(E69="Gold Cup",F69="T1",G69="W"),'US CBAs'!$B$78,
IF(AND(E69="Gold Cup",F69="",G69="W"),'US CBAs'!$B$79,
IF(AND(E69="Gold Cup",G69="D"),'US CBAs'!$B$80,
IF(AND(E69="Copa America",F69="",G69="W"),'US CBAs'!$B$85,
IF(AND(E69="Copa America",G69="D"),'US CBAs'!$B$86,
IF(AND(E69="WCQ SF",G69="W"),'US CBAs'!$B$94,
IF(AND(E69="WCQ SF",G69="D"),'US CBAs'!$B$95,
IF(AND(E69="WCQ Hex",G69="W"),'US CBAs'!$B$98,
IF(AND(E69="WCQ Hex",G69="D"),'US CBAs'!$B$99,
IF(E69="World Cup",'US CBAs'!$B$104,
0))))))))))))))))</f>
        <v>14500</v>
      </c>
      <c r="L69" s="40">
        <v>23</v>
      </c>
      <c r="M69" s="59">
        <f t="shared" si="4"/>
        <v>333500</v>
      </c>
      <c r="N69" s="45">
        <f>IF(J69="",I69*'US CBAs'!$C$118,0)</f>
        <v>29500.799999999999</v>
      </c>
      <c r="O69" s="59">
        <f t="shared" si="5"/>
        <v>363000.8</v>
      </c>
      <c r="P69" s="61"/>
      <c r="Q69" s="397"/>
      <c r="R69" s="398"/>
      <c r="S69" s="233"/>
      <c r="T69" s="228"/>
    </row>
    <row r="70" spans="1:20" s="361" customFormat="1" x14ac:dyDescent="0.35">
      <c r="A70" s="49" t="s">
        <v>189</v>
      </c>
      <c r="B70" s="195">
        <v>11</v>
      </c>
      <c r="C70" s="50">
        <v>2013</v>
      </c>
      <c r="D70" s="49" t="s">
        <v>40</v>
      </c>
      <c r="E70" s="49" t="s">
        <v>227</v>
      </c>
      <c r="F70" s="49"/>
      <c r="G70" s="49" t="s">
        <v>20</v>
      </c>
      <c r="H70" s="49" t="s">
        <v>490</v>
      </c>
      <c r="I70" s="57">
        <v>18467</v>
      </c>
      <c r="J70" s="40"/>
      <c r="K70" s="59">
        <f>IF(G70="L",'US CBAs'!$B$73,
IF(AND(E70="Friendly",F70="T1",G70="W"),'US CBAs'!$B$68,
IF(AND(E70="Friendly",F70="T2",G70="W"),'US CBAs'!$B$69,
IF(AND(E70="Friendly",F70="",G70="W"),'US CBAs'!$B$70,
IF(AND(E70="Friendly",F70="T1",G70="D"),'US CBAs'!$B$71,
IF(AND(E70="Friendly",F70="",G70="D"),'US CBAs'!$B$72,
IF(AND(E70="Gold Cup",F70="T1",G70="W"),'US CBAs'!$B$78,
IF(AND(E70="Gold Cup",F70="",G70="W"),'US CBAs'!$B$79,
IF(AND(E70="Gold Cup",G70="D"),'US CBAs'!$B$80,
IF(AND(E70="Copa America",F70="",G70="W"),'US CBAs'!$B$85,
IF(AND(E70="Copa America",G70="D"),'US CBAs'!$B$86,
IF(AND(E70="WCQ SF",G70="W"),'US CBAs'!$B$94,
IF(AND(E70="WCQ SF",G70="D"),'US CBAs'!$B$95,
IF(AND(E70="WCQ Hex",G70="W"),'US CBAs'!$B$98,
IF(AND(E70="WCQ Hex",G70="D"),'US CBAs'!$B$99,
IF(E70="World Cup",'US CBAs'!$B$104,
0))))))))))))))))</f>
        <v>14500</v>
      </c>
      <c r="L70" s="40">
        <v>23</v>
      </c>
      <c r="M70" s="59">
        <f t="shared" si="4"/>
        <v>333500</v>
      </c>
      <c r="N70" s="45">
        <f>IF(J70="",I70*'US CBAs'!$C$118,0)</f>
        <v>22160.399999999998</v>
      </c>
      <c r="O70" s="59">
        <f t="shared" si="5"/>
        <v>355660.4</v>
      </c>
      <c r="P70" s="61"/>
      <c r="Q70" s="399"/>
      <c r="R70" s="400"/>
      <c r="S70" s="233"/>
      <c r="T70" s="228"/>
    </row>
    <row r="71" spans="1:20" s="361" customFormat="1" x14ac:dyDescent="0.35">
      <c r="A71" s="49" t="s">
        <v>189</v>
      </c>
      <c r="B71" s="195">
        <v>15</v>
      </c>
      <c r="C71" s="50">
        <v>2013</v>
      </c>
      <c r="D71" s="49" t="s">
        <v>42</v>
      </c>
      <c r="E71" s="49" t="s">
        <v>227</v>
      </c>
      <c r="F71" s="49"/>
      <c r="G71" s="49" t="s">
        <v>20</v>
      </c>
      <c r="H71" s="49" t="s">
        <v>42</v>
      </c>
      <c r="I71" s="57">
        <v>18254</v>
      </c>
      <c r="J71" s="40" t="s">
        <v>218</v>
      </c>
      <c r="K71" s="59">
        <f>IF(G71="L",'US CBAs'!$B$73,
IF(AND(E71="Friendly",F71="T1",G71="W"),'US CBAs'!$B$68,
IF(AND(E71="Friendly",F71="T2",G71="W"),'US CBAs'!$B$69,
IF(AND(E71="Friendly",F71="",G71="W"),'US CBAs'!$B$70,
IF(AND(E71="Friendly",F71="T1",G71="D"),'US CBAs'!$B$71,
IF(AND(E71="Friendly",F71="",G71="D"),'US CBAs'!$B$72,
IF(AND(E71="Gold Cup",F71="T1",G71="W"),'US CBAs'!$B$78,
IF(AND(E71="Gold Cup",F71="",G71="W"),'US CBAs'!$B$79,
IF(AND(E71="Gold Cup",G71="D"),'US CBAs'!$B$80,
IF(AND(E71="Copa America",F71="",G71="W"),'US CBAs'!$B$85,
IF(AND(E71="Copa America",G71="D"),'US CBAs'!$B$86,
IF(AND(E71="WCQ SF",G71="W"),'US CBAs'!$B$94,
IF(AND(E71="WCQ SF",G71="D"),'US CBAs'!$B$95,
IF(AND(E71="WCQ Hex",G71="W"),'US CBAs'!$B$98,
IF(AND(E71="WCQ Hex",G71="D"),'US CBAs'!$B$99,
IF(E71="World Cup",'US CBAs'!$B$104,
0))))))))))))))))</f>
        <v>14500</v>
      </c>
      <c r="L71" s="40">
        <v>23</v>
      </c>
      <c r="M71" s="59">
        <f t="shared" si="4"/>
        <v>333500</v>
      </c>
      <c r="N71" s="45">
        <f>IF(J71="",I71*'US CBAs'!$C$118,0)</f>
        <v>0</v>
      </c>
      <c r="O71" s="59">
        <f t="shared" si="5"/>
        <v>333500</v>
      </c>
      <c r="P71" s="61"/>
      <c r="Q71" s="401"/>
      <c r="R71" s="400"/>
      <c r="S71" s="233"/>
      <c r="T71" s="228"/>
    </row>
    <row r="72" spans="1:20" s="361" customFormat="1" x14ac:dyDescent="0.35">
      <c r="A72" s="49" t="s">
        <v>190</v>
      </c>
      <c r="B72" s="195">
        <v>15</v>
      </c>
      <c r="C72" s="50">
        <v>2013</v>
      </c>
      <c r="D72" s="49" t="s">
        <v>19</v>
      </c>
      <c r="E72" s="49" t="s">
        <v>220</v>
      </c>
      <c r="F72" s="49"/>
      <c r="G72" s="49" t="s">
        <v>83</v>
      </c>
      <c r="H72" s="49" t="s">
        <v>19</v>
      </c>
      <c r="I72" s="57">
        <v>21079</v>
      </c>
      <c r="J72" s="40" t="s">
        <v>218</v>
      </c>
      <c r="K72" s="59">
        <f>IF(G72="L",'US CBAs'!$B$73,
IF(AND(E72="Friendly",F72="T1",G72="W"),'US CBAs'!$B$68,
IF(AND(E72="Friendly",F72="T2",G72="W"),'US CBAs'!$B$69,
IF(AND(E72="Friendly",F72="",G72="W"),'US CBAs'!$B$70,
IF(AND(E72="Friendly",F72="T1",G72="D"),'US CBAs'!$B$71,
IF(AND(E72="Friendly",F72="",G72="D"),'US CBAs'!$B$72,
IF(AND(E72="Gold Cup",F72="T1",G72="W"),'US CBAs'!$B$78,
IF(AND(E72="Gold Cup",F72="",G72="W"),'US CBAs'!$B$79,
IF(AND(E72="Gold Cup",G72="D"),'US CBAs'!$B$80,
IF(AND(E72="Copa America",F72="",G72="W"),'US CBAs'!$B$85,
IF(AND(E72="Copa America",G72="D"),'US CBAs'!$B$86,
IF(AND(E72="WCQ SF",G72="W"),'US CBAs'!$B$94,
IF(AND(E72="WCQ SF",G72="D"),'US CBAs'!$B$95,
IF(AND(E72="WCQ Hex",G72="W"),'US CBAs'!$B$98,
IF(AND(E72="WCQ Hex",G72="D"),'US CBAs'!$B$99,
IF(E72="World Cup",'US CBAs'!$B$104,
0))))))))))))))))</f>
        <v>5000</v>
      </c>
      <c r="L72" s="40">
        <v>20</v>
      </c>
      <c r="M72" s="59">
        <f t="shared" si="4"/>
        <v>100000</v>
      </c>
      <c r="N72" s="45">
        <f>IF(J72="",I72*'US CBAs'!$C$118,0)</f>
        <v>0</v>
      </c>
      <c r="O72" s="59">
        <f t="shared" si="5"/>
        <v>100000</v>
      </c>
      <c r="P72" s="61"/>
      <c r="Q72" s="275"/>
      <c r="R72" s="261"/>
      <c r="S72" s="233"/>
      <c r="T72" s="228"/>
    </row>
    <row r="73" spans="1:20" s="361" customFormat="1" x14ac:dyDescent="0.35">
      <c r="A73" s="49" t="s">
        <v>190</v>
      </c>
      <c r="B73" s="195">
        <v>19</v>
      </c>
      <c r="C73" s="50">
        <v>2013</v>
      </c>
      <c r="D73" s="49" t="s">
        <v>48</v>
      </c>
      <c r="E73" s="49" t="s">
        <v>220</v>
      </c>
      <c r="F73" s="49"/>
      <c r="G73" s="49" t="s">
        <v>33</v>
      </c>
      <c r="H73" s="49" t="s">
        <v>48</v>
      </c>
      <c r="I73" s="57">
        <v>20200</v>
      </c>
      <c r="J73" s="40" t="s">
        <v>218</v>
      </c>
      <c r="K73" s="59">
        <f>IF(G73="L",'US CBAs'!$B$73,
IF(AND(E73="Friendly",F73="T1",G73="W"),'US CBAs'!$B$68,
IF(AND(E73="Friendly",F73="T2",G73="W"),'US CBAs'!$B$69,
IF(AND(E73="Friendly",F73="",G73="W"),'US CBAs'!$B$70,
IF(AND(E73="Friendly",F73="T1",G73="D"),'US CBAs'!$B$71,
IF(AND(E73="Friendly",F73="",G73="D"),'US CBAs'!$B$72,
IF(AND(E73="Gold Cup",F73="T1",G73="W"),'US CBAs'!$B$78,
IF(AND(E73="Gold Cup",F73="",G73="W"),'US CBAs'!$B$79,
IF(AND(E73="Gold Cup",G73="D"),'US CBAs'!$B$80,
IF(AND(E73="Copa America",F73="",G73="W"),'US CBAs'!$B$85,
IF(AND(E73="Copa America",G73="D"),'US CBAs'!$B$86,
IF(AND(E73="WCQ SF",G73="W"),'US CBAs'!$B$94,
IF(AND(E73="WCQ SF",G73="D"),'US CBAs'!$B$95,
IF(AND(E73="WCQ Hex",G73="W"),'US CBAs'!$B$98,
IF(AND(E73="WCQ Hex",G73="D"),'US CBAs'!$B$99,
IF(E73="World Cup",'US CBAs'!$B$104,
0))))))))))))))))</f>
        <v>4000</v>
      </c>
      <c r="L73" s="40">
        <v>20</v>
      </c>
      <c r="M73" s="59">
        <f>K73*L73</f>
        <v>80000</v>
      </c>
      <c r="N73" s="45">
        <f>IF(J73="",I73*'US CBAs'!$C$118,0)</f>
        <v>0</v>
      </c>
      <c r="O73" s="59">
        <f>M73+N73</f>
        <v>80000</v>
      </c>
      <c r="P73" s="61"/>
      <c r="Q73" s="275"/>
      <c r="R73" s="261"/>
      <c r="S73" s="233"/>
      <c r="T73" s="228"/>
    </row>
    <row r="74" spans="1:20" s="361" customFormat="1" x14ac:dyDescent="0.35">
      <c r="A74" s="49"/>
      <c r="B74" s="195"/>
      <c r="C74" s="50"/>
      <c r="D74" s="58" t="s">
        <v>577</v>
      </c>
      <c r="E74" s="49"/>
      <c r="F74" s="49"/>
      <c r="G74" s="49"/>
      <c r="H74" s="49"/>
      <c r="I74" s="57"/>
      <c r="J74" s="40"/>
      <c r="K74" s="54">
        <f>'US CBAs'!$B$75</f>
        <v>1500</v>
      </c>
      <c r="L74" s="56">
        <v>10</v>
      </c>
      <c r="M74" s="54">
        <f>K74*L74</f>
        <v>15000</v>
      </c>
      <c r="N74" s="55"/>
      <c r="O74" s="54">
        <f>M74+N74</f>
        <v>15000</v>
      </c>
      <c r="P74" s="61"/>
      <c r="Q74" s="277"/>
      <c r="R74" s="258"/>
      <c r="S74" s="233"/>
      <c r="T74" s="228"/>
    </row>
    <row r="75" spans="1:20" s="361" customFormat="1" x14ac:dyDescent="0.35">
      <c r="A75" s="49"/>
      <c r="B75" s="195"/>
      <c r="C75" s="50"/>
      <c r="D75" s="58" t="s">
        <v>578</v>
      </c>
      <c r="E75" s="49"/>
      <c r="F75" s="49"/>
      <c r="G75" s="49"/>
      <c r="H75" s="49"/>
      <c r="I75" s="57"/>
      <c r="J75" s="40"/>
      <c r="K75" s="54">
        <f>'US CBAs'!$B$76</f>
        <v>2000</v>
      </c>
      <c r="L75" s="56">
        <v>10</v>
      </c>
      <c r="M75" s="54">
        <f>K75*L75</f>
        <v>20000</v>
      </c>
      <c r="N75" s="55"/>
      <c r="O75" s="54">
        <f>M75+N75</f>
        <v>20000</v>
      </c>
      <c r="P75" s="61"/>
      <c r="Q75" s="242"/>
      <c r="R75" s="244"/>
      <c r="S75" s="233"/>
      <c r="T75" s="228"/>
    </row>
    <row r="76" spans="1:20" s="361" customFormat="1" x14ac:dyDescent="0.35">
      <c r="A76" s="49" t="s">
        <v>192</v>
      </c>
      <c r="B76" s="195">
        <v>1</v>
      </c>
      <c r="C76" s="50">
        <v>2014</v>
      </c>
      <c r="D76" s="49" t="s">
        <v>34</v>
      </c>
      <c r="E76" s="49" t="s">
        <v>220</v>
      </c>
      <c r="F76" s="49"/>
      <c r="G76" s="49" t="s">
        <v>20</v>
      </c>
      <c r="H76" s="49" t="s">
        <v>481</v>
      </c>
      <c r="I76" s="57">
        <v>27000</v>
      </c>
      <c r="J76" s="40"/>
      <c r="K76" s="59">
        <f>IF(G76="L",'US CBAs'!$B$73,
IF(AND(E76="Friendly",F76="T1",G76="W"),'US CBAs'!$B$68,
IF(AND(E76="Friendly",F76="T2",G76="W"),'US CBAs'!$B$69,
IF(AND(E76="Friendly",F76="",G76="W"),'US CBAs'!$B$70,
IF(AND(E76="Friendly",F76="T1",G76="D"),'US CBAs'!$B$71,
IF(AND(E76="Friendly",F76="",G76="D"),'US CBAs'!$B$72,
IF(AND(E76="Gold Cup",F76="T1",G76="W"),'US CBAs'!$B$78,
IF(AND(E76="Gold Cup",F76="",G76="W"),'US CBAs'!$B$79,
IF(AND(E76="Gold Cup",G76="D"),'US CBAs'!$B$80,
IF(AND(E76="Copa America",F76="",G76="W"),'US CBAs'!$B$85,
IF(AND(E76="Copa America",G76="D"),'US CBAs'!$B$86,
IF(AND(E76="WCQ SF",G76="W"),'US CBAs'!$B$94,
IF(AND(E76="WCQ SF",G76="D"),'US CBAs'!$B$95,
IF(AND(E76="WCQ Hex",G76="W"),'US CBAs'!$B$98,
IF(AND(E76="WCQ Hex",G76="D"),'US CBAs'!$B$99,
IF(E76="World Cup",'US CBAs'!$B$104,
0))))))))))))))))</f>
        <v>7500</v>
      </c>
      <c r="L76" s="40">
        <v>20</v>
      </c>
      <c r="M76" s="59">
        <f t="shared" ref="M76:M91" si="6">K76*L76</f>
        <v>150000</v>
      </c>
      <c r="N76" s="45">
        <f>IF(J76="",I76*'US CBAs'!$C$118,0)</f>
        <v>32400</v>
      </c>
      <c r="O76" s="59">
        <f t="shared" ref="O76:O91" si="7">M76+N76</f>
        <v>182400</v>
      </c>
      <c r="P76" s="61"/>
      <c r="Q76" s="243"/>
      <c r="R76" s="245"/>
      <c r="S76" s="233"/>
      <c r="T76" s="228"/>
    </row>
    <row r="77" spans="1:20" s="361" customFormat="1" x14ac:dyDescent="0.35">
      <c r="A77" s="49" t="s">
        <v>221</v>
      </c>
      <c r="B77" s="195">
        <v>5</v>
      </c>
      <c r="C77" s="50">
        <v>2014</v>
      </c>
      <c r="D77" s="49" t="s">
        <v>54</v>
      </c>
      <c r="E77" s="49" t="s">
        <v>220</v>
      </c>
      <c r="F77" s="49"/>
      <c r="G77" s="49" t="s">
        <v>33</v>
      </c>
      <c r="H77" s="49" t="s">
        <v>251</v>
      </c>
      <c r="I77" s="57">
        <v>1573</v>
      </c>
      <c r="J77" s="40" t="s">
        <v>218</v>
      </c>
      <c r="K77" s="59">
        <f>IF(G77="L",'US CBAs'!$B$73,
IF(AND(E77="Friendly",F77="T1",G77="W"),'US CBAs'!$B$68,
IF(AND(E77="Friendly",F77="T2",G77="W"),'US CBAs'!$B$69,
IF(AND(E77="Friendly",F77="",G77="W"),'US CBAs'!$B$70,
IF(AND(E77="Friendly",F77="T1",G77="D"),'US CBAs'!$B$71,
IF(AND(E77="Friendly",F77="",G77="D"),'US CBAs'!$B$72,
IF(AND(E77="Gold Cup",F77="T1",G77="W"),'US CBAs'!$B$78,
IF(AND(E77="Gold Cup",F77="",G77="W"),'US CBAs'!$B$79,
IF(AND(E77="Gold Cup",G77="D"),'US CBAs'!$B$80,
IF(AND(E77="Copa America",F77="",G77="W"),'US CBAs'!$B$85,
IF(AND(E77="Copa America",G77="D"),'US CBAs'!$B$86,
IF(AND(E77="WCQ SF",G77="W"),'US CBAs'!$B$94,
IF(AND(E77="WCQ SF",G77="D"),'US CBAs'!$B$95,
IF(AND(E77="WCQ Hex",G77="W"),'US CBAs'!$B$98,
IF(AND(E77="WCQ Hex",G77="D"),'US CBAs'!$B$99,
IF(E77="World Cup",'US CBAs'!$B$104,
0))))))))))))))))</f>
        <v>4000</v>
      </c>
      <c r="L77" s="40">
        <v>20</v>
      </c>
      <c r="M77" s="59">
        <f t="shared" si="6"/>
        <v>80000</v>
      </c>
      <c r="N77" s="45">
        <f>IF(J77="",I77*'US CBAs'!$C$118,0)</f>
        <v>0</v>
      </c>
      <c r="O77" s="59">
        <f t="shared" si="7"/>
        <v>80000</v>
      </c>
      <c r="P77" s="61"/>
      <c r="Q77" s="239"/>
      <c r="R77" s="239"/>
      <c r="S77" s="233"/>
      <c r="T77" s="228"/>
    </row>
    <row r="78" spans="1:20" s="361" customFormat="1" x14ac:dyDescent="0.35">
      <c r="A78" s="49" t="s">
        <v>240</v>
      </c>
      <c r="B78" s="195">
        <v>2</v>
      </c>
      <c r="C78" s="50">
        <v>2014</v>
      </c>
      <c r="D78" s="49" t="s">
        <v>35</v>
      </c>
      <c r="E78" s="49" t="s">
        <v>220</v>
      </c>
      <c r="F78" s="49" t="s">
        <v>28</v>
      </c>
      <c r="G78" s="49" t="s">
        <v>83</v>
      </c>
      <c r="H78" s="49" t="s">
        <v>493</v>
      </c>
      <c r="I78" s="57">
        <v>59066</v>
      </c>
      <c r="J78" s="39"/>
      <c r="K78" s="59">
        <f>IF(G78="L",'US CBAs'!$B$73,
IF(AND(E78="Friendly",F78="T1",G78="W"),'US CBAs'!$B$68,
IF(AND(E78="Friendly",F78="T2",G78="W"),'US CBAs'!$B$69,
IF(AND(E78="Friendly",F78="",G78="W"),'US CBAs'!$B$70,
IF(AND(E78="Friendly",F78="T1",G78="D"),'US CBAs'!$B$71,
IF(AND(E78="Friendly",F78="",G78="D"),'US CBAs'!$B$72,
IF(AND(E78="Gold Cup",F78="T1",G78="W"),'US CBAs'!$B$78,
IF(AND(E78="Gold Cup",F78="",G78="W"),'US CBAs'!$B$79,
IF(AND(E78="Gold Cup",G78="D"),'US CBAs'!$B$80,
IF(AND(E78="Copa America",F78="",G78="W"),'US CBAs'!$B$85,
IF(AND(E78="Copa America",G78="D"),'US CBAs'!$B$86,
IF(AND(E78="WCQ SF",G78="W"),'US CBAs'!$B$94,
IF(AND(E78="WCQ SF",G78="D"),'US CBAs'!$B$95,
IF(AND(E78="WCQ Hex",G78="W"),'US CBAs'!$B$98,
IF(AND(E78="WCQ Hex",G78="D"),'US CBAs'!$B$99,
IF(E78="World Cup",'US CBAs'!$B$104,
0))))))))))))))))</f>
        <v>6500</v>
      </c>
      <c r="L78" s="40">
        <v>20</v>
      </c>
      <c r="M78" s="59">
        <f t="shared" si="6"/>
        <v>130000</v>
      </c>
      <c r="N78" s="45">
        <f>IF(J78="",I78*'US CBAs'!$C$118,0)</f>
        <v>70879.199999999997</v>
      </c>
      <c r="O78" s="59">
        <f t="shared" si="7"/>
        <v>200879.2</v>
      </c>
      <c r="P78" s="61"/>
      <c r="Q78" s="242"/>
      <c r="R78" s="242"/>
      <c r="S78" s="239"/>
      <c r="T78" s="229"/>
    </row>
    <row r="79" spans="1:20" s="361" customFormat="1" x14ac:dyDescent="0.35">
      <c r="A79" s="49" t="s">
        <v>186</v>
      </c>
      <c r="B79" s="195">
        <v>27</v>
      </c>
      <c r="C79" s="50">
        <v>2014</v>
      </c>
      <c r="D79" s="49" t="s">
        <v>56</v>
      </c>
      <c r="E79" s="49" t="s">
        <v>220</v>
      </c>
      <c r="F79" s="49"/>
      <c r="G79" s="49" t="s">
        <v>20</v>
      </c>
      <c r="H79" s="49" t="s">
        <v>481</v>
      </c>
      <c r="I79" s="57">
        <v>24688</v>
      </c>
      <c r="J79" s="39"/>
      <c r="K79" s="59">
        <f>IF(G79="L",'US CBAs'!$B$73,
IF(AND(E79="Friendly",F79="T1",G79="W"),'US CBAs'!$B$68,
IF(AND(E79="Friendly",F79="T2",G79="W"),'US CBAs'!$B$69,
IF(AND(E79="Friendly",F79="",G79="W"),'US CBAs'!$B$70,
IF(AND(E79="Friendly",F79="T1",G79="D"),'US CBAs'!$B$71,
IF(AND(E79="Friendly",F79="",G79="D"),'US CBAs'!$B$72,
IF(AND(E79="Gold Cup",F79="T1",G79="W"),'US CBAs'!$B$78,
IF(AND(E79="Gold Cup",F79="",G79="W"),'US CBAs'!$B$79,
IF(AND(E79="Gold Cup",G79="D"),'US CBAs'!$B$80,
IF(AND(E79="Copa America",F79="",G79="W"),'US CBAs'!$B$85,
IF(AND(E79="Copa America",G79="D"),'US CBAs'!$B$86,
IF(AND(E79="WCQ SF",G79="W"),'US CBAs'!$B$94,
IF(AND(E79="WCQ SF",G79="D"),'US CBAs'!$B$95,
IF(AND(E79="WCQ Hex",G79="W"),'US CBAs'!$B$98,
IF(AND(E79="WCQ Hex",G79="D"),'US CBAs'!$B$99,
IF(E79="World Cup",'US CBAs'!$B$104,
0))))))))))))))))</f>
        <v>7500</v>
      </c>
      <c r="L79" s="40">
        <v>20</v>
      </c>
      <c r="M79" s="59">
        <f t="shared" si="6"/>
        <v>150000</v>
      </c>
      <c r="N79" s="45">
        <f>IF(J79="",I79*'US CBAs'!$C$118,0)</f>
        <v>29625.599999999999</v>
      </c>
      <c r="O79" s="59">
        <f t="shared" si="7"/>
        <v>179625.60000000001</v>
      </c>
      <c r="P79" s="61"/>
      <c r="Q79" s="242"/>
      <c r="R79" s="242"/>
      <c r="S79" s="242"/>
      <c r="T79" s="230"/>
    </row>
    <row r="80" spans="1:20" s="361" customFormat="1" x14ac:dyDescent="0.35">
      <c r="A80" s="49" t="s">
        <v>223</v>
      </c>
      <c r="B80" s="195">
        <v>1</v>
      </c>
      <c r="C80" s="50">
        <v>2014</v>
      </c>
      <c r="D80" s="49" t="s">
        <v>57</v>
      </c>
      <c r="E80" s="49" t="s">
        <v>220</v>
      </c>
      <c r="F80" s="49"/>
      <c r="G80" s="49" t="s">
        <v>20</v>
      </c>
      <c r="H80" s="49" t="s">
        <v>485</v>
      </c>
      <c r="I80" s="57">
        <v>26762</v>
      </c>
      <c r="J80" s="40"/>
      <c r="K80" s="59">
        <f>IF(G80="L",'US CBAs'!$B$73,
IF(AND(E80="Friendly",F80="T1",G80="W"),'US CBAs'!$B$68,
IF(AND(E80="Friendly",F80="T2",G80="W"),'US CBAs'!$B$69,
IF(AND(E80="Friendly",F80="",G80="W"),'US CBAs'!$B$70,
IF(AND(E80="Friendly",F80="T1",G80="D"),'US CBAs'!$B$71,
IF(AND(E80="Friendly",F80="",G80="D"),'US CBAs'!$B$72,
IF(AND(E80="Gold Cup",F80="T1",G80="W"),'US CBAs'!$B$78,
IF(AND(E80="Gold Cup",F80="",G80="W"),'US CBAs'!$B$79,
IF(AND(E80="Gold Cup",G80="D"),'US CBAs'!$B$80,
IF(AND(E80="Copa America",F80="",G80="W"),'US CBAs'!$B$85,
IF(AND(E80="Copa America",G80="D"),'US CBAs'!$B$86,
IF(AND(E80="WCQ SF",G80="W"),'US CBAs'!$B$94,
IF(AND(E80="WCQ SF",G80="D"),'US CBAs'!$B$95,
IF(AND(E80="WCQ Hex",G80="W"),'US CBAs'!$B$98,
IF(AND(E80="WCQ Hex",G80="D"),'US CBAs'!$B$99,
IF(E80="World Cup",'US CBAs'!$B$104,
0))))))))))))))))</f>
        <v>7500</v>
      </c>
      <c r="L80" s="40">
        <v>20</v>
      </c>
      <c r="M80" s="59">
        <f t="shared" si="6"/>
        <v>150000</v>
      </c>
      <c r="N80" s="45">
        <f>IF(J80="",I80*'US CBAs'!$C$118,0)</f>
        <v>32114.399999999998</v>
      </c>
      <c r="O80" s="59">
        <f t="shared" si="7"/>
        <v>182114.4</v>
      </c>
      <c r="P80" s="61"/>
      <c r="Q80" s="242"/>
      <c r="R80" s="242"/>
      <c r="S80" s="242"/>
      <c r="T80" s="230"/>
    </row>
    <row r="81" spans="1:20" s="361" customFormat="1" x14ac:dyDescent="0.35">
      <c r="A81" s="49" t="s">
        <v>223</v>
      </c>
      <c r="B81" s="195">
        <v>7</v>
      </c>
      <c r="C81" s="50">
        <v>2014</v>
      </c>
      <c r="D81" s="49" t="s">
        <v>58</v>
      </c>
      <c r="E81" s="49" t="s">
        <v>220</v>
      </c>
      <c r="F81" s="49"/>
      <c r="G81" s="49" t="s">
        <v>20</v>
      </c>
      <c r="H81" s="49" t="s">
        <v>482</v>
      </c>
      <c r="I81" s="57">
        <v>52033</v>
      </c>
      <c r="J81" s="40"/>
      <c r="K81" s="59">
        <f>IF(G81="L",'US CBAs'!$B$73,
IF(AND(E81="Friendly",F81="T1",G81="W"),'US CBAs'!$B$68,
IF(AND(E81="Friendly",F81="T2",G81="W"),'US CBAs'!$B$69,
IF(AND(E81="Friendly",F81="",G81="W"),'US CBAs'!$B$70,
IF(AND(E81="Friendly",F81="T1",G81="D"),'US CBAs'!$B$71,
IF(AND(E81="Friendly",F81="",G81="D"),'US CBAs'!$B$72,
IF(AND(E81="Gold Cup",F81="T1",G81="W"),'US CBAs'!$B$78,
IF(AND(E81="Gold Cup",F81="",G81="W"),'US CBAs'!$B$79,
IF(AND(E81="Gold Cup",G81="D"),'US CBAs'!$B$80,
IF(AND(E81="Copa America",F81="",G81="W"),'US CBAs'!$B$85,
IF(AND(E81="Copa America",G81="D"),'US CBAs'!$B$86,
IF(AND(E81="WCQ SF",G81="W"),'US CBAs'!$B$94,
IF(AND(E81="WCQ SF",G81="D"),'US CBAs'!$B$95,
IF(AND(E81="WCQ Hex",G81="W"),'US CBAs'!$B$98,
IF(AND(E81="WCQ Hex",G81="D"),'US CBAs'!$B$99,
IF(E81="World Cup",'US CBAs'!$B$104,
0))))))))))))))))</f>
        <v>7500</v>
      </c>
      <c r="L81" s="40">
        <v>20</v>
      </c>
      <c r="M81" s="59">
        <f t="shared" si="6"/>
        <v>150000</v>
      </c>
      <c r="N81" s="45">
        <f>IF(J81="",I81*'US CBAs'!$C$118,0)</f>
        <v>62439.6</v>
      </c>
      <c r="O81" s="59">
        <f t="shared" si="7"/>
        <v>212439.6</v>
      </c>
      <c r="P81" s="61"/>
      <c r="Q81" s="242"/>
      <c r="R81" s="242"/>
      <c r="S81" s="242"/>
      <c r="T81" s="230"/>
    </row>
    <row r="82" spans="1:20" s="361" customFormat="1" x14ac:dyDescent="0.35">
      <c r="A82" s="49" t="s">
        <v>223</v>
      </c>
      <c r="B82" s="195">
        <v>16</v>
      </c>
      <c r="C82" s="50">
        <v>2014</v>
      </c>
      <c r="D82" s="49" t="s">
        <v>77</v>
      </c>
      <c r="E82" s="49" t="s">
        <v>1</v>
      </c>
      <c r="F82" s="49"/>
      <c r="G82" s="49" t="s">
        <v>20</v>
      </c>
      <c r="H82" s="49" t="s">
        <v>41</v>
      </c>
      <c r="I82" s="57">
        <v>39760</v>
      </c>
      <c r="J82" s="40" t="s">
        <v>218</v>
      </c>
      <c r="K82" s="59">
        <f>'US CBAs'!$B$104</f>
        <v>5500</v>
      </c>
      <c r="L82" s="40">
        <v>23</v>
      </c>
      <c r="M82" s="59">
        <f t="shared" si="6"/>
        <v>126500</v>
      </c>
      <c r="N82" s="45">
        <f>IF(J82="",I82*'US CBAs'!$C$118,0)</f>
        <v>0</v>
      </c>
      <c r="O82" s="59">
        <f t="shared" si="7"/>
        <v>126500</v>
      </c>
      <c r="P82" s="61"/>
      <c r="Q82" s="239"/>
      <c r="R82" s="239"/>
      <c r="S82" s="242"/>
      <c r="T82" s="230"/>
    </row>
    <row r="83" spans="1:20" s="361" customFormat="1" x14ac:dyDescent="0.35">
      <c r="A83" s="49" t="s">
        <v>223</v>
      </c>
      <c r="B83" s="195">
        <v>22</v>
      </c>
      <c r="C83" s="50">
        <v>2014</v>
      </c>
      <c r="D83" s="49" t="s">
        <v>82</v>
      </c>
      <c r="E83" s="49" t="s">
        <v>1</v>
      </c>
      <c r="F83" s="49"/>
      <c r="G83" s="49" t="s">
        <v>83</v>
      </c>
      <c r="H83" s="49" t="s">
        <v>41</v>
      </c>
      <c r="I83" s="57">
        <v>40123</v>
      </c>
      <c r="J83" s="40" t="s">
        <v>218</v>
      </c>
      <c r="K83" s="59">
        <f>'US CBAs'!$B$104</f>
        <v>5500</v>
      </c>
      <c r="L83" s="40">
        <v>23</v>
      </c>
      <c r="M83" s="59">
        <f t="shared" si="6"/>
        <v>126500</v>
      </c>
      <c r="N83" s="45">
        <f>IF(J83="",I83*'US CBAs'!$C$118,0)</f>
        <v>0</v>
      </c>
      <c r="O83" s="59">
        <f t="shared" si="7"/>
        <v>126500</v>
      </c>
      <c r="P83" s="61"/>
      <c r="Q83" s="242"/>
      <c r="R83" s="242"/>
      <c r="S83" s="242"/>
      <c r="T83" s="230"/>
    </row>
    <row r="84" spans="1:20" x14ac:dyDescent="0.35">
      <c r="A84" s="49" t="s">
        <v>223</v>
      </c>
      <c r="B84" s="195">
        <v>26</v>
      </c>
      <c r="C84" s="50">
        <v>2014</v>
      </c>
      <c r="D84" s="49" t="s">
        <v>27</v>
      </c>
      <c r="E84" s="49" t="s">
        <v>1</v>
      </c>
      <c r="F84" s="49"/>
      <c r="G84" s="49" t="s">
        <v>33</v>
      </c>
      <c r="H84" s="49" t="s">
        <v>41</v>
      </c>
      <c r="I84" s="57">
        <v>41876</v>
      </c>
      <c r="J84" s="40" t="s">
        <v>218</v>
      </c>
      <c r="K84" s="59">
        <f>'US CBAs'!$B$104</f>
        <v>5500</v>
      </c>
      <c r="L84" s="40">
        <v>23</v>
      </c>
      <c r="M84" s="59">
        <f t="shared" si="6"/>
        <v>126500</v>
      </c>
      <c r="N84" s="45">
        <f>IF(J84="",I84*'US CBAs'!$C$118,0)</f>
        <v>0</v>
      </c>
      <c r="O84" s="59">
        <f t="shared" si="7"/>
        <v>126500</v>
      </c>
      <c r="P84" s="61"/>
      <c r="Q84" s="242"/>
      <c r="R84" s="242"/>
      <c r="S84" s="242"/>
      <c r="T84" s="230"/>
    </row>
    <row r="85" spans="1:20" x14ac:dyDescent="0.35">
      <c r="A85" s="49" t="s">
        <v>230</v>
      </c>
      <c r="B85" s="195">
        <v>1</v>
      </c>
      <c r="C85" s="50">
        <v>2014</v>
      </c>
      <c r="D85" s="49" t="s">
        <v>39</v>
      </c>
      <c r="E85" s="49" t="s">
        <v>1</v>
      </c>
      <c r="F85" s="49"/>
      <c r="G85" s="49" t="s">
        <v>33</v>
      </c>
      <c r="H85" s="49" t="s">
        <v>41</v>
      </c>
      <c r="I85" s="57">
        <v>51227</v>
      </c>
      <c r="J85" s="40" t="s">
        <v>218</v>
      </c>
      <c r="K85" s="59">
        <f>'US CBAs'!$B$104</f>
        <v>5500</v>
      </c>
      <c r="L85" s="40">
        <v>23</v>
      </c>
      <c r="M85" s="59">
        <f t="shared" si="6"/>
        <v>126500</v>
      </c>
      <c r="N85" s="45">
        <f>IF(J85="",I85*'US CBAs'!$C$118,0)</f>
        <v>0</v>
      </c>
      <c r="O85" s="59">
        <f t="shared" si="7"/>
        <v>126500</v>
      </c>
      <c r="P85" s="61"/>
      <c r="Q85" s="242"/>
      <c r="R85" s="242"/>
      <c r="S85" s="242"/>
      <c r="T85" s="230"/>
    </row>
    <row r="86" spans="1:20" x14ac:dyDescent="0.35">
      <c r="A86" s="49" t="s">
        <v>222</v>
      </c>
      <c r="B86" s="195">
        <v>3</v>
      </c>
      <c r="C86" s="50">
        <v>2014</v>
      </c>
      <c r="D86" s="49" t="s">
        <v>250</v>
      </c>
      <c r="E86" s="49" t="s">
        <v>220</v>
      </c>
      <c r="F86" s="49"/>
      <c r="G86" s="49" t="s">
        <v>20</v>
      </c>
      <c r="H86" s="49" t="s">
        <v>250</v>
      </c>
      <c r="I86" s="57">
        <v>12642</v>
      </c>
      <c r="J86" s="40" t="s">
        <v>218</v>
      </c>
      <c r="K86" s="59">
        <f>IF(G86="L",'US CBAs'!$B$73,
IF(AND(E86="Friendly",F86="T1",G86="W"),'US CBAs'!$B$68,
IF(AND(E86="Friendly",F86="T2",G86="W"),'US CBAs'!$B$69,
IF(AND(E86="Friendly",F86="",G86="W"),'US CBAs'!$B$70,
IF(AND(E86="Friendly",F86="T1",G86="D"),'US CBAs'!$B$71,
IF(AND(E86="Friendly",F86="",G86="D"),'US CBAs'!$B$72,
IF(AND(E86="Gold Cup",F86="T1",G86="W"),'US CBAs'!$B$78,
IF(AND(E86="Gold Cup",F86="",G86="W"),'US CBAs'!$B$79,
IF(AND(E86="Gold Cup",G86="D"),'US CBAs'!$B$80,
IF(AND(E86="Copa America",F86="",G86="W"),'US CBAs'!$B$85,
IF(AND(E86="Copa America",G86="D"),'US CBAs'!$B$86,
IF(AND(E86="WCQ SF",G86="W"),'US CBAs'!$B$94,
IF(AND(E86="WCQ SF",G86="D"),'US CBAs'!$B$95,
IF(AND(E86="WCQ Hex",G86="W"),'US CBAs'!$B$98,
IF(AND(E86="WCQ Hex",G86="D"),'US CBAs'!$B$99,
IF(E86="World Cup",'US CBAs'!$B$104,
0))))))))))))))))</f>
        <v>7500</v>
      </c>
      <c r="L86" s="40">
        <v>20</v>
      </c>
      <c r="M86" s="59">
        <f t="shared" si="6"/>
        <v>150000</v>
      </c>
      <c r="N86" s="45">
        <f>IF(J86="",I86*'US CBAs'!$C$118,0)</f>
        <v>0</v>
      </c>
      <c r="O86" s="59">
        <f t="shared" si="7"/>
        <v>150000</v>
      </c>
      <c r="P86" s="61"/>
      <c r="Q86" s="242"/>
      <c r="R86" s="242"/>
      <c r="S86" s="242"/>
      <c r="T86" s="230"/>
    </row>
    <row r="87" spans="1:20" x14ac:dyDescent="0.35">
      <c r="A87" s="49" t="s">
        <v>189</v>
      </c>
      <c r="B87" s="195">
        <v>10</v>
      </c>
      <c r="C87" s="50">
        <v>2014</v>
      </c>
      <c r="D87" s="49" t="s">
        <v>63</v>
      </c>
      <c r="E87" s="49" t="s">
        <v>220</v>
      </c>
      <c r="F87" s="49"/>
      <c r="G87" s="49" t="s">
        <v>83</v>
      </c>
      <c r="H87" s="49" t="s">
        <v>483</v>
      </c>
      <c r="I87" s="57">
        <v>36265</v>
      </c>
      <c r="J87" s="40"/>
      <c r="K87" s="59">
        <f>IF(G87="L",'US CBAs'!$B$73,
IF(AND(E87="Friendly",F87="T1",G87="W"),'US CBAs'!$B$68,
IF(AND(E87="Friendly",F87="T2",G87="W"),'US CBAs'!$B$69,
IF(AND(E87="Friendly",F87="",G87="W"),'US CBAs'!$B$70,
IF(AND(E87="Friendly",F87="T1",G87="D"),'US CBAs'!$B$71,
IF(AND(E87="Friendly",F87="",G87="D"),'US CBAs'!$B$72,
IF(AND(E87="Gold Cup",F87="T1",G87="W"),'US CBAs'!$B$78,
IF(AND(E87="Gold Cup",F87="",G87="W"),'US CBAs'!$B$79,
IF(AND(E87="Gold Cup",G87="D"),'US CBAs'!$B$80,
IF(AND(E87="Copa America",F87="",G87="W"),'US CBAs'!$B$85,
IF(AND(E87="Copa America",G87="D"),'US CBAs'!$B$86,
IF(AND(E87="WCQ SF",G87="W"),'US CBAs'!$B$94,
IF(AND(E87="WCQ SF",G87="D"),'US CBAs'!$B$95,
IF(AND(E87="WCQ Hex",G87="W"),'US CBAs'!$B$98,
IF(AND(E87="WCQ Hex",G87="D"),'US CBAs'!$B$99,
IF(E87="World Cup",'US CBAs'!$B$104,
0))))))))))))))))</f>
        <v>5000</v>
      </c>
      <c r="L87" s="40">
        <v>20</v>
      </c>
      <c r="M87" s="59">
        <f t="shared" si="6"/>
        <v>100000</v>
      </c>
      <c r="N87" s="45">
        <f>IF(J87="",I87*'US CBAs'!$C$118,0)</f>
        <v>43518</v>
      </c>
      <c r="O87" s="59">
        <f t="shared" si="7"/>
        <v>143518</v>
      </c>
      <c r="P87" s="61"/>
      <c r="Q87" s="233"/>
      <c r="R87" s="233"/>
    </row>
    <row r="88" spans="1:20" x14ac:dyDescent="0.35">
      <c r="A88" s="49" t="s">
        <v>189</v>
      </c>
      <c r="B88" s="195">
        <v>14</v>
      </c>
      <c r="C88" s="50">
        <v>2014</v>
      </c>
      <c r="D88" s="49" t="s">
        <v>32</v>
      </c>
      <c r="E88" s="49" t="s">
        <v>220</v>
      </c>
      <c r="F88" s="49"/>
      <c r="G88" s="49" t="s">
        <v>83</v>
      </c>
      <c r="H88" s="49" t="s">
        <v>482</v>
      </c>
      <c r="I88" s="57">
        <v>14805</v>
      </c>
      <c r="J88" s="40"/>
      <c r="K88" s="59">
        <f>IF(G88="L",'US CBAs'!$B$73,
IF(AND(E88="Friendly",F88="T1",G88="W"),'US CBAs'!$B$68,
IF(AND(E88="Friendly",F88="T2",G88="W"),'US CBAs'!$B$69,
IF(AND(E88="Friendly",F88="",G88="W"),'US CBAs'!$B$70,
IF(AND(E88="Friendly",F88="T1",G88="D"),'US CBAs'!$B$71,
IF(AND(E88="Friendly",F88="",G88="D"),'US CBAs'!$B$72,
IF(AND(E88="Gold Cup",F88="T1",G88="W"),'US CBAs'!$B$78,
IF(AND(E88="Gold Cup",F88="",G88="W"),'US CBAs'!$B$79,
IF(AND(E88="Gold Cup",G88="D"),'US CBAs'!$B$80,
IF(AND(E88="Copa America",F88="",G88="W"),'US CBAs'!$B$85,
IF(AND(E88="Copa America",G88="D"),'US CBAs'!$B$86,
IF(AND(E88="WCQ SF",G88="W"),'US CBAs'!$B$94,
IF(AND(E88="WCQ SF",G88="D"),'US CBAs'!$B$95,
IF(AND(E88="WCQ Hex",G88="W"),'US CBAs'!$B$98,
IF(AND(E88="WCQ Hex",G88="D"),'US CBAs'!$B$99,
IF(E88="World Cup",'US CBAs'!$B$104,
0))))))))))))))))</f>
        <v>5000</v>
      </c>
      <c r="L88" s="40">
        <v>20</v>
      </c>
      <c r="M88" s="59">
        <f t="shared" si="6"/>
        <v>100000</v>
      </c>
      <c r="N88" s="45">
        <f>IF(J88="",I88*'US CBAs'!$C$118,0)</f>
        <v>17766</v>
      </c>
      <c r="O88" s="59">
        <f t="shared" si="7"/>
        <v>117766</v>
      </c>
      <c r="P88" s="61"/>
      <c r="Q88" s="242"/>
      <c r="R88" s="242"/>
      <c r="S88" s="242"/>
      <c r="T88" s="230"/>
    </row>
    <row r="89" spans="1:20" x14ac:dyDescent="0.35">
      <c r="A89" s="49" t="s">
        <v>190</v>
      </c>
      <c r="B89" s="195">
        <v>14</v>
      </c>
      <c r="C89" s="50">
        <v>2014</v>
      </c>
      <c r="D89" s="49" t="s">
        <v>64</v>
      </c>
      <c r="E89" s="49" t="s">
        <v>220</v>
      </c>
      <c r="F89" s="49"/>
      <c r="G89" s="49" t="s">
        <v>33</v>
      </c>
      <c r="H89" s="49" t="s">
        <v>61</v>
      </c>
      <c r="I89" s="57">
        <v>24235</v>
      </c>
      <c r="J89" s="40" t="s">
        <v>218</v>
      </c>
      <c r="K89" s="59">
        <f>IF(G89="L",'US CBAs'!$B$73,
IF(AND(E89="Friendly",F89="T1",G89="W"),'US CBAs'!$B$68,
IF(AND(E89="Friendly",F89="T2",G89="W"),'US CBAs'!$B$69,
IF(AND(E89="Friendly",F89="",G89="W"),'US CBAs'!$B$70,
IF(AND(E89="Friendly",F89="T1",G89="D"),'US CBAs'!$B$71,
IF(AND(E89="Friendly",F89="",G89="D"),'US CBAs'!$B$72,
IF(AND(E89="Gold Cup",F89="T1",G89="W"),'US CBAs'!$B$78,
IF(AND(E89="Gold Cup",F89="",G89="W"),'US CBAs'!$B$79,
IF(AND(E89="Gold Cup",G89="D"),'US CBAs'!$B$80,
IF(AND(E89="Copa America",F89="",G89="W"),'US CBAs'!$B$85,
IF(AND(E89="Copa America",G89="D"),'US CBAs'!$B$86,
IF(AND(E89="WCQ SF",G89="W"),'US CBAs'!$B$94,
IF(AND(E89="WCQ SF",G89="D"),'US CBAs'!$B$95,
IF(AND(E89="WCQ Hex",G89="W"),'US CBAs'!$B$98,
IF(AND(E89="WCQ Hex",G89="D"),'US CBAs'!$B$99,
IF(E89="World Cup",'US CBAs'!$B$104,
0))))))))))))))))</f>
        <v>4000</v>
      </c>
      <c r="L89" s="40">
        <v>20</v>
      </c>
      <c r="M89" s="59">
        <f t="shared" si="6"/>
        <v>80000</v>
      </c>
      <c r="N89" s="45">
        <f>IF(J89="",I89*'US CBAs'!$C$118,0)</f>
        <v>0</v>
      </c>
      <c r="O89" s="59">
        <f t="shared" si="7"/>
        <v>80000</v>
      </c>
      <c r="P89" s="61"/>
      <c r="Q89" s="242"/>
      <c r="R89" s="242"/>
      <c r="S89" s="233"/>
    </row>
    <row r="90" spans="1:20" x14ac:dyDescent="0.35">
      <c r="A90" s="49" t="s">
        <v>190</v>
      </c>
      <c r="B90" s="195">
        <v>18</v>
      </c>
      <c r="C90" s="50">
        <v>2014</v>
      </c>
      <c r="D90" s="49" t="s">
        <v>65</v>
      </c>
      <c r="E90" s="49" t="s">
        <v>220</v>
      </c>
      <c r="F90" s="49"/>
      <c r="G90" s="49" t="s">
        <v>33</v>
      </c>
      <c r="H90" s="49" t="s">
        <v>65</v>
      </c>
      <c r="I90" s="57">
        <v>33332</v>
      </c>
      <c r="J90" s="40" t="s">
        <v>218</v>
      </c>
      <c r="K90" s="59">
        <f>IF(G90="L",'US CBAs'!$B$73,
IF(AND(E90="Friendly",F90="T1",G90="W"),'US CBAs'!$B$68,
IF(AND(E90="Friendly",F90="T2",G90="W"),'US CBAs'!$B$69,
IF(AND(E90="Friendly",F90="",G90="W"),'US CBAs'!$B$70,
IF(AND(E90="Friendly",F90="T1",G90="D"),'US CBAs'!$B$71,
IF(AND(E90="Friendly",F90="",G90="D"),'US CBAs'!$B$72,
IF(AND(E90="Gold Cup",F90="T1",G90="W"),'US CBAs'!$B$78,
IF(AND(E90="Gold Cup",F90="",G90="W"),'US CBAs'!$B$79,
IF(AND(E90="Gold Cup",G90="D"),'US CBAs'!$B$80,
IF(AND(E90="Copa America",F90="",G90="W"),'US CBAs'!$B$85,
IF(AND(E90="Copa America",G90="D"),'US CBAs'!$B$86,
IF(AND(E90="WCQ SF",G90="W"),'US CBAs'!$B$94,
IF(AND(E90="WCQ SF",G90="D"),'US CBAs'!$B$95,
IF(AND(E90="WCQ Hex",G90="W"),'US CBAs'!$B$98,
IF(AND(E90="WCQ Hex",G90="D"),'US CBAs'!$B$99,
IF(E90="World Cup",'US CBAs'!$B$104,
0))))))))))))))))</f>
        <v>4000</v>
      </c>
      <c r="L90" s="40">
        <v>20</v>
      </c>
      <c r="M90" s="59">
        <f t="shared" si="6"/>
        <v>80000</v>
      </c>
      <c r="N90" s="45">
        <f>IF(J90="",I90*'US CBAs'!$C$118,0)</f>
        <v>0</v>
      </c>
      <c r="O90" s="59">
        <f t="shared" si="7"/>
        <v>80000</v>
      </c>
      <c r="P90" s="61"/>
      <c r="Q90" s="239"/>
      <c r="R90" s="239"/>
      <c r="S90" s="242"/>
      <c r="T90" s="230"/>
    </row>
    <row r="91" spans="1:20" x14ac:dyDescent="0.35">
      <c r="A91" s="49"/>
      <c r="B91" s="195"/>
      <c r="C91" s="50"/>
      <c r="D91" s="58" t="s">
        <v>579</v>
      </c>
      <c r="E91" s="49"/>
      <c r="F91" s="49"/>
      <c r="G91" s="49"/>
      <c r="H91" s="49"/>
      <c r="I91" s="57"/>
      <c r="J91" s="40"/>
      <c r="K91" s="54">
        <f>'US CBAs'!$B$75</f>
        <v>1500</v>
      </c>
      <c r="L91" s="56">
        <v>10</v>
      </c>
      <c r="M91" s="54">
        <f t="shared" si="6"/>
        <v>15000</v>
      </c>
      <c r="N91" s="55"/>
      <c r="O91" s="54">
        <f t="shared" si="7"/>
        <v>15000</v>
      </c>
      <c r="P91" s="61"/>
      <c r="Q91" s="242"/>
      <c r="R91" s="242"/>
      <c r="S91" s="239"/>
    </row>
    <row r="92" spans="1:20" x14ac:dyDescent="0.35">
      <c r="A92" s="49" t="s">
        <v>191</v>
      </c>
      <c r="B92" s="195">
        <v>28</v>
      </c>
      <c r="C92" s="50">
        <v>2015</v>
      </c>
      <c r="D92" s="49" t="s">
        <v>66</v>
      </c>
      <c r="E92" s="49" t="s">
        <v>220</v>
      </c>
      <c r="F92" s="49"/>
      <c r="G92" s="49" t="s">
        <v>33</v>
      </c>
      <c r="H92" s="49" t="s">
        <v>66</v>
      </c>
      <c r="I92" s="57">
        <v>12420</v>
      </c>
      <c r="J92" s="40" t="s">
        <v>218</v>
      </c>
      <c r="K92" s="45">
        <f>IF(G92="L",'US CBAs'!$F$73,
IF(AND(E92="Friendly",F92="T1",G92="W"),'US CBAs'!$F$68,
IF(AND(E92="Friendly",F92="T2",G92="W"),'US CBAs'!$F$69,
IF(AND(E92="Friendly",F92="",G92="W"),'US CBAs'!$F$70,
IF(AND(E92="Friendly",F92="T1",G92="D"),'US CBAs'!$F$71,
IF(AND(E92="Friendly",F92="",G92="D"),'US CBAs'!$F$72,
IF(AND(E92="Gold Cup",F92="T1",G92="W"),'US CBAs'!$F$78,
IF(AND(E92="Gold Cup",F92="",G92="W"),'US CBAs'!$F$79,
IF(AND(E92="Gold Cup",G92="D"),'US CBAs'!$F$80,
IF(AND(E92="Copa America",F92="",G92="W"),'US CBAs'!$F$85,
IF(AND(E92="Copa America",G92="D"),'US CBAs'!$F$86,
IF(AND(E92="WCQ SF",G92="W"),'US CBAs'!$F$94,
IF(AND(E92="WCQ SF",G92="D"),'US CBAs'!$F$95,
IF(AND(E92="WCQ Hex",G92="W"),'US CBAs'!$F$98,
IF(AND(E92="WCQ Hex",G92="D"),'US CBAs'!$F$99,
IF(E92="World Cup",'US CBAs'!$F$104,
0))))))))))))))))</f>
        <v>5000</v>
      </c>
      <c r="L92" s="40">
        <v>20</v>
      </c>
      <c r="M92" s="60">
        <f t="shared" ref="M92:M133" si="8">K92*L92</f>
        <v>100000</v>
      </c>
      <c r="N92" s="45">
        <f>IF(J92="",I92*'US CBAs'!$G$118,0)</f>
        <v>0</v>
      </c>
      <c r="O92" s="59">
        <f t="shared" ref="O92:O133" si="9">M92+N92</f>
        <v>100000</v>
      </c>
      <c r="P92" s="61"/>
      <c r="Q92" s="242"/>
      <c r="R92" s="242"/>
      <c r="S92" s="242"/>
    </row>
    <row r="93" spans="1:20" x14ac:dyDescent="0.35">
      <c r="A93" s="49" t="s">
        <v>192</v>
      </c>
      <c r="B93" s="195">
        <v>8</v>
      </c>
      <c r="C93" s="50">
        <v>2015</v>
      </c>
      <c r="D93" s="49" t="s">
        <v>42</v>
      </c>
      <c r="E93" s="49" t="s">
        <v>220</v>
      </c>
      <c r="F93" s="49"/>
      <c r="G93" s="49" t="s">
        <v>20</v>
      </c>
      <c r="H93" s="49" t="s">
        <v>481</v>
      </c>
      <c r="I93" s="57">
        <v>20271</v>
      </c>
      <c r="J93" s="40"/>
      <c r="K93" s="45">
        <f>IF(G93="L",'US CBAs'!$F$73,
IF(AND(E93="Friendly",F93="T1",G93="W"),'US CBAs'!$F$68,
IF(AND(E93="Friendly",F93="T2",G93="W"),'US CBAs'!$F$69,
IF(AND(E93="Friendly",F93="",G93="W"),'US CBAs'!$F$70,
IF(AND(E93="Friendly",F93="T1",G93="D"),'US CBAs'!$F$71,
IF(AND(E93="Friendly",F93="",G93="D"),'US CBAs'!$F$72,
IF(AND(E93="Gold Cup",F93="T1",G93="W"),'US CBAs'!$F$78,
IF(AND(E93="Gold Cup",F93="",G93="W"),'US CBAs'!$F$79,
IF(AND(E93="Gold Cup",G93="D"),'US CBAs'!$F$80,
IF(AND(E93="Copa America",F93="",G93="W"),'US CBAs'!$F$85,
IF(AND(E93="Copa America",G93="D"),'US CBAs'!$F$86,
IF(AND(E93="WCQ SF",G93="W"),'US CBAs'!$F$94,
IF(AND(E93="WCQ SF",G93="D"),'US CBAs'!$F$95,
IF(AND(E93="WCQ Hex",G93="W"),'US CBAs'!$F$98,
IF(AND(E93="WCQ Hex",G93="D"),'US CBAs'!$F$99,
IF(E93="World Cup",'US CBAs'!$F$104,
0))))))))))))))))</f>
        <v>9375</v>
      </c>
      <c r="L93" s="40">
        <v>20</v>
      </c>
      <c r="M93" s="60">
        <f t="shared" si="8"/>
        <v>187500</v>
      </c>
      <c r="N93" s="45">
        <f>IF(J93="",I93*'US CBAs'!$G$118,0)</f>
        <v>30406.5</v>
      </c>
      <c r="O93" s="59">
        <f t="shared" si="9"/>
        <v>217906.5</v>
      </c>
      <c r="P93" s="61"/>
      <c r="Q93" s="397"/>
      <c r="R93" s="398"/>
      <c r="S93" s="242"/>
    </row>
    <row r="94" spans="1:20" x14ac:dyDescent="0.35">
      <c r="A94" s="49" t="s">
        <v>221</v>
      </c>
      <c r="B94" s="195">
        <v>25</v>
      </c>
      <c r="C94" s="50">
        <v>2015</v>
      </c>
      <c r="D94" s="49" t="s">
        <v>51</v>
      </c>
      <c r="E94" s="49" t="s">
        <v>220</v>
      </c>
      <c r="F94" s="49"/>
      <c r="G94" s="49" t="s">
        <v>33</v>
      </c>
      <c r="H94" s="49" t="s">
        <v>51</v>
      </c>
      <c r="I94" s="57">
        <v>10505</v>
      </c>
      <c r="J94" s="40" t="s">
        <v>218</v>
      </c>
      <c r="K94" s="45">
        <f>IF(G94="L",'US CBAs'!$F$73,
IF(AND(E94="Friendly",F94="T1",G94="W"),'US CBAs'!$F$68,
IF(AND(E94="Friendly",F94="T2",G94="W"),'US CBAs'!$F$69,
IF(AND(E94="Friendly",F94="",G94="W"),'US CBAs'!$F$70,
IF(AND(E94="Friendly",F94="T1",G94="D"),'US CBAs'!$F$71,
IF(AND(E94="Friendly",F94="",G94="D"),'US CBAs'!$F$72,
IF(AND(E94="Gold Cup",F94="T1",G94="W"),'US CBAs'!$F$78,
IF(AND(E94="Gold Cup",F94="",G94="W"),'US CBAs'!$F$79,
IF(AND(E94="Gold Cup",G94="D"),'US CBAs'!$F$80,
IF(AND(E94="Copa America",F94="",G94="W"),'US CBAs'!$F$85,
IF(AND(E94="Copa America",G94="D"),'US CBAs'!$F$86,
IF(AND(E94="WCQ SF",G94="W"),'US CBAs'!$F$94,
IF(AND(E94="WCQ SF",G94="D"),'US CBAs'!$F$95,
IF(AND(E94="WCQ Hex",G94="W"),'US CBAs'!$F$98,
IF(AND(E94="WCQ Hex",G94="D"),'US CBAs'!$F$99,
IF(E94="World Cup",'US CBAs'!$F$104,
0))))))))))))))))</f>
        <v>5000</v>
      </c>
      <c r="L94" s="40">
        <v>20</v>
      </c>
      <c r="M94" s="60">
        <f t="shared" si="8"/>
        <v>100000</v>
      </c>
      <c r="N94" s="45">
        <f>IF(J94="",I94*'US CBAs'!$G$118,0)</f>
        <v>0</v>
      </c>
      <c r="O94" s="59">
        <f t="shared" si="9"/>
        <v>100000</v>
      </c>
      <c r="P94" s="61"/>
      <c r="Q94" s="399"/>
      <c r="R94" s="400"/>
      <c r="S94" s="249"/>
    </row>
    <row r="95" spans="1:20" x14ac:dyDescent="0.35">
      <c r="A95" s="49" t="s">
        <v>221</v>
      </c>
      <c r="B95" s="195">
        <v>31</v>
      </c>
      <c r="C95" s="50">
        <v>2015</v>
      </c>
      <c r="D95" s="49" t="s">
        <v>55</v>
      </c>
      <c r="E95" s="49" t="s">
        <v>220</v>
      </c>
      <c r="F95" s="49"/>
      <c r="G95" s="49" t="s">
        <v>83</v>
      </c>
      <c r="H95" s="49" t="s">
        <v>55</v>
      </c>
      <c r="I95" s="57">
        <v>16100</v>
      </c>
      <c r="J95" s="40" t="s">
        <v>218</v>
      </c>
      <c r="K95" s="45">
        <f>IF(G95="L",'US CBAs'!$F$73,
IF(AND(E95="Friendly",F95="T1",G95="W"),'US CBAs'!$F$68,
IF(AND(E95="Friendly",F95="T2",G95="W"),'US CBAs'!$F$69,
IF(AND(E95="Friendly",F95="",G95="W"),'US CBAs'!$F$70,
IF(AND(E95="Friendly",F95="T1",G95="D"),'US CBAs'!$F$71,
IF(AND(E95="Friendly",F95="",G95="D"),'US CBAs'!$F$72,
IF(AND(E95="Gold Cup",F95="T1",G95="W"),'US CBAs'!$F$78,
IF(AND(E95="Gold Cup",F95="",G95="W"),'US CBAs'!$F$79,
IF(AND(E95="Gold Cup",G95="D"),'US CBAs'!$F$80,
IF(AND(E95="Copa America",F95="",G95="W"),'US CBAs'!$F$85,
IF(AND(E95="Copa America",G95="D"),'US CBAs'!$F$86,
IF(AND(E95="WCQ SF",G95="W"),'US CBAs'!$F$94,
IF(AND(E95="WCQ SF",G95="D"),'US CBAs'!$F$95,
IF(AND(E95="WCQ Hex",G95="W"),'US CBAs'!$F$98,
IF(AND(E95="WCQ Hex",G95="D"),'US CBAs'!$F$99,
IF(E95="World Cup",'US CBAs'!$F$104,
0))))))))))))))))</f>
        <v>6250</v>
      </c>
      <c r="L95" s="40">
        <v>20</v>
      </c>
      <c r="M95" s="60">
        <f t="shared" si="8"/>
        <v>125000</v>
      </c>
      <c r="N95" s="45">
        <f>IF(J95="",I95*'US CBAs'!$G$118,0)</f>
        <v>0</v>
      </c>
      <c r="O95" s="59">
        <f t="shared" si="9"/>
        <v>125000</v>
      </c>
      <c r="P95" s="61"/>
      <c r="Q95" s="401"/>
      <c r="R95" s="400"/>
      <c r="S95" s="233"/>
    </row>
    <row r="96" spans="1:20" x14ac:dyDescent="0.35">
      <c r="A96" s="49" t="s">
        <v>240</v>
      </c>
      <c r="B96" s="195">
        <v>15</v>
      </c>
      <c r="C96" s="50">
        <v>2015</v>
      </c>
      <c r="D96" s="49" t="s">
        <v>35</v>
      </c>
      <c r="E96" s="49" t="s">
        <v>220</v>
      </c>
      <c r="F96" s="49" t="s">
        <v>28</v>
      </c>
      <c r="G96" s="49" t="s">
        <v>20</v>
      </c>
      <c r="H96" s="49" t="s">
        <v>492</v>
      </c>
      <c r="I96" s="57">
        <v>64369</v>
      </c>
      <c r="J96" s="40"/>
      <c r="K96" s="45">
        <f>IF(G96="L",'US CBAs'!$F$73,
IF(AND(E96="Friendly",F96="T1",G96="W"),'US CBAs'!$F$68,
IF(AND(E96="Friendly",F96="T2",G96="W"),'US CBAs'!$F$69,
IF(AND(E96="Friendly",F96="",G96="W"),'US CBAs'!$F$70,
IF(AND(E96="Friendly",F96="T1",G96="D"),'US CBAs'!$F$71,
IF(AND(E96="Friendly",F96="",G96="D"),'US CBAs'!$F$72,
IF(AND(E96="Gold Cup",F96="T1",G96="W"),'US CBAs'!$F$78,
IF(AND(E96="Gold Cup",F96="",G96="W"),'US CBAs'!$F$79,
IF(AND(E96="Gold Cup",G96="D"),'US CBAs'!$F$80,
IF(AND(E96="Copa America",F96="",G96="W"),'US CBAs'!$F$85,
IF(AND(E96="Copa America",G96="D"),'US CBAs'!$F$86,
IF(AND(E96="WCQ SF",G96="W"),'US CBAs'!$F$94,
IF(AND(E96="WCQ SF",G96="D"),'US CBAs'!$F$95,
IF(AND(E96="WCQ Hex",G96="W"),'US CBAs'!$F$98,
IF(AND(E96="WCQ Hex",G96="D"),'US CBAs'!$F$99,
IF(E96="World Cup",'US CBAs'!$F$104,
0))))))))))))))))</f>
        <v>17625</v>
      </c>
      <c r="L96" s="40">
        <v>20</v>
      </c>
      <c r="M96" s="60">
        <f t="shared" si="8"/>
        <v>352500</v>
      </c>
      <c r="N96" s="45">
        <f>IF(J96="",I96*'US CBAs'!$G$118,0)</f>
        <v>96553.5</v>
      </c>
      <c r="O96" s="59">
        <f t="shared" si="9"/>
        <v>449053.5</v>
      </c>
      <c r="P96" s="61"/>
      <c r="Q96" s="275"/>
      <c r="R96" s="261"/>
      <c r="S96" s="233"/>
    </row>
    <row r="97" spans="1:20" x14ac:dyDescent="0.35">
      <c r="A97" s="49" t="s">
        <v>223</v>
      </c>
      <c r="B97" s="195">
        <v>5</v>
      </c>
      <c r="C97" s="50">
        <v>2015</v>
      </c>
      <c r="D97" s="49" t="s">
        <v>30</v>
      </c>
      <c r="E97" s="49" t="s">
        <v>220</v>
      </c>
      <c r="F97" s="49" t="s">
        <v>28</v>
      </c>
      <c r="G97" s="49" t="s">
        <v>20</v>
      </c>
      <c r="H97" s="49" t="s">
        <v>30</v>
      </c>
      <c r="I97" s="57">
        <v>46000</v>
      </c>
      <c r="J97" s="40" t="s">
        <v>218</v>
      </c>
      <c r="K97" s="45">
        <f>IF(G97="L",'US CBAs'!$F$73,
IF(AND(E97="Friendly",F97="T1",G97="W"),'US CBAs'!$F$68,
IF(AND(E97="Friendly",F97="T2",G97="W"),'US CBAs'!$F$69,
IF(AND(E97="Friendly",F97="",G97="W"),'US CBAs'!$F$70,
IF(AND(E97="Friendly",F97="T1",G97="D"),'US CBAs'!$F$71,
IF(AND(E97="Friendly",F97="",G97="D"),'US CBAs'!$F$72,
IF(AND(E97="Gold Cup",F97="T1",G97="W"),'US CBAs'!$F$78,
IF(AND(E97="Gold Cup",F97="",G97="W"),'US CBAs'!$F$79,
IF(AND(E97="Gold Cup",G97="D"),'US CBAs'!$F$80,
IF(AND(E97="Copa America",F97="",G97="W"),'US CBAs'!$F$85,
IF(AND(E97="Copa America",G97="D"),'US CBAs'!$F$86,
IF(AND(E97="WCQ SF",G97="W"),'US CBAs'!$F$94,
IF(AND(E97="WCQ SF",G97="D"),'US CBAs'!$F$95,
IF(AND(E97="WCQ Hex",G97="W"),'US CBAs'!$F$98,
IF(AND(E97="WCQ Hex",G97="D"),'US CBAs'!$F$99,
IF(E97="World Cup",'US CBAs'!$F$104,
0))))))))))))))))</f>
        <v>17625</v>
      </c>
      <c r="L97" s="40">
        <v>20</v>
      </c>
      <c r="M97" s="60">
        <f t="shared" si="8"/>
        <v>352500</v>
      </c>
      <c r="N97" s="45">
        <f>IF(J97="",I97*'US CBAs'!$G$118,0)</f>
        <v>0</v>
      </c>
      <c r="O97" s="59">
        <f t="shared" si="9"/>
        <v>352500</v>
      </c>
      <c r="P97" s="61"/>
      <c r="Q97" s="275"/>
      <c r="R97" s="261"/>
      <c r="S97" s="233"/>
    </row>
    <row r="98" spans="1:20" x14ac:dyDescent="0.35">
      <c r="A98" s="49" t="s">
        <v>223</v>
      </c>
      <c r="B98" s="195">
        <v>10</v>
      </c>
      <c r="C98" s="50">
        <v>2015</v>
      </c>
      <c r="D98" s="49" t="s">
        <v>27</v>
      </c>
      <c r="E98" s="49" t="s">
        <v>220</v>
      </c>
      <c r="F98" s="49" t="s">
        <v>28</v>
      </c>
      <c r="G98" s="49" t="s">
        <v>20</v>
      </c>
      <c r="H98" s="49" t="s">
        <v>27</v>
      </c>
      <c r="I98" s="57">
        <v>40348</v>
      </c>
      <c r="J98" s="40" t="s">
        <v>218</v>
      </c>
      <c r="K98" s="45">
        <f>IF(G98="L",'US CBAs'!$F$73,
IF(AND(E98="Friendly",F98="T1",G98="W"),'US CBAs'!$F$68,
IF(AND(E98="Friendly",F98="T2",G98="W"),'US CBAs'!$F$69,
IF(AND(E98="Friendly",F98="",G98="W"),'US CBAs'!$F$70,
IF(AND(E98="Friendly",F98="T1",G98="D"),'US CBAs'!$F$71,
IF(AND(E98="Friendly",F98="",G98="D"),'US CBAs'!$F$72,
IF(AND(E98="Gold Cup",F98="T1",G98="W"),'US CBAs'!$F$78,
IF(AND(E98="Gold Cup",F98="",G98="W"),'US CBAs'!$F$79,
IF(AND(E98="Gold Cup",G98="D"),'US CBAs'!$F$80,
IF(AND(E98="Copa America",F98="",G98="W"),'US CBAs'!$F$85,
IF(AND(E98="Copa America",G98="D"),'US CBAs'!$F$86,
IF(AND(E98="WCQ SF",G98="W"),'US CBAs'!$F$94,
IF(AND(E98="WCQ SF",G98="D"),'US CBAs'!$F$95,
IF(AND(E98="WCQ Hex",G98="W"),'US CBAs'!$F$98,
IF(AND(E98="WCQ Hex",G98="D"),'US CBAs'!$F$99,
IF(E98="World Cup",'US CBAs'!$F$104,
0))))))))))))))))</f>
        <v>17625</v>
      </c>
      <c r="L98" s="40">
        <v>20</v>
      </c>
      <c r="M98" s="60">
        <f t="shared" si="8"/>
        <v>352500</v>
      </c>
      <c r="N98" s="45">
        <f>IF(J98="",I98*'US CBAs'!$G$118,0)</f>
        <v>0</v>
      </c>
      <c r="O98" s="59">
        <f t="shared" si="9"/>
        <v>352500</v>
      </c>
      <c r="P98" s="61"/>
      <c r="Q98" s="277"/>
      <c r="R98" s="258"/>
      <c r="S98" s="39"/>
      <c r="T98" s="39"/>
    </row>
    <row r="99" spans="1:20" x14ac:dyDescent="0.35">
      <c r="A99" s="49" t="s">
        <v>230</v>
      </c>
      <c r="B99" s="195">
        <v>3</v>
      </c>
      <c r="C99" s="50">
        <v>2015</v>
      </c>
      <c r="D99" s="49" t="s">
        <v>43</v>
      </c>
      <c r="E99" s="49" t="s">
        <v>220</v>
      </c>
      <c r="F99" s="49"/>
      <c r="G99" s="49" t="s">
        <v>20</v>
      </c>
      <c r="H99" s="49" t="s">
        <v>486</v>
      </c>
      <c r="I99" s="57">
        <v>44835</v>
      </c>
      <c r="J99" s="40"/>
      <c r="K99" s="45">
        <f>IF(G99="L",'US CBAs'!$F$73,
IF(AND(E99="Friendly",F99="T1",G99="W"),'US CBAs'!$F$68,
IF(AND(E99="Friendly",F99="T2",G99="W"),'US CBAs'!$F$69,
IF(AND(E99="Friendly",F99="",G99="W"),'US CBAs'!$F$70,
IF(AND(E99="Friendly",F99="T1",G99="D"),'US CBAs'!$F$71,
IF(AND(E99="Friendly",F99="",G99="D"),'US CBAs'!$F$72,
IF(AND(E99="Gold Cup",F99="T1",G99="W"),'US CBAs'!$F$78,
IF(AND(E99="Gold Cup",F99="",G99="W"),'US CBAs'!$F$79,
IF(AND(E99="Gold Cup",G99="D"),'US CBAs'!$F$80,
IF(AND(E99="Copa America",F99="",G99="W"),'US CBAs'!$F$85,
IF(AND(E99="Copa America",G99="D"),'US CBAs'!$F$86,
IF(AND(E99="WCQ SF",G99="W"),'US CBAs'!$F$94,
IF(AND(E99="WCQ SF",G99="D"),'US CBAs'!$F$95,
IF(AND(E99="WCQ Hex",G99="W"),'US CBAs'!$F$98,
IF(AND(E99="WCQ Hex",G99="D"),'US CBAs'!$F$99,
IF(E99="World Cup",'US CBAs'!$F$104,
0))))))))))))))))</f>
        <v>9375</v>
      </c>
      <c r="L99" s="40">
        <v>20</v>
      </c>
      <c r="M99" s="60">
        <f t="shared" si="8"/>
        <v>187500</v>
      </c>
      <c r="N99" s="45">
        <f>IF(J99="",I99*'US CBAs'!$G$118,0)</f>
        <v>67252.5</v>
      </c>
      <c r="O99" s="59">
        <f t="shared" si="9"/>
        <v>254752.5</v>
      </c>
      <c r="P99" s="61"/>
      <c r="Q99" s="39"/>
      <c r="R99" s="39"/>
      <c r="S99" s="39"/>
      <c r="T99" s="39"/>
    </row>
    <row r="100" spans="1:20" x14ac:dyDescent="0.35">
      <c r="A100" s="49" t="s">
        <v>230</v>
      </c>
      <c r="B100" s="195">
        <v>7</v>
      </c>
      <c r="C100" s="50">
        <v>2015</v>
      </c>
      <c r="D100" s="49" t="s">
        <v>32</v>
      </c>
      <c r="E100" s="49" t="s">
        <v>229</v>
      </c>
      <c r="F100" s="49"/>
      <c r="G100" s="49" t="s">
        <v>20</v>
      </c>
      <c r="H100" s="49" t="s">
        <v>492</v>
      </c>
      <c r="I100" s="57">
        <v>22357</v>
      </c>
      <c r="J100" s="40" t="s">
        <v>218</v>
      </c>
      <c r="K100" s="45">
        <f>IF(G100="L",'US CBAs'!$F$73,
IF(AND(E100="Friendly",F100="T1",G100="W"),'US CBAs'!$F$68,
IF(AND(E100="Friendly",F100="T2",G100="W"),'US CBAs'!$F$69,
IF(AND(E100="Friendly",F100="",G100="W"),'US CBAs'!$F$70,
IF(AND(E100="Friendly",F100="T1",G100="D"),'US CBAs'!$F$71,
IF(AND(E100="Friendly",F100="",G100="D"),'US CBAs'!$F$72,
IF(AND(E100="Gold Cup",F100="T1",G100="W"),'US CBAs'!$F$78,
IF(AND(E100="Gold Cup",F100="",G100="W"),'US CBAs'!$F$79,
IF(AND(E100="Gold Cup",G100="D"),'US CBAs'!$F$80,
IF(AND(E100="Copa America",F100="",G100="W"),'US CBAs'!$F$85,
IF(AND(E100="Copa America",G100="D"),'US CBAs'!$F$86,
IF(AND(E100="WCQ SF",G100="W"),'US CBAs'!$F$94,
IF(AND(E100="WCQ SF",G100="D"),'US CBAs'!$F$95,
IF(AND(E100="WCQ Hex",G100="W"),'US CBAs'!$F$98,
IF(AND(E100="WCQ Hex",G100="D"),'US CBAs'!$F$99,
IF(E100="World Cup",'US CBAs'!$F$104,
0))))))))))))))))</f>
        <v>9375</v>
      </c>
      <c r="L100" s="40">
        <v>23</v>
      </c>
      <c r="M100" s="60">
        <f t="shared" si="8"/>
        <v>215625</v>
      </c>
      <c r="N100" s="45">
        <f>IF(J100="",I100*'US CBAs'!$G$118,0)</f>
        <v>0</v>
      </c>
      <c r="O100" s="59">
        <f t="shared" si="9"/>
        <v>215625</v>
      </c>
      <c r="P100" s="61"/>
      <c r="Q100" s="39"/>
      <c r="R100" s="39"/>
      <c r="S100" s="39"/>
      <c r="T100" s="39"/>
    </row>
    <row r="101" spans="1:20" x14ac:dyDescent="0.35">
      <c r="A101" s="49" t="s">
        <v>230</v>
      </c>
      <c r="B101" s="195">
        <v>10</v>
      </c>
      <c r="C101" s="50">
        <v>2015</v>
      </c>
      <c r="D101" s="49" t="s">
        <v>59</v>
      </c>
      <c r="E101" s="49" t="s">
        <v>229</v>
      </c>
      <c r="F101" s="49"/>
      <c r="G101" s="49" t="s">
        <v>20</v>
      </c>
      <c r="H101" s="49" t="s">
        <v>488</v>
      </c>
      <c r="I101" s="57">
        <v>46720</v>
      </c>
      <c r="J101" s="40" t="s">
        <v>218</v>
      </c>
      <c r="K101" s="45">
        <f>IF(G101="L",'US CBAs'!$F$73,
IF(AND(E101="Friendly",F101="T1",G101="W"),'US CBAs'!$F$68,
IF(AND(E101="Friendly",F101="T2",G101="W"),'US CBAs'!$F$69,
IF(AND(E101="Friendly",F101="",G101="W"),'US CBAs'!$F$70,
IF(AND(E101="Friendly",F101="T1",G101="D"),'US CBAs'!$F$71,
IF(AND(E101="Friendly",F101="",G101="D"),'US CBAs'!$F$72,
IF(AND(E101="Gold Cup",F101="T1",G101="W"),'US CBAs'!$F$78,
IF(AND(E101="Gold Cup",F101="",G101="W"),'US CBAs'!$F$79,
IF(AND(E101="Gold Cup",G101="D"),'US CBAs'!$F$80,
IF(AND(E101="Copa America",F101="",G101="W"),'US CBAs'!$F$85,
IF(AND(E101="Copa America",G101="D"),'US CBAs'!$F$86,
IF(AND(E101="WCQ SF",G101="W"),'US CBAs'!$F$94,
IF(AND(E101="WCQ SF",G101="D"),'US CBAs'!$F$95,
IF(AND(E101="WCQ Hex",G101="W"),'US CBAs'!$F$98,
IF(AND(E101="WCQ Hex",G101="D"),'US CBAs'!$F$99,
IF(E101="World Cup",'US CBAs'!$F$104,
0))))))))))))))))</f>
        <v>9375</v>
      </c>
      <c r="L101" s="40">
        <v>23</v>
      </c>
      <c r="M101" s="60">
        <f t="shared" si="8"/>
        <v>215625</v>
      </c>
      <c r="N101" s="45">
        <f>IF(J101="",I101*'US CBAs'!$G$118,0)</f>
        <v>0</v>
      </c>
      <c r="O101" s="59">
        <f t="shared" si="9"/>
        <v>215625</v>
      </c>
      <c r="P101" s="61"/>
      <c r="Q101" s="233"/>
      <c r="S101" s="233"/>
      <c r="T101" s="241"/>
    </row>
    <row r="102" spans="1:20" x14ac:dyDescent="0.35">
      <c r="A102" s="49" t="s">
        <v>230</v>
      </c>
      <c r="B102" s="195">
        <v>13</v>
      </c>
      <c r="C102" s="50">
        <v>2015</v>
      </c>
      <c r="D102" s="49" t="s">
        <v>42</v>
      </c>
      <c r="E102" s="49" t="s">
        <v>229</v>
      </c>
      <c r="F102" s="49"/>
      <c r="G102" s="49" t="s">
        <v>83</v>
      </c>
      <c r="H102" s="49" t="s">
        <v>490</v>
      </c>
      <c r="I102" s="57">
        <v>18467</v>
      </c>
      <c r="J102" s="40" t="s">
        <v>218</v>
      </c>
      <c r="K102" s="45">
        <f>IF(G102="L",'US CBAs'!$F$73,
IF(AND(E102="Friendly",F102="T1",G102="W"),'US CBAs'!$F$68,
IF(AND(E102="Friendly",F102="T2",G102="W"),'US CBAs'!$F$69,
IF(AND(E102="Friendly",F102="",G102="W"),'US CBAs'!$F$70,
IF(AND(E102="Friendly",F102="T1",G102="D"),'US CBAs'!$F$71,
IF(AND(E102="Friendly",F102="",G102="D"),'US CBAs'!$F$72,
IF(AND(E102="Gold Cup",F102="T1",G102="W"),'US CBAs'!$F$78,
IF(AND(E102="Gold Cup",F102="",G102="W"),'US CBAs'!$F$79,
IF(AND(E102="Gold Cup",G102="D"),'US CBAs'!$F$80,
IF(AND(E102="Copa America",F102="",G102="W"),'US CBAs'!$F$85,
IF(AND(E102="Copa America",G102="D"),'US CBAs'!$F$86,
IF(AND(E102="WCQ SF",G102="W"),'US CBAs'!$F$94,
IF(AND(E102="WCQ SF",G102="D"),'US CBAs'!$F$95,
IF(AND(E102="WCQ Hex",G102="W"),'US CBAs'!$F$98,
IF(AND(E102="WCQ Hex",G102="D"),'US CBAs'!$F$99,
IF(E102="World Cup",'US CBAs'!$F$104,
0))))))))))))))))</f>
        <v>6563</v>
      </c>
      <c r="L102" s="40">
        <v>23</v>
      </c>
      <c r="M102" s="60">
        <f t="shared" si="8"/>
        <v>150949</v>
      </c>
      <c r="N102" s="45">
        <f>IF(J102="",I102*'US CBAs'!$G$118,0)</f>
        <v>0</v>
      </c>
      <c r="O102" s="59">
        <f t="shared" si="9"/>
        <v>150949</v>
      </c>
      <c r="P102" s="61"/>
      <c r="Q102" s="232"/>
      <c r="R102" s="233"/>
      <c r="S102" s="233"/>
      <c r="T102" s="241"/>
    </row>
    <row r="103" spans="1:20" x14ac:dyDescent="0.35">
      <c r="A103" s="49" t="s">
        <v>230</v>
      </c>
      <c r="B103" s="195">
        <v>18</v>
      </c>
      <c r="C103" s="50">
        <v>2015</v>
      </c>
      <c r="D103" s="49" t="s">
        <v>45</v>
      </c>
      <c r="E103" s="49" t="s">
        <v>229</v>
      </c>
      <c r="F103" s="49"/>
      <c r="G103" s="49" t="s">
        <v>20</v>
      </c>
      <c r="H103" s="49" t="s">
        <v>494</v>
      </c>
      <c r="I103" s="57">
        <v>37994</v>
      </c>
      <c r="J103" s="40" t="s">
        <v>218</v>
      </c>
      <c r="K103" s="45">
        <f>IF(G103="L",'US CBAs'!$F$73,
IF(AND(E103="Friendly",F103="T1",G103="W"),'US CBAs'!$F$68,
IF(AND(E103="Friendly",F103="T2",G103="W"),'US CBAs'!$F$69,
IF(AND(E103="Friendly",F103="",G103="W"),'US CBAs'!$F$70,
IF(AND(E103="Friendly",F103="T1",G103="D"),'US CBAs'!$F$71,
IF(AND(E103="Friendly",F103="",G103="D"),'US CBAs'!$F$72,
IF(AND(E103="Gold Cup",F103="T1",G103="W"),'US CBAs'!$F$78,
IF(AND(E103="Gold Cup",F103="",G103="W"),'US CBAs'!$F$79,
IF(AND(E103="Gold Cup",G103="D"),'US CBAs'!$F$80,
IF(AND(E103="Copa America",F103="",G103="W"),'US CBAs'!$F$85,
IF(AND(E103="Copa America",G103="D"),'US CBAs'!$F$86,
IF(AND(E103="WCQ SF",G103="W"),'US CBAs'!$F$94,
IF(AND(E103="WCQ SF",G103="D"),'US CBAs'!$F$95,
IF(AND(E103="WCQ Hex",G103="W"),'US CBAs'!$F$98,
IF(AND(E103="WCQ Hex",G103="D"),'US CBAs'!$F$99,
IF(E103="World Cup",'US CBAs'!$F$104,
0))))))))))))))))</f>
        <v>9375</v>
      </c>
      <c r="L103" s="40">
        <v>23</v>
      </c>
      <c r="M103" s="60">
        <f t="shared" si="8"/>
        <v>215625</v>
      </c>
      <c r="N103" s="45">
        <f>IF(J103="",I103*'US CBAs'!$G$118,0)</f>
        <v>0</v>
      </c>
      <c r="O103" s="59">
        <f t="shared" si="9"/>
        <v>215625</v>
      </c>
      <c r="P103" s="61"/>
      <c r="Q103" s="233"/>
      <c r="R103" s="234"/>
      <c r="S103" s="233"/>
      <c r="T103" s="241"/>
    </row>
    <row r="104" spans="1:20" x14ac:dyDescent="0.35">
      <c r="A104" s="49" t="s">
        <v>230</v>
      </c>
      <c r="B104" s="195">
        <v>22</v>
      </c>
      <c r="C104" s="50">
        <v>2015</v>
      </c>
      <c r="D104" s="49" t="s">
        <v>40</v>
      </c>
      <c r="E104" s="49" t="s">
        <v>229</v>
      </c>
      <c r="F104" s="49"/>
      <c r="G104" s="49" t="s">
        <v>33</v>
      </c>
      <c r="H104" s="49" t="s">
        <v>500</v>
      </c>
      <c r="I104" s="57">
        <v>70511</v>
      </c>
      <c r="J104" s="40" t="s">
        <v>218</v>
      </c>
      <c r="K104" s="45">
        <f>IF(G104="L",'US CBAs'!$F$73,
IF(AND(E104="Friendly",F104="T1",G104="W"),'US CBAs'!$F$68,
IF(AND(E104="Friendly",F104="T2",G104="W"),'US CBAs'!$F$69,
IF(AND(E104="Friendly",F104="",G104="W"),'US CBAs'!$F$70,
IF(AND(E104="Friendly",F104="T1",G104="D"),'US CBAs'!$F$71,
IF(AND(E104="Friendly",F104="",G104="D"),'US CBAs'!$F$72,
IF(AND(E104="Gold Cup",F104="T1",G104="W"),'US CBAs'!$F$78,
IF(AND(E104="Gold Cup",F104="",G104="W"),'US CBAs'!$F$79,
IF(AND(E104="Gold Cup",G104="D"),'US CBAs'!$F$80,
IF(AND(E104="Copa America",F104="",G104="W"),'US CBAs'!$F$85,
IF(AND(E104="Copa America",G104="D"),'US CBAs'!$F$86,
IF(AND(E104="WCQ SF",G104="W"),'US CBAs'!$F$94,
IF(AND(E104="WCQ SF",G104="D"),'US CBAs'!$F$95,
IF(AND(E104="WCQ Hex",G104="W"),'US CBAs'!$F$98,
IF(AND(E104="WCQ Hex",G104="D"),'US CBAs'!$F$99,
IF(E104="World Cup",'US CBAs'!$F$104,
0))))))))))))))))</f>
        <v>5000</v>
      </c>
      <c r="L104" s="40">
        <v>23</v>
      </c>
      <c r="M104" s="60">
        <f t="shared" si="8"/>
        <v>115000</v>
      </c>
      <c r="N104" s="45">
        <f>IF(J104="",I104*'US CBAs'!$G$118,0)</f>
        <v>0</v>
      </c>
      <c r="O104" s="59">
        <f t="shared" si="9"/>
        <v>115000</v>
      </c>
      <c r="P104" s="61"/>
      <c r="Q104" s="233"/>
      <c r="R104" s="234"/>
      <c r="S104" s="233"/>
      <c r="T104" s="241"/>
    </row>
    <row r="105" spans="1:20" x14ac:dyDescent="0.35">
      <c r="A105" s="49" t="s">
        <v>230</v>
      </c>
      <c r="B105" s="195">
        <v>25</v>
      </c>
      <c r="C105" s="50">
        <v>2015</v>
      </c>
      <c r="D105" s="49" t="s">
        <v>42</v>
      </c>
      <c r="E105" s="49" t="s">
        <v>229</v>
      </c>
      <c r="F105" s="49"/>
      <c r="G105" s="49" t="s">
        <v>83</v>
      </c>
      <c r="H105" s="49" t="s">
        <v>484</v>
      </c>
      <c r="I105" s="57">
        <v>12598</v>
      </c>
      <c r="J105" s="40" t="s">
        <v>218</v>
      </c>
      <c r="K105" s="45">
        <f>IF(G105="L",'US CBAs'!$F$73,
IF(AND(E105="Friendly",F105="T1",G105="W"),'US CBAs'!$F$68,
IF(AND(E105="Friendly",F105="T2",G105="W"),'US CBAs'!$F$69,
IF(AND(E105="Friendly",F105="",G105="W"),'US CBAs'!$F$70,
IF(AND(E105="Friendly",F105="T1",G105="D"),'US CBAs'!$F$71,
IF(AND(E105="Friendly",F105="",G105="D"),'US CBAs'!$F$72,
IF(AND(E105="Gold Cup",F105="T1",G105="W"),'US CBAs'!$F$78,
IF(AND(E105="Gold Cup",F105="",G105="W"),'US CBAs'!$F$79,
IF(AND(E105="Gold Cup",G105="D"),'US CBAs'!$F$80,
IF(AND(E105="Copa America",F105="",G105="W"),'US CBAs'!$F$85,
IF(AND(E105="Copa America",G105="D"),'US CBAs'!$F$86,
IF(AND(E105="WCQ SF",G105="W"),'US CBAs'!$F$94,
IF(AND(E105="WCQ SF",G105="D"),'US CBAs'!$F$95,
IF(AND(E105="WCQ Hex",G105="W"),'US CBAs'!$F$98,
IF(AND(E105="WCQ Hex",G105="D"),'US CBAs'!$F$99,
IF(E105="World Cup",'US CBAs'!$F$104,
0))))))))))))))))</f>
        <v>6563</v>
      </c>
      <c r="L105" s="40">
        <v>23</v>
      </c>
      <c r="M105" s="60">
        <f t="shared" si="8"/>
        <v>150949</v>
      </c>
      <c r="N105" s="45">
        <f>IF(J105="",I105*'US CBAs'!$G$118,0)</f>
        <v>0</v>
      </c>
      <c r="O105" s="59">
        <f t="shared" si="9"/>
        <v>150949</v>
      </c>
      <c r="P105" s="61"/>
      <c r="Q105" s="232"/>
      <c r="R105" s="235"/>
      <c r="S105" s="233"/>
      <c r="T105" s="241"/>
    </row>
    <row r="106" spans="1:20" x14ac:dyDescent="0.35">
      <c r="A106" s="49" t="s">
        <v>222</v>
      </c>
      <c r="B106" s="195">
        <v>4</v>
      </c>
      <c r="C106" s="50">
        <v>2015</v>
      </c>
      <c r="D106" s="49" t="s">
        <v>67</v>
      </c>
      <c r="E106" s="49" t="s">
        <v>220</v>
      </c>
      <c r="F106" s="49"/>
      <c r="G106" s="49" t="s">
        <v>20</v>
      </c>
      <c r="H106" s="49" t="s">
        <v>491</v>
      </c>
      <c r="I106" s="57">
        <v>28896</v>
      </c>
      <c r="J106" s="40"/>
      <c r="K106" s="45">
        <f>IF(G106="L",'US CBAs'!$F$73,
IF(AND(E106="Friendly",F106="T1",G106="W"),'US CBAs'!$F$68,
IF(AND(E106="Friendly",F106="T2",G106="W"),'US CBAs'!$F$69,
IF(AND(E106="Friendly",F106="",G106="W"),'US CBAs'!$F$70,
IF(AND(E106="Friendly",F106="T1",G106="D"),'US CBAs'!$F$71,
IF(AND(E106="Friendly",F106="",G106="D"),'US CBAs'!$F$72,
IF(AND(E106="Gold Cup",F106="T1",G106="W"),'US CBAs'!$F$78,
IF(AND(E106="Gold Cup",F106="",G106="W"),'US CBAs'!$F$79,
IF(AND(E106="Gold Cup",G106="D"),'US CBAs'!$F$80,
IF(AND(E106="Copa America",F106="",G106="W"),'US CBAs'!$F$85,
IF(AND(E106="Copa America",G106="D"),'US CBAs'!$F$86,
IF(AND(E106="WCQ SF",G106="W"),'US CBAs'!$F$94,
IF(AND(E106="WCQ SF",G106="D"),'US CBAs'!$F$95,
IF(AND(E106="WCQ Hex",G106="W"),'US CBAs'!$F$98,
IF(AND(E106="WCQ Hex",G106="D"),'US CBAs'!$F$99,
IF(E106="World Cup",'US CBAs'!$F$104,
0))))))))))))))))</f>
        <v>9375</v>
      </c>
      <c r="L106" s="40">
        <v>20</v>
      </c>
      <c r="M106" s="60">
        <f t="shared" si="8"/>
        <v>187500</v>
      </c>
      <c r="N106" s="45">
        <f>IF(J106="",I106*'US CBAs'!$G$118,0)</f>
        <v>43344</v>
      </c>
      <c r="O106" s="59">
        <f t="shared" si="9"/>
        <v>230844</v>
      </c>
      <c r="P106" s="61"/>
      <c r="Q106" s="233"/>
      <c r="R106" s="236"/>
      <c r="S106" s="233"/>
      <c r="T106" s="241"/>
    </row>
    <row r="107" spans="1:20" x14ac:dyDescent="0.35">
      <c r="A107" s="49" t="s">
        <v>222</v>
      </c>
      <c r="B107" s="195">
        <v>8</v>
      </c>
      <c r="C107" s="50">
        <v>2015</v>
      </c>
      <c r="D107" s="49" t="s">
        <v>41</v>
      </c>
      <c r="E107" s="49" t="s">
        <v>220</v>
      </c>
      <c r="F107" s="49"/>
      <c r="G107" s="49" t="s">
        <v>33</v>
      </c>
      <c r="H107" s="49" t="s">
        <v>488</v>
      </c>
      <c r="I107" s="57">
        <v>29308</v>
      </c>
      <c r="J107" s="40"/>
      <c r="K107" s="45">
        <f>IF(G107="L",'US CBAs'!$F$73,
IF(AND(E107="Friendly",F107="T1",G107="W"),'US CBAs'!$F$68,
IF(AND(E107="Friendly",F107="T2",G107="W"),'US CBAs'!$F$69,
IF(AND(E107="Friendly",F107="",G107="W"),'US CBAs'!$F$70,
IF(AND(E107="Friendly",F107="T1",G107="D"),'US CBAs'!$F$71,
IF(AND(E107="Friendly",F107="",G107="D"),'US CBAs'!$F$72,
IF(AND(E107="Gold Cup",F107="T1",G107="W"),'US CBAs'!$F$78,
IF(AND(E107="Gold Cup",F107="",G107="W"),'US CBAs'!$F$79,
IF(AND(E107="Gold Cup",G107="D"),'US CBAs'!$F$80,
IF(AND(E107="Copa America",F107="",G107="W"),'US CBAs'!$F$85,
IF(AND(E107="Copa America",G107="D"),'US CBAs'!$F$86,
IF(AND(E107="WCQ SF",G107="W"),'US CBAs'!$F$94,
IF(AND(E107="WCQ SF",G107="D"),'US CBAs'!$F$95,
IF(AND(E107="WCQ Hex",G107="W"),'US CBAs'!$F$98,
IF(AND(E107="WCQ Hex",G107="D"),'US CBAs'!$F$99,
IF(E107="World Cup",'US CBAs'!$F$104,
0))))))))))))))))</f>
        <v>5000</v>
      </c>
      <c r="L107" s="40">
        <v>20</v>
      </c>
      <c r="M107" s="60">
        <f t="shared" si="8"/>
        <v>100000</v>
      </c>
      <c r="N107" s="45">
        <f>IF(J107="",I107*'US CBAs'!$G$118,0)</f>
        <v>43962</v>
      </c>
      <c r="O107" s="59">
        <f t="shared" si="9"/>
        <v>143962</v>
      </c>
      <c r="P107" s="61"/>
      <c r="Q107" s="233"/>
      <c r="R107" s="237"/>
      <c r="S107" s="233"/>
      <c r="T107" s="241"/>
    </row>
    <row r="108" spans="1:20" x14ac:dyDescent="0.35">
      <c r="A108" s="49" t="s">
        <v>189</v>
      </c>
      <c r="B108" s="195">
        <v>10</v>
      </c>
      <c r="C108" s="50">
        <v>2015</v>
      </c>
      <c r="D108" s="49" t="s">
        <v>35</v>
      </c>
      <c r="E108" s="49" t="s">
        <v>220</v>
      </c>
      <c r="F108" s="49" t="s">
        <v>28</v>
      </c>
      <c r="G108" s="49" t="s">
        <v>83</v>
      </c>
      <c r="H108" s="49" t="s">
        <v>481</v>
      </c>
      <c r="I108" s="57">
        <v>93723</v>
      </c>
      <c r="J108" s="40"/>
      <c r="K108" s="45">
        <f>IF(G108="L",'US CBAs'!$F$73,
IF(AND(E108="Friendly",F108="T1",G108="W"),'US CBAs'!$F$68,
IF(AND(E108="Friendly",F108="T2",G108="W"),'US CBAs'!$F$69,
IF(AND(E108="Friendly",F108="",G108="W"),'US CBAs'!$F$70,
IF(AND(E108="Friendly",F108="T1",G108="D"),'US CBAs'!$F$71,
IF(AND(E108="Friendly",F108="",G108="D"),'US CBAs'!$F$72,
IF(AND(E108="Gold Cup",F108="T1",G108="W"),'US CBAs'!$F$78,
IF(AND(E108="Gold Cup",F108="",G108="W"),'US CBAs'!$F$79,
IF(AND(E108="Gold Cup",G108="D"),'US CBAs'!$F$80,
IF(AND(E108="Copa America",F108="",G108="W"),'US CBAs'!$F$85,
IF(AND(E108="Copa America",G108="D"),'US CBAs'!$F$86,
IF(AND(E108="WCQ SF",G108="W"),'US CBAs'!$F$94,
IF(AND(E108="WCQ SF",G108="D"),'US CBAs'!$F$95,
IF(AND(E108="WCQ Hex",G108="W"),'US CBAs'!$F$98,
IF(AND(E108="WCQ Hex",G108="D"),'US CBAs'!$F$99,
IF(E108="World Cup",'US CBAs'!$F$104,
0))))))))))))))))</f>
        <v>8125</v>
      </c>
      <c r="L108" s="40">
        <v>20</v>
      </c>
      <c r="M108" s="60">
        <f t="shared" si="8"/>
        <v>162500</v>
      </c>
      <c r="N108" s="45">
        <f>IF(J108="",I108*'US CBAs'!$G$118,0)</f>
        <v>140584.5</v>
      </c>
      <c r="O108" s="59">
        <f t="shared" si="9"/>
        <v>303084.5</v>
      </c>
      <c r="P108" s="61"/>
      <c r="Q108" s="233"/>
      <c r="R108" s="237"/>
      <c r="S108" s="233"/>
      <c r="T108" s="241"/>
    </row>
    <row r="109" spans="1:20" x14ac:dyDescent="0.35">
      <c r="A109" s="49" t="s">
        <v>189</v>
      </c>
      <c r="B109" s="195">
        <v>13</v>
      </c>
      <c r="C109" s="50">
        <v>2015</v>
      </c>
      <c r="D109" s="49" t="s">
        <v>36</v>
      </c>
      <c r="E109" s="49" t="s">
        <v>220</v>
      </c>
      <c r="F109" s="49"/>
      <c r="G109" s="49" t="s">
        <v>33</v>
      </c>
      <c r="H109" s="49" t="s">
        <v>485</v>
      </c>
      <c r="I109" s="57">
        <v>9214</v>
      </c>
      <c r="J109" s="40"/>
      <c r="K109" s="45">
        <f>IF(G109="L",'US CBAs'!$F$73,
IF(AND(E109="Friendly",F109="T1",G109="W"),'US CBAs'!$F$68,
IF(AND(E109="Friendly",F109="T2",G109="W"),'US CBAs'!$F$69,
IF(AND(E109="Friendly",F109="",G109="W"),'US CBAs'!$F$70,
IF(AND(E109="Friendly",F109="T1",G109="D"),'US CBAs'!$F$71,
IF(AND(E109="Friendly",F109="",G109="D"),'US CBAs'!$F$72,
IF(AND(E109="Gold Cup",F109="T1",G109="W"),'US CBAs'!$F$78,
IF(AND(E109="Gold Cup",F109="",G109="W"),'US CBAs'!$F$79,
IF(AND(E109="Gold Cup",G109="D"),'US CBAs'!$F$80,
IF(AND(E109="Copa America",F109="",G109="W"),'US CBAs'!$F$85,
IF(AND(E109="Copa America",G109="D"),'US CBAs'!$F$86,
IF(AND(E109="WCQ SF",G109="W"),'US CBAs'!$F$94,
IF(AND(E109="WCQ SF",G109="D"),'US CBAs'!$F$95,
IF(AND(E109="WCQ Hex",G109="W"),'US CBAs'!$F$98,
IF(AND(E109="WCQ Hex",G109="D"),'US CBAs'!$F$99,
IF(E109="World Cup",'US CBAs'!$F$104,
0))))))))))))))))</f>
        <v>5000</v>
      </c>
      <c r="L109" s="40">
        <v>20</v>
      </c>
      <c r="M109" s="60">
        <f t="shared" si="8"/>
        <v>100000</v>
      </c>
      <c r="N109" s="45">
        <f>IF(J109="",I109*'US CBAs'!$G$118,0)</f>
        <v>13821</v>
      </c>
      <c r="O109" s="59">
        <f t="shared" si="9"/>
        <v>113821</v>
      </c>
      <c r="P109" s="61"/>
    </row>
    <row r="110" spans="1:20" x14ac:dyDescent="0.35">
      <c r="A110" s="49" t="s">
        <v>190</v>
      </c>
      <c r="B110" s="195">
        <v>13</v>
      </c>
      <c r="C110" s="50">
        <v>2015</v>
      </c>
      <c r="D110" s="49" t="s">
        <v>237</v>
      </c>
      <c r="E110" s="49" t="s">
        <v>234</v>
      </c>
      <c r="F110" s="49"/>
      <c r="G110" s="49" t="s">
        <v>20</v>
      </c>
      <c r="H110" s="40" t="s">
        <v>501</v>
      </c>
      <c r="I110" s="57">
        <v>43433</v>
      </c>
      <c r="J110" s="40"/>
      <c r="K110" s="45">
        <f>IF(G110="L",'US CBAs'!$F$73,
IF(AND(E110="Friendly",F110="T1",G110="W"),'US CBAs'!$F$68,
IF(AND(E110="Friendly",F110="T2",G110="W"),'US CBAs'!$F$69,
IF(AND(E110="Friendly",F110="",G110="W"),'US CBAs'!$F$70,
IF(AND(E110="Friendly",F110="T1",G110="D"),'US CBAs'!$F$71,
IF(AND(E110="Friendly",F110="",G110="D"),'US CBAs'!$F$72,
IF(AND(E110="Gold Cup",F110="T1",G110="W"),'US CBAs'!$F$78,
IF(AND(E110="Gold Cup",F110="",G110="W"),'US CBAs'!$F$79,
IF(AND(E110="Gold Cup",G110="D"),'US CBAs'!$F$80,
IF(AND(E110="Copa America",F110="",G110="W"),'US CBAs'!$F$85,
IF(AND(E110="Copa America",G110="D"),'US CBAs'!$F$86,
IF(AND(E110="WCQ SF",G110="W"),'US CBAs'!$F$94,
IF(AND(E110="WCQ SF",G110="D"),'US CBAs'!$F$95,
IF(AND(E110="WCQ Hex",G110="W"),'US CBAs'!$F$98,
IF(AND(E110="WCQ Hex",G110="D"),'US CBAs'!$F$99,
IF(E110="World Cup",'US CBAs'!$F$104,
0))))))))))))))))</f>
        <v>15625</v>
      </c>
      <c r="L110" s="40">
        <v>23</v>
      </c>
      <c r="M110" s="60">
        <f t="shared" si="8"/>
        <v>359375</v>
      </c>
      <c r="N110" s="45">
        <f>IF(J110="",I110*'US CBAs'!$G$118,0)</f>
        <v>65149.5</v>
      </c>
      <c r="O110" s="59">
        <f t="shared" si="9"/>
        <v>424524.5</v>
      </c>
      <c r="P110" s="61"/>
    </row>
    <row r="111" spans="1:20" x14ac:dyDescent="0.35">
      <c r="A111" s="49" t="s">
        <v>190</v>
      </c>
      <c r="B111" s="195">
        <v>17</v>
      </c>
      <c r="C111" s="50">
        <v>2015</v>
      </c>
      <c r="D111" s="49" t="s">
        <v>228</v>
      </c>
      <c r="E111" s="49" t="s">
        <v>234</v>
      </c>
      <c r="F111" s="49"/>
      <c r="G111" s="49" t="s">
        <v>83</v>
      </c>
      <c r="H111" s="49" t="s">
        <v>226</v>
      </c>
      <c r="I111" s="57">
        <v>22809</v>
      </c>
      <c r="J111" s="40" t="s">
        <v>218</v>
      </c>
      <c r="K111" s="45">
        <f>IF(G111="L",'US CBAs'!$F$73,
IF(AND(E111="Friendly",F111="T1",G111="W"),'US CBAs'!$F$68,
IF(AND(E111="Friendly",F111="T2",G111="W"),'US CBAs'!$F$69,
IF(AND(E111="Friendly",F111="",G111="W"),'US CBAs'!$F$70,
IF(AND(E111="Friendly",F111="T1",G111="D"),'US CBAs'!$F$71,
IF(AND(E111="Friendly",F111="",G111="D"),'US CBAs'!$F$72,
IF(AND(E111="Gold Cup",F111="T1",G111="W"),'US CBAs'!$F$78,
IF(AND(E111="Gold Cup",F111="",G111="W"),'US CBAs'!$F$79,
IF(AND(E111="Gold Cup",G111="D"),'US CBAs'!$F$80,
IF(AND(E111="Copa America",F111="",G111="W"),'US CBAs'!$F$85,
IF(AND(E111="Copa America",G111="D"),'US CBAs'!$F$86,
IF(AND(E111="WCQ SF",G111="W"),'US CBAs'!$F$94,
IF(AND(E111="WCQ SF",G111="D"),'US CBAs'!$F$95,
IF(AND(E111="WCQ Hex",G111="W"),'US CBAs'!$F$98,
IF(AND(E111="WCQ Hex",G111="D"),'US CBAs'!$F$99,
IF(E111="World Cup",'US CBAs'!$F$104,
0))))))))))))))))</f>
        <v>7500</v>
      </c>
      <c r="L111" s="40">
        <v>23</v>
      </c>
      <c r="M111" s="60">
        <f t="shared" si="8"/>
        <v>172500</v>
      </c>
      <c r="N111" s="45">
        <f>IF(J111="",I111*'US CBAs'!$G$118,0)</f>
        <v>0</v>
      </c>
      <c r="O111" s="59">
        <f t="shared" si="9"/>
        <v>172500</v>
      </c>
      <c r="P111" s="61"/>
      <c r="Q111" s="233"/>
      <c r="R111" s="237"/>
      <c r="S111" s="233"/>
      <c r="T111" s="241"/>
    </row>
    <row r="112" spans="1:20" x14ac:dyDescent="0.35">
      <c r="A112" s="49"/>
      <c r="B112" s="195"/>
      <c r="C112" s="50"/>
      <c r="D112" s="58" t="s">
        <v>580</v>
      </c>
      <c r="E112" s="49"/>
      <c r="F112" s="49"/>
      <c r="G112" s="49"/>
      <c r="H112" s="49"/>
      <c r="I112" s="57"/>
      <c r="J112" s="40"/>
      <c r="K112" s="54">
        <f>'US CBAs'!$F$75</f>
        <v>1875</v>
      </c>
      <c r="L112" s="56">
        <v>10</v>
      </c>
      <c r="M112" s="54">
        <f t="shared" si="8"/>
        <v>18750</v>
      </c>
      <c r="N112" s="55"/>
      <c r="O112" s="54">
        <f t="shared" si="9"/>
        <v>18750</v>
      </c>
      <c r="P112" s="61"/>
    </row>
    <row r="113" spans="1:20" x14ac:dyDescent="0.35">
      <c r="A113" s="49" t="s">
        <v>191</v>
      </c>
      <c r="B113" s="195">
        <v>31</v>
      </c>
      <c r="C113" s="50">
        <v>2016</v>
      </c>
      <c r="D113" s="49" t="s">
        <v>23</v>
      </c>
      <c r="E113" s="49" t="s">
        <v>220</v>
      </c>
      <c r="F113" s="49"/>
      <c r="G113" s="49" t="s">
        <v>20</v>
      </c>
      <c r="H113" s="49" t="s">
        <v>481</v>
      </c>
      <c r="I113" s="57">
        <v>8803</v>
      </c>
      <c r="J113" s="40"/>
      <c r="K113" s="45">
        <f>IF(G113="L",'US CBAs'!$F$73,
IF(AND(E113="Friendly",F113="T1",G113="W"),'US CBAs'!$F$68,
IF(AND(E113="Friendly",F113="T2",G113="W"),'US CBAs'!$F$69,
IF(AND(E113="Friendly",F113="",G113="W"),'US CBAs'!$F$70,
IF(AND(E113="Friendly",F113="T1",G113="D"),'US CBAs'!$F$71,
IF(AND(E113="Friendly",F113="",G113="D"),'US CBAs'!$F$72,
IF(AND(E113="Gold Cup",F113="T1",G113="W"),'US CBAs'!$F$78,
IF(AND(E113="Gold Cup",F113="",G113="W"),'US CBAs'!$F$79,
IF(AND(E113="Gold Cup",G113="D"),'US CBAs'!$F$80,
IF(AND(E113="Copa America",F113="",G113="W"),'US CBAs'!$F$85,
IF(AND(E113="Copa America",G113="D"),'US CBAs'!$F$86,
IF(AND(E113="WCQ SF",G113="W"),'US CBAs'!$F$94,
IF(AND(E113="WCQ SF",G113="D"),'US CBAs'!$F$95,
IF(AND(E113="WCQ Hex",G113="W"),'US CBAs'!$F$98,
IF(AND(E113="WCQ Hex",G113="D"),'US CBAs'!$F$99,
IF(E113="World Cup",'US CBAs'!$F$104,
0))))))))))))))))</f>
        <v>9375</v>
      </c>
      <c r="L113" s="40">
        <v>20</v>
      </c>
      <c r="M113" s="60">
        <f t="shared" si="8"/>
        <v>187500</v>
      </c>
      <c r="N113" s="45">
        <f>IF(J113="",I113*'US CBAs'!$G$118,0)</f>
        <v>13204.5</v>
      </c>
      <c r="O113" s="59">
        <f t="shared" si="9"/>
        <v>200704.5</v>
      </c>
      <c r="P113" s="61"/>
    </row>
    <row r="114" spans="1:20" x14ac:dyDescent="0.35">
      <c r="A114" s="49" t="s">
        <v>192</v>
      </c>
      <c r="B114" s="195">
        <v>5</v>
      </c>
      <c r="C114" s="50">
        <v>2016</v>
      </c>
      <c r="D114" s="49" t="s">
        <v>29</v>
      </c>
      <c r="E114" s="49" t="s">
        <v>220</v>
      </c>
      <c r="F114" s="49"/>
      <c r="G114" s="49" t="s">
        <v>20</v>
      </c>
      <c r="H114" s="49" t="s">
        <v>481</v>
      </c>
      <c r="I114" s="57">
        <v>9274</v>
      </c>
      <c r="J114" s="40"/>
      <c r="K114" s="45">
        <f>IF(G114="L",'US CBAs'!$F$73,
IF(AND(E114="Friendly",F114="T1",G114="W"),'US CBAs'!$F$68,
IF(AND(E114="Friendly",F114="T2",G114="W"),'US CBAs'!$F$69,
IF(AND(E114="Friendly",F114="",G114="W"),'US CBAs'!$F$70,
IF(AND(E114="Friendly",F114="T1",G114="D"),'US CBAs'!$F$71,
IF(AND(E114="Friendly",F114="",G114="D"),'US CBAs'!$F$72,
IF(AND(E114="Gold Cup",F114="T1",G114="W"),'US CBAs'!$F$78,
IF(AND(E114="Gold Cup",F114="",G114="W"),'US CBAs'!$F$79,
IF(AND(E114="Gold Cup",G114="D"),'US CBAs'!$F$80,
IF(AND(E114="Copa America",F114="",G114="W"),'US CBAs'!$F$85,
IF(AND(E114="Copa America",G114="D"),'US CBAs'!$F$86,
IF(AND(E114="WCQ SF",G114="W"),'US CBAs'!$F$94,
IF(AND(E114="WCQ SF",G114="D"),'US CBAs'!$F$95,
IF(AND(E114="WCQ Hex",G114="W"),'US CBAs'!$F$98,
IF(AND(E114="WCQ Hex",G114="D"),'US CBAs'!$F$99,
IF(E114="World Cup",'US CBAs'!$F$104,
0))))))))))))))))</f>
        <v>9375</v>
      </c>
      <c r="L114" s="40">
        <v>20</v>
      </c>
      <c r="M114" s="60">
        <f t="shared" si="8"/>
        <v>187500</v>
      </c>
      <c r="N114" s="45">
        <f>IF(J114="",I114*'US CBAs'!$G$118,0)</f>
        <v>13911</v>
      </c>
      <c r="O114" s="59">
        <f t="shared" si="9"/>
        <v>201411</v>
      </c>
      <c r="P114" s="61"/>
    </row>
    <row r="115" spans="1:20" x14ac:dyDescent="0.35">
      <c r="A115" s="49" t="s">
        <v>221</v>
      </c>
      <c r="B115" s="195">
        <v>25</v>
      </c>
      <c r="C115" s="50">
        <v>2016</v>
      </c>
      <c r="D115" s="49" t="s">
        <v>43</v>
      </c>
      <c r="E115" s="49" t="s">
        <v>234</v>
      </c>
      <c r="F115" s="49"/>
      <c r="G115" s="49" t="s">
        <v>33</v>
      </c>
      <c r="H115" s="49" t="s">
        <v>43</v>
      </c>
      <c r="I115" s="57">
        <v>18313</v>
      </c>
      <c r="J115" s="40" t="s">
        <v>218</v>
      </c>
      <c r="K115" s="45">
        <f>IF(G115="L",'US CBAs'!$F$73,
IF(AND(E115="Friendly",F115="T1",G115="W"),'US CBAs'!$F$68,
IF(AND(E115="Friendly",F115="T2",G115="W"),'US CBAs'!$F$69,
IF(AND(E115="Friendly",F115="",G115="W"),'US CBAs'!$F$70,
IF(AND(E115="Friendly",F115="T1",G115="D"),'US CBAs'!$F$71,
IF(AND(E115="Friendly",F115="",G115="D"),'US CBAs'!$F$72,
IF(AND(E115="Gold Cup",F115="T1",G115="W"),'US CBAs'!$F$78,
IF(AND(E115="Gold Cup",F115="",G115="W"),'US CBAs'!$F$79,
IF(AND(E115="Gold Cup",G115="D"),'US CBAs'!$F$80,
IF(AND(E115="Copa America",F115="",G115="W"),'US CBAs'!$F$85,
IF(AND(E115="Copa America",G115="D"),'US CBAs'!$F$86,
IF(AND(E115="WCQ SF",G115="W"),'US CBAs'!$F$94,
IF(AND(E115="WCQ SF",G115="D"),'US CBAs'!$F$95,
IF(AND(E115="WCQ Hex",G115="W"),'US CBAs'!$F$98,
IF(AND(E115="WCQ Hex",G115="D"),'US CBAs'!$F$99,
IF(E115="World Cup",'US CBAs'!$F$104,
0))))))))))))))))</f>
        <v>5000</v>
      </c>
      <c r="L115" s="40">
        <v>23</v>
      </c>
      <c r="M115" s="60">
        <f t="shared" si="8"/>
        <v>115000</v>
      </c>
      <c r="N115" s="45">
        <f>IF(J115="",I115*'US CBAs'!$G$118,0)</f>
        <v>0</v>
      </c>
      <c r="O115" s="59">
        <f t="shared" si="9"/>
        <v>115000</v>
      </c>
      <c r="P115" s="61"/>
    </row>
    <row r="116" spans="1:20" x14ac:dyDescent="0.35">
      <c r="A116" s="49" t="s">
        <v>221</v>
      </c>
      <c r="B116" s="195">
        <v>29</v>
      </c>
      <c r="C116" s="50">
        <v>2016</v>
      </c>
      <c r="D116" s="49" t="s">
        <v>43</v>
      </c>
      <c r="E116" s="49" t="s">
        <v>234</v>
      </c>
      <c r="F116" s="49"/>
      <c r="G116" s="49" t="s">
        <v>20</v>
      </c>
      <c r="H116" s="49" t="s">
        <v>495</v>
      </c>
      <c r="I116" s="57">
        <v>20624</v>
      </c>
      <c r="J116" s="40"/>
      <c r="K116" s="45">
        <f>IF(G116="L",'US CBAs'!$F$73,
IF(AND(E116="Friendly",F116="T1",G116="W"),'US CBAs'!$F$68,
IF(AND(E116="Friendly",F116="T2",G116="W"),'US CBAs'!$F$69,
IF(AND(E116="Friendly",F116="",G116="W"),'US CBAs'!$F$70,
IF(AND(E116="Friendly",F116="T1",G116="D"),'US CBAs'!$F$71,
IF(AND(E116="Friendly",F116="",G116="D"),'US CBAs'!$F$72,
IF(AND(E116="Gold Cup",F116="T1",G116="W"),'US CBAs'!$F$78,
IF(AND(E116="Gold Cup",F116="",G116="W"),'US CBAs'!$F$79,
IF(AND(E116="Gold Cup",G116="D"),'US CBAs'!$F$80,
IF(AND(E116="Copa America",F116="",G116="W"),'US CBAs'!$F$85,
IF(AND(E116="Copa America",G116="D"),'US CBAs'!$F$86,
IF(AND(E116="WCQ SF",G116="W"),'US CBAs'!$F$94,
IF(AND(E116="WCQ SF",G116="D"),'US CBAs'!$F$95,
IF(AND(E116="WCQ Hex",G116="W"),'US CBAs'!$F$98,
IF(AND(E116="WCQ Hex",G116="D"),'US CBAs'!$F$99,
IF(E116="World Cup",'US CBAs'!$F$104,
0))))))))))))))))</f>
        <v>15625</v>
      </c>
      <c r="L116" s="40">
        <v>23</v>
      </c>
      <c r="M116" s="60">
        <f t="shared" si="8"/>
        <v>359375</v>
      </c>
      <c r="N116" s="45">
        <f>IF(J116="",I116*'US CBAs'!$G$118,0)</f>
        <v>30936</v>
      </c>
      <c r="O116" s="59">
        <f t="shared" si="9"/>
        <v>390311</v>
      </c>
      <c r="P116" s="61"/>
      <c r="Q116" s="239"/>
      <c r="R116" s="239"/>
      <c r="S116" s="247"/>
      <c r="T116" s="248"/>
    </row>
    <row r="117" spans="1:20" x14ac:dyDescent="0.35">
      <c r="A117" s="49" t="s">
        <v>186</v>
      </c>
      <c r="B117" s="195">
        <v>22</v>
      </c>
      <c r="C117" s="50">
        <v>2016</v>
      </c>
      <c r="D117" s="49" t="s">
        <v>71</v>
      </c>
      <c r="E117" s="49" t="s">
        <v>220</v>
      </c>
      <c r="F117" s="49"/>
      <c r="G117" s="49" t="s">
        <v>20</v>
      </c>
      <c r="H117" s="49" t="s">
        <v>71</v>
      </c>
      <c r="I117" s="57">
        <v>14000</v>
      </c>
      <c r="J117" s="40" t="s">
        <v>218</v>
      </c>
      <c r="K117" s="45">
        <f>IF(G117="L",'US CBAs'!$F$73,
IF(AND(E117="Friendly",F117="T1",G117="W"),'US CBAs'!$F$68,
IF(AND(E117="Friendly",F117="T2",G117="W"),'US CBAs'!$F$69,
IF(AND(E117="Friendly",F117="",G117="W"),'US CBAs'!$F$70,
IF(AND(E117="Friendly",F117="T1",G117="D"),'US CBAs'!$F$71,
IF(AND(E117="Friendly",F117="",G117="D"),'US CBAs'!$F$72,
IF(AND(E117="Gold Cup",F117="T1",G117="W"),'US CBAs'!$F$78,
IF(AND(E117="Gold Cup",F117="",G117="W"),'US CBAs'!$F$79,
IF(AND(E117="Gold Cup",G117="D"),'US CBAs'!$F$80,
IF(AND(E117="Copa America",F117="",G117="W"),'US CBAs'!$F$85,
IF(AND(E117="Copa America",G117="D"),'US CBAs'!$F$86,
IF(AND(E117="WCQ SF",G117="W"),'US CBAs'!$F$94,
IF(AND(E117="WCQ SF",G117="D"),'US CBAs'!$F$95,
IF(AND(E117="WCQ Hex",G117="W"),'US CBAs'!$F$98,
IF(AND(E117="WCQ Hex",G117="D"),'US CBAs'!$F$99,
IF(E117="World Cup",'US CBAs'!$F$104,
0))))))))))))))))</f>
        <v>9375</v>
      </c>
      <c r="L117" s="40">
        <v>20</v>
      </c>
      <c r="M117" s="60">
        <f t="shared" si="8"/>
        <v>187500</v>
      </c>
      <c r="N117" s="45">
        <f>IF(J117="",I117*'US CBAs'!$G$118,0)</f>
        <v>0</v>
      </c>
      <c r="O117" s="59">
        <f t="shared" si="9"/>
        <v>187500</v>
      </c>
      <c r="P117" s="61"/>
      <c r="Q117" s="242"/>
      <c r="R117" s="242"/>
      <c r="S117" s="247"/>
      <c r="T117" s="248"/>
    </row>
    <row r="118" spans="1:20" x14ac:dyDescent="0.35">
      <c r="A118" s="49" t="s">
        <v>186</v>
      </c>
      <c r="B118" s="195">
        <v>25</v>
      </c>
      <c r="C118" s="50">
        <v>2016</v>
      </c>
      <c r="D118" s="49" t="s">
        <v>63</v>
      </c>
      <c r="E118" s="49" t="s">
        <v>220</v>
      </c>
      <c r="F118" s="49" t="s">
        <v>31</v>
      </c>
      <c r="G118" s="49" t="s">
        <v>20</v>
      </c>
      <c r="H118" s="49" t="s">
        <v>492</v>
      </c>
      <c r="I118" s="57">
        <v>9893</v>
      </c>
      <c r="J118" s="40"/>
      <c r="K118" s="45">
        <f>IF(G118="L",'US CBAs'!$F$73,
IF(AND(E118="Friendly",F118="T1",G118="W"),'US CBAs'!$F$68,
IF(AND(E118="Friendly",F118="T2",G118="W"),'US CBAs'!$F$69,
IF(AND(E118="Friendly",F118="",G118="W"),'US CBAs'!$F$70,
IF(AND(E118="Friendly",F118="T1",G118="D"),'US CBAs'!$F$71,
IF(AND(E118="Friendly",F118="",G118="D"),'US CBAs'!$F$72,
IF(AND(E118="Gold Cup",F118="T1",G118="W"),'US CBAs'!$F$78,
IF(AND(E118="Gold Cup",F118="",G118="W"),'US CBAs'!$F$79,
IF(AND(E118="Gold Cup",G118="D"),'US CBAs'!$F$80,
IF(AND(E118="Copa America",F118="",G118="W"),'US CBAs'!$F$85,
IF(AND(E118="Copa America",G118="D"),'US CBAs'!$F$86,
IF(AND(E118="WCQ SF",G118="W"),'US CBAs'!$F$94,
IF(AND(E118="WCQ SF",G118="D"),'US CBAs'!$F$95,
IF(AND(E118="WCQ Hex",G118="W"),'US CBAs'!$F$98,
IF(AND(E118="WCQ Hex",G118="D"),'US CBAs'!$F$99,
IF(E118="World Cup",'US CBAs'!$F$104,
0))))))))))))))))</f>
        <v>12500</v>
      </c>
      <c r="L118" s="40">
        <v>20</v>
      </c>
      <c r="M118" s="60">
        <f t="shared" si="8"/>
        <v>250000</v>
      </c>
      <c r="N118" s="45">
        <f>IF(J118="",I118*'US CBAs'!$G$118,0)</f>
        <v>14839.5</v>
      </c>
      <c r="O118" s="59">
        <f t="shared" si="9"/>
        <v>264839.5</v>
      </c>
      <c r="P118" s="61"/>
      <c r="Q118" s="232"/>
      <c r="R118" s="238"/>
      <c r="S118" s="233"/>
      <c r="T118" s="241"/>
    </row>
    <row r="119" spans="1:20" x14ac:dyDescent="0.35">
      <c r="A119" s="49" t="s">
        <v>186</v>
      </c>
      <c r="B119" s="195">
        <v>28</v>
      </c>
      <c r="C119" s="50">
        <v>2016</v>
      </c>
      <c r="D119" s="49" t="s">
        <v>72</v>
      </c>
      <c r="E119" s="49" t="s">
        <v>220</v>
      </c>
      <c r="F119" s="49"/>
      <c r="G119" s="49" t="s">
        <v>20</v>
      </c>
      <c r="H119" s="49" t="s">
        <v>490</v>
      </c>
      <c r="I119" s="57">
        <v>8894</v>
      </c>
      <c r="J119" s="40"/>
      <c r="K119" s="45">
        <f>IF(G119="L",'US CBAs'!$F$73,
IF(AND(E119="Friendly",F119="T1",G119="W"),'US CBAs'!$F$68,
IF(AND(E119="Friendly",F119="T2",G119="W"),'US CBAs'!$F$69,
IF(AND(E119="Friendly",F119="",G119="W"),'US CBAs'!$F$70,
IF(AND(E119="Friendly",F119="T1",G119="D"),'US CBAs'!$F$71,
IF(AND(E119="Friendly",F119="",G119="D"),'US CBAs'!$F$72,
IF(AND(E119="Gold Cup",F119="T1",G119="W"),'US CBAs'!$F$78,
IF(AND(E119="Gold Cup",F119="",G119="W"),'US CBAs'!$F$79,
IF(AND(E119="Gold Cup",G119="D"),'US CBAs'!$F$80,
IF(AND(E119="Copa America",F119="",G119="W"),'US CBAs'!$F$85,
IF(AND(E119="Copa America",G119="D"),'US CBAs'!$F$86,
IF(AND(E119="WCQ SF",G119="W"),'US CBAs'!$F$94,
IF(AND(E119="WCQ SF",G119="D"),'US CBAs'!$F$95,
IF(AND(E119="WCQ Hex",G119="W"),'US CBAs'!$F$98,
IF(AND(E119="WCQ Hex",G119="D"),'US CBAs'!$F$99,
IF(E119="World Cup",'US CBAs'!$F$104,
0))))))))))))))))</f>
        <v>9375</v>
      </c>
      <c r="L119" s="40">
        <v>20</v>
      </c>
      <c r="M119" s="60">
        <f t="shared" si="8"/>
        <v>187500</v>
      </c>
      <c r="N119" s="45">
        <f>IF(J119="",I119*'US CBAs'!$G$118,0)</f>
        <v>13341</v>
      </c>
      <c r="O119" s="59">
        <f t="shared" si="9"/>
        <v>200841</v>
      </c>
      <c r="P119" s="61"/>
      <c r="Q119" s="397"/>
      <c r="R119" s="398"/>
      <c r="S119" s="233"/>
      <c r="T119" s="241"/>
    </row>
    <row r="120" spans="1:20" x14ac:dyDescent="0.35">
      <c r="A120" s="49" t="s">
        <v>223</v>
      </c>
      <c r="B120" s="195">
        <v>3</v>
      </c>
      <c r="C120" s="50">
        <v>2016</v>
      </c>
      <c r="D120" s="49" t="s">
        <v>64</v>
      </c>
      <c r="E120" s="49" t="s">
        <v>238</v>
      </c>
      <c r="F120" s="49"/>
      <c r="G120" s="49" t="s">
        <v>33</v>
      </c>
      <c r="H120" s="49" t="s">
        <v>481</v>
      </c>
      <c r="I120" s="57">
        <v>67439</v>
      </c>
      <c r="J120" s="40" t="s">
        <v>218</v>
      </c>
      <c r="K120" s="45">
        <f>IF(G120="L",'US CBAs'!$F$73,
IF(AND(E120="Friendly",F120="T1",G120="W"),'US CBAs'!$F$68,
IF(AND(E120="Friendly",F120="T2",G120="W"),'US CBAs'!$F$69,
IF(AND(E120="Friendly",F120="",G120="W"),'US CBAs'!$F$70,
IF(AND(E120="Friendly",F120="T1",G120="D"),'US CBAs'!$F$71,
IF(AND(E120="Friendly",F120="",G120="D"),'US CBAs'!$F$72,
IF(AND(E120="Gold Cup",F120="T1",G120="W"),'US CBAs'!$F$78,
IF(AND(E120="Gold Cup",F120="",G120="W"),'US CBAs'!$F$79,
IF(AND(E120="Gold Cup",G120="D"),'US CBAs'!$F$80,
IF(AND(E120="Copa America",F120="",G120="W"),'US CBAs'!$F$85,
IF(AND(E120="Copa America",G120="D"),'US CBAs'!$F$86,
IF(AND(E120="WCQ SF",G120="W"),'US CBAs'!$F$94,
IF(AND(E120="WCQ SF",G120="D"),'US CBAs'!$F$95,
IF(AND(E120="WCQ Hex",G120="W"),'US CBAs'!$F$98,
IF(AND(E120="WCQ Hex",G120="D"),'US CBAs'!$F$99,
IF(E120="World Cup",'US CBAs'!$F$104,
0))))))))))))))))</f>
        <v>5000</v>
      </c>
      <c r="L120" s="40">
        <v>23</v>
      </c>
      <c r="M120" s="60">
        <f t="shared" si="8"/>
        <v>115000</v>
      </c>
      <c r="N120" s="45">
        <f>IF(J120="",I120*'US CBAs'!$G$118,0)</f>
        <v>0</v>
      </c>
      <c r="O120" s="59">
        <f t="shared" si="9"/>
        <v>115000</v>
      </c>
      <c r="P120" s="61"/>
      <c r="Q120" s="399"/>
      <c r="R120" s="400"/>
      <c r="S120" s="233"/>
      <c r="T120" s="241"/>
    </row>
    <row r="121" spans="1:20" x14ac:dyDescent="0.35">
      <c r="A121" s="49" t="s">
        <v>223</v>
      </c>
      <c r="B121" s="195">
        <v>7</v>
      </c>
      <c r="C121" s="50">
        <v>2016</v>
      </c>
      <c r="D121" s="49" t="s">
        <v>36</v>
      </c>
      <c r="E121" s="49" t="s">
        <v>238</v>
      </c>
      <c r="F121" s="49"/>
      <c r="G121" s="49" t="s">
        <v>20</v>
      </c>
      <c r="H121" s="49" t="s">
        <v>487</v>
      </c>
      <c r="I121" s="57">
        <v>39642</v>
      </c>
      <c r="J121" s="40" t="s">
        <v>218</v>
      </c>
      <c r="K121" s="45">
        <f>IF(G121="L",'US CBAs'!$F$73,
IF(AND(E121="Friendly",F121="T1",G121="W"),'US CBAs'!$F$68,
IF(AND(E121="Friendly",F121="T2",G121="W"),'US CBAs'!$F$69,
IF(AND(E121="Friendly",F121="",G121="W"),'US CBAs'!$F$70,
IF(AND(E121="Friendly",F121="T1",G121="D"),'US CBAs'!$F$71,
IF(AND(E121="Friendly",F121="",G121="D"),'US CBAs'!$F$72,
IF(AND(E121="Gold Cup",F121="T1",G121="W"),'US CBAs'!$F$78,
IF(AND(E121="Gold Cup",F121="",G121="W"),'US CBAs'!$F$79,
IF(AND(E121="Gold Cup",G121="D"),'US CBAs'!$F$80,
IF(AND(E121="Copa America",F121="",G121="W"),'US CBAs'!$F$85,
IF(AND(E121="Copa America",G121="D"),'US CBAs'!$F$86,
IF(AND(E121="WCQ SF",G121="W"),'US CBAs'!$F$94,
IF(AND(E121="WCQ SF",G121="D"),'US CBAs'!$F$95,
IF(AND(E121="WCQ Hex",G121="W"),'US CBAs'!$F$98,
IF(AND(E121="WCQ Hex",G121="D"),'US CBAs'!$F$99,
IF(E121="World Cup",'US CBAs'!$F$104,
0))))))))))))))))</f>
        <v>14125</v>
      </c>
      <c r="L121" s="40">
        <v>23</v>
      </c>
      <c r="M121" s="60">
        <f t="shared" si="8"/>
        <v>324875</v>
      </c>
      <c r="N121" s="45">
        <f>IF(J121="",I121*'US CBAs'!$G$118,0)</f>
        <v>0</v>
      </c>
      <c r="O121" s="59">
        <f t="shared" si="9"/>
        <v>324875</v>
      </c>
      <c r="P121" s="61"/>
      <c r="Q121" s="401"/>
      <c r="R121" s="400"/>
      <c r="S121" s="233"/>
      <c r="T121" s="241"/>
    </row>
    <row r="122" spans="1:20" x14ac:dyDescent="0.35">
      <c r="A122" s="49" t="s">
        <v>223</v>
      </c>
      <c r="B122" s="195">
        <v>11</v>
      </c>
      <c r="C122" s="50">
        <v>2016</v>
      </c>
      <c r="D122" s="49" t="s">
        <v>73</v>
      </c>
      <c r="E122" s="49" t="s">
        <v>238</v>
      </c>
      <c r="F122" s="49"/>
      <c r="G122" s="49" t="s">
        <v>20</v>
      </c>
      <c r="H122" s="49" t="s">
        <v>484</v>
      </c>
      <c r="I122" s="57">
        <v>51041</v>
      </c>
      <c r="J122" s="40" t="s">
        <v>218</v>
      </c>
      <c r="K122" s="45">
        <f>IF(G122="L",'US CBAs'!$F$73,
IF(AND(E122="Friendly",F122="T1",G122="W"),'US CBAs'!$F$68,
IF(AND(E122="Friendly",F122="T2",G122="W"),'US CBAs'!$F$69,
IF(AND(E122="Friendly",F122="",G122="W"),'US CBAs'!$F$70,
IF(AND(E122="Friendly",F122="T1",G122="D"),'US CBAs'!$F$71,
IF(AND(E122="Friendly",F122="",G122="D"),'US CBAs'!$F$72,
IF(AND(E122="Gold Cup",F122="T1",G122="W"),'US CBAs'!$F$78,
IF(AND(E122="Gold Cup",F122="",G122="W"),'US CBAs'!$F$79,
IF(AND(E122="Gold Cup",G122="D"),'US CBAs'!$F$80,
IF(AND(E122="Copa America",F122="",G122="W"),'US CBAs'!$F$85,
IF(AND(E122="Copa America",G122="D"),'US CBAs'!$F$86,
IF(AND(E122="WCQ SF",G122="W"),'US CBAs'!$F$94,
IF(AND(E122="WCQ SF",G122="D"),'US CBAs'!$F$95,
IF(AND(E122="WCQ Hex",G122="W"),'US CBAs'!$F$98,
IF(AND(E122="WCQ Hex",G122="D"),'US CBAs'!$F$99,
IF(E122="World Cup",'US CBAs'!$F$104,
0))))))))))))))))</f>
        <v>14125</v>
      </c>
      <c r="L122" s="40">
        <v>23</v>
      </c>
      <c r="M122" s="60">
        <f t="shared" si="8"/>
        <v>324875</v>
      </c>
      <c r="N122" s="45">
        <f>IF(J122="",I122*'US CBAs'!$G$118,0)</f>
        <v>0</v>
      </c>
      <c r="O122" s="59">
        <f t="shared" si="9"/>
        <v>324875</v>
      </c>
      <c r="P122" s="61"/>
      <c r="Q122" s="275"/>
      <c r="R122" s="261"/>
      <c r="S122" s="233"/>
      <c r="T122" s="241"/>
    </row>
    <row r="123" spans="1:20" x14ac:dyDescent="0.35">
      <c r="A123" s="49" t="s">
        <v>223</v>
      </c>
      <c r="B123" s="195">
        <v>16</v>
      </c>
      <c r="C123" s="50">
        <v>2016</v>
      </c>
      <c r="D123" s="49" t="s">
        <v>63</v>
      </c>
      <c r="E123" s="49" t="s">
        <v>238</v>
      </c>
      <c r="F123" s="49"/>
      <c r="G123" s="49" t="s">
        <v>20</v>
      </c>
      <c r="H123" s="49" t="s">
        <v>497</v>
      </c>
      <c r="I123" s="57">
        <v>47322</v>
      </c>
      <c r="J123" s="40" t="s">
        <v>218</v>
      </c>
      <c r="K123" s="45">
        <f>IF(G123="L",'US CBAs'!$F$73,
IF(AND(E123="Friendly",F123="T1",G123="W"),'US CBAs'!$F$68,
IF(AND(E123="Friendly",F123="T2",G123="W"),'US CBAs'!$F$69,
IF(AND(E123="Friendly",F123="",G123="W"),'US CBAs'!$F$70,
IF(AND(E123="Friendly",F123="T1",G123="D"),'US CBAs'!$F$71,
IF(AND(E123="Friendly",F123="",G123="D"),'US CBAs'!$F$72,
IF(AND(E123="Gold Cup",F123="T1",G123="W"),'US CBAs'!$F$78,
IF(AND(E123="Gold Cup",F123="",G123="W"),'US CBAs'!$F$79,
IF(AND(E123="Gold Cup",G123="D"),'US CBAs'!$F$80,
IF(AND(E123="Copa America",F123="",G123="W"),'US CBAs'!$F$85,
IF(AND(E123="Copa America",G123="D"),'US CBAs'!$F$86,
IF(AND(E123="WCQ SF",G123="W"),'US CBAs'!$F$94,
IF(AND(E123="WCQ SF",G123="D"),'US CBAs'!$F$95,
IF(AND(E123="WCQ Hex",G123="W"),'US CBAs'!$F$98,
IF(AND(E123="WCQ Hex",G123="D"),'US CBAs'!$F$99,
IF(E123="World Cup",'US CBAs'!$F$104,
0))))))))))))))))</f>
        <v>14125</v>
      </c>
      <c r="L123" s="40">
        <v>23</v>
      </c>
      <c r="M123" s="60">
        <f t="shared" si="8"/>
        <v>324875</v>
      </c>
      <c r="N123" s="45">
        <f>IF(J123="",I123*'US CBAs'!$G$118,0)</f>
        <v>0</v>
      </c>
      <c r="O123" s="59">
        <f t="shared" si="9"/>
        <v>324875</v>
      </c>
      <c r="P123" s="61"/>
      <c r="Q123" s="275"/>
      <c r="R123" s="261"/>
      <c r="S123" s="233"/>
      <c r="T123" s="241"/>
    </row>
    <row r="124" spans="1:20" x14ac:dyDescent="0.35">
      <c r="A124" s="49" t="s">
        <v>223</v>
      </c>
      <c r="B124" s="195">
        <v>21</v>
      </c>
      <c r="C124" s="50">
        <v>2016</v>
      </c>
      <c r="D124" s="49" t="s">
        <v>60</v>
      </c>
      <c r="E124" s="49" t="s">
        <v>238</v>
      </c>
      <c r="F124" s="49"/>
      <c r="G124" s="49" t="s">
        <v>33</v>
      </c>
      <c r="H124" s="49" t="s">
        <v>492</v>
      </c>
      <c r="I124" s="57">
        <v>70858</v>
      </c>
      <c r="J124" s="40" t="s">
        <v>218</v>
      </c>
      <c r="K124" s="45">
        <f>IF(G124="L",'US CBAs'!$F$73,
IF(AND(E124="Friendly",F124="T1",G124="W"),'US CBAs'!$F$68,
IF(AND(E124="Friendly",F124="T2",G124="W"),'US CBAs'!$F$69,
IF(AND(E124="Friendly",F124="",G124="W"),'US CBAs'!$F$70,
IF(AND(E124="Friendly",F124="T1",G124="D"),'US CBAs'!$F$71,
IF(AND(E124="Friendly",F124="",G124="D"),'US CBAs'!$F$72,
IF(AND(E124="Gold Cup",F124="T1",G124="W"),'US CBAs'!$F$78,
IF(AND(E124="Gold Cup",F124="",G124="W"),'US CBAs'!$F$79,
IF(AND(E124="Gold Cup",G124="D"),'US CBAs'!$F$80,
IF(AND(E124="Copa America",F124="",G124="W"),'US CBAs'!$F$85,
IF(AND(E124="Copa America",G124="D"),'US CBAs'!$F$86,
IF(AND(E124="WCQ SF",G124="W"),'US CBAs'!$F$94,
IF(AND(E124="WCQ SF",G124="D"),'US CBAs'!$F$95,
IF(AND(E124="WCQ Hex",G124="W"),'US CBAs'!$F$98,
IF(AND(E124="WCQ Hex",G124="D"),'US CBAs'!$F$99,
IF(E124="World Cup",'US CBAs'!$F$104,
0))))))))))))))))</f>
        <v>5000</v>
      </c>
      <c r="L124" s="40">
        <v>23</v>
      </c>
      <c r="M124" s="60">
        <f t="shared" si="8"/>
        <v>115000</v>
      </c>
      <c r="N124" s="45">
        <f>IF(J124="",I124*'US CBAs'!$G$118,0)</f>
        <v>0</v>
      </c>
      <c r="O124" s="59">
        <f t="shared" si="9"/>
        <v>115000</v>
      </c>
      <c r="P124" s="61"/>
      <c r="Q124" s="277"/>
      <c r="R124" s="258"/>
      <c r="S124" s="233"/>
      <c r="T124" s="241"/>
    </row>
    <row r="125" spans="1:20" x14ac:dyDescent="0.35">
      <c r="A125" s="49" t="s">
        <v>223</v>
      </c>
      <c r="B125" s="195">
        <v>25</v>
      </c>
      <c r="C125" s="50">
        <v>2016</v>
      </c>
      <c r="D125" s="49" t="s">
        <v>64</v>
      </c>
      <c r="E125" s="49" t="s">
        <v>238</v>
      </c>
      <c r="F125" s="49"/>
      <c r="G125" s="49" t="s">
        <v>33</v>
      </c>
      <c r="H125" s="49" t="s">
        <v>493</v>
      </c>
      <c r="I125" s="57">
        <v>29041</v>
      </c>
      <c r="J125" s="40" t="s">
        <v>218</v>
      </c>
      <c r="K125" s="45">
        <f>IF(G125="L",'US CBAs'!$F$73,
IF(AND(E125="Friendly",F125="T1",G125="W"),'US CBAs'!$F$68,
IF(AND(E125="Friendly",F125="T2",G125="W"),'US CBAs'!$F$69,
IF(AND(E125="Friendly",F125="",G125="W"),'US CBAs'!$F$70,
IF(AND(E125="Friendly",F125="T1",G125="D"),'US CBAs'!$F$71,
IF(AND(E125="Friendly",F125="",G125="D"),'US CBAs'!$F$72,
IF(AND(E125="Gold Cup",F125="T1",G125="W"),'US CBAs'!$F$78,
IF(AND(E125="Gold Cup",F125="",G125="W"),'US CBAs'!$F$79,
IF(AND(E125="Gold Cup",G125="D"),'US CBAs'!$F$80,
IF(AND(E125="Copa America",F125="",G125="W"),'US CBAs'!$F$85,
IF(AND(E125="Copa America",G125="D"),'US CBAs'!$F$86,
IF(AND(E125="WCQ SF",G125="W"),'US CBAs'!$F$94,
IF(AND(E125="WCQ SF",G125="D"),'US CBAs'!$F$95,
IF(AND(E125="WCQ Hex",G125="W"),'US CBAs'!$F$98,
IF(AND(E125="WCQ Hex",G125="D"),'US CBAs'!$F$99,
IF(E125="World Cup",'US CBAs'!$F$104,
0))))))))))))))))</f>
        <v>5000</v>
      </c>
      <c r="L125" s="40">
        <v>23</v>
      </c>
      <c r="M125" s="60">
        <f t="shared" si="8"/>
        <v>115000</v>
      </c>
      <c r="N125" s="45">
        <f>IF(J125="",I125*'US CBAs'!$G$118,0)</f>
        <v>0</v>
      </c>
      <c r="O125" s="59">
        <f t="shared" si="9"/>
        <v>115000</v>
      </c>
      <c r="P125" s="61"/>
      <c r="Q125" s="39"/>
      <c r="R125" s="39"/>
      <c r="S125" s="39"/>
      <c r="T125" s="39"/>
    </row>
    <row r="126" spans="1:20" x14ac:dyDescent="0.35">
      <c r="A126" s="49" t="s">
        <v>222</v>
      </c>
      <c r="B126" s="195">
        <v>2</v>
      </c>
      <c r="C126" s="50">
        <v>2016</v>
      </c>
      <c r="D126" s="49" t="s">
        <v>237</v>
      </c>
      <c r="E126" s="49" t="s">
        <v>234</v>
      </c>
      <c r="F126" s="49"/>
      <c r="G126" s="49" t="s">
        <v>20</v>
      </c>
      <c r="H126" s="49" t="s">
        <v>236</v>
      </c>
      <c r="I126" s="427" t="s">
        <v>235</v>
      </c>
      <c r="J126" s="40" t="s">
        <v>218</v>
      </c>
      <c r="K126" s="45">
        <f>IF(G126="L",'US CBAs'!$F$73,
IF(AND(E126="Friendly",F126="T1",G126="W"),'US CBAs'!$F$68,
IF(AND(E126="Friendly",F126="T2",G126="W"),'US CBAs'!$F$69,
IF(AND(E126="Friendly",F126="",G126="W"),'US CBAs'!$F$70,
IF(AND(E126="Friendly",F126="T1",G126="D"),'US CBAs'!$F$71,
IF(AND(E126="Friendly",F126="",G126="D"),'US CBAs'!$F$72,
IF(AND(E126="Gold Cup",F126="T1",G126="W"),'US CBAs'!$F$78,
IF(AND(E126="Gold Cup",F126="",G126="W"),'US CBAs'!$F$79,
IF(AND(E126="Gold Cup",G126="D"),'US CBAs'!$F$80,
IF(AND(E126="Copa America",F126="",G126="W"),'US CBAs'!$F$85,
IF(AND(E126="Copa America",G126="D"),'US CBAs'!$F$86,
IF(AND(E126="WCQ SF",G126="W"),'US CBAs'!$F$94,
IF(AND(E126="WCQ SF",G126="D"),'US CBAs'!$F$95,
IF(AND(E126="WCQ Hex",G126="W"),'US CBAs'!$F$98,
IF(AND(E126="WCQ Hex",G126="D"),'US CBAs'!$F$99,
IF(E126="World Cup",'US CBAs'!$F$104,
0))))))))))))))))</f>
        <v>15625</v>
      </c>
      <c r="L126" s="40">
        <v>23</v>
      </c>
      <c r="M126" s="60">
        <f t="shared" si="8"/>
        <v>359375</v>
      </c>
      <c r="N126" s="45">
        <f>IF(J126="",I126*'US CBAs'!$G$118,0)</f>
        <v>0</v>
      </c>
      <c r="O126" s="59">
        <f t="shared" si="9"/>
        <v>359375</v>
      </c>
      <c r="P126" s="61"/>
      <c r="Q126" s="39"/>
      <c r="R126" s="39"/>
      <c r="S126" s="39"/>
      <c r="T126" s="39"/>
    </row>
    <row r="127" spans="1:20" x14ac:dyDescent="0.35">
      <c r="A127" s="49" t="s">
        <v>222</v>
      </c>
      <c r="B127" s="195">
        <v>6</v>
      </c>
      <c r="C127" s="50">
        <v>2016</v>
      </c>
      <c r="D127" s="49" t="s">
        <v>228</v>
      </c>
      <c r="E127" s="49" t="s">
        <v>234</v>
      </c>
      <c r="F127" s="49"/>
      <c r="G127" s="49" t="s">
        <v>20</v>
      </c>
      <c r="H127" s="49" t="s">
        <v>482</v>
      </c>
      <c r="I127" s="57">
        <v>19410</v>
      </c>
      <c r="J127" s="40"/>
      <c r="K127" s="45">
        <f>IF(G127="L",'US CBAs'!$F$73,
IF(AND(E127="Friendly",F127="T1",G127="W"),'US CBAs'!$F$68,
IF(AND(E127="Friendly",F127="T2",G127="W"),'US CBAs'!$F$69,
IF(AND(E127="Friendly",F127="",G127="W"),'US CBAs'!$F$70,
IF(AND(E127="Friendly",F127="T1",G127="D"),'US CBAs'!$F$71,
IF(AND(E127="Friendly",F127="",G127="D"),'US CBAs'!$F$72,
IF(AND(E127="Gold Cup",F127="T1",G127="W"),'US CBAs'!$F$78,
IF(AND(E127="Gold Cup",F127="",G127="W"),'US CBAs'!$F$79,
IF(AND(E127="Gold Cup",G127="D"),'US CBAs'!$F$80,
IF(AND(E127="Copa America",F127="",G127="W"),'US CBAs'!$F$85,
IF(AND(E127="Copa America",G127="D"),'US CBAs'!$F$86,
IF(AND(E127="WCQ SF",G127="W"),'US CBAs'!$F$94,
IF(AND(E127="WCQ SF",G127="D"),'US CBAs'!$F$95,
IF(AND(E127="WCQ Hex",G127="W"),'US CBAs'!$F$98,
IF(AND(E127="WCQ Hex",G127="D"),'US CBAs'!$F$99,
IF(E127="World Cup",'US CBAs'!$F$104,
0))))))))))))))))</f>
        <v>15625</v>
      </c>
      <c r="L127" s="40">
        <v>23</v>
      </c>
      <c r="M127" s="60">
        <f t="shared" si="8"/>
        <v>359375</v>
      </c>
      <c r="N127" s="45">
        <f>IF(J127="",I127*'US CBAs'!$G$118,0)</f>
        <v>29115</v>
      </c>
      <c r="O127" s="59">
        <f t="shared" si="9"/>
        <v>388490</v>
      </c>
      <c r="P127" s="61"/>
      <c r="Q127" s="233"/>
      <c r="R127" s="236"/>
      <c r="S127" s="233"/>
      <c r="T127" s="241"/>
    </row>
    <row r="128" spans="1:20" x14ac:dyDescent="0.35">
      <c r="A128" s="49" t="s">
        <v>189</v>
      </c>
      <c r="B128" s="195">
        <v>7</v>
      </c>
      <c r="C128" s="50">
        <v>2016</v>
      </c>
      <c r="D128" s="49" t="s">
        <v>45</v>
      </c>
      <c r="E128" s="49" t="s">
        <v>220</v>
      </c>
      <c r="F128" s="49"/>
      <c r="G128" s="49" t="s">
        <v>20</v>
      </c>
      <c r="H128" s="49" t="s">
        <v>45</v>
      </c>
      <c r="I128" s="57">
        <v>7000</v>
      </c>
      <c r="J128" s="40" t="s">
        <v>218</v>
      </c>
      <c r="K128" s="45">
        <f>IF(G128="L",'US CBAs'!$F$73,
IF(AND(E128="Friendly",F128="T1",G128="W"),'US CBAs'!$F$68,
IF(AND(E128="Friendly",F128="T2",G128="W"),'US CBAs'!$F$69,
IF(AND(E128="Friendly",F128="",G128="W"),'US CBAs'!$F$70,
IF(AND(E128="Friendly",F128="T1",G128="D"),'US CBAs'!$F$71,
IF(AND(E128="Friendly",F128="",G128="D"),'US CBAs'!$F$72,
IF(AND(E128="Gold Cup",F128="T1",G128="W"),'US CBAs'!$F$78,
IF(AND(E128="Gold Cup",F128="",G128="W"),'US CBAs'!$F$79,
IF(AND(E128="Gold Cup",G128="D"),'US CBAs'!$F$80,
IF(AND(E128="Copa America",F128="",G128="W"),'US CBAs'!$F$85,
IF(AND(E128="Copa America",G128="D"),'US CBAs'!$F$86,
IF(AND(E128="WCQ SF",G128="W"),'US CBAs'!$F$94,
IF(AND(E128="WCQ SF",G128="D"),'US CBAs'!$F$95,
IF(AND(E128="WCQ Hex",G128="W"),'US CBAs'!$F$98,
IF(AND(E128="WCQ Hex",G128="D"),'US CBAs'!$F$99,
IF(E128="World Cup",'US CBAs'!$F$104,
0))))))))))))))))</f>
        <v>9375</v>
      </c>
      <c r="L128" s="40">
        <v>20</v>
      </c>
      <c r="M128" s="60">
        <f t="shared" si="8"/>
        <v>187500</v>
      </c>
      <c r="N128" s="45">
        <f>IF(J128="",I128*'US CBAs'!$G$118,0)</f>
        <v>0</v>
      </c>
      <c r="O128" s="59">
        <f t="shared" si="9"/>
        <v>187500</v>
      </c>
      <c r="P128" s="61"/>
      <c r="Q128" s="232"/>
      <c r="R128" s="238"/>
      <c r="S128" s="233"/>
      <c r="T128" s="241"/>
    </row>
    <row r="129" spans="1:20" x14ac:dyDescent="0.35">
      <c r="A129" s="49" t="s">
        <v>189</v>
      </c>
      <c r="B129" s="195">
        <v>11</v>
      </c>
      <c r="C129" s="50">
        <v>2016</v>
      </c>
      <c r="D129" s="49" t="s">
        <v>38</v>
      </c>
      <c r="E129" s="49" t="s">
        <v>220</v>
      </c>
      <c r="F129" s="49"/>
      <c r="G129" s="49" t="s">
        <v>83</v>
      </c>
      <c r="H129" s="49" t="s">
        <v>491</v>
      </c>
      <c r="I129" s="57">
        <v>9012</v>
      </c>
      <c r="J129" s="40"/>
      <c r="K129" s="45">
        <f>IF(G129="L",'US CBAs'!$F$73,
IF(AND(E129="Friendly",F129="T1",G129="W"),'US CBAs'!$F$68,
IF(AND(E129="Friendly",F129="T2",G129="W"),'US CBAs'!$F$69,
IF(AND(E129="Friendly",F129="",G129="W"),'US CBAs'!$F$70,
IF(AND(E129="Friendly",F129="T1",G129="D"),'US CBAs'!$F$71,
IF(AND(E129="Friendly",F129="",G129="D"),'US CBAs'!$F$72,
IF(AND(E129="Gold Cup",F129="T1",G129="W"),'US CBAs'!$F$78,
IF(AND(E129="Gold Cup",F129="",G129="W"),'US CBAs'!$F$79,
IF(AND(E129="Gold Cup",G129="D"),'US CBAs'!$F$80,
IF(AND(E129="Copa America",F129="",G129="W"),'US CBAs'!$F$85,
IF(AND(E129="Copa America",G129="D"),'US CBAs'!$F$86,
IF(AND(E129="WCQ SF",G129="W"),'US CBAs'!$F$94,
IF(AND(E129="WCQ SF",G129="D"),'US CBAs'!$F$95,
IF(AND(E129="WCQ Hex",G129="W"),'US CBAs'!$F$98,
IF(AND(E129="WCQ Hex",G129="D"),'US CBAs'!$F$99,
IF(E129="World Cup",'US CBAs'!$F$104,
0))))))))))))))))</f>
        <v>6250</v>
      </c>
      <c r="L129" s="40">
        <v>20</v>
      </c>
      <c r="M129" s="60">
        <f t="shared" si="8"/>
        <v>125000</v>
      </c>
      <c r="N129" s="45">
        <f>IF(J129="",I129*'US CBAs'!$G$118,0)</f>
        <v>13518</v>
      </c>
      <c r="O129" s="59">
        <f t="shared" si="9"/>
        <v>138518</v>
      </c>
      <c r="P129" s="61"/>
      <c r="Q129" s="232"/>
      <c r="R129" s="238"/>
      <c r="S129" s="233"/>
      <c r="T129" s="241"/>
    </row>
    <row r="130" spans="1:20" x14ac:dyDescent="0.35">
      <c r="A130" s="49" t="s">
        <v>190</v>
      </c>
      <c r="B130" s="195">
        <v>11</v>
      </c>
      <c r="C130" s="50">
        <v>2016</v>
      </c>
      <c r="D130" s="49" t="s">
        <v>35</v>
      </c>
      <c r="E130" s="49" t="s">
        <v>227</v>
      </c>
      <c r="F130" s="49"/>
      <c r="G130" s="49" t="s">
        <v>33</v>
      </c>
      <c r="H130" s="49" t="s">
        <v>495</v>
      </c>
      <c r="I130" s="57">
        <v>24650</v>
      </c>
      <c r="J130" s="40"/>
      <c r="K130" s="45">
        <f>IF(G130="L",'US CBAs'!$F$73,
IF(AND(E130="Friendly",F130="T1",G130="W"),'US CBAs'!$F$68,
IF(AND(E130="Friendly",F130="T2",G130="W"),'US CBAs'!$F$69,
IF(AND(E130="Friendly",F130="",G130="W"),'US CBAs'!$F$70,
IF(AND(E130="Friendly",F130="T1",G130="D"),'US CBAs'!$F$71,
IF(AND(E130="Friendly",F130="",G130="D"),'US CBAs'!$F$72,
IF(AND(E130="Gold Cup",F130="T1",G130="W"),'US CBAs'!$F$78,
IF(AND(E130="Gold Cup",F130="",G130="W"),'US CBAs'!$F$79,
IF(AND(E130="Gold Cup",G130="D"),'US CBAs'!$F$80,
IF(AND(E130="Copa America",F130="",G130="W"),'US CBAs'!$F$85,
IF(AND(E130="Copa America",G130="D"),'US CBAs'!$F$86,
IF(AND(E130="WCQ SF",G130="W"),'US CBAs'!$F$94,
IF(AND(E130="WCQ SF",G130="D"),'US CBAs'!$F$95,
IF(AND(E130="WCQ Hex",G130="W"),'US CBAs'!$F$98,
IF(AND(E130="WCQ Hex",G130="D"),'US CBAs'!$F$99,
IF(E130="World Cup",'US CBAs'!$F$104,
0))))))))))))))))</f>
        <v>5000</v>
      </c>
      <c r="L130" s="40">
        <v>23</v>
      </c>
      <c r="M130" s="60">
        <f t="shared" si="8"/>
        <v>115000</v>
      </c>
      <c r="N130" s="45">
        <f>IF(J130="",I130*'US CBAs'!$G$118,0)</f>
        <v>36975</v>
      </c>
      <c r="O130" s="59">
        <f t="shared" si="9"/>
        <v>151975</v>
      </c>
      <c r="P130" s="61"/>
      <c r="Q130" s="233"/>
      <c r="R130" s="233"/>
      <c r="S130" s="233"/>
      <c r="T130" s="241"/>
    </row>
    <row r="131" spans="1:20" x14ac:dyDescent="0.35">
      <c r="A131" s="49" t="s">
        <v>190</v>
      </c>
      <c r="B131" s="195">
        <v>15</v>
      </c>
      <c r="C131" s="50">
        <v>2016</v>
      </c>
      <c r="D131" s="49" t="s">
        <v>36</v>
      </c>
      <c r="E131" s="49" t="s">
        <v>227</v>
      </c>
      <c r="F131" s="49"/>
      <c r="G131" s="49" t="s">
        <v>33</v>
      </c>
      <c r="H131" s="49" t="s">
        <v>36</v>
      </c>
      <c r="I131" s="57">
        <v>35400</v>
      </c>
      <c r="J131" s="40" t="s">
        <v>218</v>
      </c>
      <c r="K131" s="45">
        <f>IF(G131="L",'US CBAs'!$F$73,
IF(AND(E131="Friendly",F131="T1",G131="W"),'US CBAs'!$F$68,
IF(AND(E131="Friendly",F131="T2",G131="W"),'US CBAs'!$F$69,
IF(AND(E131="Friendly",F131="",G131="W"),'US CBAs'!$F$70,
IF(AND(E131="Friendly",F131="T1",G131="D"),'US CBAs'!$F$71,
IF(AND(E131="Friendly",F131="",G131="D"),'US CBAs'!$F$72,
IF(AND(E131="Gold Cup",F131="T1",G131="W"),'US CBAs'!$F$78,
IF(AND(E131="Gold Cup",F131="",G131="W"),'US CBAs'!$F$79,
IF(AND(E131="Gold Cup",G131="D"),'US CBAs'!$F$80,
IF(AND(E131="Copa America",F131="",G131="W"),'US CBAs'!$F$85,
IF(AND(E131="Copa America",G131="D"),'US CBAs'!$F$86,
IF(AND(E131="WCQ SF",G131="W"),'US CBAs'!$F$94,
IF(AND(E131="WCQ SF",G131="D"),'US CBAs'!$F$95,
IF(AND(E131="WCQ Hex",G131="W"),'US CBAs'!$F$98,
IF(AND(E131="WCQ Hex",G131="D"),'US CBAs'!$F$99,
IF(E131="World Cup",'US CBAs'!$F$104,
0))))))))))))))))</f>
        <v>5000</v>
      </c>
      <c r="L131" s="40">
        <v>23</v>
      </c>
      <c r="M131" s="60">
        <f t="shared" si="8"/>
        <v>115000</v>
      </c>
      <c r="N131" s="45">
        <f>IF(J131="",I131*'US CBAs'!$G$118,0)</f>
        <v>0</v>
      </c>
      <c r="O131" s="59">
        <f t="shared" si="9"/>
        <v>115000</v>
      </c>
      <c r="P131" s="61"/>
      <c r="Q131" s="232"/>
      <c r="R131" s="233"/>
      <c r="S131" s="233"/>
      <c r="T131" s="241"/>
    </row>
    <row r="132" spans="1:20" x14ac:dyDescent="0.35">
      <c r="A132" s="49"/>
      <c r="B132" s="195"/>
      <c r="C132" s="50"/>
      <c r="D132" s="58" t="s">
        <v>581</v>
      </c>
      <c r="E132" s="49"/>
      <c r="F132" s="49"/>
      <c r="G132" s="49"/>
      <c r="H132" s="49"/>
      <c r="I132" s="57"/>
      <c r="J132" s="40"/>
      <c r="K132" s="54">
        <f>'US CBAs'!$F$75</f>
        <v>1875</v>
      </c>
      <c r="L132" s="56">
        <v>10</v>
      </c>
      <c r="M132" s="54">
        <f t="shared" si="8"/>
        <v>18750</v>
      </c>
      <c r="N132" s="55"/>
      <c r="O132" s="54">
        <f t="shared" si="9"/>
        <v>18750</v>
      </c>
      <c r="P132" s="61"/>
      <c r="Q132" s="233"/>
      <c r="R132" s="236"/>
      <c r="S132" s="233"/>
      <c r="T132" s="241"/>
    </row>
    <row r="133" spans="1:20" x14ac:dyDescent="0.35">
      <c r="A133" s="49"/>
      <c r="B133" s="195"/>
      <c r="C133" s="50"/>
      <c r="D133" s="58" t="s">
        <v>582</v>
      </c>
      <c r="E133" s="49"/>
      <c r="F133" s="49"/>
      <c r="G133" s="49"/>
      <c r="H133" s="49"/>
      <c r="I133" s="57"/>
      <c r="J133" s="40"/>
      <c r="K133" s="54">
        <f>'US CBAs'!$F$76</f>
        <v>2500</v>
      </c>
      <c r="L133" s="56">
        <v>10</v>
      </c>
      <c r="M133" s="54">
        <f t="shared" si="8"/>
        <v>25000</v>
      </c>
      <c r="N133" s="55"/>
      <c r="O133" s="54">
        <f t="shared" si="9"/>
        <v>25000</v>
      </c>
      <c r="P133" s="61"/>
      <c r="Q133" s="233"/>
      <c r="R133" s="271"/>
      <c r="S133" s="233"/>
      <c r="T133" s="241"/>
    </row>
    <row r="134" spans="1:20" x14ac:dyDescent="0.35">
      <c r="A134" s="49" t="s">
        <v>191</v>
      </c>
      <c r="B134" s="195">
        <v>29</v>
      </c>
      <c r="C134" s="50">
        <v>2017</v>
      </c>
      <c r="D134" s="49" t="s">
        <v>75</v>
      </c>
      <c r="E134" s="49" t="s">
        <v>220</v>
      </c>
      <c r="F134" s="49"/>
      <c r="G134" s="49" t="s">
        <v>83</v>
      </c>
      <c r="H134" s="49" t="s">
        <v>481</v>
      </c>
      <c r="I134" s="57">
        <v>20079</v>
      </c>
      <c r="K134" s="45">
        <f>IF(G134="L",'US CBAs'!$F$73,
IF(AND(E134="Friendly",F134="T1",G134="W"),'US CBAs'!$F$68,
IF(AND(E134="Friendly",F134="T2",G134="W"),'US CBAs'!$F$69,
IF(AND(E134="Friendly",F134="",G134="W"),'US CBAs'!$F$70,
IF(AND(E134="Friendly",F134="T1",G134="D"),'US CBAs'!$F$71,
IF(AND(E134="Friendly",F134="",G134="D"),'US CBAs'!$F$72,
IF(AND(E134="Gold Cup",F134="T1",G134="W"),'US CBAs'!$F$78,
IF(AND(E134="Gold Cup",F134="",G134="W"),'US CBAs'!$F$79,
IF(AND(E134="Gold Cup",G134="D"),'US CBAs'!$F$80,
IF(AND(E134="Copa America",F134="",G134="W"),'US CBAs'!$F$85,
IF(AND(E134="Copa America",G134="D"),'US CBAs'!$F$86,
IF(AND(E134="WCQ SF",G134="W"),'US CBAs'!$F$94,
IF(AND(E134="WCQ SF",G134="D"),'US CBAs'!$F$95,
IF(AND(E134="WCQ Hex",G134="W"),'US CBAs'!$F$98,
IF(AND(E134="WCQ Hex",G134="D"),'US CBAs'!$F$99,
IF(E134="World Cup",'US CBAs'!$F$104,
0))))))))))))))))</f>
        <v>6250</v>
      </c>
      <c r="L134" s="40">
        <v>20</v>
      </c>
      <c r="M134" s="60">
        <f t="shared" ref="M134:M147" si="10">K134*L134</f>
        <v>125000</v>
      </c>
      <c r="N134" s="45">
        <f>IF(J134="",I134*'US CBAs'!$G$118,0)</f>
        <v>30118.5</v>
      </c>
      <c r="O134" s="59">
        <f t="shared" ref="O134:O147" si="11">M134+N134</f>
        <v>155118.5</v>
      </c>
      <c r="P134" s="61"/>
    </row>
    <row r="135" spans="1:20" x14ac:dyDescent="0.35">
      <c r="A135" s="49" t="s">
        <v>192</v>
      </c>
      <c r="B135" s="195">
        <v>3</v>
      </c>
      <c r="C135" s="50">
        <v>2017</v>
      </c>
      <c r="D135" s="49" t="s">
        <v>40</v>
      </c>
      <c r="E135" s="49" t="s">
        <v>220</v>
      </c>
      <c r="F135" s="49"/>
      <c r="G135" s="49" t="s">
        <v>20</v>
      </c>
      <c r="H135" s="49" t="s">
        <v>486</v>
      </c>
      <c r="I135" s="57">
        <v>17903</v>
      </c>
      <c r="J135" s="40"/>
      <c r="K135" s="45">
        <f>IF(G135="L",'US CBAs'!$F$73,
IF(AND(E135="Friendly",F135="T1",G135="W"),'US CBAs'!$F$68,
IF(AND(E135="Friendly",F135="T2",G135="W"),'US CBAs'!$F$69,
IF(AND(E135="Friendly",F135="",G135="W"),'US CBAs'!$F$70,
IF(AND(E135="Friendly",F135="T1",G135="D"),'US CBAs'!$F$71,
IF(AND(E135="Friendly",F135="",G135="D"),'US CBAs'!$F$72,
IF(AND(E135="Gold Cup",F135="T1",G135="W"),'US CBAs'!$F$78,
IF(AND(E135="Gold Cup",F135="",G135="W"),'US CBAs'!$F$79,
IF(AND(E135="Gold Cup",G135="D"),'US CBAs'!$F$80,
IF(AND(E135="Copa America",F135="",G135="W"),'US CBAs'!$F$85,
IF(AND(E135="Copa America",G135="D"),'US CBAs'!$F$86,
IF(AND(E135="WCQ SF",G135="W"),'US CBAs'!$F$94,
IF(AND(E135="WCQ SF",G135="D"),'US CBAs'!$F$95,
IF(AND(E135="WCQ Hex",G135="W"),'US CBAs'!$F$98,
IF(AND(E135="WCQ Hex",G135="D"),'US CBAs'!$F$99,
IF(E135="World Cup",'US CBAs'!$F$104,
0))))))))))))))))</f>
        <v>9375</v>
      </c>
      <c r="L135" s="40">
        <v>20</v>
      </c>
      <c r="M135" s="60">
        <f t="shared" si="10"/>
        <v>187500</v>
      </c>
      <c r="N135" s="45">
        <f>IF(J135="",I135*'US CBAs'!$G$118,0)</f>
        <v>26854.5</v>
      </c>
      <c r="O135" s="59">
        <f t="shared" si="11"/>
        <v>214354.5</v>
      </c>
      <c r="P135" s="61"/>
    </row>
    <row r="136" spans="1:20" x14ac:dyDescent="0.35">
      <c r="A136" s="49" t="s">
        <v>221</v>
      </c>
      <c r="B136" s="195">
        <v>24</v>
      </c>
      <c r="C136" s="50">
        <v>2017</v>
      </c>
      <c r="D136" s="49" t="s">
        <v>32</v>
      </c>
      <c r="E136" s="49" t="s">
        <v>227</v>
      </c>
      <c r="F136" s="49"/>
      <c r="G136" s="49" t="s">
        <v>20</v>
      </c>
      <c r="H136" s="49" t="s">
        <v>481</v>
      </c>
      <c r="I136" s="57">
        <v>17729</v>
      </c>
      <c r="J136" s="40"/>
      <c r="K136" s="45">
        <f>IF(G136="L",'US CBAs'!$F$73,
IF(AND(E136="Friendly",F136="T1",G136="W"),'US CBAs'!$F$68,
IF(AND(E136="Friendly",F136="T2",G136="W"),'US CBAs'!$F$69,
IF(AND(E136="Friendly",F136="",G136="W"),'US CBAs'!$F$70,
IF(AND(E136="Friendly",F136="T1",G136="D"),'US CBAs'!$F$71,
IF(AND(E136="Friendly",F136="",G136="D"),'US CBAs'!$F$72,
IF(AND(E136="Gold Cup",F136="T1",G136="W"),'US CBAs'!$F$78,
IF(AND(E136="Gold Cup",F136="",G136="W"),'US CBAs'!$F$79,
IF(AND(E136="Gold Cup",G136="D"),'US CBAs'!$F$80,
IF(AND(E136="Copa America",F136="",G136="W"),'US CBAs'!$F$85,
IF(AND(E136="Copa America",G136="D"),'US CBAs'!$F$86,
IF(AND(E136="WCQ SF",G136="W"),'US CBAs'!$F$94,
IF(AND(E136="WCQ SF",G136="D"),'US CBAs'!$F$95,
IF(AND(E136="WCQ Hex",G136="W"),'US CBAs'!$F$98,
IF(AND(E136="WCQ Hex",G136="D"),'US CBAs'!$F$99,
IF(E136="World Cup",'US CBAs'!$F$104,
0))))))))))))))))</f>
        <v>18125</v>
      </c>
      <c r="L136" s="40">
        <v>23</v>
      </c>
      <c r="M136" s="60">
        <f t="shared" si="10"/>
        <v>416875</v>
      </c>
      <c r="N136" s="45">
        <f>IF(J136="",I136*'US CBAs'!$G$118,0)</f>
        <v>26593.5</v>
      </c>
      <c r="O136" s="59">
        <f t="shared" si="11"/>
        <v>443468.5</v>
      </c>
      <c r="P136" s="61"/>
      <c r="Q136" s="233"/>
      <c r="R136" s="271"/>
      <c r="S136" s="233"/>
      <c r="T136" s="241"/>
    </row>
    <row r="137" spans="1:20" x14ac:dyDescent="0.35">
      <c r="A137" s="49" t="s">
        <v>221</v>
      </c>
      <c r="B137" s="195">
        <v>28</v>
      </c>
      <c r="C137" s="50">
        <v>2017</v>
      </c>
      <c r="D137" s="49" t="s">
        <v>42</v>
      </c>
      <c r="E137" s="49" t="s">
        <v>227</v>
      </c>
      <c r="F137" s="49"/>
      <c r="G137" s="49" t="s">
        <v>83</v>
      </c>
      <c r="H137" s="49" t="s">
        <v>42</v>
      </c>
      <c r="I137" s="57">
        <v>23052</v>
      </c>
      <c r="J137" s="40" t="s">
        <v>218</v>
      </c>
      <c r="K137" s="45">
        <f>IF(G137="L",'US CBAs'!$F$73,
IF(AND(E137="Friendly",F137="T1",G137="W"),'US CBAs'!$F$68,
IF(AND(E137="Friendly",F137="T2",G137="W"),'US CBAs'!$F$69,
IF(AND(E137="Friendly",F137="",G137="W"),'US CBAs'!$F$70,
IF(AND(E137="Friendly",F137="T1",G137="D"),'US CBAs'!$F$71,
IF(AND(E137="Friendly",F137="",G137="D"),'US CBAs'!$F$72,
IF(AND(E137="Gold Cup",F137="T1",G137="W"),'US CBAs'!$F$78,
IF(AND(E137="Gold Cup",F137="",G137="W"),'US CBAs'!$F$79,
IF(AND(E137="Gold Cup",G137="D"),'US CBAs'!$F$80,
IF(AND(E137="Copa America",F137="",G137="W"),'US CBAs'!$F$85,
IF(AND(E137="Copa America",G137="D"),'US CBAs'!$F$86,
IF(AND(E137="WCQ SF",G137="W"),'US CBAs'!$F$94,
IF(AND(E137="WCQ SF",G137="D"),'US CBAs'!$F$95,
IF(AND(E137="WCQ Hex",G137="W"),'US CBAs'!$F$98,
IF(AND(E137="WCQ Hex",G137="D"),'US CBAs'!$F$99,
IF(E137="World Cup",'US CBAs'!$F$104,
0))))))))))))))))</f>
        <v>10000</v>
      </c>
      <c r="L137" s="40">
        <v>23</v>
      </c>
      <c r="M137" s="60">
        <f t="shared" si="10"/>
        <v>230000</v>
      </c>
      <c r="N137" s="45">
        <f>IF(J137="",I137*'US CBAs'!$G$118,0)</f>
        <v>0</v>
      </c>
      <c r="O137" s="59">
        <f t="shared" si="11"/>
        <v>230000</v>
      </c>
      <c r="P137" s="61"/>
      <c r="Q137" s="242"/>
      <c r="R137" s="242"/>
      <c r="S137" s="233"/>
    </row>
    <row r="138" spans="1:20" x14ac:dyDescent="0.35">
      <c r="A138" s="49" t="s">
        <v>223</v>
      </c>
      <c r="B138" s="195">
        <v>3</v>
      </c>
      <c r="C138" s="50">
        <v>2017</v>
      </c>
      <c r="D138" s="49" t="s">
        <v>76</v>
      </c>
      <c r="E138" s="49" t="s">
        <v>220</v>
      </c>
      <c r="F138" s="49"/>
      <c r="G138" s="49" t="s">
        <v>83</v>
      </c>
      <c r="H138" s="49" t="s">
        <v>498</v>
      </c>
      <c r="I138" s="57">
        <v>17315</v>
      </c>
      <c r="J138" s="40"/>
      <c r="K138" s="45">
        <f>IF(G138="L",'US CBAs'!$F$73,
IF(AND(E138="Friendly",F138="T1",G138="W"),'US CBAs'!$F$68,
IF(AND(E138="Friendly",F138="T2",G138="W"),'US CBAs'!$F$69,
IF(AND(E138="Friendly",F138="",G138="W"),'US CBAs'!$F$70,
IF(AND(E138="Friendly",F138="T1",G138="D"),'US CBAs'!$F$71,
IF(AND(E138="Friendly",F138="",G138="D"),'US CBAs'!$F$72,
IF(AND(E138="Gold Cup",F138="T1",G138="W"),'US CBAs'!$F$78,
IF(AND(E138="Gold Cup",F138="",G138="W"),'US CBAs'!$F$79,
IF(AND(E138="Gold Cup",G138="D"),'US CBAs'!$F$80,
IF(AND(E138="Copa America",F138="",G138="W"),'US CBAs'!$F$85,
IF(AND(E138="Copa America",G138="D"),'US CBAs'!$F$86,
IF(AND(E138="WCQ SF",G138="W"),'US CBAs'!$F$94,
IF(AND(E138="WCQ SF",G138="D"),'US CBAs'!$F$95,
IF(AND(E138="WCQ Hex",G138="W"),'US CBAs'!$F$98,
IF(AND(E138="WCQ Hex",G138="D"),'US CBAs'!$F$99,
IF(E138="World Cup",'US CBAs'!$F$104,
0))))))))))))))))</f>
        <v>6250</v>
      </c>
      <c r="L138" s="40">
        <v>20</v>
      </c>
      <c r="M138" s="60">
        <f t="shared" si="10"/>
        <v>125000</v>
      </c>
      <c r="N138" s="45">
        <f>IF(J138="",I138*'US CBAs'!$G$118,0)</f>
        <v>25972.5</v>
      </c>
      <c r="O138" s="59">
        <f t="shared" si="11"/>
        <v>150972.5</v>
      </c>
      <c r="P138" s="61"/>
      <c r="Q138" s="233"/>
      <c r="R138" s="234"/>
      <c r="S138" s="233"/>
      <c r="T138" s="241"/>
    </row>
    <row r="139" spans="1:20" x14ac:dyDescent="0.35">
      <c r="A139" s="49" t="s">
        <v>223</v>
      </c>
      <c r="B139" s="195">
        <v>8</v>
      </c>
      <c r="C139" s="50">
        <v>2017</v>
      </c>
      <c r="D139" s="49" t="s">
        <v>228</v>
      </c>
      <c r="E139" s="49" t="s">
        <v>227</v>
      </c>
      <c r="F139" s="49"/>
      <c r="G139" s="49" t="s">
        <v>20</v>
      </c>
      <c r="H139" s="40" t="s">
        <v>496</v>
      </c>
      <c r="I139" s="57">
        <v>19188</v>
      </c>
      <c r="J139" s="40"/>
      <c r="K139" s="45">
        <f>IF(G139="L",'US CBAs'!$F$73,
IF(AND(E139="Friendly",F139="T1",G139="W"),'US CBAs'!$F$68,
IF(AND(E139="Friendly",F139="T2",G139="W"),'US CBAs'!$F$69,
IF(AND(E139="Friendly",F139="",G139="W"),'US CBAs'!$F$70,
IF(AND(E139="Friendly",F139="T1",G139="D"),'US CBAs'!$F$71,
IF(AND(E139="Friendly",F139="",G139="D"),'US CBAs'!$F$72,
IF(AND(E139="Gold Cup",F139="T1",G139="W"),'US CBAs'!$F$78,
IF(AND(E139="Gold Cup",F139="",G139="W"),'US CBAs'!$F$79,
IF(AND(E139="Gold Cup",G139="D"),'US CBAs'!$F$80,
IF(AND(E139="Copa America",F139="",G139="W"),'US CBAs'!$F$85,
IF(AND(E139="Copa America",G139="D"),'US CBAs'!$F$86,
IF(AND(E139="WCQ SF",G139="W"),'US CBAs'!$F$94,
IF(AND(E139="WCQ SF",G139="D"),'US CBAs'!$F$95,
IF(AND(E139="WCQ Hex",G139="W"),'US CBAs'!$F$98,
IF(AND(E139="WCQ Hex",G139="D"),'US CBAs'!$F$99,
IF(E139="World Cup",'US CBAs'!$F$104,
0))))))))))))))))</f>
        <v>18125</v>
      </c>
      <c r="L139" s="40">
        <v>23</v>
      </c>
      <c r="M139" s="60">
        <f t="shared" si="10"/>
        <v>416875</v>
      </c>
      <c r="N139" s="45">
        <f>IF(J139="",I139*'US CBAs'!$G$118,0)</f>
        <v>28782</v>
      </c>
      <c r="O139" s="59">
        <f t="shared" si="11"/>
        <v>445657</v>
      </c>
      <c r="P139" s="61"/>
    </row>
    <row r="140" spans="1:20" x14ac:dyDescent="0.35">
      <c r="A140" s="49" t="s">
        <v>223</v>
      </c>
      <c r="B140" s="195">
        <v>11</v>
      </c>
      <c r="C140" s="50">
        <v>2017</v>
      </c>
      <c r="D140" s="49" t="s">
        <v>35</v>
      </c>
      <c r="E140" s="49" t="s">
        <v>227</v>
      </c>
      <c r="F140" s="49"/>
      <c r="G140" s="49" t="s">
        <v>83</v>
      </c>
      <c r="H140" s="49" t="s">
        <v>35</v>
      </c>
      <c r="I140" s="57">
        <v>71537</v>
      </c>
      <c r="J140" s="40" t="s">
        <v>218</v>
      </c>
      <c r="K140" s="45">
        <f>IF(G140="L",'US CBAs'!$F$73,
IF(AND(E140="Friendly",F140="T1",G140="W"),'US CBAs'!$F$68,
IF(AND(E140="Friendly",F140="T2",G140="W"),'US CBAs'!$F$69,
IF(AND(E140="Friendly",F140="",G140="W"),'US CBAs'!$F$70,
IF(AND(E140="Friendly",F140="T1",G140="D"),'US CBAs'!$F$71,
IF(AND(E140="Friendly",F140="",G140="D"),'US CBAs'!$F$72,
IF(AND(E140="Gold Cup",F140="T1",G140="W"),'US CBAs'!$F$78,
IF(AND(E140="Gold Cup",F140="",G140="W"),'US CBAs'!$F$79,
IF(AND(E140="Gold Cup",G140="D"),'US CBAs'!$F$80,
IF(AND(E140="Copa America",F140="",G140="W"),'US CBAs'!$F$85,
IF(AND(E140="Copa America",G140="D"),'US CBAs'!$F$86,
IF(AND(E140="WCQ SF",G140="W"),'US CBAs'!$F$94,
IF(AND(E140="WCQ SF",G140="D"),'US CBAs'!$F$95,
IF(AND(E140="WCQ Hex",G140="W"),'US CBAs'!$F$98,
IF(AND(E140="WCQ Hex",G140="D"),'US CBAs'!$F$99,
IF(E140="World Cup",'US CBAs'!$F$104,
0))))))))))))))))</f>
        <v>10000</v>
      </c>
      <c r="L140" s="40">
        <v>23</v>
      </c>
      <c r="M140" s="60">
        <f t="shared" si="10"/>
        <v>230000</v>
      </c>
      <c r="N140" s="45">
        <f>IF(J140="",I140*'US CBAs'!$G$118,0)</f>
        <v>0</v>
      </c>
      <c r="O140" s="59">
        <f t="shared" si="11"/>
        <v>230000</v>
      </c>
      <c r="P140" s="61"/>
    </row>
    <row r="141" spans="1:20" x14ac:dyDescent="0.35">
      <c r="A141" s="49" t="s">
        <v>230</v>
      </c>
      <c r="B141" s="195">
        <v>1</v>
      </c>
      <c r="C141" s="50">
        <v>2017</v>
      </c>
      <c r="D141" s="49" t="s">
        <v>77</v>
      </c>
      <c r="E141" s="49" t="s">
        <v>220</v>
      </c>
      <c r="F141" s="49"/>
      <c r="G141" s="49" t="s">
        <v>20</v>
      </c>
      <c r="H141" s="49" t="s">
        <v>483</v>
      </c>
      <c r="I141" s="57">
        <v>28754</v>
      </c>
      <c r="J141" s="40"/>
      <c r="K141" s="45">
        <f>IF(G141="L",'US CBAs'!$F$73,
IF(AND(E141="Friendly",F141="T1",G141="W"),'US CBAs'!$F$68,
IF(AND(E141="Friendly",F141="T2",G141="W"),'US CBAs'!$F$69,
IF(AND(E141="Friendly",F141="",G141="W"),'US CBAs'!$F$70,
IF(AND(E141="Friendly",F141="T1",G141="D"),'US CBAs'!$F$71,
IF(AND(E141="Friendly",F141="",G141="D"),'US CBAs'!$F$72,
IF(AND(E141="Gold Cup",F141="T1",G141="W"),'US CBAs'!$F$78,
IF(AND(E141="Gold Cup",F141="",G141="W"),'US CBAs'!$F$79,
IF(AND(E141="Gold Cup",G141="D"),'US CBAs'!$F$80,
IF(AND(E141="Copa America",F141="",G141="W"),'US CBAs'!$F$85,
IF(AND(E141="Copa America",G141="D"),'US CBAs'!$F$86,
IF(AND(E141="WCQ SF",G141="W"),'US CBAs'!$F$94,
IF(AND(E141="WCQ SF",G141="D"),'US CBAs'!$F$95,
IF(AND(E141="WCQ Hex",G141="W"),'US CBAs'!$F$98,
IF(AND(E141="WCQ Hex",G141="D"),'US CBAs'!$F$99,
IF(E141="World Cup",'US CBAs'!$F$104,
0))))))))))))))))</f>
        <v>9375</v>
      </c>
      <c r="L141" s="40">
        <v>20</v>
      </c>
      <c r="M141" s="60">
        <f t="shared" si="10"/>
        <v>187500</v>
      </c>
      <c r="N141" s="45">
        <f>IF(J141="",I141*'US CBAs'!$G$118,0)</f>
        <v>43131</v>
      </c>
      <c r="O141" s="59">
        <f t="shared" si="11"/>
        <v>230631</v>
      </c>
      <c r="P141" s="61"/>
    </row>
    <row r="142" spans="1:20" x14ac:dyDescent="0.35">
      <c r="A142" s="49" t="s">
        <v>230</v>
      </c>
      <c r="B142" s="195">
        <v>8</v>
      </c>
      <c r="C142" s="50">
        <v>2017</v>
      </c>
      <c r="D142" s="49" t="s">
        <v>42</v>
      </c>
      <c r="E142" s="49" t="s">
        <v>229</v>
      </c>
      <c r="F142" s="49"/>
      <c r="G142" s="49" t="s">
        <v>83</v>
      </c>
      <c r="H142" s="49" t="s">
        <v>486</v>
      </c>
      <c r="I142" s="57">
        <v>47622</v>
      </c>
      <c r="J142" s="40" t="s">
        <v>218</v>
      </c>
      <c r="K142" s="45">
        <f>IF(G142="L",'US CBAs'!$F$73,
IF(AND(E142="Friendly",F142="T1",G142="W"),'US CBAs'!$F$68,
IF(AND(E142="Friendly",F142="T2",G142="W"),'US CBAs'!$F$69,
IF(AND(E142="Friendly",F142="",G142="W"),'US CBAs'!$F$70,
IF(AND(E142="Friendly",F142="T1",G142="D"),'US CBAs'!$F$71,
IF(AND(E142="Friendly",F142="",G142="D"),'US CBAs'!$F$72,
IF(AND(E142="Gold Cup",F142="T1",G142="W"),'US CBAs'!$F$78,
IF(AND(E142="Gold Cup",F142="",G142="W"),'US CBAs'!$F$79,
IF(AND(E142="Gold Cup",G142="D"),'US CBAs'!$F$80,
IF(AND(E142="Copa America",F142="",G142="W"),'US CBAs'!$F$85,
IF(AND(E142="Copa America",G142="D"),'US CBAs'!$F$86,
IF(AND(E142="WCQ SF",G142="W"),'US CBAs'!$F$94,
IF(AND(E142="WCQ SF",G142="D"),'US CBAs'!$F$95,
IF(AND(E142="WCQ Hex",G142="W"),'US CBAs'!$F$98,
IF(AND(E142="WCQ Hex",G142="D"),'US CBAs'!$F$99,
IF(E142="World Cup",'US CBAs'!$F$104,
0))))))))))))))))</f>
        <v>6563</v>
      </c>
      <c r="L142" s="40">
        <v>23</v>
      </c>
      <c r="M142" s="60">
        <f t="shared" si="10"/>
        <v>150949</v>
      </c>
      <c r="N142" s="45">
        <f>IF(J142="",I142*'US CBAs'!$G$118,0)</f>
        <v>0</v>
      </c>
      <c r="O142" s="59">
        <f t="shared" si="11"/>
        <v>150949</v>
      </c>
      <c r="P142" s="61"/>
      <c r="Q142" s="239"/>
      <c r="R142" s="239"/>
      <c r="S142" s="247"/>
      <c r="T142" s="248"/>
    </row>
    <row r="143" spans="1:20" x14ac:dyDescent="0.35">
      <c r="A143" s="49" t="s">
        <v>230</v>
      </c>
      <c r="B143" s="195">
        <v>12</v>
      </c>
      <c r="C143" s="50">
        <v>2017</v>
      </c>
      <c r="D143" s="49" t="s">
        <v>79</v>
      </c>
      <c r="E143" s="49" t="s">
        <v>229</v>
      </c>
      <c r="F143" s="49"/>
      <c r="G143" s="49" t="s">
        <v>20</v>
      </c>
      <c r="H143" s="49" t="s">
        <v>482</v>
      </c>
      <c r="I143" s="57">
        <v>23368</v>
      </c>
      <c r="J143" s="40" t="s">
        <v>218</v>
      </c>
      <c r="K143" s="45">
        <f>IF(G143="L",'US CBAs'!$F$73,
IF(AND(E143="Friendly",F143="T1",G143="W"),'US CBAs'!$F$68,
IF(AND(E143="Friendly",F143="T2",G143="W"),'US CBAs'!$F$69,
IF(AND(E143="Friendly",F143="",G143="W"),'US CBAs'!$F$70,
IF(AND(E143="Friendly",F143="T1",G143="D"),'US CBAs'!$F$71,
IF(AND(E143="Friendly",F143="",G143="D"),'US CBAs'!$F$72,
IF(AND(E143="Gold Cup",F143="T1",G143="W"),'US CBAs'!$F$78,
IF(AND(E143="Gold Cup",F143="",G143="W"),'US CBAs'!$F$79,
IF(AND(E143="Gold Cup",G143="D"),'US CBAs'!$F$80,
IF(AND(E143="Copa America",F143="",G143="W"),'US CBAs'!$F$85,
IF(AND(E143="Copa America",G143="D"),'US CBAs'!$F$86,
IF(AND(E143="WCQ SF",G143="W"),'US CBAs'!$F$94,
IF(AND(E143="WCQ SF",G143="D"),'US CBAs'!$F$95,
IF(AND(E143="WCQ Hex",G143="W"),'US CBAs'!$F$98,
IF(AND(E143="WCQ Hex",G143="D"),'US CBAs'!$F$99,
IF(E143="World Cup",'US CBAs'!$F$104,
0))))))))))))))))</f>
        <v>9375</v>
      </c>
      <c r="L143" s="40">
        <v>23</v>
      </c>
      <c r="M143" s="60">
        <f t="shared" si="10"/>
        <v>215625</v>
      </c>
      <c r="N143" s="45">
        <f>IF(J143="",I143*'US CBAs'!$G$118,0)</f>
        <v>0</v>
      </c>
      <c r="O143" s="59">
        <f t="shared" si="11"/>
        <v>215625</v>
      </c>
      <c r="P143" s="61"/>
      <c r="Q143" s="242"/>
      <c r="R143" s="242"/>
      <c r="S143" s="247"/>
      <c r="T143" s="248"/>
    </row>
    <row r="144" spans="1:20" x14ac:dyDescent="0.35">
      <c r="A144" s="49" t="s">
        <v>230</v>
      </c>
      <c r="B144" s="195">
        <v>15</v>
      </c>
      <c r="C144" s="50">
        <v>2017</v>
      </c>
      <c r="D144" s="49" t="s">
        <v>80</v>
      </c>
      <c r="E144" s="49" t="s">
        <v>229</v>
      </c>
      <c r="F144" s="49"/>
      <c r="G144" s="49" t="s">
        <v>20</v>
      </c>
      <c r="H144" s="49" t="s">
        <v>495</v>
      </c>
      <c r="I144" s="57">
        <v>27934</v>
      </c>
      <c r="J144" s="40" t="s">
        <v>218</v>
      </c>
      <c r="K144" s="45">
        <f>IF(G144="L",'US CBAs'!$F$73,
IF(AND(E144="Friendly",F144="T1",G144="W"),'US CBAs'!$F$68,
IF(AND(E144="Friendly",F144="T2",G144="W"),'US CBAs'!$F$69,
IF(AND(E144="Friendly",F144="",G144="W"),'US CBAs'!$F$70,
IF(AND(E144="Friendly",F144="T1",G144="D"),'US CBAs'!$F$71,
IF(AND(E144="Friendly",F144="",G144="D"),'US CBAs'!$F$72,
IF(AND(E144="Gold Cup",F144="T1",G144="W"),'US CBAs'!$F$78,
IF(AND(E144="Gold Cup",F144="",G144="W"),'US CBAs'!$F$79,
IF(AND(E144="Gold Cup",G144="D"),'US CBAs'!$F$80,
IF(AND(E144="Copa America",F144="",G144="W"),'US CBAs'!$F$85,
IF(AND(E144="Copa America",G144="D"),'US CBAs'!$F$86,
IF(AND(E144="WCQ SF",G144="W"),'US CBAs'!$F$94,
IF(AND(E144="WCQ SF",G144="D"),'US CBAs'!$F$95,
IF(AND(E144="WCQ Hex",G144="W"),'US CBAs'!$F$98,
IF(AND(E144="WCQ Hex",G144="D"),'US CBAs'!$F$99,
IF(E144="World Cup",'US CBAs'!$F$104,
0))))))))))))))))</f>
        <v>9375</v>
      </c>
      <c r="L144" s="40">
        <v>23</v>
      </c>
      <c r="M144" s="60">
        <f t="shared" si="10"/>
        <v>215625</v>
      </c>
      <c r="N144" s="45">
        <f>IF(J144="",I144*'US CBAs'!$G$118,0)</f>
        <v>0</v>
      </c>
      <c r="O144" s="59">
        <f t="shared" si="11"/>
        <v>215625</v>
      </c>
      <c r="P144" s="61"/>
      <c r="Q144" s="233"/>
      <c r="R144" s="236"/>
      <c r="S144" s="233"/>
      <c r="T144" s="241"/>
    </row>
    <row r="145" spans="1:20" x14ac:dyDescent="0.35">
      <c r="A145" s="49" t="s">
        <v>230</v>
      </c>
      <c r="B145" s="195">
        <v>19</v>
      </c>
      <c r="C145" s="50">
        <v>2017</v>
      </c>
      <c r="D145" s="49" t="s">
        <v>46</v>
      </c>
      <c r="E145" s="49" t="s">
        <v>229</v>
      </c>
      <c r="F145" s="49"/>
      <c r="G145" s="49" t="s">
        <v>20</v>
      </c>
      <c r="H145" s="49" t="s">
        <v>484</v>
      </c>
      <c r="I145" s="57">
        <v>31615</v>
      </c>
      <c r="J145" s="40" t="s">
        <v>218</v>
      </c>
      <c r="K145" s="45">
        <f>IF(G145="L",'US CBAs'!$F$73,
IF(AND(E145="Friendly",F145="T1",G145="W"),'US CBAs'!$F$68,
IF(AND(E145="Friendly",F145="T2",G145="W"),'US CBAs'!$F$69,
IF(AND(E145="Friendly",F145="",G145="W"),'US CBAs'!$F$70,
IF(AND(E145="Friendly",F145="T1",G145="D"),'US CBAs'!$F$71,
IF(AND(E145="Friendly",F145="",G145="D"),'US CBAs'!$F$72,
IF(AND(E145="Gold Cup",F145="T1",G145="W"),'US CBAs'!$F$78,
IF(AND(E145="Gold Cup",F145="",G145="W"),'US CBAs'!$F$79,
IF(AND(E145="Gold Cup",G145="D"),'US CBAs'!$F$80,
IF(AND(E145="Copa America",F145="",G145="W"),'US CBAs'!$F$85,
IF(AND(E145="Copa America",G145="D"),'US CBAs'!$F$86,
IF(AND(E145="WCQ SF",G145="W"),'US CBAs'!$F$94,
IF(AND(E145="WCQ SF",G145="D"),'US CBAs'!$F$95,
IF(AND(E145="WCQ Hex",G145="W"),'US CBAs'!$F$98,
IF(AND(E145="WCQ Hex",G145="D"),'US CBAs'!$F$99,
IF(E145="World Cup",'US CBAs'!$F$104,
0))))))))))))))))</f>
        <v>9375</v>
      </c>
      <c r="L145" s="40">
        <v>23</v>
      </c>
      <c r="M145" s="60">
        <f t="shared" si="10"/>
        <v>215625</v>
      </c>
      <c r="N145" s="45">
        <f>IF(J145="",I145*'US CBAs'!$G$118,0)</f>
        <v>0</v>
      </c>
      <c r="O145" s="59">
        <f t="shared" si="11"/>
        <v>215625</v>
      </c>
      <c r="P145" s="61"/>
      <c r="Q145" s="397"/>
      <c r="R145" s="398"/>
      <c r="S145" s="233"/>
      <c r="T145" s="241"/>
    </row>
    <row r="146" spans="1:20" x14ac:dyDescent="0.35">
      <c r="A146" s="49" t="s">
        <v>230</v>
      </c>
      <c r="B146" s="195">
        <v>22</v>
      </c>
      <c r="C146" s="50">
        <v>2017</v>
      </c>
      <c r="D146" s="49" t="s">
        <v>36</v>
      </c>
      <c r="E146" s="49" t="s">
        <v>229</v>
      </c>
      <c r="F146" s="49"/>
      <c r="G146" s="49" t="s">
        <v>20</v>
      </c>
      <c r="H146" s="49" t="s">
        <v>492</v>
      </c>
      <c r="I146" s="57">
        <v>45516</v>
      </c>
      <c r="J146" s="40" t="s">
        <v>218</v>
      </c>
      <c r="K146" s="45">
        <f>IF(G146="L",'US CBAs'!$F$73,
IF(AND(E146="Friendly",F146="T1",G146="W"),'US CBAs'!$F$68,
IF(AND(E146="Friendly",F146="T2",G146="W"),'US CBAs'!$F$69,
IF(AND(E146="Friendly",F146="",G146="W"),'US CBAs'!$F$70,
IF(AND(E146="Friendly",F146="T1",G146="D"),'US CBAs'!$F$71,
IF(AND(E146="Friendly",F146="",G146="D"),'US CBAs'!$F$72,
IF(AND(E146="Gold Cup",F146="T1",G146="W"),'US CBAs'!$F$78,
IF(AND(E146="Gold Cup",F146="",G146="W"),'US CBAs'!$F$79,
IF(AND(E146="Gold Cup",G146="D"),'US CBAs'!$F$80,
IF(AND(E146="Copa America",F146="",G146="W"),'US CBAs'!$F$85,
IF(AND(E146="Copa America",G146="D"),'US CBAs'!$F$86,
IF(AND(E146="WCQ SF",G146="W"),'US CBAs'!$F$94,
IF(AND(E146="WCQ SF",G146="D"),'US CBAs'!$F$95,
IF(AND(E146="WCQ Hex",G146="W"),'US CBAs'!$F$98,
IF(AND(E146="WCQ Hex",G146="D"),'US CBAs'!$F$99,
IF(E146="World Cup",'US CBAs'!$F$104,
0))))))))))))))))</f>
        <v>9375</v>
      </c>
      <c r="L146" s="40">
        <v>23</v>
      </c>
      <c r="M146" s="60">
        <f t="shared" si="10"/>
        <v>215625</v>
      </c>
      <c r="N146" s="45">
        <f>IF(J146="",I146*'US CBAs'!$G$118,0)</f>
        <v>0</v>
      </c>
      <c r="O146" s="59">
        <f t="shared" si="11"/>
        <v>215625</v>
      </c>
      <c r="Q146" s="399"/>
      <c r="R146" s="400"/>
      <c r="S146" s="233"/>
      <c r="T146" s="241"/>
    </row>
    <row r="147" spans="1:20" x14ac:dyDescent="0.35">
      <c r="A147" s="49" t="s">
        <v>230</v>
      </c>
      <c r="B147" s="195">
        <v>26</v>
      </c>
      <c r="C147" s="50">
        <v>2017</v>
      </c>
      <c r="D147" s="49" t="s">
        <v>40</v>
      </c>
      <c r="E147" s="49" t="s">
        <v>229</v>
      </c>
      <c r="F147" s="49"/>
      <c r="G147" s="49" t="s">
        <v>20</v>
      </c>
      <c r="H147" s="49" t="s">
        <v>481</v>
      </c>
      <c r="I147" s="57">
        <v>63032</v>
      </c>
      <c r="J147" s="40" t="s">
        <v>218</v>
      </c>
      <c r="K147" s="45">
        <f>IF(G147="L",'US CBAs'!$F$73,
IF(AND(E147="Friendly",F147="T1",G147="W"),'US CBAs'!$F$68,
IF(AND(E147="Friendly",F147="T2",G147="W"),'US CBAs'!$F$69,
IF(AND(E147="Friendly",F147="",G147="W"),'US CBAs'!$F$70,
IF(AND(E147="Friendly",F147="T1",G147="D"),'US CBAs'!$F$71,
IF(AND(E147="Friendly",F147="",G147="D"),'US CBAs'!$F$72,
IF(AND(E147="Gold Cup",F147="T1",G147="W"),'US CBAs'!$F$78,
IF(AND(E147="Gold Cup",F147="",G147="W"),'US CBAs'!$F$79,
IF(AND(E147="Gold Cup",G147="D"),'US CBAs'!$F$80,
IF(AND(E147="Copa America",F147="",G147="W"),'US CBAs'!$F$85,
IF(AND(E147="Copa America",G147="D"),'US CBAs'!$F$86,
IF(AND(E147="WCQ SF",G147="W"),'US CBAs'!$F$94,
IF(AND(E147="WCQ SF",G147="D"),'US CBAs'!$F$95,
IF(AND(E147="WCQ Hex",G147="W"),'US CBAs'!$F$98,
IF(AND(E147="WCQ Hex",G147="D"),'US CBAs'!$F$99,
IF(E147="World Cup",'US CBAs'!$F$104,
0))))))))))))))))</f>
        <v>9375</v>
      </c>
      <c r="L147" s="40">
        <v>23</v>
      </c>
      <c r="M147" s="60">
        <f t="shared" si="10"/>
        <v>215625</v>
      </c>
      <c r="N147" s="45">
        <f>IF(J147="",I147*'US CBAs'!$G$118,0)</f>
        <v>0</v>
      </c>
      <c r="O147" s="59">
        <f t="shared" si="11"/>
        <v>215625</v>
      </c>
      <c r="Q147" s="401"/>
      <c r="R147" s="400"/>
      <c r="S147" s="233"/>
      <c r="T147" s="241"/>
    </row>
    <row r="148" spans="1:20" x14ac:dyDescent="0.35">
      <c r="A148" s="49" t="s">
        <v>222</v>
      </c>
      <c r="B148" s="195">
        <v>1</v>
      </c>
      <c r="C148" s="50">
        <v>2017</v>
      </c>
      <c r="D148" s="49" t="s">
        <v>36</v>
      </c>
      <c r="E148" s="49" t="s">
        <v>227</v>
      </c>
      <c r="F148" s="49"/>
      <c r="G148" s="49" t="s">
        <v>33</v>
      </c>
      <c r="H148" s="49" t="s">
        <v>485</v>
      </c>
      <c r="I148" s="57">
        <v>26500</v>
      </c>
      <c r="J148" s="40"/>
      <c r="K148" s="45">
        <f>IF(G148="L",'US CBAs'!$F$73,
IF(AND(E148="Friendly",F148="T1",G148="W"),'US CBAs'!$F$68,
IF(AND(E148="Friendly",F148="T2",G148="W"),'US CBAs'!$F$69,
IF(AND(E148="Friendly",F148="",G148="W"),'US CBAs'!$F$70,
IF(AND(E148="Friendly",F148="T1",G148="D"),'US CBAs'!$F$71,
IF(AND(E148="Friendly",F148="",G148="D"),'US CBAs'!$F$72,
IF(AND(E148="Gold Cup",F148="T1",G148="W"),'US CBAs'!$F$78,
IF(AND(E148="Gold Cup",F148="",G148="W"),'US CBAs'!$F$79,
IF(AND(E148="Gold Cup",G148="D"),'US CBAs'!$F$80,
IF(AND(E148="Copa America",F148="",G148="W"),'US CBAs'!$F$85,
IF(AND(E148="Copa America",G148="D"),'US CBAs'!$F$86,
IF(AND(E148="WCQ SF",G148="W"),'US CBAs'!$F$94,
IF(AND(E148="WCQ SF",G148="D"),'US CBAs'!$F$95,
IF(AND(E148="WCQ Hex",G148="W"),'US CBAs'!$F$98,
IF(AND(E148="WCQ Hex",G148="D"),'US CBAs'!$F$99,
IF(E148="World Cup",'US CBAs'!$F$104,
0))))))))))))))))</f>
        <v>5000</v>
      </c>
      <c r="L148" s="40">
        <v>23</v>
      </c>
      <c r="M148" s="60">
        <f t="shared" ref="M148:M154" si="12">K148*L148</f>
        <v>115000</v>
      </c>
      <c r="N148" s="45">
        <f>IF(J148="",I148*'US CBAs'!$G$118,0)</f>
        <v>39750</v>
      </c>
      <c r="O148" s="59">
        <f t="shared" ref="O148:O154" si="13">M148+N148</f>
        <v>154750</v>
      </c>
      <c r="Q148" s="275"/>
      <c r="R148" s="261"/>
      <c r="S148" s="233"/>
      <c r="T148" s="241"/>
    </row>
    <row r="149" spans="1:20" x14ac:dyDescent="0.35">
      <c r="A149" s="49" t="s">
        <v>222</v>
      </c>
      <c r="B149" s="195">
        <v>5</v>
      </c>
      <c r="C149" s="50">
        <v>2017</v>
      </c>
      <c r="D149" s="49" t="s">
        <v>32</v>
      </c>
      <c r="E149" s="49" t="s">
        <v>227</v>
      </c>
      <c r="F149" s="49"/>
      <c r="G149" s="49" t="s">
        <v>83</v>
      </c>
      <c r="H149" s="49" t="s">
        <v>32</v>
      </c>
      <c r="I149" s="57">
        <v>37325</v>
      </c>
      <c r="J149" s="40" t="s">
        <v>218</v>
      </c>
      <c r="K149" s="45">
        <f>IF(G149="L",'US CBAs'!$F$73,
IF(AND(E149="Friendly",F149="T1",G149="W"),'US CBAs'!$F$68,
IF(AND(E149="Friendly",F149="T2",G149="W"),'US CBAs'!$F$69,
IF(AND(E149="Friendly",F149="",G149="W"),'US CBAs'!$F$70,
IF(AND(E149="Friendly",F149="T1",G149="D"),'US CBAs'!$F$71,
IF(AND(E149="Friendly",F149="",G149="D"),'US CBAs'!$F$72,
IF(AND(E149="Gold Cup",F149="T1",G149="W"),'US CBAs'!$F$78,
IF(AND(E149="Gold Cup",F149="",G149="W"),'US CBAs'!$F$79,
IF(AND(E149="Gold Cup",G149="D"),'US CBAs'!$F$80,
IF(AND(E149="Copa America",F149="",G149="W"),'US CBAs'!$F$85,
IF(AND(E149="Copa America",G149="D"),'US CBAs'!$F$86,
IF(AND(E149="WCQ SF",G149="W"),'US CBAs'!$F$94,
IF(AND(E149="WCQ SF",G149="D"),'US CBAs'!$F$95,
IF(AND(E149="WCQ Hex",G149="W"),'US CBAs'!$F$98,
IF(AND(E149="WCQ Hex",G149="D"),'US CBAs'!$F$99,
IF(E149="World Cup",'US CBAs'!$F$104,
0))))))))))))))))</f>
        <v>10000</v>
      </c>
      <c r="L149" s="40">
        <v>23</v>
      </c>
      <c r="M149" s="60">
        <f t="shared" si="12"/>
        <v>230000</v>
      </c>
      <c r="N149" s="45">
        <f>IF(J149="",I149*'US CBAs'!$G$118,0)</f>
        <v>0</v>
      </c>
      <c r="O149" s="59">
        <f t="shared" si="13"/>
        <v>230000</v>
      </c>
      <c r="Q149" s="275"/>
      <c r="R149" s="261"/>
      <c r="S149" s="233"/>
      <c r="T149" s="241"/>
    </row>
    <row r="150" spans="1:20" x14ac:dyDescent="0.35">
      <c r="A150" s="49" t="s">
        <v>189</v>
      </c>
      <c r="B150" s="195">
        <v>6</v>
      </c>
      <c r="C150" s="50">
        <v>2017</v>
      </c>
      <c r="D150" s="49" t="s">
        <v>42</v>
      </c>
      <c r="E150" s="49" t="s">
        <v>227</v>
      </c>
      <c r="F150" s="49"/>
      <c r="G150" s="49" t="s">
        <v>20</v>
      </c>
      <c r="H150" s="49" t="s">
        <v>482</v>
      </c>
      <c r="I150" s="57">
        <v>25303</v>
      </c>
      <c r="J150" s="40"/>
      <c r="K150" s="45">
        <f>IF(G150="L",'US CBAs'!$F$73,
IF(AND(E150="Friendly",F150="T1",G150="W"),'US CBAs'!$F$68,
IF(AND(E150="Friendly",F150="T2",G150="W"),'US CBAs'!$F$69,
IF(AND(E150="Friendly",F150="",G150="W"),'US CBAs'!$F$70,
IF(AND(E150="Friendly",F150="T1",G150="D"),'US CBAs'!$F$71,
IF(AND(E150="Friendly",F150="",G150="D"),'US CBAs'!$F$72,
IF(AND(E150="Gold Cup",F150="T1",G150="W"),'US CBAs'!$F$78,
IF(AND(E150="Gold Cup",F150="",G150="W"),'US CBAs'!$F$79,
IF(AND(E150="Gold Cup",G150="D"),'US CBAs'!$F$80,
IF(AND(E150="Copa America",F150="",G150="W"),'US CBAs'!$F$85,
IF(AND(E150="Copa America",G150="D"),'US CBAs'!$F$86,
IF(AND(E150="WCQ SF",G150="W"),'US CBAs'!$F$94,
IF(AND(E150="WCQ SF",G150="D"),'US CBAs'!$F$95,
IF(AND(E150="WCQ Hex",G150="W"),'US CBAs'!$F$98,
IF(AND(E150="WCQ Hex",G150="D"),'US CBAs'!$F$99,
IF(E150="World Cup",'US CBAs'!$F$104,
0))))))))))))))))</f>
        <v>18125</v>
      </c>
      <c r="L150" s="40">
        <v>23</v>
      </c>
      <c r="M150" s="60">
        <f t="shared" si="12"/>
        <v>416875</v>
      </c>
      <c r="N150" s="45">
        <f>IF(J150="",I150*'US CBAs'!$G$118,0)</f>
        <v>37954.5</v>
      </c>
      <c r="O150" s="59">
        <f t="shared" si="13"/>
        <v>454829.5</v>
      </c>
      <c r="Q150" s="277"/>
      <c r="R150" s="258"/>
      <c r="S150" s="233"/>
      <c r="T150" s="241"/>
    </row>
    <row r="151" spans="1:20" x14ac:dyDescent="0.35">
      <c r="A151" s="49" t="s">
        <v>189</v>
      </c>
      <c r="B151" s="195">
        <v>10</v>
      </c>
      <c r="C151" s="50">
        <v>2017</v>
      </c>
      <c r="D151" s="49" t="s">
        <v>228</v>
      </c>
      <c r="E151" s="49" t="s">
        <v>227</v>
      </c>
      <c r="F151" s="49"/>
      <c r="G151" s="49" t="s">
        <v>33</v>
      </c>
      <c r="H151" s="49" t="s">
        <v>226</v>
      </c>
      <c r="I151" s="57">
        <v>1500</v>
      </c>
      <c r="J151" s="40" t="s">
        <v>218</v>
      </c>
      <c r="K151" s="45">
        <f>IF(G151="L",'US CBAs'!$F$73,
IF(AND(E151="Friendly",F151="T1",G151="W"),'US CBAs'!$F$68,
IF(AND(E151="Friendly",F151="T2",G151="W"),'US CBAs'!$F$69,
IF(AND(E151="Friendly",F151="",G151="W"),'US CBAs'!$F$70,
IF(AND(E151="Friendly",F151="T1",G151="D"),'US CBAs'!$F$71,
IF(AND(E151="Friendly",F151="",G151="D"),'US CBAs'!$F$72,
IF(AND(E151="Gold Cup",F151="T1",G151="W"),'US CBAs'!$F$78,
IF(AND(E151="Gold Cup",F151="",G151="W"),'US CBAs'!$F$79,
IF(AND(E151="Gold Cup",G151="D"),'US CBAs'!$F$80,
IF(AND(E151="Copa America",F151="",G151="W"),'US CBAs'!$F$85,
IF(AND(E151="Copa America",G151="D"),'US CBAs'!$F$86,
IF(AND(E151="WCQ SF",G151="W"),'US CBAs'!$F$94,
IF(AND(E151="WCQ SF",G151="D"),'US CBAs'!$F$95,
IF(AND(E151="WCQ Hex",G151="W"),'US CBAs'!$F$98,
IF(AND(E151="WCQ Hex",G151="D"),'US CBAs'!$F$99,
IF(E151="World Cup",'US CBAs'!$F$104,
0))))))))))))))))</f>
        <v>5000</v>
      </c>
      <c r="L151" s="40">
        <v>23</v>
      </c>
      <c r="M151" s="60">
        <f t="shared" si="12"/>
        <v>115000</v>
      </c>
      <c r="N151" s="45">
        <f>IF(J151="",I151*'US CBAs'!$G$118,0)</f>
        <v>0</v>
      </c>
      <c r="O151" s="59">
        <f t="shared" si="13"/>
        <v>115000</v>
      </c>
      <c r="Q151" s="233"/>
      <c r="R151" s="237"/>
      <c r="S151" s="233"/>
      <c r="T151" s="241"/>
    </row>
    <row r="152" spans="1:20" x14ac:dyDescent="0.35">
      <c r="A152" s="49" t="s">
        <v>190</v>
      </c>
      <c r="B152" s="195">
        <v>14</v>
      </c>
      <c r="C152" s="50">
        <v>2017</v>
      </c>
      <c r="D152" s="49" t="s">
        <v>82</v>
      </c>
      <c r="E152" s="49" t="s">
        <v>220</v>
      </c>
      <c r="F152" s="49" t="s">
        <v>28</v>
      </c>
      <c r="G152" s="49" t="s">
        <v>83</v>
      </c>
      <c r="H152" s="49" t="s">
        <v>82</v>
      </c>
      <c r="I152" s="57">
        <v>19017</v>
      </c>
      <c r="J152" s="40" t="s">
        <v>218</v>
      </c>
      <c r="K152" s="45">
        <f>IF(G152="L",'US CBAs'!$F$73,
IF(AND(E152="Friendly",F152="T1",G152="W"),'US CBAs'!$F$68,
IF(AND(E152="Friendly",F152="T2",G152="W"),'US CBAs'!$F$69,
IF(AND(E152="Friendly",F152="",G152="W"),'US CBAs'!$F$70,
IF(AND(E152="Friendly",F152="T1",G152="D"),'US CBAs'!$F$71,
IF(AND(E152="Friendly",F152="",G152="D"),'US CBAs'!$F$72,
IF(AND(E152="Gold Cup",F152="T1",G152="W"),'US CBAs'!$F$78,
IF(AND(E152="Gold Cup",F152="",G152="W"),'US CBAs'!$F$79,
IF(AND(E152="Gold Cup",G152="D"),'US CBAs'!$F$80,
IF(AND(E152="Copa America",F152="",G152="W"),'US CBAs'!$F$85,
IF(AND(E152="Copa America",G152="D"),'US CBAs'!$F$86,
IF(AND(E152="WCQ SF",G152="W"),'US CBAs'!$F$94,
IF(AND(E152="WCQ SF",G152="D"),'US CBAs'!$F$95,
IF(AND(E152="WCQ Hex",G152="W"),'US CBAs'!$F$98,
IF(AND(E152="WCQ Hex",G152="D"),'US CBAs'!$F$99,
IF(E152="World Cup",'US CBAs'!$F$104,
0))))))))))))))))</f>
        <v>8125</v>
      </c>
      <c r="L152" s="40">
        <v>20</v>
      </c>
      <c r="M152" s="60">
        <f t="shared" si="12"/>
        <v>162500</v>
      </c>
      <c r="N152" s="45">
        <f>IF(J152="",I152*'US CBAs'!$G$118,0)</f>
        <v>0</v>
      </c>
      <c r="O152" s="59">
        <f t="shared" si="13"/>
        <v>162500</v>
      </c>
      <c r="Q152" s="232"/>
      <c r="R152" s="272"/>
      <c r="S152" s="273"/>
      <c r="T152" s="241"/>
    </row>
    <row r="153" spans="1:20" x14ac:dyDescent="0.35">
      <c r="A153" s="49"/>
      <c r="B153" s="195"/>
      <c r="C153" s="50"/>
      <c r="D153" s="58" t="s">
        <v>583</v>
      </c>
      <c r="E153" s="49"/>
      <c r="F153" s="49"/>
      <c r="G153" s="49"/>
      <c r="H153" s="49"/>
      <c r="I153" s="57"/>
      <c r="J153" s="40"/>
      <c r="K153" s="54">
        <f>'US CBAs'!$F$75</f>
        <v>1875</v>
      </c>
      <c r="L153" s="56">
        <v>10</v>
      </c>
      <c r="M153" s="54">
        <f t="shared" si="12"/>
        <v>18750</v>
      </c>
      <c r="N153" s="55"/>
      <c r="O153" s="54">
        <f t="shared" si="13"/>
        <v>18750</v>
      </c>
      <c r="P153" s="61"/>
      <c r="Q153" s="242"/>
      <c r="R153" s="242"/>
      <c r="S153" s="233"/>
    </row>
    <row r="154" spans="1:20" x14ac:dyDescent="0.35">
      <c r="A154" s="49"/>
      <c r="B154" s="195"/>
      <c r="C154" s="50"/>
      <c r="D154" s="58" t="s">
        <v>584</v>
      </c>
      <c r="E154" s="49"/>
      <c r="F154" s="49"/>
      <c r="G154" s="49"/>
      <c r="H154" s="49"/>
      <c r="I154" s="57"/>
      <c r="J154" s="40"/>
      <c r="K154" s="54">
        <f>'US CBAs'!$F$76</f>
        <v>2500</v>
      </c>
      <c r="L154" s="56">
        <v>10</v>
      </c>
      <c r="M154" s="54">
        <f t="shared" si="12"/>
        <v>25000</v>
      </c>
      <c r="N154" s="55"/>
      <c r="O154" s="54">
        <f t="shared" si="13"/>
        <v>25000</v>
      </c>
      <c r="Q154" s="232"/>
      <c r="R154" s="236"/>
      <c r="S154" s="46"/>
    </row>
    <row r="155" spans="1:20" x14ac:dyDescent="0.35">
      <c r="A155" s="49" t="s">
        <v>191</v>
      </c>
      <c r="B155" s="195">
        <v>28</v>
      </c>
      <c r="C155" s="50">
        <v>2018</v>
      </c>
      <c r="D155" s="49" t="s">
        <v>225</v>
      </c>
      <c r="E155" s="49" t="s">
        <v>220</v>
      </c>
      <c r="F155" s="49"/>
      <c r="G155" s="49" t="s">
        <v>83</v>
      </c>
      <c r="H155" s="49" t="s">
        <v>481</v>
      </c>
      <c r="I155" s="57">
        <v>11161</v>
      </c>
      <c r="J155" s="40"/>
      <c r="K155" s="45">
        <f>IF(G155="L",'US CBAs'!$F$73,
IF(AND(E155="Friendly",F155="T1",G155="W"),'US CBAs'!$F$68,
IF(AND(E155="Friendly",F155="T2",G155="W"),'US CBAs'!$F$69,
IF(AND(E155="Friendly",F155="",G155="W"),'US CBAs'!$F$70,
IF(AND(E155="Friendly",F155="T1",G155="D"),'US CBAs'!$F$71,
IF(AND(E155="Friendly",F155="",G155="D"),'US CBAs'!$F$72,
IF(AND(E155="Gold Cup",F155="T1",G155="W"),'US CBAs'!$F$78,
IF(AND(E155="Gold Cup",F155="",G155="W"),'US CBAs'!$F$79,
IF(AND(E155="Gold Cup",G155="D"),'US CBAs'!$F$80,
IF(AND(E155="Copa America",F155="",G155="W"),'US CBAs'!$F$85,
IF(AND(E155="Copa America",G155="D"),'US CBAs'!$F$86,
IF(AND(E155="WCQ SF",G155="W"),'US CBAs'!$F$94,
IF(AND(E155="WCQ SF",G155="D"),'US CBAs'!$F$95,
IF(AND(E155="WCQ Hex",G155="W"),'US CBAs'!$F$98,
IF(AND(E155="WCQ Hex",G155="D"),'US CBAs'!$F$99,
IF(E155="World Cup",'US CBAs'!$F$104,
0))))))))))))))))</f>
        <v>6250</v>
      </c>
      <c r="L155" s="40">
        <v>20</v>
      </c>
      <c r="M155" s="60">
        <f t="shared" ref="M155:M166" si="14">K155*L155</f>
        <v>125000</v>
      </c>
      <c r="N155" s="45">
        <f>IF(J155="",I155*'US CBAs'!$G$118,0)</f>
        <v>16741.5</v>
      </c>
      <c r="O155" s="59">
        <f t="shared" ref="O155:O166" si="15">M155+N155</f>
        <v>141741.5</v>
      </c>
      <c r="Q155" s="233"/>
      <c r="R155" s="233"/>
      <c r="S155" s="273"/>
      <c r="T155" s="241"/>
    </row>
    <row r="156" spans="1:20" x14ac:dyDescent="0.35">
      <c r="A156" s="49" t="s">
        <v>221</v>
      </c>
      <c r="B156" s="195">
        <v>27</v>
      </c>
      <c r="C156" s="50">
        <v>2018</v>
      </c>
      <c r="D156" s="49" t="s">
        <v>73</v>
      </c>
      <c r="E156" s="49" t="s">
        <v>220</v>
      </c>
      <c r="F156" s="49"/>
      <c r="G156" s="49" t="s">
        <v>20</v>
      </c>
      <c r="H156" s="49" t="s">
        <v>502</v>
      </c>
      <c r="I156" s="57">
        <v>9895</v>
      </c>
      <c r="J156" s="40"/>
      <c r="K156" s="45">
        <f>IF(G156="L",'US CBAs'!$F$73,
IF(AND(E156="Friendly",F156="T1",G156="W"),'US CBAs'!$F$68,
IF(AND(E156="Friendly",F156="T2",G156="W"),'US CBAs'!$F$69,
IF(AND(E156="Friendly",F156="",G156="W"),'US CBAs'!$F$70,
IF(AND(E156="Friendly",F156="T1",G156="D"),'US CBAs'!$F$71,
IF(AND(E156="Friendly",F156="",G156="D"),'US CBAs'!$F$72,
IF(AND(E156="Gold Cup",F156="T1",G156="W"),'US CBAs'!$F$78,
IF(AND(E156="Gold Cup",F156="",G156="W"),'US CBAs'!$F$79,
IF(AND(E156="Gold Cup",G156="D"),'US CBAs'!$F$80,
IF(AND(E156="Copa America",F156="",G156="W"),'US CBAs'!$F$85,
IF(AND(E156="Copa America",G156="D"),'US CBAs'!$F$86,
IF(AND(E156="WCQ SF",G156="W"),'US CBAs'!$F$94,
IF(AND(E156="WCQ SF",G156="D"),'US CBAs'!$F$95,
IF(AND(E156="WCQ Hex",G156="W"),'US CBAs'!$F$98,
IF(AND(E156="WCQ Hex",G156="D"),'US CBAs'!$F$99,
IF(E156="World Cup",'US CBAs'!$F$104,
0))))))))))))))))</f>
        <v>9375</v>
      </c>
      <c r="L156" s="40">
        <v>20</v>
      </c>
      <c r="M156" s="60">
        <f t="shared" si="14"/>
        <v>187500</v>
      </c>
      <c r="N156" s="45">
        <f>IF(J156="",I156*'US CBAs'!$G$118,0)</f>
        <v>14842.5</v>
      </c>
      <c r="O156" s="59">
        <f t="shared" si="15"/>
        <v>202342.5</v>
      </c>
      <c r="Q156" s="233"/>
      <c r="R156" s="233"/>
      <c r="S156" s="46"/>
    </row>
    <row r="157" spans="1:20" x14ac:dyDescent="0.35">
      <c r="A157" s="49" t="s">
        <v>186</v>
      </c>
      <c r="B157" s="195">
        <v>28</v>
      </c>
      <c r="C157" s="50">
        <v>2018</v>
      </c>
      <c r="D157" s="49" t="s">
        <v>72</v>
      </c>
      <c r="E157" s="49" t="s">
        <v>220</v>
      </c>
      <c r="F157" s="49"/>
      <c r="G157" s="49" t="s">
        <v>20</v>
      </c>
      <c r="H157" s="49" t="s">
        <v>484</v>
      </c>
      <c r="I157" s="57">
        <v>11882</v>
      </c>
      <c r="J157" s="40"/>
      <c r="K157" s="45">
        <f>IF(G157="L",'US CBAs'!$F$73,
IF(AND(E157="Friendly",F157="T1",G157="W"),'US CBAs'!$F$68,
IF(AND(E157="Friendly",F157="T2",G157="W"),'US CBAs'!$F$69,
IF(AND(E157="Friendly",F157="",G157="W"),'US CBAs'!$F$70,
IF(AND(E157="Friendly",F157="T1",G157="D"),'US CBAs'!$F$71,
IF(AND(E157="Friendly",F157="",G157="D"),'US CBAs'!$F$72,
IF(AND(E157="Gold Cup",F157="T1",G157="W"),'US CBAs'!$F$78,
IF(AND(E157="Gold Cup",F157="",G157="W"),'US CBAs'!$F$79,
IF(AND(E157="Gold Cup",G157="D"),'US CBAs'!$F$80,
IF(AND(E157="Copa America",F157="",G157="W"),'US CBAs'!$F$85,
IF(AND(E157="Copa America",G157="D"),'US CBAs'!$F$86,
IF(AND(E157="WCQ SF",G157="W"),'US CBAs'!$F$94,
IF(AND(E157="WCQ SF",G157="D"),'US CBAs'!$F$95,
IF(AND(E157="WCQ Hex",G157="W"),'US CBAs'!$F$98,
IF(AND(E157="WCQ Hex",G157="D"),'US CBAs'!$F$99,
IF(E157="World Cup",'US CBAs'!$F$104,
0))))))))))))))))</f>
        <v>9375</v>
      </c>
      <c r="L157" s="40">
        <v>20</v>
      </c>
      <c r="M157" s="60">
        <f t="shared" si="14"/>
        <v>187500</v>
      </c>
      <c r="N157" s="45">
        <f>IF(J157="",I157*'US CBAs'!$G$118,0)</f>
        <v>17823</v>
      </c>
      <c r="O157" s="59">
        <f t="shared" si="15"/>
        <v>205323</v>
      </c>
      <c r="Q157" s="233"/>
      <c r="R157" s="233"/>
      <c r="S157" s="46"/>
    </row>
    <row r="158" spans="1:20" x14ac:dyDescent="0.35">
      <c r="A158" s="49" t="s">
        <v>223</v>
      </c>
      <c r="B158" s="195">
        <v>2</v>
      </c>
      <c r="C158" s="50">
        <v>2018</v>
      </c>
      <c r="D158" s="49" t="s">
        <v>65</v>
      </c>
      <c r="E158" s="49" t="s">
        <v>220</v>
      </c>
      <c r="F158" s="49"/>
      <c r="G158" s="49" t="s">
        <v>33</v>
      </c>
      <c r="H158" s="49" t="s">
        <v>65</v>
      </c>
      <c r="I158" s="57">
        <v>32300</v>
      </c>
      <c r="J158" s="40" t="s">
        <v>218</v>
      </c>
      <c r="K158" s="45">
        <f>IF(G158="L",'US CBAs'!$F$73,
IF(AND(E158="Friendly",F158="T1",G158="W"),'US CBAs'!$F$68,
IF(AND(E158="Friendly",F158="T2",G158="W"),'US CBAs'!$F$69,
IF(AND(E158="Friendly",F158="",G158="W"),'US CBAs'!$F$70,
IF(AND(E158="Friendly",F158="T1",G158="D"),'US CBAs'!$F$71,
IF(AND(E158="Friendly",F158="",G158="D"),'US CBAs'!$F$72,
IF(AND(E158="Gold Cup",F158="T1",G158="W"),'US CBAs'!$F$78,
IF(AND(E158="Gold Cup",F158="",G158="W"),'US CBAs'!$F$79,
IF(AND(E158="Gold Cup",G158="D"),'US CBAs'!$F$80,
IF(AND(E158="Copa America",F158="",G158="W"),'US CBAs'!$F$85,
IF(AND(E158="Copa America",G158="D"),'US CBAs'!$F$86,
IF(AND(E158="WCQ SF",G158="W"),'US CBAs'!$F$94,
IF(AND(E158="WCQ SF",G158="D"),'US CBAs'!$F$95,
IF(AND(E158="WCQ Hex",G158="W"),'US CBAs'!$F$98,
IF(AND(E158="WCQ Hex",G158="D"),'US CBAs'!$F$99,
IF(E158="World Cup",'US CBAs'!$F$104,
0))))))))))))))))</f>
        <v>5000</v>
      </c>
      <c r="L158" s="40">
        <v>20</v>
      </c>
      <c r="M158" s="60">
        <f t="shared" si="14"/>
        <v>100000</v>
      </c>
      <c r="N158" s="45">
        <f>IF(J158="",I158*'US CBAs'!$G$118,0)</f>
        <v>0</v>
      </c>
      <c r="O158" s="59">
        <f t="shared" si="15"/>
        <v>100000</v>
      </c>
      <c r="Q158" s="233"/>
      <c r="R158" s="233"/>
      <c r="S158" s="46"/>
    </row>
    <row r="159" spans="1:20" x14ac:dyDescent="0.35">
      <c r="A159" s="49" t="s">
        <v>223</v>
      </c>
      <c r="B159" s="195">
        <v>9</v>
      </c>
      <c r="C159" s="50">
        <v>2018</v>
      </c>
      <c r="D159" s="49" t="s">
        <v>53</v>
      </c>
      <c r="E159" s="49" t="s">
        <v>220</v>
      </c>
      <c r="F159" s="49" t="s">
        <v>28</v>
      </c>
      <c r="G159" s="49" t="s">
        <v>83</v>
      </c>
      <c r="H159" s="49" t="s">
        <v>53</v>
      </c>
      <c r="I159" s="57">
        <v>58241</v>
      </c>
      <c r="J159" s="40" t="s">
        <v>218</v>
      </c>
      <c r="K159" s="45">
        <f>IF(G159="L",'US CBAs'!$F$73,
IF(AND(E159="Friendly",F159="T1",G159="W"),'US CBAs'!$F$68,
IF(AND(E159="Friendly",F159="T2",G159="W"),'US CBAs'!$F$69,
IF(AND(E159="Friendly",F159="",G159="W"),'US CBAs'!$F$70,
IF(AND(E159="Friendly",F159="T1",G159="D"),'US CBAs'!$F$71,
IF(AND(E159="Friendly",F159="",G159="D"),'US CBAs'!$F$72,
IF(AND(E159="Gold Cup",F159="T1",G159="W"),'US CBAs'!$F$78,
IF(AND(E159="Gold Cup",F159="",G159="W"),'US CBAs'!$F$79,
IF(AND(E159="Gold Cup",G159="D"),'US CBAs'!$F$80,
IF(AND(E159="Copa America",F159="",G159="W"),'US CBAs'!$F$85,
IF(AND(E159="Copa America",G159="D"),'US CBAs'!$F$86,
IF(AND(E159="WCQ SF",G159="W"),'US CBAs'!$F$94,
IF(AND(E159="WCQ SF",G159="D"),'US CBAs'!$F$95,
IF(AND(E159="WCQ Hex",G159="W"),'US CBAs'!$F$98,
IF(AND(E159="WCQ Hex",G159="D"),'US CBAs'!$F$99,
IF(E159="World Cup",'US CBAs'!$F$104,
0))))))))))))))))</f>
        <v>8125</v>
      </c>
      <c r="L159" s="40">
        <v>20</v>
      </c>
      <c r="M159" s="60">
        <f t="shared" si="14"/>
        <v>162500</v>
      </c>
      <c r="N159" s="45">
        <f>IF(J159="",I159*'US CBAs'!$G$118,0)</f>
        <v>0</v>
      </c>
      <c r="O159" s="59">
        <f t="shared" si="15"/>
        <v>162500</v>
      </c>
      <c r="Q159" s="233"/>
      <c r="R159" s="233"/>
    </row>
    <row r="160" spans="1:20" x14ac:dyDescent="0.35">
      <c r="A160" s="49" t="s">
        <v>222</v>
      </c>
      <c r="B160" s="195">
        <v>7</v>
      </c>
      <c r="C160" s="50">
        <v>2018</v>
      </c>
      <c r="D160" s="49" t="s">
        <v>41</v>
      </c>
      <c r="E160" s="49" t="s">
        <v>220</v>
      </c>
      <c r="F160" s="49"/>
      <c r="G160" s="49" t="s">
        <v>33</v>
      </c>
      <c r="H160" s="49" t="s">
        <v>485</v>
      </c>
      <c r="I160" s="57">
        <v>32489</v>
      </c>
      <c r="J160" s="40"/>
      <c r="K160" s="45">
        <f>IF(G160="L",'US CBAs'!$F$73,
IF(AND(E160="Friendly",F160="T1",G160="W"),'US CBAs'!$F$68,
IF(AND(E160="Friendly",F160="T2",G160="W"),'US CBAs'!$F$69,
IF(AND(E160="Friendly",F160="",G160="W"),'US CBAs'!$F$70,
IF(AND(E160="Friendly",F160="T1",G160="D"),'US CBAs'!$F$71,
IF(AND(E160="Friendly",F160="",G160="D"),'US CBAs'!$F$72,
IF(AND(E160="Gold Cup",F160="T1",G160="W"),'US CBAs'!$F$78,
IF(AND(E160="Gold Cup",F160="",G160="W"),'US CBAs'!$F$79,
IF(AND(E160="Gold Cup",G160="D"),'US CBAs'!$F$80,
IF(AND(E160="Copa America",F160="",G160="W"),'US CBAs'!$F$85,
IF(AND(E160="Copa America",G160="D"),'US CBAs'!$F$86,
IF(AND(E160="WCQ SF",G160="W"),'US CBAs'!$F$94,
IF(AND(E160="WCQ SF",G160="D"),'US CBAs'!$F$95,
IF(AND(E160="WCQ Hex",G160="W"),'US CBAs'!$F$98,
IF(AND(E160="WCQ Hex",G160="D"),'US CBAs'!$F$99,
IF(E160="World Cup",'US CBAs'!$F$104,
0))))))))))))))))</f>
        <v>5000</v>
      </c>
      <c r="L160" s="40">
        <v>20</v>
      </c>
      <c r="M160" s="60">
        <f t="shared" si="14"/>
        <v>100000</v>
      </c>
      <c r="N160" s="45">
        <f>IF(J160="",I160*'US CBAs'!$G$118,0)</f>
        <v>48733.5</v>
      </c>
      <c r="O160" s="59">
        <f t="shared" si="15"/>
        <v>148733.5</v>
      </c>
      <c r="Q160" s="397"/>
      <c r="R160" s="398"/>
    </row>
    <row r="161" spans="1:20" x14ac:dyDescent="0.35">
      <c r="A161" s="49" t="s">
        <v>222</v>
      </c>
      <c r="B161" s="195">
        <v>11</v>
      </c>
      <c r="C161" s="50">
        <v>2018</v>
      </c>
      <c r="D161" s="49" t="s">
        <v>35</v>
      </c>
      <c r="E161" s="49" t="s">
        <v>220</v>
      </c>
      <c r="F161" s="49" t="s">
        <v>28</v>
      </c>
      <c r="G161" s="49" t="s">
        <v>20</v>
      </c>
      <c r="H161" s="49" t="s">
        <v>486</v>
      </c>
      <c r="I161" s="57">
        <v>40194</v>
      </c>
      <c r="J161" s="40"/>
      <c r="K161" s="45">
        <f>IF(G161="L",'US CBAs'!$F$73,
IF(AND(E161="Friendly",F161="T1",G161="W"),'US CBAs'!$F$68,
IF(AND(E161="Friendly",F161="T2",G161="W"),'US CBAs'!$F$69,
IF(AND(E161="Friendly",F161="",G161="W"),'US CBAs'!$F$70,
IF(AND(E161="Friendly",F161="T1",G161="D"),'US CBAs'!$F$71,
IF(AND(E161="Friendly",F161="",G161="D"),'US CBAs'!$F$72,
IF(AND(E161="Gold Cup",F161="T1",G161="W"),'US CBAs'!$F$78,
IF(AND(E161="Gold Cup",F161="",G161="W"),'US CBAs'!$F$79,
IF(AND(E161="Gold Cup",G161="D"),'US CBAs'!$F$80,
IF(AND(E161="Copa America",F161="",G161="W"),'US CBAs'!$F$85,
IF(AND(E161="Copa America",G161="D"),'US CBAs'!$F$86,
IF(AND(E161="WCQ SF",G161="W"),'US CBAs'!$F$94,
IF(AND(E161="WCQ SF",G161="D"),'US CBAs'!$F$95,
IF(AND(E161="WCQ Hex",G161="W"),'US CBAs'!$F$98,
IF(AND(E161="WCQ Hex",G161="D"),'US CBAs'!$F$99,
IF(E161="World Cup",'US CBAs'!$F$104,
0))))))))))))))))</f>
        <v>17625</v>
      </c>
      <c r="L161" s="40">
        <v>20</v>
      </c>
      <c r="M161" s="60">
        <f t="shared" si="14"/>
        <v>352500</v>
      </c>
      <c r="N161" s="45">
        <f>IF(J161="",I161*'US CBAs'!$G$118,0)</f>
        <v>60291</v>
      </c>
      <c r="O161" s="59">
        <f t="shared" si="15"/>
        <v>412791</v>
      </c>
      <c r="Q161" s="399"/>
      <c r="R161" s="403"/>
    </row>
    <row r="162" spans="1:20" x14ac:dyDescent="0.35">
      <c r="A162" s="49" t="s">
        <v>189</v>
      </c>
      <c r="B162" s="195">
        <v>11</v>
      </c>
      <c r="C162" s="50">
        <v>2018</v>
      </c>
      <c r="D162" s="49" t="s">
        <v>64</v>
      </c>
      <c r="E162" s="49" t="s">
        <v>220</v>
      </c>
      <c r="F162" s="49"/>
      <c r="G162" s="49" t="s">
        <v>33</v>
      </c>
      <c r="H162" s="49" t="s">
        <v>482</v>
      </c>
      <c r="I162" s="57">
        <v>38631</v>
      </c>
      <c r="J162" s="40"/>
      <c r="K162" s="45">
        <f>IF(G162="L",'US CBAs'!$F$73,
IF(AND(E162="Friendly",F162="T1",G162="W"),'US CBAs'!$F$68,
IF(AND(E162="Friendly",F162="T2",G162="W"),'US CBAs'!$F$69,
IF(AND(E162="Friendly",F162="",G162="W"),'US CBAs'!$F$70,
IF(AND(E162="Friendly",F162="T1",G162="D"),'US CBAs'!$F$71,
IF(AND(E162="Friendly",F162="",G162="D"),'US CBAs'!$F$72,
IF(AND(E162="Gold Cup",F162="T1",G162="W"),'US CBAs'!$F$78,
IF(AND(E162="Gold Cup",F162="",G162="W"),'US CBAs'!$F$79,
IF(AND(E162="Gold Cup",G162="D"),'US CBAs'!$F$80,
IF(AND(E162="Copa America",F162="",G162="W"),'US CBAs'!$F$85,
IF(AND(E162="Copa America",G162="D"),'US CBAs'!$F$86,
IF(AND(E162="WCQ SF",G162="W"),'US CBAs'!$F$94,
IF(AND(E162="WCQ SF",G162="D"),'US CBAs'!$F$95,
IF(AND(E162="WCQ Hex",G162="W"),'US CBAs'!$F$98,
IF(AND(E162="WCQ Hex",G162="D"),'US CBAs'!$F$99,
IF(E162="World Cup",'US CBAs'!$F$104,
0))))))))))))))))</f>
        <v>5000</v>
      </c>
      <c r="L162" s="40">
        <v>20</v>
      </c>
      <c r="M162" s="60">
        <f t="shared" si="14"/>
        <v>100000</v>
      </c>
      <c r="N162" s="45">
        <f>IF(J162="",I162*'US CBAs'!$G$118,0)</f>
        <v>57946.5</v>
      </c>
      <c r="O162" s="59">
        <f t="shared" si="15"/>
        <v>157946.5</v>
      </c>
      <c r="Q162" s="401"/>
      <c r="R162" s="403"/>
    </row>
    <row r="163" spans="1:20" x14ac:dyDescent="0.35">
      <c r="A163" s="49" t="s">
        <v>189</v>
      </c>
      <c r="B163" s="195">
        <v>16</v>
      </c>
      <c r="C163" s="50">
        <v>2018</v>
      </c>
      <c r="D163" s="49" t="s">
        <v>67</v>
      </c>
      <c r="E163" s="49" t="s">
        <v>220</v>
      </c>
      <c r="F163" s="49"/>
      <c r="G163" s="49" t="s">
        <v>83</v>
      </c>
      <c r="H163" s="49" t="s">
        <v>483</v>
      </c>
      <c r="I163" s="57">
        <v>24959</v>
      </c>
      <c r="J163" s="40"/>
      <c r="K163" s="45">
        <f>IF(G163="L",'US CBAs'!$F$73,
IF(AND(E163="Friendly",F163="T1",G163="W"),'US CBAs'!$F$68,
IF(AND(E163="Friendly",F163="T2",G163="W"),'US CBAs'!$F$69,
IF(AND(E163="Friendly",F163="",G163="W"),'US CBAs'!$F$70,
IF(AND(E163="Friendly",F163="T1",G163="D"),'US CBAs'!$F$71,
IF(AND(E163="Friendly",F163="",G163="D"),'US CBAs'!$F$72,
IF(AND(E163="Gold Cup",F163="T1",G163="W"),'US CBAs'!$F$78,
IF(AND(E163="Gold Cup",F163="",G163="W"),'US CBAs'!$F$79,
IF(AND(E163="Gold Cup",G163="D"),'US CBAs'!$F$80,
IF(AND(E163="Copa America",F163="",G163="W"),'US CBAs'!$F$85,
IF(AND(E163="Copa America",G163="D"),'US CBAs'!$F$86,
IF(AND(E163="WCQ SF",G163="W"),'US CBAs'!$F$94,
IF(AND(E163="WCQ SF",G163="D"),'US CBAs'!$F$95,
IF(AND(E163="WCQ Hex",G163="W"),'US CBAs'!$F$98,
IF(AND(E163="WCQ Hex",G163="D"),'US CBAs'!$F$99,
IF(E163="World Cup",'US CBAs'!$F$104,
0))))))))))))))))</f>
        <v>6250</v>
      </c>
      <c r="L163" s="40">
        <v>20</v>
      </c>
      <c r="M163" s="60">
        <f t="shared" si="14"/>
        <v>125000</v>
      </c>
      <c r="N163" s="45">
        <f>IF(J163="",I163*'US CBAs'!$G$118,0)</f>
        <v>37438.5</v>
      </c>
      <c r="O163" s="59">
        <f t="shared" si="15"/>
        <v>162438.5</v>
      </c>
      <c r="Q163" s="275"/>
      <c r="R163" s="261"/>
    </row>
    <row r="164" spans="1:20" s="361" customFormat="1" x14ac:dyDescent="0.35">
      <c r="A164" s="49" t="s">
        <v>190</v>
      </c>
      <c r="B164" s="195">
        <v>15</v>
      </c>
      <c r="C164" s="50">
        <v>2018</v>
      </c>
      <c r="D164" s="49" t="s">
        <v>61</v>
      </c>
      <c r="E164" s="49" t="s">
        <v>220</v>
      </c>
      <c r="F164" s="49"/>
      <c r="G164" s="49" t="s">
        <v>33</v>
      </c>
      <c r="H164" s="49" t="s">
        <v>61</v>
      </c>
      <c r="I164" s="57">
        <v>68155</v>
      </c>
      <c r="J164" s="40" t="s">
        <v>218</v>
      </c>
      <c r="K164" s="45">
        <f>IF(G164="L",'US CBAs'!$F$73,
IF(AND(E164="Friendly",F164="T1",G164="W"),'US CBAs'!$F$68,
IF(AND(E164="Friendly",F164="T2",G164="W"),'US CBAs'!$F$69,
IF(AND(E164="Friendly",F164="",G164="W"),'US CBAs'!$F$70,
IF(AND(E164="Friendly",F164="T1",G164="D"),'US CBAs'!$F$71,
IF(AND(E164="Friendly",F164="",G164="D"),'US CBAs'!$F$72,
IF(AND(E164="Gold Cup",F164="T1",G164="W"),'US CBAs'!$F$78,
IF(AND(E164="Gold Cup",F164="",G164="W"),'US CBAs'!$F$79,
IF(AND(E164="Gold Cup",G164="D"),'US CBAs'!$F$80,
IF(AND(E164="Copa America",F164="",G164="W"),'US CBAs'!$F$85,
IF(AND(E164="Copa America",G164="D"),'US CBAs'!$F$86,
IF(AND(E164="WCQ SF",G164="W"),'US CBAs'!$F$94,
IF(AND(E164="WCQ SF",G164="D"),'US CBAs'!$F$95,
IF(AND(E164="WCQ Hex",G164="W"),'US CBAs'!$F$98,
IF(AND(E164="WCQ Hex",G164="D"),'US CBAs'!$F$99,
IF(E164="World Cup",'US CBAs'!$F$104,
0))))))))))))))))</f>
        <v>5000</v>
      </c>
      <c r="L164" s="40">
        <v>20</v>
      </c>
      <c r="M164" s="60">
        <f t="shared" si="14"/>
        <v>100000</v>
      </c>
      <c r="N164" s="45">
        <f>IF(J164="",I164*'US CBAs'!$G$118,0)</f>
        <v>0</v>
      </c>
      <c r="O164" s="59">
        <f t="shared" si="15"/>
        <v>100000</v>
      </c>
      <c r="P164" s="41"/>
      <c r="Q164" s="275"/>
      <c r="R164" s="261"/>
      <c r="S164" s="40"/>
      <c r="T164" s="228"/>
    </row>
    <row r="165" spans="1:20" s="361" customFormat="1" x14ac:dyDescent="0.35">
      <c r="A165" s="49" t="s">
        <v>190</v>
      </c>
      <c r="B165" s="195">
        <v>20</v>
      </c>
      <c r="C165" s="50">
        <v>2018</v>
      </c>
      <c r="D165" s="49" t="s">
        <v>84</v>
      </c>
      <c r="E165" s="49" t="s">
        <v>220</v>
      </c>
      <c r="F165" s="49"/>
      <c r="G165" s="49" t="s">
        <v>33</v>
      </c>
      <c r="H165" s="49" t="s">
        <v>39</v>
      </c>
      <c r="I165" s="57">
        <v>13500</v>
      </c>
      <c r="J165" s="49" t="s">
        <v>218</v>
      </c>
      <c r="K165" s="45">
        <f>IF(G165="L",'US CBAs'!$F$73,
IF(AND(E165="Friendly",F165="T1",G165="W"),'US CBAs'!$F$68,
IF(AND(E165="Friendly",F165="T2",G165="W"),'US CBAs'!$F$69,
IF(AND(E165="Friendly",F165="",G165="W"),'US CBAs'!$F$70,
IF(AND(E165="Friendly",F165="T1",G165="D"),'US CBAs'!$F$71,
IF(AND(E165="Friendly",F165="",G165="D"),'US CBAs'!$F$72,
IF(AND(E165="Gold Cup",F165="T1",G165="W"),'US CBAs'!$F$78,
IF(AND(E165="Gold Cup",F165="",G165="W"),'US CBAs'!$F$79,
IF(AND(E165="Gold Cup",G165="D"),'US CBAs'!$F$80,
IF(AND(E165="Copa America",F165="",G165="W"),'US CBAs'!$F$85,
IF(AND(E165="Copa America",G165="D"),'US CBAs'!$F$86,
IF(AND(E165="WCQ SF",G165="W"),'US CBAs'!$F$94,
IF(AND(E165="WCQ SF",G165="D"),'US CBAs'!$F$95,
IF(AND(E165="WCQ Hex",G165="W"),'US CBAs'!$F$98,
IF(AND(E165="WCQ Hex",G165="D"),'US CBAs'!$F$99,
IF(E165="World Cup",'US CBAs'!$F$104,
0))))))))))))))))</f>
        <v>5000</v>
      </c>
      <c r="L165" s="40">
        <v>20</v>
      </c>
      <c r="M165" s="60">
        <f t="shared" si="14"/>
        <v>100000</v>
      </c>
      <c r="N165" s="45">
        <f>IF(J165="",I165*'US CBAs'!$G$118,0)</f>
        <v>0</v>
      </c>
      <c r="O165" s="59">
        <f t="shared" si="15"/>
        <v>100000</v>
      </c>
      <c r="P165" s="41"/>
      <c r="Q165" s="277"/>
      <c r="R165" s="258"/>
      <c r="S165" s="40"/>
      <c r="T165" s="228"/>
    </row>
    <row r="166" spans="1:20" s="361" customFormat="1" x14ac:dyDescent="0.35">
      <c r="A166" s="39"/>
      <c r="B166" s="196"/>
      <c r="C166" s="44"/>
      <c r="D166" s="58" t="s">
        <v>585</v>
      </c>
      <c r="E166" s="49"/>
      <c r="F166" s="49"/>
      <c r="G166" s="49"/>
      <c r="H166" s="49"/>
      <c r="I166" s="57"/>
      <c r="J166" s="40"/>
      <c r="K166" s="54">
        <f>'US CBAs'!$F$75</f>
        <v>1875</v>
      </c>
      <c r="L166" s="56">
        <v>10</v>
      </c>
      <c r="M166" s="54">
        <f t="shared" si="14"/>
        <v>18750</v>
      </c>
      <c r="N166" s="55"/>
      <c r="O166" s="54">
        <f t="shared" si="15"/>
        <v>18750</v>
      </c>
      <c r="P166" s="41"/>
      <c r="Q166" s="40"/>
      <c r="R166" s="40"/>
      <c r="S166" s="40"/>
      <c r="T166" s="228"/>
    </row>
    <row r="167" spans="1:20" s="361" customFormat="1" x14ac:dyDescent="0.35">
      <c r="A167" s="396" t="s">
        <v>191</v>
      </c>
      <c r="B167" s="195">
        <v>27</v>
      </c>
      <c r="C167" s="50">
        <v>2019</v>
      </c>
      <c r="D167" s="49" t="s">
        <v>42</v>
      </c>
      <c r="E167" s="49" t="s">
        <v>220</v>
      </c>
      <c r="F167" s="49"/>
      <c r="G167" s="49" t="s">
        <v>20</v>
      </c>
      <c r="H167" s="49" t="s">
        <v>493</v>
      </c>
      <c r="I167" s="297">
        <v>9040</v>
      </c>
      <c r="J167" s="39"/>
      <c r="K167" s="45">
        <f>IF(G167="L",'US CBAs'!$F$73,
IF(AND(E167="Friendly",F167="T1",G167="W"),'US CBAs'!$F$68,
IF(AND(E167="Friendly",F167="T2",G167="W"),'US CBAs'!$F$69,
IF(AND(E167="Friendly",F167="",G167="W"),'US CBAs'!$F$70,
IF(AND(E167="Friendly",F167="T1",G167="D"),'US CBAs'!$F$71,
IF(AND(E167="Friendly",F167="",G167="D"),'US CBAs'!$F$72,
IF(AND(E167="Gold Cup",F167="T1",G167="W"),'US CBAs'!$F$78,
IF(AND(E167="Gold Cup",F167="",G167="W"),'US CBAs'!$F$79,
IF(AND(E167="Gold Cup",G167="D"),'US CBAs'!$F$80,
IF(AND(E167="Nations League",F167="T1",G167="W"),'US CBAs'!$F$78,
IF(AND(E167="Nations League",F167="",G167="W"),'US CBAs'!$F$79,
IF(AND(E167="Nations League",G167="D"),'US CBAs'!$F$80,
IF(AND(E167="Copa America",F167="",G167="W"),'US CBAs'!$F$85,
IF(AND(E167="Copa America",G167="D"),'US CBAs'!$F$86,
IF(AND(E167="WCQ SF",G167="W"),'US CBAs'!$F$94,
IF(AND(E167="WCQ SF",G167="D"),'US CBAs'!$F$95,
IF(AND(E167="WCQ Hex",G167="W"),'US CBAs'!$F$98,
IF(AND(E167="WCQ Hex",G167="D"),'US CBAs'!$F$99,
IF(E167="World Cup",'US CBAs'!$F$104,
0))))))))))))))))
)))</f>
        <v>9375</v>
      </c>
      <c r="L167" s="40">
        <v>20</v>
      </c>
      <c r="M167" s="60">
        <f t="shared" ref="M167:M185" si="16">K167*L167</f>
        <v>187500</v>
      </c>
      <c r="N167" s="45">
        <f>IF(J167="",I167*'US CBAs'!$G$118,0)</f>
        <v>13560</v>
      </c>
      <c r="O167" s="59">
        <f t="shared" ref="O167:O185" si="17">M167+N167</f>
        <v>201060</v>
      </c>
      <c r="P167" s="41"/>
      <c r="Q167" s="40"/>
      <c r="R167" s="40"/>
      <c r="S167" s="40"/>
      <c r="T167" s="228"/>
    </row>
    <row r="168" spans="1:20" s="361" customFormat="1" x14ac:dyDescent="0.35">
      <c r="A168" s="396" t="s">
        <v>192</v>
      </c>
      <c r="B168" s="195">
        <v>2</v>
      </c>
      <c r="C168" s="50">
        <v>2019</v>
      </c>
      <c r="D168" s="49" t="s">
        <v>36</v>
      </c>
      <c r="E168" s="49" t="s">
        <v>220</v>
      </c>
      <c r="F168" s="49"/>
      <c r="G168" s="49" t="s">
        <v>20</v>
      </c>
      <c r="H168" s="49" t="s">
        <v>481</v>
      </c>
      <c r="I168" s="227">
        <v>13656</v>
      </c>
      <c r="J168" s="39"/>
      <c r="K168" s="45">
        <f>IF(G168="L",'US CBAs'!$F$73,
IF(AND(E168="Friendly",F168="T1",G168="W"),'US CBAs'!$F$68,
IF(AND(E168="Friendly",F168="T2",G168="W"),'US CBAs'!$F$69,
IF(AND(E168="Friendly",F168="",G168="W"),'US CBAs'!$F$70,
IF(AND(E168="Friendly",F168="T1",G168="D"),'US CBAs'!$F$71,
IF(AND(E168="Friendly",F168="",G168="D"),'US CBAs'!$F$72,
IF(AND(E168="Gold Cup",F168="T1",G168="W"),'US CBAs'!$F$78,
IF(AND(E168="Gold Cup",F168="",G168="W"),'US CBAs'!$F$79,
IF(AND(E168="Gold Cup",G168="D"),'US CBAs'!$F$80,
IF(AND(E168="Nations League",F168="T1",G168="W"),'US CBAs'!$F$78,
IF(AND(E168="Nations League",F168="",G168="W"),'US CBAs'!$F$79,
IF(AND(E168="Nations League",G168="D"),'US CBAs'!$F$80,
IF(AND(E168="Copa America",F168="",G168="W"),'US CBAs'!$F$85,
IF(AND(E168="Copa America",G168="D"),'US CBAs'!$F$86,
IF(AND(E168="WCQ SF",G168="W"),'US CBAs'!$F$94,
IF(AND(E168="WCQ SF",G168="D"),'US CBAs'!$F$95,
IF(AND(E168="WCQ Hex",G168="W"),'US CBAs'!$F$98,
IF(AND(E168="WCQ Hex",G168="D"),'US CBAs'!$F$99,
IF(E168="World Cup",'US CBAs'!$F$104,
0))))))))))))))))
)))</f>
        <v>9375</v>
      </c>
      <c r="L168" s="40">
        <v>20</v>
      </c>
      <c r="M168" s="60">
        <f t="shared" si="16"/>
        <v>187500</v>
      </c>
      <c r="N168" s="45">
        <f>IF(J168="",I168*'US CBAs'!$G$118,0)</f>
        <v>20484</v>
      </c>
      <c r="O168" s="59">
        <f t="shared" si="17"/>
        <v>207984</v>
      </c>
      <c r="P168" s="41"/>
      <c r="Q168" s="40"/>
      <c r="R168" s="40"/>
      <c r="S168" s="40"/>
      <c r="T168" s="228"/>
    </row>
    <row r="169" spans="1:20" s="361" customFormat="1" x14ac:dyDescent="0.35">
      <c r="A169" s="396" t="s">
        <v>221</v>
      </c>
      <c r="B169" s="195">
        <v>21</v>
      </c>
      <c r="C169" s="50">
        <v>2019</v>
      </c>
      <c r="D169" s="49" t="s">
        <v>63</v>
      </c>
      <c r="E169" s="49" t="s">
        <v>220</v>
      </c>
      <c r="F169" s="49"/>
      <c r="G169" s="49" t="s">
        <v>20</v>
      </c>
      <c r="H169" s="49" t="s">
        <v>482</v>
      </c>
      <c r="I169" s="227">
        <v>17422</v>
      </c>
      <c r="J169" s="39"/>
      <c r="K169" s="45">
        <f>IF(G169="L",'US CBAs'!$F$73,
IF(AND(E169="Friendly",F169="T1",G169="W"),'US CBAs'!$F$68,
IF(AND(E169="Friendly",F169="T2",G169="W"),'US CBAs'!$F$69,
IF(AND(E169="Friendly",F169="",G169="W"),'US CBAs'!$F$70,
IF(AND(E169="Friendly",F169="T1",G169="D"),'US CBAs'!$F$71,
IF(AND(E169="Friendly",F169="",G169="D"),'US CBAs'!$F$72,
IF(AND(E169="Gold Cup",F169="T1",G169="W"),'US CBAs'!$F$78,
IF(AND(E169="Gold Cup",F169="",G169="W"),'US CBAs'!$F$79,
IF(AND(E169="Gold Cup",G169="D"),'US CBAs'!$F$80,
IF(AND(E169="Nations League",F169="T1",G169="W"),'US CBAs'!$F$78,
IF(AND(E169="Nations League",F169="",G169="W"),'US CBAs'!$F$79,
IF(AND(E169="Nations League",G169="D"),'US CBAs'!$F$80,
IF(AND(E169="Copa America",F169="",G169="W"),'US CBAs'!$F$85,
IF(AND(E169="Copa America",G169="D"),'US CBAs'!$F$86,
IF(AND(E169="WCQ SF",G169="W"),'US CBAs'!$F$94,
IF(AND(E169="WCQ SF",G169="D"),'US CBAs'!$F$95,
IF(AND(E169="WCQ Hex",G169="W"),'US CBAs'!$F$98,
IF(AND(E169="WCQ Hex",G169="D"),'US CBAs'!$F$99,
IF(E169="World Cup",'US CBAs'!$F$104,
0))))))))))))))))
)))</f>
        <v>9375</v>
      </c>
      <c r="L169" s="40">
        <v>20</v>
      </c>
      <c r="M169" s="60">
        <f t="shared" si="16"/>
        <v>187500</v>
      </c>
      <c r="N169" s="45">
        <f>IF(J169="",I169*'US CBAs'!$G$118,0)</f>
        <v>26133</v>
      </c>
      <c r="O169" s="59">
        <f t="shared" si="17"/>
        <v>213633</v>
      </c>
      <c r="P169" s="41"/>
      <c r="Q169" s="40"/>
      <c r="R169" s="40"/>
      <c r="S169" s="40"/>
      <c r="T169" s="228"/>
    </row>
    <row r="170" spans="1:20" s="361" customFormat="1" x14ac:dyDescent="0.35">
      <c r="A170" s="396" t="s">
        <v>221</v>
      </c>
      <c r="B170" s="195">
        <v>26</v>
      </c>
      <c r="C170" s="50">
        <v>2019</v>
      </c>
      <c r="D170" s="49" t="s">
        <v>66</v>
      </c>
      <c r="E170" s="49" t="s">
        <v>220</v>
      </c>
      <c r="F170" s="396"/>
      <c r="G170" s="49" t="s">
        <v>83</v>
      </c>
      <c r="H170" s="49" t="s">
        <v>492</v>
      </c>
      <c r="I170" s="227">
        <v>18033</v>
      </c>
      <c r="J170" s="39"/>
      <c r="K170" s="45">
        <f>IF(G170="L",'US CBAs'!$F$73,
IF(AND(E170="Friendly",F170="T1",G170="W"),'US CBAs'!$F$68,
IF(AND(E170="Friendly",F170="T2",G170="W"),'US CBAs'!$F$69,
IF(AND(E170="Friendly",F170="",G170="W"),'US CBAs'!$F$70,
IF(AND(E170="Friendly",F170="T1",G170="D"),'US CBAs'!$F$71,
IF(AND(E170="Friendly",F170="",G170="D"),'US CBAs'!$F$72,
IF(AND(E170="Gold Cup",F170="T1",G170="W"),'US CBAs'!$F$78,
IF(AND(E170="Gold Cup",F170="",G170="W"),'US CBAs'!$F$79,
IF(AND(E170="Gold Cup",G170="D"),'US CBAs'!$F$80,
IF(AND(E170="Nations League",F170="T1",G170="W"),'US CBAs'!$F$78,
IF(AND(E170="Nations League",F170="",G170="W"),'US CBAs'!$F$79,
IF(AND(E170="Nations League",G170="D"),'US CBAs'!$F$80,
IF(AND(E170="Copa America",F170="",G170="W"),'US CBAs'!$F$85,
IF(AND(E170="Copa America",G170="D"),'US CBAs'!$F$86,
IF(AND(E170="WCQ SF",G170="W"),'US CBAs'!$F$94,
IF(AND(E170="WCQ SF",G170="D"),'US CBAs'!$F$95,
IF(AND(E170="WCQ Hex",G170="W"),'US CBAs'!$F$98,
IF(AND(E170="WCQ Hex",G170="D"),'US CBAs'!$F$99,
IF(E170="World Cup",'US CBAs'!$F$104,
0))))))))))))))))
)))</f>
        <v>6250</v>
      </c>
      <c r="L170" s="40">
        <v>20</v>
      </c>
      <c r="M170" s="60">
        <f t="shared" si="16"/>
        <v>125000</v>
      </c>
      <c r="N170" s="45">
        <f>IF(J170="",I170*'US CBAs'!$G$118,0)</f>
        <v>27049.5</v>
      </c>
      <c r="O170" s="59">
        <f t="shared" si="17"/>
        <v>152049.5</v>
      </c>
      <c r="P170" s="41"/>
      <c r="Q170" s="40"/>
      <c r="R170" s="40"/>
      <c r="S170" s="40"/>
      <c r="T170" s="228"/>
    </row>
    <row r="171" spans="1:20" s="361" customFormat="1" x14ac:dyDescent="0.35">
      <c r="A171" s="390" t="s">
        <v>223</v>
      </c>
      <c r="B171" s="391">
        <v>5</v>
      </c>
      <c r="C171" s="392">
        <v>2019</v>
      </c>
      <c r="D171" s="390" t="s">
        <v>40</v>
      </c>
      <c r="E171" s="390" t="s">
        <v>220</v>
      </c>
      <c r="F171" s="390"/>
      <c r="G171" s="390" t="s">
        <v>33</v>
      </c>
      <c r="H171" s="390" t="s">
        <v>491</v>
      </c>
      <c r="I171" s="393">
        <v>17719</v>
      </c>
      <c r="J171" s="368"/>
      <c r="K171" s="330">
        <f>IF(G171="L",'US CBAs'!$F$73,
IF(AND(E171="Friendly",F171="T1",G171="W"),'US CBAs'!$F$68,
IF(AND(E171="Friendly",F171="T2",G171="W"),'US CBAs'!$F$69,
IF(AND(E171="Friendly",F171="",G171="W"),'US CBAs'!$F$70,
IF(AND(E171="Friendly",F171="T1",G171="D"),'US CBAs'!$F$71,
IF(AND(E171="Friendly",F171="",G171="D"),'US CBAs'!$F$72,
IF(AND(E171="Gold Cup",F171="T1",G171="W"),'US CBAs'!$F$78,
IF(AND(E171="Gold Cup",F171="",G171="W"),'US CBAs'!$F$79,
IF(AND(E171="Gold Cup",G171="D"),'US CBAs'!$F$80,
IF(AND(E171="Nations League",F171="T1",G171="W"),'US CBAs'!$F$78,
IF(AND(E171="Nations League",F171="",G171="W"),'US CBAs'!$F$79,
IF(AND(E171="Nations League",G171="D"),'US CBAs'!$F$80,
IF(AND(E171="Copa America",F171="",G171="W"),'US CBAs'!$F$85,
IF(AND(E171="Copa America",G171="D"),'US CBAs'!$F$86,
IF(AND(E171="WCQ SF",G171="W"),'US CBAs'!$F$94,
IF(AND(E171="WCQ SF",G171="D"),'US CBAs'!$F$95,
IF(AND(E171="WCQ Hex",G171="W"),'US CBAs'!$F$98,
IF(AND(E171="WCQ Hex",G171="D"),'US CBAs'!$F$99,
IF(E171="World Cup",'US CBAs'!$F$104,
0))))))))))))))))
)))</f>
        <v>5000</v>
      </c>
      <c r="L171" s="309">
        <v>20</v>
      </c>
      <c r="M171" s="380">
        <f t="shared" si="16"/>
        <v>100000</v>
      </c>
      <c r="N171" s="330">
        <f>IF(J171="",I171*'US CBAs'!$G$118,0)</f>
        <v>26578.5</v>
      </c>
      <c r="O171" s="394">
        <f t="shared" si="17"/>
        <v>126578.5</v>
      </c>
      <c r="P171" s="41"/>
      <c r="Q171" s="40"/>
      <c r="R171" s="40"/>
      <c r="S171" s="40"/>
      <c r="T171" s="228"/>
    </row>
    <row r="172" spans="1:20" s="361" customFormat="1" x14ac:dyDescent="0.35">
      <c r="A172" s="390" t="s">
        <v>223</v>
      </c>
      <c r="B172" s="391">
        <v>9</v>
      </c>
      <c r="C172" s="392">
        <v>2019</v>
      </c>
      <c r="D172" s="390" t="s">
        <v>76</v>
      </c>
      <c r="E172" s="390" t="s">
        <v>220</v>
      </c>
      <c r="F172" s="390"/>
      <c r="G172" s="390" t="s">
        <v>33</v>
      </c>
      <c r="H172" s="390" t="s">
        <v>495</v>
      </c>
      <c r="I172" s="393">
        <v>23955</v>
      </c>
      <c r="J172" s="368"/>
      <c r="K172" s="330">
        <f>IF(G172="L",'US CBAs'!$F$73,
IF(AND(E172="Friendly",F172="T1",G172="W"),'US CBAs'!$F$68,
IF(AND(E172="Friendly",F172="T2",G172="W"),'US CBAs'!$F$69,
IF(AND(E172="Friendly",F172="",G172="W"),'US CBAs'!$F$70,
IF(AND(E172="Friendly",F172="T1",G172="D"),'US CBAs'!$F$71,
IF(AND(E172="Friendly",F172="",G172="D"),'US CBAs'!$F$72,
IF(AND(E172="Gold Cup",F172="T1",G172="W"),'US CBAs'!$F$78,
IF(AND(E172="Gold Cup",F172="",G172="W"),'US CBAs'!$F$79,
IF(AND(E172="Gold Cup",G172="D"),'US CBAs'!$F$80,
IF(AND(E172="Nations League",F172="T1",G172="W"),'US CBAs'!$F$78,
IF(AND(E172="Nations League",F172="",G172="W"),'US CBAs'!$F$79,
IF(AND(E172="Nations League",G172="D"),'US CBAs'!$F$80,
IF(AND(E172="Copa America",F172="",G172="W"),'US CBAs'!$F$85,
IF(AND(E172="Copa America",G172="D"),'US CBAs'!$F$86,
IF(AND(E172="WCQ SF",G172="W"),'US CBAs'!$F$94,
IF(AND(E172="WCQ SF",G172="D"),'US CBAs'!$F$95,
IF(AND(E172="WCQ Hex",G172="W"),'US CBAs'!$F$98,
IF(AND(E172="WCQ Hex",G172="D"),'US CBAs'!$F$99,
IF(E172="World Cup",'US CBAs'!$F$104,
0))))))))))))))))
)))</f>
        <v>5000</v>
      </c>
      <c r="L172" s="309">
        <v>20</v>
      </c>
      <c r="M172" s="380">
        <f t="shared" si="16"/>
        <v>100000</v>
      </c>
      <c r="N172" s="330">
        <f>IF(J172="",I172*'US CBAs'!$G$118,0)</f>
        <v>35932.5</v>
      </c>
      <c r="O172" s="394">
        <f t="shared" si="17"/>
        <v>135932.5</v>
      </c>
      <c r="P172" s="41"/>
      <c r="Q172" s="40"/>
      <c r="R172" s="40"/>
      <c r="S172" s="40"/>
      <c r="T172" s="228"/>
    </row>
    <row r="173" spans="1:20" s="361" customFormat="1" x14ac:dyDescent="0.35">
      <c r="A173" s="390" t="s">
        <v>223</v>
      </c>
      <c r="B173" s="391">
        <v>18</v>
      </c>
      <c r="C173" s="392">
        <v>2019</v>
      </c>
      <c r="D173" s="390" t="s">
        <v>509</v>
      </c>
      <c r="E173" s="390" t="s">
        <v>229</v>
      </c>
      <c r="F173" s="390"/>
      <c r="G173" s="390" t="s">
        <v>20</v>
      </c>
      <c r="H173" s="390" t="s">
        <v>506</v>
      </c>
      <c r="I173" s="393">
        <v>19418</v>
      </c>
      <c r="J173" s="368" t="s">
        <v>218</v>
      </c>
      <c r="K173" s="330">
        <f>IF(G173="L",'US CBAs'!$F$73,
IF(AND(E173="Friendly",F173="T1",G173="W"),'US CBAs'!$F$68,
IF(AND(E173="Friendly",F173="T2",G173="W"),'US CBAs'!$F$69,
IF(AND(E173="Friendly",F173="",G173="W"),'US CBAs'!$F$70,
IF(AND(E173="Friendly",F173="T1",G173="D"),'US CBAs'!$F$71,
IF(AND(E173="Friendly",F173="",G173="D"),'US CBAs'!$F$72,
IF(AND(E173="Gold Cup",F173="T1",G173="W"),'US CBAs'!$F$78,
IF(AND(E173="Gold Cup",F173="",G173="W"),'US CBAs'!$F$79,
IF(AND(E173="Gold Cup",G173="D"),'US CBAs'!$F$80,
IF(AND(E173="Nations League",F173="T1",G173="W"),'US CBAs'!$F$78,
IF(AND(E173="Nations League",F173="",G173="W"),'US CBAs'!$F$79,
IF(AND(E173="Nations League",G173="D"),'US CBAs'!$F$80,
IF(AND(E173="Copa America",F173="",G173="W"),'US CBAs'!$F$85,
IF(AND(E173="Copa America",G173="D"),'US CBAs'!$F$86,
IF(AND(E173="WCQ SF",G173="W"),'US CBAs'!$F$94,
IF(AND(E173="WCQ SF",G173="D"),'US CBAs'!$F$95,
IF(AND(E173="WCQ Hex",G173="W"),'US CBAs'!$F$98,
IF(AND(E173="WCQ Hex",G173="D"),'US CBAs'!$F$99,
IF(E173="World Cup",'US CBAs'!$F$104,
0))))))))))))))))
)))</f>
        <v>9375</v>
      </c>
      <c r="L173" s="309">
        <v>23</v>
      </c>
      <c r="M173" s="380">
        <f t="shared" si="16"/>
        <v>215625</v>
      </c>
      <c r="N173" s="330">
        <f>IF(J173="",I173*'US CBAs'!$G$118,0)</f>
        <v>0</v>
      </c>
      <c r="O173" s="394">
        <f t="shared" si="17"/>
        <v>215625</v>
      </c>
      <c r="P173" s="41"/>
      <c r="Q173" s="40"/>
      <c r="R173" s="40"/>
      <c r="S173" s="40"/>
      <c r="T173" s="228"/>
    </row>
    <row r="174" spans="1:20" s="361" customFormat="1" x14ac:dyDescent="0.35">
      <c r="A174" s="390" t="s">
        <v>223</v>
      </c>
      <c r="B174" s="391">
        <v>22</v>
      </c>
      <c r="C174" s="392">
        <v>2019</v>
      </c>
      <c r="D174" s="390" t="s">
        <v>510</v>
      </c>
      <c r="E174" s="390" t="s">
        <v>229</v>
      </c>
      <c r="F174" s="390"/>
      <c r="G174" s="390" t="s">
        <v>20</v>
      </c>
      <c r="H174" s="390" t="s">
        <v>495</v>
      </c>
      <c r="I174" s="393">
        <v>23921</v>
      </c>
      <c r="J174" s="368" t="s">
        <v>218</v>
      </c>
      <c r="K174" s="330">
        <f>IF(G174="L",'US CBAs'!$F$73,
IF(AND(E174="Friendly",F174="T1",G174="W"),'US CBAs'!$F$68,
IF(AND(E174="Friendly",F174="T2",G174="W"),'US CBAs'!$F$69,
IF(AND(E174="Friendly",F174="",G174="W"),'US CBAs'!$F$70,
IF(AND(E174="Friendly",F174="T1",G174="D"),'US CBAs'!$F$71,
IF(AND(E174="Friendly",F174="",G174="D"),'US CBAs'!$F$72,
IF(AND(E174="Gold Cup",F174="T1",G174="W"),'US CBAs'!$F$78,
IF(AND(E174="Gold Cup",F174="",G174="W"),'US CBAs'!$F$79,
IF(AND(E174="Gold Cup",G174="D"),'US CBAs'!$F$80,
IF(AND(E174="Nations League",F174="T1",G174="W"),'US CBAs'!$F$78,
IF(AND(E174="Nations League",F174="",G174="W"),'US CBAs'!$F$79,
IF(AND(E174="Nations League",G174="D"),'US CBAs'!$F$80,
IF(AND(E174="Copa America",F174="",G174="W"),'US CBAs'!$F$85,
IF(AND(E174="Copa America",G174="D"),'US CBAs'!$F$86,
IF(AND(E174="WCQ SF",G174="W"),'US CBAs'!$F$94,
IF(AND(E174="WCQ SF",G174="D"),'US CBAs'!$F$95,
IF(AND(E174="WCQ Hex",G174="W"),'US CBAs'!$F$98,
IF(AND(E174="WCQ Hex",G174="D"),'US CBAs'!$F$99,
IF(E174="World Cup",'US CBAs'!$F$104,
0))))))))))))))))
)))</f>
        <v>9375</v>
      </c>
      <c r="L174" s="309">
        <v>23</v>
      </c>
      <c r="M174" s="380">
        <f t="shared" si="16"/>
        <v>215625</v>
      </c>
      <c r="N174" s="330">
        <f>IF(J174="",I174*'US CBAs'!$G$118,0)</f>
        <v>0</v>
      </c>
      <c r="O174" s="394">
        <f t="shared" si="17"/>
        <v>215625</v>
      </c>
      <c r="P174" s="41"/>
      <c r="Q174" s="40"/>
      <c r="R174" s="40"/>
      <c r="S174" s="40"/>
      <c r="T174" s="228"/>
    </row>
    <row r="175" spans="1:20" s="361" customFormat="1" x14ac:dyDescent="0.35">
      <c r="A175" s="390" t="s">
        <v>223</v>
      </c>
      <c r="B175" s="391">
        <v>26</v>
      </c>
      <c r="C175" s="392">
        <v>2019</v>
      </c>
      <c r="D175" s="390" t="s">
        <v>42</v>
      </c>
      <c r="E175" s="390" t="s">
        <v>229</v>
      </c>
      <c r="F175" s="390"/>
      <c r="G175" s="390" t="s">
        <v>20</v>
      </c>
      <c r="H175" s="390" t="s">
        <v>501</v>
      </c>
      <c r="I175" s="393">
        <v>17037</v>
      </c>
      <c r="J175" s="368" t="s">
        <v>218</v>
      </c>
      <c r="K175" s="330">
        <f>IF(G175="L",'US CBAs'!$F$73,
IF(AND(E175="Friendly",F175="T1",G175="W"),'US CBAs'!$F$68,
IF(AND(E175="Friendly",F175="T2",G175="W"),'US CBAs'!$F$69,
IF(AND(E175="Friendly",F175="",G175="W"),'US CBAs'!$F$70,
IF(AND(E175="Friendly",F175="T1",G175="D"),'US CBAs'!$F$71,
IF(AND(E175="Friendly",F175="",G175="D"),'US CBAs'!$F$72,
IF(AND(E175="Gold Cup",F175="T1",G175="W"),'US CBAs'!$F$78,
IF(AND(E175="Gold Cup",F175="",G175="W"),'US CBAs'!$F$79,
IF(AND(E175="Gold Cup",G175="D"),'US CBAs'!$F$80,
IF(AND(E175="Nations League",F175="T1",G175="W"),'US CBAs'!$F$78,
IF(AND(E175="Nations League",F175="",G175="W"),'US CBAs'!$F$79,
IF(AND(E175="Nations League",G175="D"),'US CBAs'!$F$80,
IF(AND(E175="Copa America",F175="",G175="W"),'US CBAs'!$F$85,
IF(AND(E175="Copa America",G175="D"),'US CBAs'!$F$86,
IF(AND(E175="WCQ SF",G175="W"),'US CBAs'!$F$94,
IF(AND(E175="WCQ SF",G175="D"),'US CBAs'!$F$95,
IF(AND(E175="WCQ Hex",G175="W"),'US CBAs'!$F$98,
IF(AND(E175="WCQ Hex",G175="D"),'US CBAs'!$F$99,
IF(E175="World Cup",'US CBAs'!$F$104,
0))))))))))))))))
)))</f>
        <v>9375</v>
      </c>
      <c r="L175" s="309">
        <v>23</v>
      </c>
      <c r="M175" s="380">
        <f t="shared" si="16"/>
        <v>215625</v>
      </c>
      <c r="N175" s="330">
        <f>IF(J175="",I175*'US CBAs'!$G$118,0)</f>
        <v>0</v>
      </c>
      <c r="O175" s="394">
        <f t="shared" si="17"/>
        <v>215625</v>
      </c>
      <c r="P175" s="41"/>
      <c r="Q175" s="40"/>
      <c r="R175" s="40"/>
      <c r="S175" s="40"/>
      <c r="T175" s="228"/>
    </row>
    <row r="176" spans="1:20" s="361" customFormat="1" x14ac:dyDescent="0.35">
      <c r="A176" s="390" t="s">
        <v>223</v>
      </c>
      <c r="B176" s="391">
        <v>30</v>
      </c>
      <c r="C176" s="392">
        <v>2019</v>
      </c>
      <c r="D176" s="390" t="s">
        <v>511</v>
      </c>
      <c r="E176" s="390" t="s">
        <v>229</v>
      </c>
      <c r="F176" s="390"/>
      <c r="G176" s="390" t="s">
        <v>20</v>
      </c>
      <c r="H176" s="390" t="s">
        <v>484</v>
      </c>
      <c r="I176" s="393">
        <v>26233</v>
      </c>
      <c r="J176" s="368" t="s">
        <v>218</v>
      </c>
      <c r="K176" s="330">
        <f>IF(G176="L",'US CBAs'!$F$73,
IF(AND(E176="Friendly",F176="T1",G176="W"),'US CBAs'!$F$68,
IF(AND(E176="Friendly",F176="T2",G176="W"),'US CBAs'!$F$69,
IF(AND(E176="Friendly",F176="",G176="W"),'US CBAs'!$F$70,
IF(AND(E176="Friendly",F176="T1",G176="D"),'US CBAs'!$F$71,
IF(AND(E176="Friendly",F176="",G176="D"),'US CBAs'!$F$72,
IF(AND(E176="Gold Cup",F176="T1",G176="W"),'US CBAs'!$F$78,
IF(AND(E176="Gold Cup",F176="",G176="W"),'US CBAs'!$F$79,
IF(AND(E176="Gold Cup",G176="D"),'US CBAs'!$F$80,
IF(AND(E176="Nations League",F176="T1",G176="W"),'US CBAs'!$F$78,
IF(AND(E176="Nations League",F176="",G176="W"),'US CBAs'!$F$79,
IF(AND(E176="Nations League",G176="D"),'US CBAs'!$F$80,
IF(AND(E176="Copa America",F176="",G176="W"),'US CBAs'!$F$85,
IF(AND(E176="Copa America",G176="D"),'US CBAs'!$F$86,
IF(AND(E176="WCQ SF",G176="W"),'US CBAs'!$F$94,
IF(AND(E176="WCQ SF",G176="D"),'US CBAs'!$F$95,
IF(AND(E176="WCQ Hex",G176="W"),'US CBAs'!$F$98,
IF(AND(E176="WCQ Hex",G176="D"),'US CBAs'!$F$99,
IF(E176="World Cup",'US CBAs'!$F$104,
0))))))))))))))))
)))</f>
        <v>9375</v>
      </c>
      <c r="L176" s="309">
        <v>23</v>
      </c>
      <c r="M176" s="380">
        <f t="shared" si="16"/>
        <v>215625</v>
      </c>
      <c r="N176" s="330">
        <f>IF(J176="",I176*'US CBAs'!$G$118,0)</f>
        <v>0</v>
      </c>
      <c r="O176" s="394">
        <f t="shared" si="17"/>
        <v>215625</v>
      </c>
      <c r="P176" s="41"/>
      <c r="Q176" s="40"/>
      <c r="R176" s="40"/>
      <c r="S176" s="40"/>
      <c r="T176" s="228"/>
    </row>
    <row r="177" spans="1:32" s="361" customFormat="1" x14ac:dyDescent="0.35">
      <c r="A177" s="390" t="s">
        <v>230</v>
      </c>
      <c r="B177" s="391">
        <v>3</v>
      </c>
      <c r="C177" s="392">
        <v>2019</v>
      </c>
      <c r="D177" s="390" t="s">
        <v>40</v>
      </c>
      <c r="E177" s="390" t="s">
        <v>229</v>
      </c>
      <c r="F177" s="390"/>
      <c r="G177" s="390" t="s">
        <v>20</v>
      </c>
      <c r="H177" s="390" t="s">
        <v>486</v>
      </c>
      <c r="I177" s="393">
        <v>28473</v>
      </c>
      <c r="J177" s="368" t="s">
        <v>218</v>
      </c>
      <c r="K177" s="330">
        <f>IF(G177="L",'US CBAs'!$F$73,
IF(AND(E177="Friendly",F177="T1",G177="W"),'US CBAs'!$F$68,
IF(AND(E177="Friendly",F177="T2",G177="W"),'US CBAs'!$F$69,
IF(AND(E177="Friendly",F177="",G177="W"),'US CBAs'!$F$70,
IF(AND(E177="Friendly",F177="T1",G177="D"),'US CBAs'!$F$71,
IF(AND(E177="Friendly",F177="",G177="D"),'US CBAs'!$F$72,
IF(AND(E177="Gold Cup",F177="T1",G177="W"),'US CBAs'!$F$78,
IF(AND(E177="Gold Cup",F177="",G177="W"),'US CBAs'!$F$79,
IF(AND(E177="Gold Cup",G177="D"),'US CBAs'!$F$80,
IF(AND(E177="Nations League",F177="T1",G177="W"),'US CBAs'!$F$78,
IF(AND(E177="Nations League",F177="",G177="W"),'US CBAs'!$F$79,
IF(AND(E177="Nations League",G177="D"),'US CBAs'!$F$80,
IF(AND(E177="Copa America",F177="",G177="W"),'US CBAs'!$F$85,
IF(AND(E177="Copa America",G177="D"),'US CBAs'!$F$86,
IF(AND(E177="WCQ SF",G177="W"),'US CBAs'!$F$94,
IF(AND(E177="WCQ SF",G177="D"),'US CBAs'!$F$95,
IF(AND(E177="WCQ Hex",G177="W"),'US CBAs'!$F$98,
IF(AND(E177="WCQ Hex",G177="D"),'US CBAs'!$F$99,
IF(E177="World Cup",'US CBAs'!$F$104,
0))))))))))))))))
)))</f>
        <v>9375</v>
      </c>
      <c r="L177" s="309">
        <v>23</v>
      </c>
      <c r="M177" s="380">
        <f t="shared" si="16"/>
        <v>215625</v>
      </c>
      <c r="N177" s="330">
        <f>IF(J177="",I177*'US CBAs'!$G$118,0)</f>
        <v>0</v>
      </c>
      <c r="O177" s="394">
        <f t="shared" si="17"/>
        <v>215625</v>
      </c>
      <c r="P177" s="41"/>
      <c r="Q177" s="40"/>
      <c r="R177" s="40"/>
      <c r="S177" s="40"/>
      <c r="T177" s="228"/>
      <c r="X177" s="18"/>
    </row>
    <row r="178" spans="1:32" s="361" customFormat="1" x14ac:dyDescent="0.35">
      <c r="A178" s="390" t="s">
        <v>230</v>
      </c>
      <c r="B178" s="391">
        <v>7</v>
      </c>
      <c r="C178" s="392">
        <v>2019</v>
      </c>
      <c r="D178" s="390" t="s">
        <v>35</v>
      </c>
      <c r="E178" s="390" t="s">
        <v>229</v>
      </c>
      <c r="F178" s="390" t="s">
        <v>28</v>
      </c>
      <c r="G178" s="390" t="s">
        <v>33</v>
      </c>
      <c r="H178" s="390" t="s">
        <v>487</v>
      </c>
      <c r="I178" s="393">
        <v>62493</v>
      </c>
      <c r="J178" s="368" t="s">
        <v>218</v>
      </c>
      <c r="K178" s="330">
        <f>IF(G178="L",'US CBAs'!$F$73,
IF(AND(E178="Friendly",F178="T1",G178="W"),'US CBAs'!$F$68,
IF(AND(E178="Friendly",F178="T2",G178="W"),'US CBAs'!$F$69,
IF(AND(E178="Friendly",F178="",G178="W"),'US CBAs'!$F$70,
IF(AND(E178="Friendly",F178="T1",G178="D"),'US CBAs'!$F$71,
IF(AND(E178="Friendly",F178="",G178="D"),'US CBAs'!$F$72,
IF(AND(E178="Gold Cup",F178="T1",G178="W"),'US CBAs'!$F$78,
IF(AND(E178="Gold Cup",F178="",G178="W"),'US CBAs'!$F$79,
IF(AND(E178="Gold Cup",G178="D"),'US CBAs'!$F$80,
IF(AND(E178="Nations League",F178="T1",G178="W"),'US CBAs'!$F$78,
IF(AND(E178="Nations League",F178="",G178="W"),'US CBAs'!$F$79,
IF(AND(E178="Nations League",G178="D"),'US CBAs'!$F$80,
IF(AND(E178="Copa America",F178="",G178="W"),'US CBAs'!$F$85,
IF(AND(E178="Copa America",G178="D"),'US CBAs'!$F$86,
IF(AND(E178="WCQ SF",G178="W"),'US CBAs'!$F$94,
IF(AND(E178="WCQ SF",G178="D"),'US CBAs'!$F$95,
IF(AND(E178="WCQ Hex",G178="W"),'US CBAs'!$F$98,
IF(AND(E178="WCQ Hex",G178="D"),'US CBAs'!$F$99,
IF(E178="World Cup",'US CBAs'!$F$104,
0))))))))))))))))
)))</f>
        <v>5000</v>
      </c>
      <c r="L178" s="309">
        <v>23</v>
      </c>
      <c r="M178" s="380">
        <f t="shared" si="16"/>
        <v>115000</v>
      </c>
      <c r="N178" s="330">
        <f>IF(J178="",I178*'US CBAs'!$G$118,0)</f>
        <v>0</v>
      </c>
      <c r="O178" s="394">
        <f t="shared" si="17"/>
        <v>115000</v>
      </c>
      <c r="P178" s="41"/>
      <c r="Q178" s="40"/>
      <c r="R178" s="40"/>
      <c r="S178" s="40"/>
      <c r="T178" s="228"/>
    </row>
    <row r="179" spans="1:32" s="361" customFormat="1" x14ac:dyDescent="0.35">
      <c r="A179" s="390" t="s">
        <v>222</v>
      </c>
      <c r="B179" s="391">
        <v>6</v>
      </c>
      <c r="C179" s="392">
        <v>2019</v>
      </c>
      <c r="D179" s="390" t="s">
        <v>35</v>
      </c>
      <c r="E179" s="390" t="s">
        <v>220</v>
      </c>
      <c r="F179" s="390" t="s">
        <v>28</v>
      </c>
      <c r="G179" s="390" t="s">
        <v>33</v>
      </c>
      <c r="H179" s="390" t="s">
        <v>485</v>
      </c>
      <c r="I179" s="393">
        <v>47960</v>
      </c>
      <c r="J179" s="368"/>
      <c r="K179" s="330">
        <f>IF(G179="L",'US CBAs'!$F$73,
IF(AND(E179="Friendly",F179="T1",G179="W"),'US CBAs'!$F$68,
IF(AND(E179="Friendly",F179="T2",G179="W"),'US CBAs'!$F$69,
IF(AND(E179="Friendly",F179="",G179="W"),'US CBAs'!$F$70,
IF(AND(E179="Friendly",F179="T1",G179="D"),'US CBAs'!$F$71,
IF(AND(E179="Friendly",F179="",G179="D"),'US CBAs'!$F$72,
IF(AND(E179="Gold Cup",F179="T1",G179="W"),'US CBAs'!$F$78,
IF(AND(E179="Gold Cup",F179="",G179="W"),'US CBAs'!$F$79,
IF(AND(E179="Gold Cup",G179="D"),'US CBAs'!$F$80,
IF(AND(E179="Nations League",F179="T1",G179="W"),'US CBAs'!$F$78,
IF(AND(E179="Nations League",F179="",G179="W"),'US CBAs'!$F$79,
IF(AND(E179="Nations League",G179="D"),'US CBAs'!$F$80,
IF(AND(E179="Copa America",F179="",G179="W"),'US CBAs'!$F$85,
IF(AND(E179="Copa America",G179="D"),'US CBAs'!$F$86,
IF(AND(E179="WCQ SF",G179="W"),'US CBAs'!$F$94,
IF(AND(E179="WCQ SF",G179="D"),'US CBAs'!$F$95,
IF(AND(E179="WCQ Hex",G179="W"),'US CBAs'!$F$98,
IF(AND(E179="WCQ Hex",G179="D"),'US CBAs'!$F$99,
IF(E179="World Cup",'US CBAs'!$F$104,
0))))))))))))))))
)))</f>
        <v>5000</v>
      </c>
      <c r="L179" s="309">
        <v>20</v>
      </c>
      <c r="M179" s="380">
        <f t="shared" si="16"/>
        <v>100000</v>
      </c>
      <c r="N179" s="330">
        <f>IF(J179="",I179*'US CBAs'!$G$118,0)</f>
        <v>71940</v>
      </c>
      <c r="O179" s="394">
        <f t="shared" si="17"/>
        <v>171940</v>
      </c>
      <c r="P179" s="41"/>
      <c r="Q179" s="40"/>
      <c r="R179" s="40"/>
      <c r="S179" s="40"/>
      <c r="T179" s="228"/>
    </row>
    <row r="180" spans="1:32" s="361" customFormat="1" x14ac:dyDescent="0.35">
      <c r="A180" s="390" t="s">
        <v>222</v>
      </c>
      <c r="B180" s="391">
        <v>10</v>
      </c>
      <c r="C180" s="392">
        <v>2019</v>
      </c>
      <c r="D180" s="390" t="s">
        <v>512</v>
      </c>
      <c r="E180" s="390" t="s">
        <v>220</v>
      </c>
      <c r="F180" s="390"/>
      <c r="G180" s="390" t="s">
        <v>83</v>
      </c>
      <c r="H180" s="390" t="s">
        <v>501</v>
      </c>
      <c r="I180" s="393">
        <v>20625</v>
      </c>
      <c r="J180" s="368"/>
      <c r="K180" s="330">
        <f>IF(G180="L",'US CBAs'!$F$73,
IF(AND(E180="Friendly",F180="T1",G180="W"),'US CBAs'!$F$68,
IF(AND(E180="Friendly",F180="T2",G180="W"),'US CBAs'!$F$69,
IF(AND(E180="Friendly",F180="",G180="W"),'US CBAs'!$F$70,
IF(AND(E180="Friendly",F180="T1",G180="D"),'US CBAs'!$F$71,
IF(AND(E180="Friendly",F180="",G180="D"),'US CBAs'!$F$72,
IF(AND(E180="Gold Cup",F180="T1",G180="W"),'US CBAs'!$F$78,
IF(AND(E180="Gold Cup",F180="",G180="W"),'US CBAs'!$F$79,
IF(AND(E180="Gold Cup",G180="D"),'US CBAs'!$F$80,
IF(AND(E180="Nations League",F180="T1",G180="W"),'US CBAs'!$F$78,
IF(AND(E180="Nations League",F180="",G180="W"),'US CBAs'!$F$79,
IF(AND(E180="Nations League",G180="D"),'US CBAs'!$F$80,
IF(AND(E180="Copa America",F180="",G180="W"),'US CBAs'!$F$85,
IF(AND(E180="Copa America",G180="D"),'US CBAs'!$F$86,
IF(AND(E180="WCQ SF",G180="W"),'US CBAs'!$F$94,
IF(AND(E180="WCQ SF",G180="D"),'US CBAs'!$F$95,
IF(AND(E180="WCQ Hex",G180="W"),'US CBAs'!$F$98,
IF(AND(E180="WCQ Hex",G180="D"),'US CBAs'!$F$99,
IF(E180="World Cup",'US CBAs'!$F$104,
0))))))))))))))))
)))</f>
        <v>6250</v>
      </c>
      <c r="L180" s="309">
        <v>20</v>
      </c>
      <c r="M180" s="380">
        <f t="shared" si="16"/>
        <v>125000</v>
      </c>
      <c r="N180" s="330">
        <f>IF(J180="",I180*'US CBAs'!$G$118,0)</f>
        <v>30937.5</v>
      </c>
      <c r="O180" s="394">
        <f t="shared" si="17"/>
        <v>155937.5</v>
      </c>
      <c r="P180" s="41"/>
      <c r="Q180" s="40"/>
      <c r="R180" s="40"/>
      <c r="S180" s="40"/>
      <c r="T180" s="228"/>
    </row>
    <row r="181" spans="1:32" s="41" customFormat="1" x14ac:dyDescent="0.35">
      <c r="A181" s="390" t="s">
        <v>189</v>
      </c>
      <c r="B181" s="391">
        <v>11</v>
      </c>
      <c r="C181" s="392">
        <v>2019</v>
      </c>
      <c r="D181" s="390" t="s">
        <v>45</v>
      </c>
      <c r="E181" s="390" t="s">
        <v>513</v>
      </c>
      <c r="F181" s="390"/>
      <c r="G181" s="390" t="s">
        <v>20</v>
      </c>
      <c r="H181" s="390" t="s">
        <v>491</v>
      </c>
      <c r="I181" s="393">
        <v>13784</v>
      </c>
      <c r="J181" s="368" t="s">
        <v>218</v>
      </c>
      <c r="K181" s="330">
        <f>IF(G181="L",'US CBAs'!$F$73,
IF(AND(E181="Friendly",F181="T1",G181="W"),'US CBAs'!$F$68,
IF(AND(E181="Friendly",F181="T2",G181="W"),'US CBAs'!$F$69,
IF(AND(E181="Friendly",F181="",G181="W"),'US CBAs'!$F$70,
IF(AND(E181="Friendly",F181="T1",G181="D"),'US CBAs'!$F$71,
IF(AND(E181="Friendly",F181="",G181="D"),'US CBAs'!$F$72,
IF(AND(E181="Gold Cup",F181="T1",G181="W"),'US CBAs'!$F$78,
IF(AND(E181="Gold Cup",F181="",G181="W"),'US CBAs'!$F$79,
IF(AND(E181="Gold Cup",G181="D"),'US CBAs'!$F$80,
IF(AND(E181="Nations League",F181="T1",G181="W"),'US CBAs'!$F$78,
IF(AND(E181="Nations League",F181="",G181="W"),'US CBAs'!$F$79,
IF(AND(E181="Nations League",G181="D"),'US CBAs'!$F$80,
IF(AND(E181="Copa America",F181="",G181="W"),'US CBAs'!$F$85,
IF(AND(E181="Copa America",G181="D"),'US CBAs'!$F$86,
IF(AND(E181="WCQ SF",G181="W"),'US CBAs'!$F$94,
IF(AND(E181="WCQ SF",G181="D"),'US CBAs'!$F$95,
IF(AND(E181="WCQ Hex",G181="W"),'US CBAs'!$F$98,
IF(AND(E181="WCQ Hex",G181="D"),'US CBAs'!$F$99,
IF(E181="World Cup",'US CBAs'!$F$104,
0))))))))))))))))
)))</f>
        <v>9375</v>
      </c>
      <c r="L181" s="309">
        <v>23</v>
      </c>
      <c r="M181" s="380">
        <f t="shared" si="16"/>
        <v>215625</v>
      </c>
      <c r="N181" s="330">
        <f>IF(J181="",I181*'US CBAs'!$G$118,0)</f>
        <v>0</v>
      </c>
      <c r="O181" s="394">
        <f t="shared" si="17"/>
        <v>215625</v>
      </c>
      <c r="Q181" s="40"/>
      <c r="R181" s="40"/>
      <c r="S181" s="40"/>
      <c r="T181" s="228"/>
      <c r="U181" s="18"/>
      <c r="V181" s="367"/>
      <c r="W181" s="367"/>
      <c r="X181" s="367"/>
      <c r="Y181" s="367"/>
      <c r="Z181" s="367"/>
      <c r="AA181" s="367"/>
      <c r="AB181" s="367"/>
      <c r="AC181" s="367"/>
      <c r="AD181" s="367"/>
      <c r="AE181" s="367"/>
      <c r="AF181" s="367"/>
    </row>
    <row r="182" spans="1:32" s="41" customFormat="1" x14ac:dyDescent="0.35">
      <c r="A182" s="390" t="s">
        <v>189</v>
      </c>
      <c r="B182" s="391">
        <v>15</v>
      </c>
      <c r="C182" s="392">
        <v>2019</v>
      </c>
      <c r="D182" s="390" t="s">
        <v>29</v>
      </c>
      <c r="E182" s="390" t="s">
        <v>513</v>
      </c>
      <c r="F182" s="390"/>
      <c r="G182" s="390" t="s">
        <v>33</v>
      </c>
      <c r="H182" s="390" t="s">
        <v>29</v>
      </c>
      <c r="I182" s="324">
        <v>17126</v>
      </c>
      <c r="J182" s="368" t="s">
        <v>218</v>
      </c>
      <c r="K182" s="330">
        <f>IF(G182="L",'US CBAs'!$F$73,
IF(AND(E182="Friendly",F182="T1",G182="W"),'US CBAs'!$F$68,
IF(AND(E182="Friendly",F182="T2",G182="W"),'US CBAs'!$F$69,
IF(AND(E182="Friendly",F182="",G182="W"),'US CBAs'!$F$70,
IF(AND(E182="Friendly",F182="T1",G182="D"),'US CBAs'!$F$71,
IF(AND(E182="Friendly",F182="",G182="D"),'US CBAs'!$F$72,
IF(AND(E182="Gold Cup",F182="T1",G182="W"),'US CBAs'!$F$78,
IF(AND(E182="Gold Cup",F182="",G182="W"),'US CBAs'!$F$79,
IF(AND(E182="Gold Cup",G182="D"),'US CBAs'!$F$80,
IF(AND(E182="Nations League",F182="T1",G182="W"),'US CBAs'!$F$78,
IF(AND(E182="Nations League",F182="",G182="W"),'US CBAs'!$F$79,
IF(AND(E182="Nations League",G182="D"),'US CBAs'!$F$80,
IF(AND(E182="Copa America",F182="",G182="W"),'US CBAs'!$F$85,
IF(AND(E182="Copa America",G182="D"),'US CBAs'!$F$86,
IF(AND(E182="WCQ SF",G182="W"),'US CBAs'!$F$94,
IF(AND(E182="WCQ SF",G182="D"),'US CBAs'!$F$95,
IF(AND(E182="WCQ Hex",G182="W"),'US CBAs'!$F$98,
IF(AND(E182="WCQ Hex",G182="D"),'US CBAs'!$F$99,
IF(E182="World Cup",'US CBAs'!$F$104,
0))))))))))))))))
)))</f>
        <v>5000</v>
      </c>
      <c r="L182" s="309">
        <v>23</v>
      </c>
      <c r="M182" s="380">
        <f t="shared" si="16"/>
        <v>115000</v>
      </c>
      <c r="N182" s="330">
        <f>IF(J182="",I182*'US CBAs'!$G$118,0)</f>
        <v>0</v>
      </c>
      <c r="O182" s="394">
        <f t="shared" si="17"/>
        <v>115000</v>
      </c>
      <c r="Q182" s="40"/>
      <c r="R182" s="40"/>
      <c r="S182" s="40"/>
      <c r="T182" s="228"/>
      <c r="U182" s="18"/>
      <c r="V182" s="367"/>
      <c r="W182" s="367"/>
      <c r="X182" s="367"/>
      <c r="Y182" s="367"/>
      <c r="Z182" s="367"/>
      <c r="AA182" s="367"/>
      <c r="AB182" s="367"/>
      <c r="AC182" s="367"/>
      <c r="AD182" s="367"/>
      <c r="AE182" s="367"/>
      <c r="AF182" s="367"/>
    </row>
    <row r="183" spans="1:32" x14ac:dyDescent="0.35">
      <c r="A183" s="390" t="s">
        <v>190</v>
      </c>
      <c r="B183" s="391">
        <v>15</v>
      </c>
      <c r="C183" s="392">
        <v>2019</v>
      </c>
      <c r="D183" s="390" t="s">
        <v>29</v>
      </c>
      <c r="E183" s="390" t="s">
        <v>513</v>
      </c>
      <c r="F183" s="390"/>
      <c r="G183" s="390" t="s">
        <v>20</v>
      </c>
      <c r="H183" s="390" t="s">
        <v>482</v>
      </c>
      <c r="I183" s="393">
        <v>13103</v>
      </c>
      <c r="J183" s="368" t="s">
        <v>218</v>
      </c>
      <c r="K183" s="330">
        <f>IF(G183="L",'US CBAs'!$F$73,
IF(AND(E183="Friendly",F183="T1",G183="W"),'US CBAs'!$F$68,
IF(AND(E183="Friendly",F183="T2",G183="W"),'US CBAs'!$F$69,
IF(AND(E183="Friendly",F183="",G183="W"),'US CBAs'!$F$70,
IF(AND(E183="Friendly",F183="T1",G183="D"),'US CBAs'!$F$71,
IF(AND(E183="Friendly",F183="",G183="D"),'US CBAs'!$F$72,
IF(AND(E183="Gold Cup",F183="T1",G183="W"),'US CBAs'!$F$78,
IF(AND(E183="Gold Cup",F183="",G183="W"),'US CBAs'!$F$79,
IF(AND(E183="Gold Cup",G183="D"),'US CBAs'!$F$80,
IF(AND(E183="Nations League",F183="T1",G183="W"),'US CBAs'!$F$78,
IF(AND(E183="Nations League",F183="",G183="W"),'US CBAs'!$F$79,
IF(AND(E183="Nations League",G183="D"),'US CBAs'!$F$80,
IF(AND(E183="Copa America",F183="",G183="W"),'US CBAs'!$F$85,
IF(AND(E183="Copa America",G183="D"),'US CBAs'!$F$86,
IF(AND(E183="WCQ SF",G183="W"),'US CBAs'!$F$94,
IF(AND(E183="WCQ SF",G183="D"),'US CBAs'!$F$95,
IF(AND(E183="WCQ Hex",G183="W"),'US CBAs'!$F$98,
IF(AND(E183="WCQ Hex",G183="D"),'US CBAs'!$F$99,
IF(E183="World Cup",'US CBAs'!$F$104,
0))))))))))))))))
)))</f>
        <v>9375</v>
      </c>
      <c r="L183" s="309">
        <v>23</v>
      </c>
      <c r="M183" s="380">
        <f t="shared" si="16"/>
        <v>215625</v>
      </c>
      <c r="N183" s="330">
        <f>IF(J183="",I183*'US CBAs'!$G$118,0)</f>
        <v>0</v>
      </c>
      <c r="O183" s="394">
        <f t="shared" si="17"/>
        <v>215625</v>
      </c>
    </row>
    <row r="184" spans="1:32" x14ac:dyDescent="0.35">
      <c r="A184" s="390" t="s">
        <v>190</v>
      </c>
      <c r="B184" s="391">
        <v>19</v>
      </c>
      <c r="C184" s="392">
        <v>2019</v>
      </c>
      <c r="D184" s="390" t="s">
        <v>45</v>
      </c>
      <c r="E184" s="390" t="s">
        <v>513</v>
      </c>
      <c r="F184" s="390"/>
      <c r="G184" s="390" t="s">
        <v>20</v>
      </c>
      <c r="H184" s="390" t="s">
        <v>572</v>
      </c>
      <c r="I184" s="393" t="s">
        <v>235</v>
      </c>
      <c r="J184" s="368" t="s">
        <v>218</v>
      </c>
      <c r="K184" s="330">
        <f>IF(G184="L",'US CBAs'!$F$73,
IF(AND(E184="Friendly",F184="T1",G184="W"),'US CBAs'!$F$68,
IF(AND(E184="Friendly",F184="T2",G184="W"),'US CBAs'!$F$69,
IF(AND(E184="Friendly",F184="",G184="W"),'US CBAs'!$F$70,
IF(AND(E184="Friendly",F184="T1",G184="D"),'US CBAs'!$F$71,
IF(AND(E184="Friendly",F184="",G184="D"),'US CBAs'!$F$72,
IF(AND(E184="Gold Cup",F184="T1",G184="W"),'US CBAs'!$F$78,
IF(AND(E184="Gold Cup",F184="",G184="W"),'US CBAs'!$F$79,
IF(AND(E184="Gold Cup",G184="D"),'US CBAs'!$F$80,
IF(AND(E184="Nations League",F184="T1",G184="W"),'US CBAs'!$F$78,
IF(AND(E184="Nations League",F184="",G184="W"),'US CBAs'!$F$79,
IF(AND(E184="Nations League",G184="D"),'US CBAs'!$F$80,
IF(AND(E184="Copa America",F184="",G184="W"),'US CBAs'!$F$85,
IF(AND(E184="Copa America",G184="D"),'US CBAs'!$F$86,
IF(AND(E184="WCQ SF",G184="W"),'US CBAs'!$F$94,
IF(AND(E184="WCQ SF",G184="D"),'US CBAs'!$F$95,
IF(AND(E184="WCQ Hex",G184="W"),'US CBAs'!$F$98,
IF(AND(E184="WCQ Hex",G184="D"),'US CBAs'!$F$99,
IF(E184="World Cup",'US CBAs'!$F$104,
0))))))))))))))))
)))</f>
        <v>9375</v>
      </c>
      <c r="L184" s="309">
        <v>23</v>
      </c>
      <c r="M184" s="380">
        <f t="shared" si="16"/>
        <v>215625</v>
      </c>
      <c r="N184" s="330">
        <f>IF(J184="",I184*'US CBAs'!$G$118,0)</f>
        <v>0</v>
      </c>
      <c r="O184" s="394">
        <f t="shared" si="17"/>
        <v>215625</v>
      </c>
    </row>
    <row r="185" spans="1:32" x14ac:dyDescent="0.35">
      <c r="A185" s="390"/>
      <c r="B185" s="391"/>
      <c r="C185" s="392"/>
      <c r="D185" s="411" t="s">
        <v>586</v>
      </c>
      <c r="E185" s="390"/>
      <c r="F185" s="390"/>
      <c r="G185" s="390"/>
      <c r="H185" s="390"/>
      <c r="I185" s="393"/>
      <c r="J185" s="368"/>
      <c r="K185" s="54">
        <f>'US CBAs'!$F$75</f>
        <v>1875</v>
      </c>
      <c r="L185" s="408">
        <v>10</v>
      </c>
      <c r="M185" s="409">
        <f t="shared" si="16"/>
        <v>18750</v>
      </c>
      <c r="N185" s="330">
        <f>IF(J185="",I185*'US CBAs'!$G$118,0)</f>
        <v>0</v>
      </c>
      <c r="O185" s="410">
        <f t="shared" si="17"/>
        <v>18750</v>
      </c>
    </row>
    <row r="186" spans="1:32" x14ac:dyDescent="0.35">
      <c r="A186" s="289" t="s">
        <v>24</v>
      </c>
      <c r="B186" s="290"/>
      <c r="C186" s="290"/>
      <c r="D186" s="289"/>
      <c r="E186" s="289"/>
      <c r="F186" s="289"/>
      <c r="G186" s="289"/>
      <c r="H186" s="289"/>
      <c r="I186" s="291"/>
      <c r="J186" s="289"/>
      <c r="K186" s="289"/>
      <c r="L186" s="289"/>
      <c r="M186" s="292">
        <f>SUBTOTAL(109,metable[Game pay])</f>
        <v>29474347</v>
      </c>
      <c r="N186" s="204">
        <f>SUBTOTAL(109,metable[Att bonus])</f>
        <v>2577067.5</v>
      </c>
      <c r="O186" s="292">
        <f>SUBTOTAL(109,metable[TEAM PAY])</f>
        <v>32051414.5</v>
      </c>
    </row>
    <row r="188" spans="1:32" x14ac:dyDescent="0.35">
      <c r="G188" s="344"/>
      <c r="H188" s="419"/>
      <c r="I188" s="39"/>
      <c r="J188" s="420"/>
      <c r="K188" s="79" t="s">
        <v>460</v>
      </c>
      <c r="L188" s="421"/>
      <c r="M188" s="420"/>
      <c r="N188" s="39"/>
      <c r="O188" s="340">
        <v>1035000</v>
      </c>
    </row>
    <row r="189" spans="1:32" x14ac:dyDescent="0.35">
      <c r="G189" s="344"/>
      <c r="H189" s="419"/>
      <c r="I189" s="39"/>
      <c r="J189" s="422"/>
      <c r="K189" s="79" t="s">
        <v>416</v>
      </c>
      <c r="L189" s="421"/>
      <c r="M189" s="422"/>
      <c r="N189" s="39"/>
      <c r="O189" s="340">
        <v>2800000</v>
      </c>
    </row>
    <row r="190" spans="1:32" x14ac:dyDescent="0.35">
      <c r="G190" s="344"/>
      <c r="H190" s="360"/>
      <c r="I190" s="39"/>
      <c r="J190" s="422"/>
      <c r="K190" s="79" t="s">
        <v>417</v>
      </c>
      <c r="L190" s="423"/>
      <c r="M190" s="422"/>
      <c r="N190" s="39"/>
      <c r="O190" s="340">
        <v>92000</v>
      </c>
    </row>
    <row r="191" spans="1:32" ht="13.15" customHeight="1" x14ac:dyDescent="0.35">
      <c r="G191" s="344"/>
      <c r="H191" s="360"/>
      <c r="I191" s="39"/>
      <c r="J191" s="422"/>
      <c r="K191" s="79" t="s">
        <v>418</v>
      </c>
      <c r="L191" s="423"/>
      <c r="M191" s="422"/>
      <c r="N191" s="39"/>
      <c r="O191" s="340">
        <v>207000</v>
      </c>
    </row>
    <row r="192" spans="1:32" ht="12.75" customHeight="1" x14ac:dyDescent="0.35">
      <c r="G192" s="344"/>
      <c r="H192" s="419"/>
      <c r="I192" s="39"/>
      <c r="J192" s="422"/>
      <c r="K192" s="79" t="s">
        <v>419</v>
      </c>
      <c r="L192" s="421"/>
      <c r="M192" s="422"/>
      <c r="N192" s="39"/>
      <c r="O192" s="340">
        <v>1265000</v>
      </c>
    </row>
    <row r="193" spans="7:15" x14ac:dyDescent="0.35">
      <c r="G193" s="344"/>
      <c r="H193" s="419"/>
      <c r="I193" s="39"/>
      <c r="J193" s="422"/>
      <c r="K193" s="79" t="s">
        <v>461</v>
      </c>
      <c r="L193" s="421"/>
      <c r="M193" s="422"/>
      <c r="N193" s="39"/>
      <c r="O193" s="228">
        <v>2000000</v>
      </c>
    </row>
    <row r="194" spans="7:15" ht="13.15" customHeight="1" x14ac:dyDescent="0.35">
      <c r="G194" s="344"/>
      <c r="H194" s="344"/>
      <c r="I194" s="39"/>
      <c r="J194" s="422"/>
      <c r="K194" s="79" t="s">
        <v>462</v>
      </c>
      <c r="L194" s="424"/>
      <c r="M194" s="422"/>
      <c r="N194" s="39"/>
      <c r="O194" s="340">
        <v>3600000</v>
      </c>
    </row>
    <row r="195" spans="7:15" x14ac:dyDescent="0.35">
      <c r="G195" s="344"/>
      <c r="H195" s="360"/>
      <c r="I195" s="39"/>
      <c r="J195" s="422"/>
      <c r="K195" s="79" t="s">
        <v>420</v>
      </c>
      <c r="L195" s="423"/>
      <c r="M195" s="422"/>
      <c r="N195" s="39"/>
      <c r="O195" s="340">
        <v>700000</v>
      </c>
    </row>
    <row r="196" spans="7:15" x14ac:dyDescent="0.35">
      <c r="G196" s="344"/>
      <c r="H196" s="425"/>
      <c r="I196" s="39"/>
      <c r="J196" s="422"/>
      <c r="K196" s="79" t="s">
        <v>463</v>
      </c>
      <c r="L196" s="423"/>
      <c r="M196" s="422"/>
      <c r="N196" s="39"/>
      <c r="O196" s="340">
        <v>287500</v>
      </c>
    </row>
    <row r="197" spans="7:15" x14ac:dyDescent="0.35">
      <c r="G197" s="344"/>
      <c r="H197" s="360"/>
      <c r="I197" s="39"/>
      <c r="J197" s="422"/>
      <c r="K197" s="79" t="s">
        <v>421</v>
      </c>
      <c r="L197" s="423"/>
      <c r="M197" s="422"/>
      <c r="N197" s="39"/>
      <c r="O197" s="340">
        <v>158125</v>
      </c>
    </row>
    <row r="198" spans="7:15" ht="13.15" customHeight="1" x14ac:dyDescent="0.35">
      <c r="G198" s="344"/>
      <c r="H198" s="360"/>
      <c r="I198" s="39"/>
      <c r="J198" s="422"/>
      <c r="K198" s="79" t="s">
        <v>422</v>
      </c>
      <c r="L198" s="423"/>
      <c r="M198" s="422"/>
      <c r="N198" s="39"/>
      <c r="O198" s="340">
        <v>258750</v>
      </c>
    </row>
    <row r="199" spans="7:15" x14ac:dyDescent="0.35">
      <c r="I199" s="39"/>
      <c r="K199" s="79" t="s">
        <v>587</v>
      </c>
      <c r="N199" s="39"/>
      <c r="O199" s="340">
        <v>158125</v>
      </c>
    </row>
    <row r="200" spans="7:15" x14ac:dyDescent="0.35">
      <c r="H200" s="331"/>
      <c r="I200" s="397"/>
      <c r="J200" s="412"/>
      <c r="K200" s="426" t="s">
        <v>588</v>
      </c>
      <c r="L200" s="412"/>
      <c r="M200" s="412"/>
      <c r="N200" s="39"/>
      <c r="O200" s="413">
        <f>SUM(O188:O199)</f>
        <v>12561500</v>
      </c>
    </row>
    <row r="201" spans="7:15" ht="12.75" customHeight="1" x14ac:dyDescent="0.4">
      <c r="H201" s="331"/>
      <c r="I201" s="232"/>
      <c r="J201" s="367"/>
      <c r="K201" s="384"/>
      <c r="L201" s="414"/>
      <c r="M201" s="367"/>
      <c r="N201" s="415"/>
      <c r="O201" s="367"/>
    </row>
    <row r="202" spans="7:15" x14ac:dyDescent="0.35">
      <c r="H202" s="331"/>
      <c r="I202" s="416"/>
      <c r="J202" s="367"/>
      <c r="K202" s="426" t="s">
        <v>589</v>
      </c>
      <c r="L202" s="412"/>
      <c r="M202" s="367"/>
      <c r="N202" s="413"/>
      <c r="O202" s="235">
        <f>O186+O200</f>
        <v>44612914.5</v>
      </c>
    </row>
    <row r="203" spans="7:15" ht="12.75" customHeight="1" x14ac:dyDescent="0.4">
      <c r="H203" s="331"/>
      <c r="I203" s="232"/>
      <c r="J203" s="367"/>
      <c r="K203" s="384"/>
      <c r="L203" s="414"/>
      <c r="M203" s="367"/>
      <c r="N203" s="415"/>
      <c r="O203" s="367"/>
    </row>
    <row r="204" spans="7:15" x14ac:dyDescent="0.35">
      <c r="H204" s="331"/>
      <c r="I204" s="397"/>
      <c r="J204" s="367"/>
      <c r="K204" s="412"/>
      <c r="L204" s="412"/>
      <c r="M204" s="367"/>
      <c r="N204" s="413"/>
      <c r="O204" s="367"/>
    </row>
    <row r="205" spans="7:15" x14ac:dyDescent="0.35">
      <c r="H205" s="331"/>
      <c r="I205" s="275"/>
      <c r="J205" s="367"/>
      <c r="K205" s="261"/>
      <c r="L205" s="259"/>
      <c r="M205" s="367"/>
      <c r="N205" s="261"/>
      <c r="O205" s="367"/>
    </row>
    <row r="206" spans="7:15" x14ac:dyDescent="0.35">
      <c r="H206" s="331"/>
      <c r="I206" s="397"/>
      <c r="J206" s="367"/>
      <c r="K206" s="412"/>
      <c r="L206" s="412"/>
      <c r="M206" s="367"/>
      <c r="N206" s="413"/>
      <c r="O206" s="367"/>
    </row>
    <row r="207" spans="7:15" x14ac:dyDescent="0.35">
      <c r="H207" s="331"/>
      <c r="I207" s="233"/>
      <c r="J207" s="367"/>
      <c r="K207" s="417"/>
      <c r="L207" s="417"/>
      <c r="M207" s="367"/>
      <c r="N207" s="241"/>
      <c r="O207" s="367"/>
    </row>
    <row r="208" spans="7:15" ht="13.15" customHeight="1" x14ac:dyDescent="0.35">
      <c r="H208" s="331"/>
      <c r="I208" s="232"/>
      <c r="J208" s="367"/>
      <c r="K208" s="418"/>
      <c r="L208" s="259"/>
      <c r="M208" s="367"/>
      <c r="N208" s="415"/>
      <c r="O208" s="367"/>
    </row>
    <row r="209" spans="8:15" x14ac:dyDescent="0.35">
      <c r="H209" s="331"/>
      <c r="I209" s="397"/>
      <c r="J209" s="367"/>
      <c r="K209" s="412"/>
      <c r="L209" s="412"/>
      <c r="M209" s="367"/>
      <c r="N209" s="413"/>
      <c r="O209" s="367"/>
    </row>
    <row r="210" spans="8:15" ht="12.75" customHeight="1" x14ac:dyDescent="0.4">
      <c r="H210" s="331"/>
      <c r="I210" s="232"/>
      <c r="J210" s="367"/>
      <c r="K210" s="384"/>
      <c r="L210" s="414"/>
      <c r="M210" s="367"/>
      <c r="N210" s="415"/>
      <c r="O210" s="367"/>
    </row>
    <row r="211" spans="8:15" x14ac:dyDescent="0.35">
      <c r="H211" s="331"/>
      <c r="I211" s="397"/>
      <c r="J211" s="367"/>
      <c r="K211" s="412"/>
      <c r="L211" s="412"/>
      <c r="M211" s="367"/>
      <c r="N211" s="413"/>
      <c r="O211" s="367"/>
    </row>
    <row r="212" spans="8:15" x14ac:dyDescent="0.35">
      <c r="H212" s="331"/>
      <c r="I212" s="232"/>
      <c r="J212" s="367"/>
      <c r="K212" s="236"/>
      <c r="L212" s="233"/>
      <c r="M212" s="367"/>
      <c r="N212" s="402"/>
      <c r="O212" s="367"/>
    </row>
    <row r="213" spans="8:15" x14ac:dyDescent="0.35">
      <c r="H213" s="331"/>
      <c r="I213" s="397"/>
      <c r="J213" s="367"/>
      <c r="K213" s="412"/>
      <c r="L213" s="412"/>
      <c r="M213" s="367"/>
      <c r="N213" s="413"/>
      <c r="O213" s="367"/>
    </row>
    <row r="214" spans="8:15" x14ac:dyDescent="0.35">
      <c r="H214" s="322"/>
      <c r="I214" s="47"/>
      <c r="K214" s="236"/>
      <c r="L214" s="233"/>
      <c r="N214" s="402"/>
    </row>
  </sheetData>
  <sortState ref="H188:N214">
    <sortCondition ref="H188:H214"/>
  </sortState>
  <mergeCells count="1">
    <mergeCell ref="A1:T1"/>
  </mergeCells>
  <pageMargins left="0.7" right="0.7" top="0.75" bottom="0.75" header="0.3" footer="0.3"/>
  <pageSetup orientation="portrait" horizontalDpi="4294967293" verticalDpi="0" r:id="rId1"/>
  <ignoredErrors>
    <ignoredError sqref="K17:K185" calculatedColumn="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C269A-9DA0-497B-8EAF-BEEF8FF4328B}">
  <sheetPr>
    <tabColor rgb="FF92D050"/>
  </sheetPr>
  <dimension ref="A1:Y305"/>
  <sheetViews>
    <sheetView topLeftCell="J275" workbookViewId="0">
      <selection activeCell="S298" sqref="S298:V303"/>
    </sheetView>
  </sheetViews>
  <sheetFormatPr defaultRowHeight="12.75" x14ac:dyDescent="0.35"/>
  <cols>
    <col min="1" max="1" width="7.53125" style="39" customWidth="1"/>
    <col min="2" max="2" width="5.59765625" style="39" customWidth="1"/>
    <col min="3" max="3" width="6.265625" style="39" customWidth="1"/>
    <col min="4" max="4" width="15.06640625" style="39" customWidth="1"/>
    <col min="5" max="5" width="9.06640625" style="39" customWidth="1"/>
    <col min="6" max="7" width="5.73046875" style="39" customWidth="1"/>
    <col min="8" max="8" width="13.06640625" style="39" customWidth="1"/>
    <col min="9" max="9" width="12.53125" style="39" customWidth="1"/>
    <col min="10" max="10" width="5.86328125" style="39" customWidth="1"/>
    <col min="11" max="11" width="10.19921875" style="270" bestFit="1" customWidth="1"/>
    <col min="12" max="12" width="5.19921875" style="40" customWidth="1"/>
    <col min="13" max="13" width="13.46484375" style="270" customWidth="1"/>
    <col min="14" max="14" width="6.1328125" style="40" customWidth="1"/>
    <col min="15" max="15" width="11" style="40" customWidth="1"/>
    <col min="16" max="16" width="11.19921875" style="270" customWidth="1"/>
    <col min="17" max="17" width="11.73046875" style="40" customWidth="1"/>
    <col min="18" max="18" width="0.86328125" style="68" customWidth="1"/>
    <col min="19" max="19" width="22.796875" style="79" customWidth="1"/>
    <col min="20" max="20" width="10.19921875" style="79" customWidth="1"/>
    <col min="21" max="21" width="7.33203125" style="79" customWidth="1"/>
    <col min="22" max="22" width="12.265625" style="79" customWidth="1"/>
    <col min="23" max="16384" width="9.06640625" style="39"/>
  </cols>
  <sheetData>
    <row r="1" spans="1:25" ht="21" customHeight="1" x14ac:dyDescent="0.35">
      <c r="A1" s="863" t="s">
        <v>440</v>
      </c>
      <c r="B1" s="863"/>
      <c r="C1" s="863"/>
      <c r="D1" s="863"/>
      <c r="E1" s="863"/>
      <c r="F1" s="863"/>
      <c r="G1" s="863"/>
      <c r="H1" s="863"/>
      <c r="I1" s="863"/>
      <c r="J1" s="863"/>
      <c r="K1" s="863"/>
      <c r="L1" s="863"/>
      <c r="M1" s="863"/>
      <c r="N1" s="863"/>
      <c r="O1" s="863"/>
      <c r="P1" s="863"/>
      <c r="Q1" s="863"/>
      <c r="R1" s="863"/>
      <c r="S1" s="863"/>
      <c r="T1" s="863"/>
      <c r="U1" s="863"/>
      <c r="V1" s="863"/>
      <c r="W1" s="863"/>
      <c r="X1" s="863"/>
      <c r="Y1" s="863"/>
    </row>
    <row r="2" spans="1:25" x14ac:dyDescent="0.35">
      <c r="A2" s="53" t="s">
        <v>249</v>
      </c>
      <c r="B2" s="65" t="s">
        <v>248</v>
      </c>
      <c r="C2" s="65" t="s">
        <v>247</v>
      </c>
      <c r="D2" s="53" t="s">
        <v>15</v>
      </c>
      <c r="E2" s="53" t="s">
        <v>194</v>
      </c>
      <c r="F2" s="53" t="s">
        <v>246</v>
      </c>
      <c r="G2" s="53" t="s">
        <v>16</v>
      </c>
      <c r="H2" s="53" t="s">
        <v>245</v>
      </c>
      <c r="I2" s="64" t="s">
        <v>14</v>
      </c>
      <c r="J2" s="47" t="s">
        <v>244</v>
      </c>
      <c r="K2" s="231" t="s">
        <v>426</v>
      </c>
      <c r="L2" s="47" t="s">
        <v>17</v>
      </c>
      <c r="M2" s="231" t="s">
        <v>427</v>
      </c>
      <c r="N2" s="47" t="s">
        <v>430</v>
      </c>
      <c r="O2" s="47" t="s">
        <v>219</v>
      </c>
      <c r="P2" s="316" t="s">
        <v>242</v>
      </c>
      <c r="Q2" s="47" t="s">
        <v>241</v>
      </c>
    </row>
    <row r="3" spans="1:25" x14ac:dyDescent="0.35">
      <c r="A3" s="40" t="s">
        <v>192</v>
      </c>
      <c r="B3" s="40">
        <v>24</v>
      </c>
      <c r="C3" s="40">
        <v>2010</v>
      </c>
      <c r="D3" s="40" t="s">
        <v>23</v>
      </c>
      <c r="E3" s="40" t="s">
        <v>220</v>
      </c>
      <c r="F3" s="40"/>
      <c r="G3" s="40" t="s">
        <v>20</v>
      </c>
      <c r="H3" s="40" t="s">
        <v>82</v>
      </c>
      <c r="I3" s="40">
        <v>250</v>
      </c>
      <c r="J3" s="40" t="s">
        <v>218</v>
      </c>
      <c r="K3" s="270">
        <f>IF(G3="W",'US CBAs'!$B$19,0)</f>
        <v>1250</v>
      </c>
      <c r="L3" s="40">
        <v>19</v>
      </c>
      <c r="M3" s="270">
        <f>'US CBAs'!$B$12+IF(G3="W",'US CBAs'!$B$19,0)</f>
        <v>2500</v>
      </c>
      <c r="N3" s="40">
        <v>0</v>
      </c>
      <c r="O3" s="60">
        <f>(K3*L3)+(M3*N3)</f>
        <v>23750</v>
      </c>
      <c r="P3" s="270">
        <v>0</v>
      </c>
      <c r="Q3" s="60">
        <f>O3+P3</f>
        <v>23750</v>
      </c>
    </row>
    <row r="4" spans="1:25" x14ac:dyDescent="0.35">
      <c r="A4" s="40" t="s">
        <v>192</v>
      </c>
      <c r="B4" s="40">
        <v>26</v>
      </c>
      <c r="C4" s="40">
        <v>2010</v>
      </c>
      <c r="D4" s="40" t="s">
        <v>62</v>
      </c>
      <c r="E4" s="40" t="s">
        <v>220</v>
      </c>
      <c r="F4" s="40"/>
      <c r="G4" s="40" t="s">
        <v>20</v>
      </c>
      <c r="H4" s="40" t="s">
        <v>82</v>
      </c>
      <c r="I4" s="40">
        <v>300</v>
      </c>
      <c r="J4" s="40" t="s">
        <v>218</v>
      </c>
      <c r="K4" s="270">
        <f>IF(G4="W",'US CBAs'!$B$19,0)</f>
        <v>1250</v>
      </c>
      <c r="L4" s="40">
        <v>19</v>
      </c>
      <c r="M4" s="270">
        <f>'US CBAs'!$B$12+IF(G4="W",'US CBAs'!$B$19,0)</f>
        <v>2500</v>
      </c>
      <c r="N4" s="40">
        <v>0</v>
      </c>
      <c r="O4" s="60">
        <f t="shared" ref="O4:O23" si="0">(K4*L4)+(M4*N4)</f>
        <v>23750</v>
      </c>
      <c r="P4" s="270">
        <v>0</v>
      </c>
      <c r="Q4" s="60">
        <f t="shared" ref="Q4:Q24" si="1">O4+P4</f>
        <v>23750</v>
      </c>
    </row>
    <row r="5" spans="1:25" x14ac:dyDescent="0.35">
      <c r="A5" s="40" t="s">
        <v>221</v>
      </c>
      <c r="B5" s="40">
        <v>1</v>
      </c>
      <c r="C5" s="40">
        <v>2010</v>
      </c>
      <c r="D5" s="40" t="s">
        <v>26</v>
      </c>
      <c r="E5" s="40" t="s">
        <v>220</v>
      </c>
      <c r="F5" s="40"/>
      <c r="G5" s="40" t="s">
        <v>20</v>
      </c>
      <c r="H5" s="40" t="s">
        <v>82</v>
      </c>
      <c r="I5" s="40">
        <v>500</v>
      </c>
      <c r="J5" s="40" t="s">
        <v>218</v>
      </c>
      <c r="K5" s="270">
        <f>IF(G5="W",'US CBAs'!$B$19,0)</f>
        <v>1250</v>
      </c>
      <c r="L5" s="40">
        <v>19</v>
      </c>
      <c r="M5" s="270">
        <f>'US CBAs'!$B$12+IF(G5="W",'US CBAs'!$B$19,0)</f>
        <v>2500</v>
      </c>
      <c r="N5" s="40">
        <v>0</v>
      </c>
      <c r="O5" s="60">
        <f t="shared" si="0"/>
        <v>23750</v>
      </c>
      <c r="P5" s="270">
        <v>0</v>
      </c>
      <c r="Q5" s="60">
        <f t="shared" si="1"/>
        <v>23750</v>
      </c>
    </row>
    <row r="6" spans="1:25" x14ac:dyDescent="0.35">
      <c r="A6" s="40" t="s">
        <v>221</v>
      </c>
      <c r="B6" s="40">
        <v>3</v>
      </c>
      <c r="C6" s="40">
        <v>2010</v>
      </c>
      <c r="D6" s="40" t="s">
        <v>27</v>
      </c>
      <c r="E6" s="40" t="s">
        <v>220</v>
      </c>
      <c r="F6" s="40"/>
      <c r="G6" s="40" t="s">
        <v>20</v>
      </c>
      <c r="H6" s="40" t="s">
        <v>82</v>
      </c>
      <c r="I6" s="48">
        <v>1200</v>
      </c>
      <c r="J6" s="40" t="s">
        <v>218</v>
      </c>
      <c r="K6" s="270">
        <f>IF(G6="W",'US CBAs'!$B$19,0)</f>
        <v>1250</v>
      </c>
      <c r="L6" s="40">
        <v>19</v>
      </c>
      <c r="M6" s="270">
        <f>'US CBAs'!$B$12+IF(G6="W",'US CBAs'!$B$19,0)</f>
        <v>2500</v>
      </c>
      <c r="N6" s="40">
        <v>0</v>
      </c>
      <c r="O6" s="60">
        <f t="shared" si="0"/>
        <v>23750</v>
      </c>
      <c r="P6" s="270">
        <v>0</v>
      </c>
      <c r="Q6" s="60">
        <f t="shared" si="1"/>
        <v>23750</v>
      </c>
    </row>
    <row r="7" spans="1:25" x14ac:dyDescent="0.35">
      <c r="A7" s="40" t="s">
        <v>221</v>
      </c>
      <c r="B7" s="40">
        <v>28</v>
      </c>
      <c r="C7" s="40">
        <v>2010</v>
      </c>
      <c r="D7" s="40" t="s">
        <v>35</v>
      </c>
      <c r="E7" s="40" t="s">
        <v>220</v>
      </c>
      <c r="F7" s="40"/>
      <c r="G7" s="40" t="s">
        <v>20</v>
      </c>
      <c r="H7" s="40" t="s">
        <v>481</v>
      </c>
      <c r="I7" s="48">
        <v>3069</v>
      </c>
      <c r="J7" s="40" t="s">
        <v>218</v>
      </c>
      <c r="K7" s="270">
        <f>IF(G7="W",'US CBAs'!$B$19,0)</f>
        <v>1250</v>
      </c>
      <c r="L7" s="40">
        <v>17</v>
      </c>
      <c r="M7" s="270">
        <f>'US CBAs'!$B$12+IF(G7="W",'US CBAs'!$B$19,0)</f>
        <v>2500</v>
      </c>
      <c r="N7" s="40">
        <v>1</v>
      </c>
      <c r="O7" s="60">
        <f t="shared" si="0"/>
        <v>23750</v>
      </c>
      <c r="P7" s="270">
        <v>0</v>
      </c>
      <c r="Q7" s="60">
        <f t="shared" si="1"/>
        <v>23750</v>
      </c>
    </row>
    <row r="8" spans="1:25" x14ac:dyDescent="0.35">
      <c r="A8" s="40" t="s">
        <v>221</v>
      </c>
      <c r="B8" s="40">
        <v>31</v>
      </c>
      <c r="C8" s="40">
        <v>2010</v>
      </c>
      <c r="D8" s="40" t="s">
        <v>35</v>
      </c>
      <c r="E8" s="40" t="s">
        <v>220</v>
      </c>
      <c r="F8" s="40"/>
      <c r="G8" s="40" t="s">
        <v>20</v>
      </c>
      <c r="H8" s="40" t="s">
        <v>498</v>
      </c>
      <c r="I8" s="48">
        <v>3732</v>
      </c>
      <c r="J8" s="40" t="s">
        <v>218</v>
      </c>
      <c r="K8" s="270">
        <f>IF(G8="W",'US CBAs'!$B$19,0)</f>
        <v>1250</v>
      </c>
      <c r="L8" s="40">
        <v>17</v>
      </c>
      <c r="M8" s="270">
        <f>'US CBAs'!$B$12+IF(G8="W",'US CBAs'!$B$19,0)</f>
        <v>2500</v>
      </c>
      <c r="N8" s="40">
        <v>1</v>
      </c>
      <c r="O8" s="60">
        <f t="shared" si="0"/>
        <v>23750</v>
      </c>
      <c r="P8" s="270">
        <v>0</v>
      </c>
      <c r="Q8" s="60">
        <f t="shared" si="1"/>
        <v>23750</v>
      </c>
    </row>
    <row r="9" spans="1:25" x14ac:dyDescent="0.35">
      <c r="A9" s="40" t="s">
        <v>186</v>
      </c>
      <c r="B9" s="40">
        <v>22</v>
      </c>
      <c r="C9" s="40">
        <v>2010</v>
      </c>
      <c r="D9" s="40" t="s">
        <v>27</v>
      </c>
      <c r="E9" s="40" t="s">
        <v>220</v>
      </c>
      <c r="F9" s="40"/>
      <c r="G9" s="40" t="s">
        <v>20</v>
      </c>
      <c r="H9" s="40" t="s">
        <v>495</v>
      </c>
      <c r="I9" s="48">
        <v>10321</v>
      </c>
      <c r="J9" s="40" t="s">
        <v>218</v>
      </c>
      <c r="K9" s="270">
        <f>IF(G9="W",'US CBAs'!$B$19,0)</f>
        <v>1250</v>
      </c>
      <c r="L9" s="40">
        <v>17</v>
      </c>
      <c r="M9" s="270">
        <f>'US CBAs'!$B$12+IF(G9="W",'US CBAs'!$B$19,0)</f>
        <v>2500</v>
      </c>
      <c r="N9" s="40">
        <v>1</v>
      </c>
      <c r="O9" s="60">
        <f t="shared" si="0"/>
        <v>23750</v>
      </c>
      <c r="P9" s="270">
        <v>0</v>
      </c>
      <c r="Q9" s="60">
        <f t="shared" si="1"/>
        <v>23750</v>
      </c>
    </row>
    <row r="10" spans="1:25" x14ac:dyDescent="0.35">
      <c r="A10" s="40" t="s">
        <v>230</v>
      </c>
      <c r="B10" s="40">
        <v>13</v>
      </c>
      <c r="C10" s="40">
        <v>2010</v>
      </c>
      <c r="D10" s="40" t="s">
        <v>26</v>
      </c>
      <c r="E10" s="40" t="s">
        <v>220</v>
      </c>
      <c r="F10" s="40"/>
      <c r="G10" s="40" t="s">
        <v>83</v>
      </c>
      <c r="H10" s="40" t="s">
        <v>508</v>
      </c>
      <c r="I10" s="48">
        <v>6493</v>
      </c>
      <c r="J10" s="40" t="s">
        <v>218</v>
      </c>
      <c r="K10" s="270">
        <f>IF(G10="W",'US CBAs'!$B$19,0)</f>
        <v>0</v>
      </c>
      <c r="L10" s="40">
        <v>17</v>
      </c>
      <c r="M10" s="270">
        <f>'US CBAs'!$B$12+IF(G10="W",'US CBAs'!$B$19,0)</f>
        <v>1250</v>
      </c>
      <c r="N10" s="40">
        <v>1</v>
      </c>
      <c r="O10" s="60">
        <f t="shared" si="0"/>
        <v>1250</v>
      </c>
      <c r="P10" s="270">
        <v>0</v>
      </c>
      <c r="Q10" s="60">
        <f t="shared" si="1"/>
        <v>1250</v>
      </c>
    </row>
    <row r="11" spans="1:25" x14ac:dyDescent="0.35">
      <c r="A11" s="40" t="s">
        <v>230</v>
      </c>
      <c r="B11" s="40">
        <v>17</v>
      </c>
      <c r="C11" s="40">
        <v>2010</v>
      </c>
      <c r="D11" s="40" t="s">
        <v>26</v>
      </c>
      <c r="E11" s="40" t="s">
        <v>220</v>
      </c>
      <c r="F11" s="40"/>
      <c r="G11" s="40" t="s">
        <v>20</v>
      </c>
      <c r="H11" s="40" t="s">
        <v>483</v>
      </c>
      <c r="I11" s="48">
        <v>5887</v>
      </c>
      <c r="J11" s="40" t="s">
        <v>218</v>
      </c>
      <c r="K11" s="270">
        <f>IF(G11="W",'US CBAs'!$B$19,0)</f>
        <v>1250</v>
      </c>
      <c r="L11" s="40">
        <v>17</v>
      </c>
      <c r="M11" s="270">
        <f>'US CBAs'!$B$12+IF(G11="W",'US CBAs'!$B$19,0)</f>
        <v>2500</v>
      </c>
      <c r="N11" s="40">
        <v>1</v>
      </c>
      <c r="O11" s="60">
        <f t="shared" si="0"/>
        <v>23750</v>
      </c>
      <c r="P11" s="270">
        <v>0</v>
      </c>
      <c r="Q11" s="60">
        <f t="shared" si="1"/>
        <v>23750</v>
      </c>
    </row>
    <row r="12" spans="1:25" x14ac:dyDescent="0.35">
      <c r="A12" s="40" t="s">
        <v>189</v>
      </c>
      <c r="B12" s="40">
        <v>2</v>
      </c>
      <c r="C12" s="40">
        <v>2010</v>
      </c>
      <c r="D12" s="40" t="s">
        <v>25</v>
      </c>
      <c r="E12" s="40" t="s">
        <v>220</v>
      </c>
      <c r="F12" s="40"/>
      <c r="G12" s="40" t="s">
        <v>20</v>
      </c>
      <c r="H12" s="40" t="s">
        <v>500</v>
      </c>
      <c r="I12" s="48">
        <v>4759</v>
      </c>
      <c r="J12" s="40" t="s">
        <v>218</v>
      </c>
      <c r="K12" s="270">
        <f>IF(G12="W",'US CBAs'!$B$19,0)</f>
        <v>1250</v>
      </c>
      <c r="L12" s="40">
        <v>18</v>
      </c>
      <c r="M12" s="270">
        <f>'US CBAs'!$B$12+IF(G12="W",'US CBAs'!$B$19,0)</f>
        <v>2500</v>
      </c>
      <c r="N12" s="40">
        <v>0</v>
      </c>
      <c r="O12" s="60">
        <f t="shared" si="0"/>
        <v>22500</v>
      </c>
      <c r="P12" s="270">
        <v>0</v>
      </c>
      <c r="Q12" s="60">
        <f t="shared" si="1"/>
        <v>22500</v>
      </c>
    </row>
    <row r="13" spans="1:25" x14ac:dyDescent="0.35">
      <c r="A13" s="40" t="s">
        <v>189</v>
      </c>
      <c r="B13" s="40">
        <v>6</v>
      </c>
      <c r="C13" s="40">
        <v>2010</v>
      </c>
      <c r="D13" s="40" t="s">
        <v>25</v>
      </c>
      <c r="E13" s="40" t="s">
        <v>220</v>
      </c>
      <c r="F13" s="40"/>
      <c r="G13" s="40" t="s">
        <v>83</v>
      </c>
      <c r="H13" s="40" t="s">
        <v>484</v>
      </c>
      <c r="I13" s="48">
        <v>2505</v>
      </c>
      <c r="J13" s="40" t="s">
        <v>218</v>
      </c>
      <c r="K13" s="270">
        <f>IF(G13="W",'US CBAs'!$B$19,0)</f>
        <v>0</v>
      </c>
      <c r="L13" s="40">
        <v>18</v>
      </c>
      <c r="M13" s="270">
        <f>'US CBAs'!$B$12+IF(G13="W",'US CBAs'!$B$19,0)</f>
        <v>1250</v>
      </c>
      <c r="N13" s="40">
        <v>0</v>
      </c>
      <c r="O13" s="60">
        <f t="shared" si="0"/>
        <v>0</v>
      </c>
      <c r="P13" s="270">
        <v>0</v>
      </c>
      <c r="Q13" s="60">
        <f t="shared" si="1"/>
        <v>0</v>
      </c>
    </row>
    <row r="14" spans="1:25" x14ac:dyDescent="0.35">
      <c r="A14" s="40" t="s">
        <v>189</v>
      </c>
      <c r="B14" s="40">
        <v>28</v>
      </c>
      <c r="C14" s="40">
        <v>2010</v>
      </c>
      <c r="D14" s="40" t="s">
        <v>59</v>
      </c>
      <c r="E14" s="69" t="s">
        <v>260</v>
      </c>
      <c r="F14" s="69"/>
      <c r="G14" s="49" t="s">
        <v>20</v>
      </c>
      <c r="H14" s="40" t="s">
        <v>35</v>
      </c>
      <c r="I14" s="48">
        <v>2500</v>
      </c>
      <c r="J14" s="40" t="s">
        <v>218</v>
      </c>
      <c r="K14" s="270">
        <f>IF(G14="W",'US CBAs'!$B$19,0)</f>
        <v>1250</v>
      </c>
      <c r="L14" s="40">
        <v>19</v>
      </c>
      <c r="M14" s="270">
        <f>'US CBAs'!$B$12+IF(G14="W",'US CBAs'!$B$19,0)</f>
        <v>2500</v>
      </c>
      <c r="N14" s="40">
        <v>0</v>
      </c>
      <c r="O14" s="60">
        <f t="shared" si="0"/>
        <v>23750</v>
      </c>
      <c r="P14" s="270">
        <v>0</v>
      </c>
      <c r="Q14" s="60">
        <f t="shared" si="1"/>
        <v>23750</v>
      </c>
      <c r="S14" s="79" t="s">
        <v>439</v>
      </c>
    </row>
    <row r="15" spans="1:25" x14ac:dyDescent="0.35">
      <c r="A15" s="40" t="s">
        <v>189</v>
      </c>
      <c r="B15" s="40">
        <v>30</v>
      </c>
      <c r="C15" s="40">
        <v>2010</v>
      </c>
      <c r="D15" s="40" t="s">
        <v>43</v>
      </c>
      <c r="E15" s="69" t="s">
        <v>260</v>
      </c>
      <c r="F15" s="69"/>
      <c r="G15" s="49" t="s">
        <v>20</v>
      </c>
      <c r="H15" s="40" t="s">
        <v>35</v>
      </c>
      <c r="I15" s="48">
        <v>1050</v>
      </c>
      <c r="J15" s="40" t="s">
        <v>218</v>
      </c>
      <c r="K15" s="270">
        <f>IF(G15="W",'US CBAs'!$B$19,0)</f>
        <v>1250</v>
      </c>
      <c r="L15" s="40">
        <v>19</v>
      </c>
      <c r="M15" s="270">
        <f>'US CBAs'!$B$12+IF(G15="W",'US CBAs'!$B$19,0)</f>
        <v>2500</v>
      </c>
      <c r="N15" s="40">
        <v>0</v>
      </c>
      <c r="O15" s="60">
        <f t="shared" si="0"/>
        <v>23750</v>
      </c>
      <c r="P15" s="270">
        <v>0</v>
      </c>
      <c r="Q15" s="60">
        <f t="shared" si="1"/>
        <v>23750</v>
      </c>
    </row>
    <row r="16" spans="1:25" x14ac:dyDescent="0.35">
      <c r="A16" s="40" t="s">
        <v>190</v>
      </c>
      <c r="B16" s="40">
        <v>1</v>
      </c>
      <c r="C16" s="40">
        <v>2010</v>
      </c>
      <c r="D16" s="40" t="s">
        <v>36</v>
      </c>
      <c r="E16" s="69" t="s">
        <v>260</v>
      </c>
      <c r="F16" s="69"/>
      <c r="G16" s="49" t="s">
        <v>20</v>
      </c>
      <c r="H16" s="40" t="s">
        <v>35</v>
      </c>
      <c r="I16" s="40">
        <v>503</v>
      </c>
      <c r="J16" s="40" t="s">
        <v>218</v>
      </c>
      <c r="K16" s="270">
        <f>IF(G16="W",'US CBAs'!$B$19,0)</f>
        <v>1250</v>
      </c>
      <c r="L16" s="40">
        <v>19</v>
      </c>
      <c r="M16" s="270">
        <f>'US CBAs'!$B$12+IF(G16="W",'US CBAs'!$B$19,0)</f>
        <v>2500</v>
      </c>
      <c r="N16" s="40">
        <v>0</v>
      </c>
      <c r="O16" s="60">
        <f t="shared" si="0"/>
        <v>23750</v>
      </c>
      <c r="P16" s="270">
        <v>0</v>
      </c>
      <c r="Q16" s="60">
        <f t="shared" si="1"/>
        <v>23750</v>
      </c>
    </row>
    <row r="17" spans="1:24" x14ac:dyDescent="0.35">
      <c r="A17" s="40" t="s">
        <v>190</v>
      </c>
      <c r="B17" s="40">
        <v>5</v>
      </c>
      <c r="C17" s="40">
        <v>2010</v>
      </c>
      <c r="D17" s="40" t="s">
        <v>35</v>
      </c>
      <c r="E17" s="69" t="s">
        <v>260</v>
      </c>
      <c r="F17" s="71"/>
      <c r="G17" s="49" t="s">
        <v>33</v>
      </c>
      <c r="H17" s="40" t="s">
        <v>35</v>
      </c>
      <c r="I17" s="48">
        <v>8500</v>
      </c>
      <c r="J17" s="40" t="s">
        <v>218</v>
      </c>
      <c r="K17" s="270">
        <f>IF(G17="W",'US CBAs'!$B$19,0)</f>
        <v>0</v>
      </c>
      <c r="L17" s="40">
        <v>19</v>
      </c>
      <c r="M17" s="270">
        <f>'US CBAs'!$B$12+IF(G17="W",'US CBAs'!$B$19,0)</f>
        <v>1250</v>
      </c>
      <c r="N17" s="40">
        <v>0</v>
      </c>
      <c r="O17" s="60">
        <f t="shared" si="0"/>
        <v>0</v>
      </c>
      <c r="P17" s="270">
        <v>0</v>
      </c>
      <c r="Q17" s="60">
        <f t="shared" si="1"/>
        <v>0</v>
      </c>
    </row>
    <row r="18" spans="1:24" x14ac:dyDescent="0.35">
      <c r="A18" s="40" t="s">
        <v>190</v>
      </c>
      <c r="B18" s="40">
        <v>8</v>
      </c>
      <c r="C18" s="40">
        <v>2010</v>
      </c>
      <c r="D18" s="40" t="s">
        <v>36</v>
      </c>
      <c r="E18" s="69" t="s">
        <v>260</v>
      </c>
      <c r="F18" s="69"/>
      <c r="G18" s="49" t="s">
        <v>20</v>
      </c>
      <c r="H18" s="40" t="s">
        <v>35</v>
      </c>
      <c r="I18" s="48">
        <v>2500</v>
      </c>
      <c r="J18" s="40" t="s">
        <v>218</v>
      </c>
      <c r="K18" s="270">
        <f>IF(G18="W",'US CBAs'!$B$19,0)</f>
        <v>1250</v>
      </c>
      <c r="L18" s="40">
        <v>19</v>
      </c>
      <c r="M18" s="270">
        <f>'US CBAs'!$B$12+IF(G18="W",'US CBAs'!$B$19,0)</f>
        <v>2500</v>
      </c>
      <c r="N18" s="40">
        <v>0</v>
      </c>
      <c r="O18" s="60">
        <f t="shared" si="0"/>
        <v>23750</v>
      </c>
      <c r="P18" s="270">
        <v>0</v>
      </c>
      <c r="Q18" s="60">
        <f t="shared" si="1"/>
        <v>23750</v>
      </c>
    </row>
    <row r="19" spans="1:24" x14ac:dyDescent="0.35">
      <c r="A19" s="40" t="s">
        <v>190</v>
      </c>
      <c r="B19" s="40">
        <v>20</v>
      </c>
      <c r="C19" s="40">
        <v>2010</v>
      </c>
      <c r="D19" s="40" t="s">
        <v>84</v>
      </c>
      <c r="E19" s="69" t="s">
        <v>260</v>
      </c>
      <c r="F19" s="69"/>
      <c r="G19" s="49" t="s">
        <v>20</v>
      </c>
      <c r="H19" s="40" t="s">
        <v>84</v>
      </c>
      <c r="I19" s="48">
        <v>5000</v>
      </c>
      <c r="J19" s="40" t="s">
        <v>218</v>
      </c>
      <c r="K19" s="270">
        <f>IF(G19="W",'US CBAs'!$B$19,0)</f>
        <v>1250</v>
      </c>
      <c r="L19" s="40">
        <v>19</v>
      </c>
      <c r="M19" s="270">
        <f>'US CBAs'!$B$12+IF(G19="W",'US CBAs'!$B$19,0)</f>
        <v>2500</v>
      </c>
      <c r="N19" s="40">
        <v>0</v>
      </c>
      <c r="O19" s="60">
        <f t="shared" si="0"/>
        <v>23750</v>
      </c>
      <c r="P19" s="270">
        <v>0</v>
      </c>
      <c r="Q19" s="60">
        <f t="shared" si="1"/>
        <v>23750</v>
      </c>
    </row>
    <row r="20" spans="1:24" x14ac:dyDescent="0.35">
      <c r="A20" s="40" t="s">
        <v>190</v>
      </c>
      <c r="B20" s="40">
        <v>27</v>
      </c>
      <c r="C20" s="40">
        <v>2010</v>
      </c>
      <c r="D20" s="40" t="s">
        <v>84</v>
      </c>
      <c r="E20" s="69" t="s">
        <v>260</v>
      </c>
      <c r="F20" s="69"/>
      <c r="G20" s="49" t="s">
        <v>20</v>
      </c>
      <c r="H20" s="40" t="s">
        <v>487</v>
      </c>
      <c r="I20" s="48">
        <v>9508</v>
      </c>
      <c r="J20" s="40" t="s">
        <v>218</v>
      </c>
      <c r="K20" s="270">
        <f>IF(G20="W",'US CBAs'!$B$19,0)</f>
        <v>1250</v>
      </c>
      <c r="L20" s="40">
        <v>19</v>
      </c>
      <c r="M20" s="270">
        <f>'US CBAs'!$B$12+IF(G20="W",'US CBAs'!$B$19,0)</f>
        <v>2500</v>
      </c>
      <c r="N20" s="40">
        <v>0</v>
      </c>
      <c r="O20" s="60">
        <f t="shared" si="0"/>
        <v>23750</v>
      </c>
      <c r="P20" s="270">
        <v>0</v>
      </c>
      <c r="Q20" s="60">
        <f t="shared" si="1"/>
        <v>23750</v>
      </c>
    </row>
    <row r="21" spans="1:24" x14ac:dyDescent="0.35">
      <c r="A21" s="40"/>
      <c r="B21" s="40"/>
      <c r="C21" s="40"/>
      <c r="D21" s="40"/>
      <c r="E21" s="40"/>
      <c r="F21" s="40"/>
      <c r="G21" s="40"/>
      <c r="H21" s="315" t="s">
        <v>431</v>
      </c>
      <c r="J21" s="302"/>
      <c r="K21" s="307">
        <f>'US CBAs'!$B$4</f>
        <v>62500</v>
      </c>
      <c r="L21" s="302">
        <v>18</v>
      </c>
      <c r="M21" s="307"/>
      <c r="N21" s="302"/>
      <c r="O21" s="60">
        <f t="shared" si="0"/>
        <v>1125000</v>
      </c>
      <c r="P21" s="307"/>
      <c r="Q21" s="60">
        <f t="shared" si="1"/>
        <v>1125000</v>
      </c>
    </row>
    <row r="22" spans="1:24" x14ac:dyDescent="0.35">
      <c r="A22" s="40"/>
      <c r="B22" s="40"/>
      <c r="C22" s="40"/>
      <c r="D22" s="40"/>
      <c r="E22" s="40"/>
      <c r="F22" s="40"/>
      <c r="G22" s="40"/>
      <c r="H22" s="315" t="s">
        <v>432</v>
      </c>
      <c r="J22" s="302"/>
      <c r="K22" s="307">
        <f>'US CBAs'!$B$5</f>
        <v>43740</v>
      </c>
      <c r="L22" s="302">
        <v>4</v>
      </c>
      <c r="M22" s="307"/>
      <c r="N22" s="302"/>
      <c r="O22" s="60">
        <f t="shared" si="0"/>
        <v>174960</v>
      </c>
      <c r="P22" s="307"/>
      <c r="Q22" s="60">
        <f t="shared" si="1"/>
        <v>174960</v>
      </c>
    </row>
    <row r="23" spans="1:24" x14ac:dyDescent="0.35">
      <c r="A23" s="40"/>
      <c r="B23" s="40"/>
      <c r="C23" s="40"/>
      <c r="D23" s="40"/>
      <c r="E23" s="40"/>
      <c r="F23" s="40"/>
      <c r="G23" s="40"/>
      <c r="H23" s="315" t="s">
        <v>433</v>
      </c>
      <c r="J23" s="302"/>
      <c r="K23" s="307">
        <f>'US CBAs'!$B$6</f>
        <v>31250</v>
      </c>
      <c r="L23" s="302">
        <v>2</v>
      </c>
      <c r="M23" s="307"/>
      <c r="N23" s="302"/>
      <c r="O23" s="60">
        <f t="shared" si="0"/>
        <v>62500</v>
      </c>
      <c r="P23" s="307"/>
      <c r="Q23" s="60">
        <f t="shared" si="1"/>
        <v>62500</v>
      </c>
      <c r="S23" s="253" t="s">
        <v>397</v>
      </c>
      <c r="T23" s="254" t="s">
        <v>6</v>
      </c>
      <c r="U23" s="254" t="s">
        <v>18</v>
      </c>
      <c r="V23" s="255" t="s">
        <v>91</v>
      </c>
    </row>
    <row r="24" spans="1:24" x14ac:dyDescent="0.35">
      <c r="A24" s="40"/>
      <c r="B24" s="40"/>
      <c r="C24" s="40"/>
      <c r="D24" s="40"/>
      <c r="E24" s="40"/>
      <c r="F24" s="40"/>
      <c r="G24" s="40"/>
      <c r="H24" s="315" t="s">
        <v>434</v>
      </c>
      <c r="J24" s="302"/>
      <c r="K24" s="307"/>
      <c r="L24" s="302"/>
      <c r="M24" s="307">
        <f>'US CBAs'!$B$8</f>
        <v>313</v>
      </c>
      <c r="N24" s="302">
        <v>20</v>
      </c>
      <c r="O24" s="60">
        <f>(M24*N24)</f>
        <v>6260</v>
      </c>
      <c r="P24" s="307"/>
      <c r="Q24" s="60">
        <f t="shared" si="1"/>
        <v>6260</v>
      </c>
      <c r="S24" s="322" t="s">
        <v>233</v>
      </c>
      <c r="T24" s="325">
        <f>'US CBAs'!$B$30</f>
        <v>12500</v>
      </c>
      <c r="U24" s="326">
        <v>19</v>
      </c>
      <c r="V24" s="252">
        <f>T24*U24</f>
        <v>237500</v>
      </c>
    </row>
    <row r="25" spans="1:24" x14ac:dyDescent="0.35">
      <c r="A25" s="289" t="s">
        <v>24</v>
      </c>
      <c r="B25" s="289"/>
      <c r="C25" s="289"/>
      <c r="D25" s="289"/>
      <c r="E25" s="289"/>
      <c r="F25" s="289"/>
      <c r="G25" s="289"/>
      <c r="H25" s="319"/>
      <c r="I25" s="303"/>
      <c r="J25" s="319"/>
      <c r="K25" s="320"/>
      <c r="L25" s="319"/>
      <c r="M25" s="320"/>
      <c r="N25" s="319"/>
      <c r="O25" s="298">
        <f>SUBTOTAL(109,Table19[Game pay])</f>
        <v>1724970</v>
      </c>
      <c r="P25" s="320"/>
      <c r="Q25" s="298">
        <f>SUBTOTAL(109,Table19[TEAM PAY])</f>
        <v>1724970</v>
      </c>
      <c r="S25" s="253" t="s">
        <v>90</v>
      </c>
      <c r="T25" s="325"/>
      <c r="U25" s="326"/>
      <c r="V25" s="257">
        <f>V24</f>
        <v>237500</v>
      </c>
    </row>
    <row r="26" spans="1:24" x14ac:dyDescent="0.35">
      <c r="A26" s="289"/>
      <c r="B26" s="290"/>
      <c r="C26" s="290"/>
      <c r="D26" s="289"/>
      <c r="E26" s="289"/>
      <c r="F26" s="289"/>
      <c r="G26" s="289"/>
      <c r="H26" s="289"/>
      <c r="I26" s="291"/>
      <c r="J26" s="289"/>
      <c r="K26" s="289"/>
      <c r="L26" s="289"/>
      <c r="M26" s="292"/>
      <c r="N26" s="39"/>
      <c r="O26" s="39"/>
      <c r="P26" s="293" t="s">
        <v>398</v>
      </c>
      <c r="Q26" s="294">
        <f>$V25</f>
        <v>237500</v>
      </c>
      <c r="S26" s="326"/>
      <c r="T26" s="252"/>
      <c r="X26" s="171"/>
    </row>
    <row r="27" spans="1:24" x14ac:dyDescent="0.35">
      <c r="A27" s="289"/>
      <c r="B27" s="290"/>
      <c r="C27" s="290"/>
      <c r="D27" s="289"/>
      <c r="E27" s="289"/>
      <c r="F27" s="289"/>
      <c r="G27" s="289"/>
      <c r="H27" s="289"/>
      <c r="I27" s="291"/>
      <c r="J27" s="289"/>
      <c r="K27" s="289"/>
      <c r="L27" s="289"/>
      <c r="M27" s="292"/>
      <c r="N27" s="39"/>
      <c r="O27" s="39"/>
      <c r="P27" s="295" t="s">
        <v>90</v>
      </c>
      <c r="Q27" s="296">
        <f>Q25+Q26</f>
        <v>1962470</v>
      </c>
      <c r="S27" s="326"/>
      <c r="T27" s="252"/>
      <c r="X27" s="171"/>
    </row>
    <row r="28" spans="1:24" x14ac:dyDescent="0.35">
      <c r="A28" s="40"/>
      <c r="B28" s="40"/>
      <c r="C28" s="40"/>
      <c r="D28" s="40"/>
      <c r="E28" s="69"/>
      <c r="F28" s="69"/>
      <c r="G28" s="49"/>
      <c r="H28" s="70"/>
      <c r="J28" s="40"/>
      <c r="K28" s="301"/>
      <c r="M28" s="301"/>
      <c r="O28" s="51"/>
      <c r="S28" s="47"/>
      <c r="T28" s="47"/>
      <c r="U28" s="300"/>
    </row>
    <row r="29" spans="1:24" x14ac:dyDescent="0.35">
      <c r="A29" s="53" t="s">
        <v>249</v>
      </c>
      <c r="B29" s="65" t="s">
        <v>248</v>
      </c>
      <c r="C29" s="65" t="s">
        <v>247</v>
      </c>
      <c r="D29" s="53" t="s">
        <v>15</v>
      </c>
      <c r="E29" s="53" t="s">
        <v>194</v>
      </c>
      <c r="F29" s="53" t="s">
        <v>246</v>
      </c>
      <c r="G29" s="53" t="s">
        <v>16</v>
      </c>
      <c r="H29" s="53" t="s">
        <v>245</v>
      </c>
      <c r="I29" s="64" t="s">
        <v>14</v>
      </c>
      <c r="J29" s="47" t="s">
        <v>244</v>
      </c>
      <c r="K29" s="231" t="s">
        <v>426</v>
      </c>
      <c r="L29" s="47" t="s">
        <v>17</v>
      </c>
      <c r="M29" s="231" t="s">
        <v>427</v>
      </c>
      <c r="N29" s="47" t="s">
        <v>430</v>
      </c>
      <c r="O29" s="47" t="s">
        <v>219</v>
      </c>
      <c r="P29" s="316" t="s">
        <v>242</v>
      </c>
      <c r="Q29" s="47" t="s">
        <v>241</v>
      </c>
      <c r="U29" s="326"/>
      <c r="V29" s="252"/>
    </row>
    <row r="30" spans="1:24" x14ac:dyDescent="0.35">
      <c r="A30" s="40" t="s">
        <v>191</v>
      </c>
      <c r="B30" s="40">
        <v>21</v>
      </c>
      <c r="C30" s="40">
        <v>2011</v>
      </c>
      <c r="D30" s="40" t="s">
        <v>26</v>
      </c>
      <c r="E30" s="40" t="s">
        <v>220</v>
      </c>
      <c r="F30" s="40"/>
      <c r="G30" s="40" t="s">
        <v>33</v>
      </c>
      <c r="H30" s="40" t="s">
        <v>25</v>
      </c>
      <c r="I30" s="48">
        <v>10000</v>
      </c>
      <c r="J30" s="40" t="s">
        <v>218</v>
      </c>
      <c r="K30" s="270">
        <f>IF(G30="W",'US CBAs'!$B$19,0)</f>
        <v>0</v>
      </c>
      <c r="L30" s="40">
        <v>17</v>
      </c>
      <c r="M30" s="270">
        <f>'US CBAs'!$B$12+IF(G30="W",'US CBAs'!$B$19,0)</f>
        <v>1250</v>
      </c>
      <c r="N30" s="40">
        <v>1</v>
      </c>
      <c r="O30" s="60">
        <f>(K30*L30)+(M30*N30)</f>
        <v>1250</v>
      </c>
      <c r="P30" s="270">
        <v>0</v>
      </c>
      <c r="Q30" s="60">
        <f>O30+P30</f>
        <v>1250</v>
      </c>
      <c r="U30" s="326"/>
      <c r="V30" s="252"/>
    </row>
    <row r="31" spans="1:24" x14ac:dyDescent="0.35">
      <c r="A31" s="40" t="s">
        <v>191</v>
      </c>
      <c r="B31" s="40">
        <v>23</v>
      </c>
      <c r="C31" s="40">
        <v>2011</v>
      </c>
      <c r="D31" s="40" t="s">
        <v>29</v>
      </c>
      <c r="E31" s="40" t="s">
        <v>220</v>
      </c>
      <c r="F31" s="40"/>
      <c r="G31" s="40" t="s">
        <v>20</v>
      </c>
      <c r="H31" s="40" t="s">
        <v>25</v>
      </c>
      <c r="I31" s="48">
        <v>7000</v>
      </c>
      <c r="J31" s="40" t="s">
        <v>218</v>
      </c>
      <c r="K31" s="270">
        <f>IF(G31="W",'US CBAs'!$B$19,0)</f>
        <v>1250</v>
      </c>
      <c r="L31" s="40">
        <v>17</v>
      </c>
      <c r="M31" s="270">
        <f>'US CBAs'!$B$12+IF(G31="W",'US CBAs'!$B$19,0)</f>
        <v>2500</v>
      </c>
      <c r="N31" s="40">
        <v>1</v>
      </c>
      <c r="O31" s="60">
        <f t="shared" ref="O31:O49" si="2">(K31*L31)+(M31*N31)</f>
        <v>23750</v>
      </c>
      <c r="P31" s="270">
        <v>0</v>
      </c>
      <c r="Q31" s="60">
        <f t="shared" ref="Q31:Q49" si="3">O31+P31</f>
        <v>23750</v>
      </c>
      <c r="S31" s="280" t="s">
        <v>393</v>
      </c>
      <c r="T31" s="327"/>
      <c r="U31" s="326"/>
      <c r="V31" s="252"/>
    </row>
    <row r="32" spans="1:24" x14ac:dyDescent="0.35">
      <c r="A32" s="40" t="s">
        <v>191</v>
      </c>
      <c r="B32" s="40">
        <v>25</v>
      </c>
      <c r="C32" s="40">
        <v>2011</v>
      </c>
      <c r="D32" s="40" t="s">
        <v>25</v>
      </c>
      <c r="E32" s="40" t="s">
        <v>220</v>
      </c>
      <c r="F32" s="40"/>
      <c r="G32" s="40" t="s">
        <v>20</v>
      </c>
      <c r="H32" s="40" t="s">
        <v>25</v>
      </c>
      <c r="I32" s="48">
        <v>12000</v>
      </c>
      <c r="J32" s="40" t="s">
        <v>218</v>
      </c>
      <c r="K32" s="270">
        <f>IF(G32="W",'US CBAs'!$B$19,0)</f>
        <v>1250</v>
      </c>
      <c r="L32" s="40">
        <v>17</v>
      </c>
      <c r="M32" s="270">
        <f>'US CBAs'!$B$12+IF(G32="W",'US CBAs'!$B$19,0)</f>
        <v>2500</v>
      </c>
      <c r="N32" s="40">
        <v>1</v>
      </c>
      <c r="O32" s="60">
        <f t="shared" si="2"/>
        <v>23750</v>
      </c>
      <c r="P32" s="270">
        <v>0</v>
      </c>
      <c r="Q32" s="60">
        <f t="shared" si="3"/>
        <v>23750</v>
      </c>
      <c r="S32" s="282" t="s">
        <v>219</v>
      </c>
      <c r="T32" s="283">
        <f>SUM(O9:O24)+SUM(O30:O36)</f>
        <v>1726220</v>
      </c>
      <c r="U32" s="328"/>
      <c r="V32" s="260"/>
    </row>
    <row r="33" spans="1:22" x14ac:dyDescent="0.35">
      <c r="A33" s="40" t="s">
        <v>221</v>
      </c>
      <c r="B33" s="40">
        <v>2</v>
      </c>
      <c r="C33" s="40">
        <v>2011</v>
      </c>
      <c r="D33" s="40" t="s">
        <v>50</v>
      </c>
      <c r="E33" s="40" t="s">
        <v>220</v>
      </c>
      <c r="F33" s="40"/>
      <c r="G33" s="40" t="s">
        <v>20</v>
      </c>
      <c r="H33" s="40" t="s">
        <v>82</v>
      </c>
      <c r="I33" s="40">
        <v>350</v>
      </c>
      <c r="J33" s="40" t="s">
        <v>218</v>
      </c>
      <c r="K33" s="270">
        <f>IF(G33="W",'US CBAs'!$B$19,0)</f>
        <v>1250</v>
      </c>
      <c r="L33" s="40">
        <v>17</v>
      </c>
      <c r="M33" s="270">
        <f>'US CBAs'!$B$12+IF(G33="W",'US CBAs'!$B$19,0)</f>
        <v>2500</v>
      </c>
      <c r="N33" s="40">
        <v>1</v>
      </c>
      <c r="O33" s="60">
        <f t="shared" si="2"/>
        <v>23750</v>
      </c>
      <c r="P33" s="270">
        <v>0</v>
      </c>
      <c r="Q33" s="60">
        <f t="shared" si="3"/>
        <v>23750</v>
      </c>
      <c r="S33" s="284" t="s">
        <v>394</v>
      </c>
      <c r="T33" s="283">
        <f>SUM(P9:P24)+SUM(P30:P36)</f>
        <v>0</v>
      </c>
      <c r="U33" s="328"/>
      <c r="V33" s="260"/>
    </row>
    <row r="34" spans="1:22" x14ac:dyDescent="0.35">
      <c r="A34" s="40" t="s">
        <v>221</v>
      </c>
      <c r="B34" s="40">
        <v>4</v>
      </c>
      <c r="C34" s="40">
        <v>2011</v>
      </c>
      <c r="D34" s="40" t="s">
        <v>62</v>
      </c>
      <c r="E34" s="40" t="s">
        <v>220</v>
      </c>
      <c r="F34" s="40"/>
      <c r="G34" s="40" t="s">
        <v>20</v>
      </c>
      <c r="H34" s="40" t="s">
        <v>82</v>
      </c>
      <c r="I34" s="40">
        <v>400</v>
      </c>
      <c r="J34" s="40" t="s">
        <v>218</v>
      </c>
      <c r="K34" s="270">
        <f>IF(G34="W",'US CBAs'!$B$19,0)</f>
        <v>1250</v>
      </c>
      <c r="L34" s="40">
        <v>17</v>
      </c>
      <c r="M34" s="270">
        <f>'US CBAs'!$B$12+IF(G34="W",'US CBAs'!$B$19,0)</f>
        <v>2500</v>
      </c>
      <c r="N34" s="40">
        <v>1</v>
      </c>
      <c r="O34" s="60">
        <f t="shared" si="2"/>
        <v>23750</v>
      </c>
      <c r="P34" s="270">
        <v>0</v>
      </c>
      <c r="Q34" s="60">
        <f t="shared" si="3"/>
        <v>23750</v>
      </c>
      <c r="S34" s="285" t="s">
        <v>395</v>
      </c>
      <c r="T34" s="286">
        <f>T32+T33</f>
        <v>1726220</v>
      </c>
      <c r="U34" s="328"/>
      <c r="V34" s="260"/>
    </row>
    <row r="35" spans="1:22" x14ac:dyDescent="0.35">
      <c r="A35" s="40" t="s">
        <v>221</v>
      </c>
      <c r="B35" s="40">
        <v>7</v>
      </c>
      <c r="C35" s="40">
        <v>2011</v>
      </c>
      <c r="D35" s="40" t="s">
        <v>265</v>
      </c>
      <c r="E35" s="40" t="s">
        <v>220</v>
      </c>
      <c r="F35" s="40"/>
      <c r="G35" s="40" t="s">
        <v>20</v>
      </c>
      <c r="H35" s="40" t="s">
        <v>82</v>
      </c>
      <c r="I35" s="40">
        <v>250</v>
      </c>
      <c r="J35" s="40" t="s">
        <v>218</v>
      </c>
      <c r="K35" s="270">
        <f>IF(G35="W",'US CBAs'!$B$19,0)</f>
        <v>1250</v>
      </c>
      <c r="L35" s="40">
        <v>17</v>
      </c>
      <c r="M35" s="270">
        <f>'US CBAs'!$B$12+IF(G35="W",'US CBAs'!$B$19,0)</f>
        <v>2500</v>
      </c>
      <c r="N35" s="40">
        <v>1</v>
      </c>
      <c r="O35" s="60">
        <f t="shared" si="2"/>
        <v>23750</v>
      </c>
      <c r="P35" s="270">
        <v>0</v>
      </c>
      <c r="Q35" s="60">
        <f t="shared" si="3"/>
        <v>23750</v>
      </c>
      <c r="S35" s="285" t="s">
        <v>183</v>
      </c>
      <c r="T35" s="286">
        <f>$V25</f>
        <v>237500</v>
      </c>
      <c r="U35" s="328"/>
      <c r="V35" s="260"/>
    </row>
    <row r="36" spans="1:22" x14ac:dyDescent="0.35">
      <c r="A36" s="40" t="s">
        <v>221</v>
      </c>
      <c r="B36" s="40">
        <v>9</v>
      </c>
      <c r="C36" s="40">
        <v>2011</v>
      </c>
      <c r="D36" s="40" t="s">
        <v>23</v>
      </c>
      <c r="E36" s="40" t="s">
        <v>220</v>
      </c>
      <c r="F36" s="40"/>
      <c r="G36" s="40" t="s">
        <v>20</v>
      </c>
      <c r="H36" s="40" t="s">
        <v>82</v>
      </c>
      <c r="I36" s="48">
        <v>1500</v>
      </c>
      <c r="J36" s="40" t="s">
        <v>218</v>
      </c>
      <c r="K36" s="270">
        <f>IF(G36="W",'US CBAs'!$B$19,0)</f>
        <v>1250</v>
      </c>
      <c r="L36" s="40">
        <v>17</v>
      </c>
      <c r="M36" s="270">
        <f>'US CBAs'!$B$12+IF(G36="W",'US CBAs'!$B$19,0)</f>
        <v>2500</v>
      </c>
      <c r="N36" s="40">
        <v>1</v>
      </c>
      <c r="O36" s="60">
        <f t="shared" si="2"/>
        <v>23750</v>
      </c>
      <c r="P36" s="270">
        <v>0</v>
      </c>
      <c r="Q36" s="60">
        <f t="shared" si="3"/>
        <v>23750</v>
      </c>
      <c r="S36" s="287" t="s">
        <v>396</v>
      </c>
      <c r="T36" s="288">
        <f>T34+T35</f>
        <v>1963720</v>
      </c>
      <c r="U36" s="328"/>
      <c r="V36" s="260"/>
    </row>
    <row r="37" spans="1:22" x14ac:dyDescent="0.35">
      <c r="A37" s="40" t="s">
        <v>240</v>
      </c>
      <c r="B37" s="40">
        <v>2</v>
      </c>
      <c r="C37" s="40">
        <v>2011</v>
      </c>
      <c r="D37" s="40" t="s">
        <v>61</v>
      </c>
      <c r="E37" s="40" t="s">
        <v>220</v>
      </c>
      <c r="F37" s="40"/>
      <c r="G37" s="40" t="s">
        <v>33</v>
      </c>
      <c r="H37" s="40" t="s">
        <v>61</v>
      </c>
      <c r="I37" s="48">
        <v>5801</v>
      </c>
      <c r="J37" s="40" t="s">
        <v>218</v>
      </c>
      <c r="K37" s="270">
        <f>IF(G37="W",'US CBAs'!$B$19,0)</f>
        <v>0</v>
      </c>
      <c r="L37" s="40">
        <v>17</v>
      </c>
      <c r="M37" s="270">
        <f>'US CBAs'!$B$12+IF(G37="W",'US CBAs'!$B$19,0)</f>
        <v>1250</v>
      </c>
      <c r="N37" s="40">
        <v>1</v>
      </c>
      <c r="O37" s="60">
        <f t="shared" si="2"/>
        <v>1250</v>
      </c>
      <c r="P37" s="270">
        <v>0</v>
      </c>
      <c r="Q37" s="60">
        <f t="shared" si="3"/>
        <v>1250</v>
      </c>
      <c r="U37" s="328"/>
      <c r="V37" s="260"/>
    </row>
    <row r="38" spans="1:22" x14ac:dyDescent="0.35">
      <c r="A38" s="40" t="s">
        <v>186</v>
      </c>
      <c r="B38" s="40">
        <v>14</v>
      </c>
      <c r="C38" s="40">
        <v>2011</v>
      </c>
      <c r="D38" s="40" t="s">
        <v>50</v>
      </c>
      <c r="E38" s="40" t="s">
        <v>220</v>
      </c>
      <c r="F38" s="40"/>
      <c r="G38" s="40" t="s">
        <v>20</v>
      </c>
      <c r="H38" s="40" t="s">
        <v>495</v>
      </c>
      <c r="I38" s="48">
        <v>5234</v>
      </c>
      <c r="J38" s="40" t="s">
        <v>218</v>
      </c>
      <c r="K38" s="270">
        <f>IF(G38="W",'US CBAs'!$B$19,0)</f>
        <v>1250</v>
      </c>
      <c r="L38" s="40">
        <v>17</v>
      </c>
      <c r="M38" s="270">
        <f>'US CBAs'!$B$12+IF(G38="W",'US CBAs'!$B$19,0)</f>
        <v>2500</v>
      </c>
      <c r="N38" s="40">
        <v>1</v>
      </c>
      <c r="O38" s="60">
        <f t="shared" si="2"/>
        <v>23750</v>
      </c>
      <c r="P38" s="270">
        <v>0</v>
      </c>
      <c r="Q38" s="60">
        <f t="shared" si="3"/>
        <v>23750</v>
      </c>
      <c r="T38" s="318"/>
      <c r="U38" s="329"/>
    </row>
    <row r="39" spans="1:22" x14ac:dyDescent="0.35">
      <c r="A39" s="40" t="s">
        <v>186</v>
      </c>
      <c r="B39" s="40">
        <v>18</v>
      </c>
      <c r="C39" s="40">
        <v>2011</v>
      </c>
      <c r="D39" s="40" t="s">
        <v>50</v>
      </c>
      <c r="E39" s="40" t="s">
        <v>220</v>
      </c>
      <c r="F39" s="40"/>
      <c r="G39" s="40" t="s">
        <v>20</v>
      </c>
      <c r="H39" s="40" t="s">
        <v>502</v>
      </c>
      <c r="I39" s="48">
        <v>5323</v>
      </c>
      <c r="J39" s="40" t="s">
        <v>218</v>
      </c>
      <c r="K39" s="270">
        <f>IF(G39="W",'US CBAs'!$B$19,0)</f>
        <v>1250</v>
      </c>
      <c r="L39" s="40">
        <v>17</v>
      </c>
      <c r="M39" s="270">
        <f>'US CBAs'!$B$12+IF(G39="W",'US CBAs'!$B$19,0)</f>
        <v>2500</v>
      </c>
      <c r="N39" s="40">
        <v>1</v>
      </c>
      <c r="O39" s="60">
        <f t="shared" si="2"/>
        <v>23750</v>
      </c>
      <c r="P39" s="270">
        <v>0</v>
      </c>
      <c r="Q39" s="60">
        <f t="shared" si="3"/>
        <v>23750</v>
      </c>
      <c r="T39" s="318"/>
      <c r="U39" s="329"/>
    </row>
    <row r="40" spans="1:22" x14ac:dyDescent="0.35">
      <c r="A40" s="40" t="s">
        <v>223</v>
      </c>
      <c r="B40" s="40">
        <v>5</v>
      </c>
      <c r="C40" s="40">
        <v>2011</v>
      </c>
      <c r="D40" s="40" t="s">
        <v>35</v>
      </c>
      <c r="E40" s="40" t="s">
        <v>220</v>
      </c>
      <c r="F40" s="40"/>
      <c r="G40" s="40" t="s">
        <v>20</v>
      </c>
      <c r="H40" s="40" t="s">
        <v>485</v>
      </c>
      <c r="I40" s="48">
        <v>5852</v>
      </c>
      <c r="J40" s="40" t="s">
        <v>218</v>
      </c>
      <c r="K40" s="270">
        <f>IF(G40="W",'US CBAs'!$B$19,0)</f>
        <v>1250</v>
      </c>
      <c r="L40" s="40">
        <v>17</v>
      </c>
      <c r="M40" s="270">
        <f>'US CBAs'!$B$12+IF(G40="W",'US CBAs'!$B$19,0)</f>
        <v>2500</v>
      </c>
      <c r="N40" s="40">
        <v>1</v>
      </c>
      <c r="O40" s="60">
        <f t="shared" si="2"/>
        <v>23750</v>
      </c>
      <c r="P40" s="270">
        <v>0</v>
      </c>
      <c r="Q40" s="60">
        <f t="shared" si="3"/>
        <v>23750</v>
      </c>
      <c r="T40" s="330"/>
      <c r="U40" s="329"/>
    </row>
    <row r="41" spans="1:22" x14ac:dyDescent="0.35">
      <c r="A41" s="40" t="s">
        <v>223</v>
      </c>
      <c r="B41" s="40">
        <v>28</v>
      </c>
      <c r="C41" s="40">
        <v>2011</v>
      </c>
      <c r="D41" s="40" t="s">
        <v>52</v>
      </c>
      <c r="E41" s="40" t="s">
        <v>1</v>
      </c>
      <c r="F41" s="40"/>
      <c r="G41" s="40" t="s">
        <v>20</v>
      </c>
      <c r="H41" s="40" t="s">
        <v>27</v>
      </c>
      <c r="I41" s="48">
        <v>21859</v>
      </c>
      <c r="J41" s="40" t="s">
        <v>218</v>
      </c>
      <c r="K41" s="270">
        <f>IF(G41="W",'US CBAs'!$B$19,0)</f>
        <v>1250</v>
      </c>
      <c r="L41" s="40">
        <v>21</v>
      </c>
      <c r="M41" s="270">
        <f>'US CBAs'!$B$12+IF(G41="W",'US CBAs'!$B$19,0)</f>
        <v>2500</v>
      </c>
      <c r="N41" s="40">
        <v>0</v>
      </c>
      <c r="O41" s="60">
        <f t="shared" si="2"/>
        <v>26250</v>
      </c>
      <c r="P41" s="270">
        <v>0</v>
      </c>
      <c r="Q41" s="60">
        <f t="shared" si="3"/>
        <v>26250</v>
      </c>
      <c r="T41" s="330"/>
      <c r="U41" s="329"/>
    </row>
    <row r="42" spans="1:22" x14ac:dyDescent="0.35">
      <c r="A42" s="40" t="s">
        <v>230</v>
      </c>
      <c r="B42" s="40">
        <v>2</v>
      </c>
      <c r="C42" s="40">
        <v>2011</v>
      </c>
      <c r="D42" s="40" t="s">
        <v>64</v>
      </c>
      <c r="E42" s="40" t="s">
        <v>1</v>
      </c>
      <c r="F42" s="40"/>
      <c r="G42" s="40" t="s">
        <v>20</v>
      </c>
      <c r="H42" s="40" t="s">
        <v>27</v>
      </c>
      <c r="I42" s="48">
        <v>25475</v>
      </c>
      <c r="J42" s="40" t="s">
        <v>218</v>
      </c>
      <c r="K42" s="270">
        <f>IF(G42="W",'US CBAs'!$B$19,0)</f>
        <v>1250</v>
      </c>
      <c r="L42" s="40">
        <v>21</v>
      </c>
      <c r="M42" s="270">
        <f>'US CBAs'!$B$12+IF(G42="W",'US CBAs'!$B$19,0)</f>
        <v>2500</v>
      </c>
      <c r="N42" s="40">
        <v>0</v>
      </c>
      <c r="O42" s="60">
        <f t="shared" si="2"/>
        <v>26250</v>
      </c>
      <c r="P42" s="270">
        <v>0</v>
      </c>
      <c r="Q42" s="60">
        <f t="shared" si="3"/>
        <v>26250</v>
      </c>
      <c r="T42" s="330"/>
      <c r="U42" s="329"/>
    </row>
    <row r="43" spans="1:22" x14ac:dyDescent="0.35">
      <c r="A43" s="40" t="s">
        <v>230</v>
      </c>
      <c r="B43" s="40">
        <v>6</v>
      </c>
      <c r="C43" s="40">
        <v>2011</v>
      </c>
      <c r="D43" s="40" t="s">
        <v>26</v>
      </c>
      <c r="E43" s="40" t="s">
        <v>1</v>
      </c>
      <c r="F43" s="40"/>
      <c r="G43" s="40" t="s">
        <v>33</v>
      </c>
      <c r="H43" s="40" t="s">
        <v>27</v>
      </c>
      <c r="I43" s="48">
        <v>23468</v>
      </c>
      <c r="J43" s="40" t="s">
        <v>218</v>
      </c>
      <c r="K43" s="270">
        <f>IF(G43="W",'US CBAs'!$B$19,0)</f>
        <v>0</v>
      </c>
      <c r="L43" s="40">
        <v>21</v>
      </c>
      <c r="M43" s="270">
        <f>'US CBAs'!$B$12+IF(G43="W",'US CBAs'!$B$19,0)</f>
        <v>1250</v>
      </c>
      <c r="N43" s="40">
        <v>0</v>
      </c>
      <c r="O43" s="60">
        <f t="shared" si="2"/>
        <v>0</v>
      </c>
      <c r="P43" s="270">
        <v>0</v>
      </c>
      <c r="Q43" s="60">
        <f t="shared" si="3"/>
        <v>0</v>
      </c>
      <c r="U43" s="329"/>
    </row>
    <row r="44" spans="1:22" x14ac:dyDescent="0.35">
      <c r="A44" s="40" t="s">
        <v>230</v>
      </c>
      <c r="B44" s="40">
        <v>10</v>
      </c>
      <c r="C44" s="40">
        <v>2011</v>
      </c>
      <c r="D44" s="79" t="s">
        <v>424</v>
      </c>
      <c r="E44" s="40" t="s">
        <v>1</v>
      </c>
      <c r="F44" s="40"/>
      <c r="G44" s="40" t="s">
        <v>83</v>
      </c>
      <c r="H44" s="40" t="s">
        <v>27</v>
      </c>
      <c r="I44" s="48">
        <v>25598</v>
      </c>
      <c r="J44" s="40" t="s">
        <v>218</v>
      </c>
      <c r="K44" s="270">
        <f>IF(G44="W",'US CBAs'!$B$19,0)</f>
        <v>0</v>
      </c>
      <c r="L44" s="40">
        <v>21</v>
      </c>
      <c r="M44" s="270">
        <f>'US CBAs'!$B$12+IF(G44="W",'US CBAs'!$B$19,0)</f>
        <v>1250</v>
      </c>
      <c r="N44" s="40">
        <v>0</v>
      </c>
      <c r="O44" s="60">
        <f t="shared" si="2"/>
        <v>0</v>
      </c>
      <c r="P44" s="270">
        <v>0</v>
      </c>
      <c r="Q44" s="60">
        <f t="shared" si="3"/>
        <v>0</v>
      </c>
      <c r="U44" s="329"/>
    </row>
    <row r="45" spans="1:22" x14ac:dyDescent="0.35">
      <c r="A45" s="40" t="s">
        <v>230</v>
      </c>
      <c r="B45" s="40">
        <v>13</v>
      </c>
      <c r="C45" s="40">
        <v>2011</v>
      </c>
      <c r="D45" s="40" t="s">
        <v>53</v>
      </c>
      <c r="E45" s="40" t="s">
        <v>1</v>
      </c>
      <c r="F45" s="40"/>
      <c r="G45" s="40" t="s">
        <v>20</v>
      </c>
      <c r="H45" s="40" t="s">
        <v>27</v>
      </c>
      <c r="I45" s="48">
        <v>25676</v>
      </c>
      <c r="J45" s="40" t="s">
        <v>218</v>
      </c>
      <c r="K45" s="270">
        <f>IF(G45="W",'US CBAs'!$B$19,0)</f>
        <v>1250</v>
      </c>
      <c r="L45" s="40">
        <v>21</v>
      </c>
      <c r="M45" s="270">
        <f>'US CBAs'!$B$12+IF(G45="W",'US CBAs'!$B$19,0)</f>
        <v>2500</v>
      </c>
      <c r="N45" s="40">
        <v>0</v>
      </c>
      <c r="O45" s="60">
        <f t="shared" si="2"/>
        <v>26250</v>
      </c>
      <c r="P45" s="270">
        <v>0</v>
      </c>
      <c r="Q45" s="60">
        <f t="shared" si="3"/>
        <v>26250</v>
      </c>
      <c r="U45" s="329"/>
    </row>
    <row r="46" spans="1:22" x14ac:dyDescent="0.35">
      <c r="A46" s="40" t="s">
        <v>230</v>
      </c>
      <c r="B46" s="40">
        <v>17</v>
      </c>
      <c r="C46" s="40">
        <v>2011</v>
      </c>
      <c r="D46" s="79" t="s">
        <v>425</v>
      </c>
      <c r="E46" s="40" t="s">
        <v>1</v>
      </c>
      <c r="F46" s="40"/>
      <c r="G46" s="40" t="s">
        <v>83</v>
      </c>
      <c r="H46" s="40" t="s">
        <v>27</v>
      </c>
      <c r="I46" s="48">
        <v>48817</v>
      </c>
      <c r="J46" s="40" t="s">
        <v>218</v>
      </c>
      <c r="K46" s="270">
        <f>IF(G46="W",'US CBAs'!$B$19,0)</f>
        <v>0</v>
      </c>
      <c r="L46" s="40">
        <v>21</v>
      </c>
      <c r="M46" s="270">
        <f>'US CBAs'!$B$12+IF(G46="W",'US CBAs'!$B$19,0)</f>
        <v>1250</v>
      </c>
      <c r="N46" s="40">
        <v>0</v>
      </c>
      <c r="O46" s="60">
        <f t="shared" si="2"/>
        <v>0</v>
      </c>
      <c r="P46" s="270">
        <v>0</v>
      </c>
      <c r="Q46" s="60">
        <f t="shared" si="3"/>
        <v>0</v>
      </c>
    </row>
    <row r="47" spans="1:22" x14ac:dyDescent="0.35">
      <c r="A47" s="40" t="s">
        <v>222</v>
      </c>
      <c r="B47" s="40">
        <v>17</v>
      </c>
      <c r="C47" s="40">
        <v>2011</v>
      </c>
      <c r="D47" s="40" t="s">
        <v>29</v>
      </c>
      <c r="E47" s="40" t="s">
        <v>220</v>
      </c>
      <c r="F47" s="40"/>
      <c r="G47" s="40" t="s">
        <v>83</v>
      </c>
      <c r="H47" s="40" t="s">
        <v>490</v>
      </c>
      <c r="I47" s="48">
        <v>16191</v>
      </c>
      <c r="J47" s="40" t="s">
        <v>218</v>
      </c>
      <c r="K47" s="270">
        <f>IF(G47="W",'US CBAs'!$B$19,0)</f>
        <v>0</v>
      </c>
      <c r="L47" s="40">
        <v>21</v>
      </c>
      <c r="M47" s="270">
        <f>'US CBAs'!$B$12+IF(G47="W",'US CBAs'!$B$19,0)</f>
        <v>1250</v>
      </c>
      <c r="N47" s="40">
        <v>0</v>
      </c>
      <c r="O47" s="60">
        <f t="shared" si="2"/>
        <v>0</v>
      </c>
      <c r="P47" s="270">
        <v>0</v>
      </c>
      <c r="Q47" s="60">
        <f t="shared" si="3"/>
        <v>0</v>
      </c>
    </row>
    <row r="48" spans="1:22" x14ac:dyDescent="0.35">
      <c r="A48" s="40" t="s">
        <v>222</v>
      </c>
      <c r="B48" s="40">
        <v>22</v>
      </c>
      <c r="C48" s="40">
        <v>2011</v>
      </c>
      <c r="D48" s="40" t="s">
        <v>29</v>
      </c>
      <c r="E48" s="40" t="s">
        <v>220</v>
      </c>
      <c r="F48" s="40"/>
      <c r="G48" s="40" t="s">
        <v>20</v>
      </c>
      <c r="H48" s="40" t="s">
        <v>499</v>
      </c>
      <c r="I48" s="48">
        <v>18570</v>
      </c>
      <c r="J48" s="40" t="s">
        <v>218</v>
      </c>
      <c r="K48" s="270">
        <f>IF(G48="W",'US CBAs'!$B$19,0)</f>
        <v>1250</v>
      </c>
      <c r="L48" s="40">
        <v>21</v>
      </c>
      <c r="M48" s="270">
        <f>'US CBAs'!$B$12+IF(G48="W",'US CBAs'!$B$19,0)</f>
        <v>2500</v>
      </c>
      <c r="N48" s="40">
        <v>0</v>
      </c>
      <c r="O48" s="60">
        <f t="shared" si="2"/>
        <v>26250</v>
      </c>
      <c r="P48" s="270">
        <v>0</v>
      </c>
      <c r="Q48" s="60">
        <f t="shared" si="3"/>
        <v>26250</v>
      </c>
      <c r="S48" s="47"/>
      <c r="T48" s="47"/>
    </row>
    <row r="49" spans="1:24" x14ac:dyDescent="0.35">
      <c r="A49" s="40" t="s">
        <v>190</v>
      </c>
      <c r="B49" s="40">
        <v>19</v>
      </c>
      <c r="C49" s="40">
        <v>2011</v>
      </c>
      <c r="D49" s="40" t="s">
        <v>26</v>
      </c>
      <c r="E49" s="40" t="s">
        <v>220</v>
      </c>
      <c r="F49" s="40"/>
      <c r="G49" s="40" t="s">
        <v>83</v>
      </c>
      <c r="H49" s="40" t="s">
        <v>493</v>
      </c>
      <c r="I49" s="48">
        <v>18482</v>
      </c>
      <c r="J49" s="40" t="s">
        <v>218</v>
      </c>
      <c r="K49" s="270">
        <f>IF(G49="W",'US CBAs'!$B$19,0)</f>
        <v>0</v>
      </c>
      <c r="L49" s="40">
        <v>21</v>
      </c>
      <c r="M49" s="270">
        <f>'US CBAs'!$B$12+IF(G49="W",'US CBAs'!$B$19,0)</f>
        <v>1250</v>
      </c>
      <c r="N49" s="40">
        <v>0</v>
      </c>
      <c r="O49" s="60">
        <f t="shared" si="2"/>
        <v>0</v>
      </c>
      <c r="P49" s="270">
        <v>0</v>
      </c>
      <c r="Q49" s="60">
        <f t="shared" si="3"/>
        <v>0</v>
      </c>
    </row>
    <row r="50" spans="1:24" x14ac:dyDescent="0.35">
      <c r="A50" s="40"/>
      <c r="B50" s="40"/>
      <c r="C50" s="40"/>
      <c r="D50" s="40"/>
      <c r="E50" s="40"/>
      <c r="F50" s="40"/>
      <c r="G50" s="40"/>
      <c r="H50" s="315" t="s">
        <v>431</v>
      </c>
      <c r="J50" s="302"/>
      <c r="K50" s="307">
        <f>'US CBAs'!$B$4</f>
        <v>62500</v>
      </c>
      <c r="L50" s="302">
        <v>18</v>
      </c>
      <c r="M50" s="307"/>
      <c r="N50" s="302"/>
      <c r="O50" s="60">
        <f>(K50*L50)+(M50*N50)</f>
        <v>1125000</v>
      </c>
      <c r="P50" s="307"/>
      <c r="Q50" s="60">
        <f>O50+P50</f>
        <v>1125000</v>
      </c>
      <c r="S50" s="253" t="s">
        <v>381</v>
      </c>
      <c r="T50" s="254" t="s">
        <v>6</v>
      </c>
      <c r="U50" s="254" t="s">
        <v>18</v>
      </c>
      <c r="V50" s="255" t="s">
        <v>91</v>
      </c>
    </row>
    <row r="51" spans="1:24" x14ac:dyDescent="0.35">
      <c r="A51" s="40"/>
      <c r="B51" s="40"/>
      <c r="C51" s="40"/>
      <c r="D51" s="40"/>
      <c r="E51" s="40"/>
      <c r="F51" s="40"/>
      <c r="G51" s="40"/>
      <c r="H51" s="315" t="s">
        <v>432</v>
      </c>
      <c r="J51" s="302"/>
      <c r="K51" s="307">
        <f>'US CBAs'!$B$5</f>
        <v>43740</v>
      </c>
      <c r="L51" s="302">
        <v>4</v>
      </c>
      <c r="M51" s="307"/>
      <c r="N51" s="302"/>
      <c r="O51" s="60">
        <f>(K51*L51)+(M51*N51)</f>
        <v>174960</v>
      </c>
      <c r="P51" s="307"/>
      <c r="Q51" s="60">
        <f>O51+P51</f>
        <v>174960</v>
      </c>
      <c r="S51" s="322" t="s">
        <v>217</v>
      </c>
      <c r="T51" s="252">
        <f>'US CBAs'!$B$16</f>
        <v>12500</v>
      </c>
      <c r="U51" s="326">
        <v>21</v>
      </c>
      <c r="V51" s="252">
        <f>T51*U51</f>
        <v>262500</v>
      </c>
    </row>
    <row r="52" spans="1:24" x14ac:dyDescent="0.35">
      <c r="A52" s="40"/>
      <c r="B52" s="40"/>
      <c r="C52" s="40"/>
      <c r="D52" s="40"/>
      <c r="E52" s="40"/>
      <c r="F52" s="40"/>
      <c r="G52" s="40"/>
      <c r="H52" s="315" t="s">
        <v>433</v>
      </c>
      <c r="J52" s="302"/>
      <c r="K52" s="307">
        <f>'US CBAs'!$B$6</f>
        <v>31250</v>
      </c>
      <c r="L52" s="302">
        <v>2</v>
      </c>
      <c r="M52" s="307"/>
      <c r="N52" s="302"/>
      <c r="O52" s="60">
        <f>(K52*L52)+(M52*N52)</f>
        <v>62500</v>
      </c>
      <c r="P52" s="307"/>
      <c r="Q52" s="60">
        <f>O52+P52</f>
        <v>62500</v>
      </c>
      <c r="S52" s="322" t="s">
        <v>442</v>
      </c>
      <c r="T52" s="252">
        <f>'US CBAs'!$B$35</f>
        <v>25000</v>
      </c>
      <c r="U52" s="326">
        <v>21</v>
      </c>
      <c r="V52" s="252">
        <f>T52*U52</f>
        <v>525000</v>
      </c>
    </row>
    <row r="53" spans="1:24" x14ac:dyDescent="0.35">
      <c r="A53" s="40"/>
      <c r="B53" s="40"/>
      <c r="C53" s="40"/>
      <c r="D53" s="40"/>
      <c r="E53" s="40"/>
      <c r="F53" s="40"/>
      <c r="G53" s="40"/>
      <c r="H53" s="315" t="s">
        <v>434</v>
      </c>
      <c r="J53" s="302"/>
      <c r="K53" s="307"/>
      <c r="L53" s="302"/>
      <c r="M53" s="307">
        <f>'US CBAs'!$B$8</f>
        <v>313</v>
      </c>
      <c r="N53" s="302">
        <v>20</v>
      </c>
      <c r="O53" s="60">
        <f>(M53*N53)</f>
        <v>6260</v>
      </c>
      <c r="P53" s="307"/>
      <c r="Q53" s="60">
        <f>O53+P53</f>
        <v>6260</v>
      </c>
      <c r="S53" s="322" t="s">
        <v>454</v>
      </c>
      <c r="T53" s="252">
        <f>'US CBAs'!$B$45</f>
        <v>4500</v>
      </c>
      <c r="U53" s="326">
        <v>21</v>
      </c>
      <c r="V53" s="252">
        <f>T53*U53</f>
        <v>94500</v>
      </c>
    </row>
    <row r="54" spans="1:24" x14ac:dyDescent="0.35">
      <c r="A54" s="289" t="s">
        <v>24</v>
      </c>
      <c r="B54" s="289"/>
      <c r="C54" s="289"/>
      <c r="D54" s="289"/>
      <c r="E54" s="289"/>
      <c r="F54" s="289"/>
      <c r="G54" s="289"/>
      <c r="H54" s="319"/>
      <c r="I54" s="303"/>
      <c r="J54" s="319"/>
      <c r="K54" s="320"/>
      <c r="L54" s="319"/>
      <c r="M54" s="320"/>
      <c r="N54" s="319"/>
      <c r="O54" s="298">
        <f>SUBTOTAL(109,Table18[Game pay])</f>
        <v>1689970</v>
      </c>
      <c r="P54" s="320"/>
      <c r="Q54" s="298">
        <f>SUBTOTAL(109,Table18[TEAM PAY])</f>
        <v>1689970</v>
      </c>
      <c r="S54" s="253" t="s">
        <v>90</v>
      </c>
      <c r="T54" s="325"/>
      <c r="U54" s="326"/>
      <c r="V54" s="257">
        <f>V52+V53+V51</f>
        <v>882000</v>
      </c>
    </row>
    <row r="55" spans="1:24" x14ac:dyDescent="0.35">
      <c r="A55" s="289"/>
      <c r="B55" s="290"/>
      <c r="C55" s="290"/>
      <c r="D55" s="289"/>
      <c r="E55" s="289"/>
      <c r="F55" s="289"/>
      <c r="G55" s="289"/>
      <c r="H55" s="289"/>
      <c r="I55" s="291"/>
      <c r="J55" s="289"/>
      <c r="K55" s="289"/>
      <c r="L55" s="289"/>
      <c r="M55" s="292"/>
      <c r="N55" s="39"/>
      <c r="O55" s="39"/>
      <c r="P55" s="293" t="s">
        <v>398</v>
      </c>
      <c r="Q55" s="294">
        <f>$V54</f>
        <v>882000</v>
      </c>
      <c r="S55" s="326"/>
      <c r="T55" s="252"/>
      <c r="X55" s="171"/>
    </row>
    <row r="56" spans="1:24" x14ac:dyDescent="0.35">
      <c r="A56" s="289"/>
      <c r="B56" s="290"/>
      <c r="C56" s="290"/>
      <c r="D56" s="289"/>
      <c r="E56" s="289"/>
      <c r="F56" s="289"/>
      <c r="G56" s="289"/>
      <c r="H56" s="289"/>
      <c r="I56" s="291"/>
      <c r="J56" s="289"/>
      <c r="K56" s="289"/>
      <c r="L56" s="289"/>
      <c r="M56" s="292"/>
      <c r="N56" s="39"/>
      <c r="O56" s="39"/>
      <c r="P56" s="295" t="s">
        <v>90</v>
      </c>
      <c r="Q56" s="296">
        <f>Q54+Q55</f>
        <v>2571970</v>
      </c>
      <c r="S56" s="326"/>
      <c r="T56" s="252"/>
      <c r="X56" s="171"/>
    </row>
    <row r="57" spans="1:24" x14ac:dyDescent="0.35">
      <c r="A57" s="40"/>
      <c r="B57" s="40"/>
      <c r="C57" s="40"/>
      <c r="D57" s="40"/>
      <c r="E57" s="40"/>
      <c r="F57" s="40"/>
      <c r="G57" s="40"/>
      <c r="H57" s="40"/>
      <c r="I57" s="48"/>
      <c r="J57" s="40"/>
      <c r="S57" s="47"/>
      <c r="T57" s="47"/>
      <c r="U57" s="300"/>
    </row>
    <row r="58" spans="1:24" x14ac:dyDescent="0.35">
      <c r="A58" s="53" t="s">
        <v>249</v>
      </c>
      <c r="B58" s="65" t="s">
        <v>248</v>
      </c>
      <c r="C58" s="65" t="s">
        <v>247</v>
      </c>
      <c r="D58" s="53" t="s">
        <v>15</v>
      </c>
      <c r="E58" s="53" t="s">
        <v>194</v>
      </c>
      <c r="F58" s="53" t="s">
        <v>246</v>
      </c>
      <c r="G58" s="53" t="s">
        <v>16</v>
      </c>
      <c r="H58" s="53" t="s">
        <v>245</v>
      </c>
      <c r="I58" s="64" t="s">
        <v>14</v>
      </c>
      <c r="J58" s="47" t="s">
        <v>244</v>
      </c>
      <c r="K58" s="231" t="s">
        <v>426</v>
      </c>
      <c r="L58" s="47" t="s">
        <v>17</v>
      </c>
      <c r="M58" s="231" t="s">
        <v>427</v>
      </c>
      <c r="N58" s="47" t="s">
        <v>430</v>
      </c>
      <c r="O58" s="47" t="s">
        <v>219</v>
      </c>
      <c r="P58" s="316" t="s">
        <v>242</v>
      </c>
      <c r="Q58" s="47" t="s">
        <v>241</v>
      </c>
      <c r="S58" s="79" t="s">
        <v>438</v>
      </c>
      <c r="T58" s="331"/>
      <c r="U58" s="326"/>
      <c r="V58" s="252"/>
    </row>
    <row r="59" spans="1:24" x14ac:dyDescent="0.35">
      <c r="A59" s="40" t="s">
        <v>191</v>
      </c>
      <c r="B59" s="40">
        <v>20</v>
      </c>
      <c r="C59" s="40">
        <v>2012</v>
      </c>
      <c r="D59" s="40" t="s">
        <v>264</v>
      </c>
      <c r="E59" s="40" t="s">
        <v>261</v>
      </c>
      <c r="F59" s="40"/>
      <c r="G59" s="40" t="s">
        <v>20</v>
      </c>
      <c r="H59" s="40" t="s">
        <v>29</v>
      </c>
      <c r="I59" s="48">
        <v>6321</v>
      </c>
      <c r="J59" s="40" t="s">
        <v>218</v>
      </c>
      <c r="K59" s="270">
        <f>IF(G59="W",'US CBAs'!$B$19,0)</f>
        <v>1250</v>
      </c>
      <c r="L59" s="40">
        <v>20</v>
      </c>
      <c r="M59" s="270">
        <f>'US CBAs'!$B$12+IF(G59="W",'US CBAs'!$B$19,0)</f>
        <v>2500</v>
      </c>
      <c r="N59" s="40">
        <v>0</v>
      </c>
      <c r="O59" s="60">
        <f t="shared" ref="O59:O90" si="4">(K59*L59)+(M59*N59)</f>
        <v>25000</v>
      </c>
      <c r="P59" s="270">
        <v>0</v>
      </c>
      <c r="Q59" s="60">
        <f t="shared" ref="Q59:Q90" si="5">O59+P59</f>
        <v>25000</v>
      </c>
      <c r="U59" s="326"/>
      <c r="V59" s="252"/>
    </row>
    <row r="60" spans="1:24" x14ac:dyDescent="0.35">
      <c r="A60" s="40" t="s">
        <v>191</v>
      </c>
      <c r="B60" s="40">
        <v>22</v>
      </c>
      <c r="C60" s="40">
        <v>2012</v>
      </c>
      <c r="D60" s="40" t="s">
        <v>43</v>
      </c>
      <c r="E60" s="40" t="s">
        <v>261</v>
      </c>
      <c r="F60" s="40"/>
      <c r="G60" s="40" t="s">
        <v>20</v>
      </c>
      <c r="H60" s="40" t="s">
        <v>29</v>
      </c>
      <c r="I60" s="48">
        <v>6259</v>
      </c>
      <c r="J60" s="40" t="s">
        <v>218</v>
      </c>
      <c r="K60" s="270">
        <f>IF(G60="W",'US CBAs'!$B$19,0)</f>
        <v>1250</v>
      </c>
      <c r="L60" s="40">
        <v>20</v>
      </c>
      <c r="M60" s="270">
        <f>'US CBAs'!$B$12+IF(G60="W",'US CBAs'!$B$19,0)</f>
        <v>2500</v>
      </c>
      <c r="N60" s="40">
        <v>0</v>
      </c>
      <c r="O60" s="60">
        <f t="shared" si="4"/>
        <v>25000</v>
      </c>
      <c r="P60" s="270">
        <v>0</v>
      </c>
      <c r="Q60" s="60">
        <f t="shared" si="5"/>
        <v>25000</v>
      </c>
      <c r="S60" s="47" t="s">
        <v>448</v>
      </c>
      <c r="T60" s="262" t="s">
        <v>6</v>
      </c>
      <c r="U60" s="262" t="s">
        <v>18</v>
      </c>
      <c r="V60" s="263" t="s">
        <v>91</v>
      </c>
    </row>
    <row r="61" spans="1:24" x14ac:dyDescent="0.35">
      <c r="A61" s="40" t="s">
        <v>191</v>
      </c>
      <c r="B61" s="40">
        <v>24</v>
      </c>
      <c r="C61" s="40">
        <v>2012</v>
      </c>
      <c r="D61" s="40" t="s">
        <v>35</v>
      </c>
      <c r="E61" s="40" t="s">
        <v>261</v>
      </c>
      <c r="F61" s="40"/>
      <c r="G61" s="40" t="s">
        <v>20</v>
      </c>
      <c r="H61" s="40" t="s">
        <v>29</v>
      </c>
      <c r="I61" s="48">
        <v>7599</v>
      </c>
      <c r="J61" s="40" t="s">
        <v>218</v>
      </c>
      <c r="K61" s="270">
        <f>IF(G61="W",'US CBAs'!$B$19,0)</f>
        <v>1250</v>
      </c>
      <c r="L61" s="40">
        <v>20</v>
      </c>
      <c r="M61" s="270">
        <f>'US CBAs'!$B$12+IF(G61="W",'US CBAs'!$B$19,0)</f>
        <v>2500</v>
      </c>
      <c r="N61" s="40">
        <v>0</v>
      </c>
      <c r="O61" s="60">
        <f t="shared" si="4"/>
        <v>25000</v>
      </c>
      <c r="P61" s="270">
        <v>0</v>
      </c>
      <c r="Q61" s="60">
        <f t="shared" si="5"/>
        <v>25000</v>
      </c>
      <c r="S61" s="79" t="s">
        <v>443</v>
      </c>
      <c r="T61" s="228">
        <f>'US CBAs'!$B$31</f>
        <v>12500</v>
      </c>
      <c r="U61" s="328">
        <v>20</v>
      </c>
      <c r="V61" s="252">
        <f>T61*U61</f>
        <v>250000</v>
      </c>
    </row>
    <row r="62" spans="1:24" x14ac:dyDescent="0.35">
      <c r="A62" s="40" t="s">
        <v>191</v>
      </c>
      <c r="B62" s="40">
        <v>27</v>
      </c>
      <c r="C62" s="40">
        <v>2012</v>
      </c>
      <c r="D62" s="40" t="s">
        <v>36</v>
      </c>
      <c r="E62" s="40" t="s">
        <v>261</v>
      </c>
      <c r="F62" s="40"/>
      <c r="G62" s="40" t="s">
        <v>20</v>
      </c>
      <c r="H62" s="40" t="s">
        <v>29</v>
      </c>
      <c r="I62" s="48">
        <v>22954</v>
      </c>
      <c r="J62" s="40" t="s">
        <v>218</v>
      </c>
      <c r="K62" s="270">
        <f>IF(G62="W",'US CBAs'!$B$19,0)</f>
        <v>1250</v>
      </c>
      <c r="L62" s="40">
        <v>20</v>
      </c>
      <c r="M62" s="270">
        <f>'US CBAs'!$B$12+IF(G62="W",'US CBAs'!$B$19,0)</f>
        <v>2500</v>
      </c>
      <c r="N62" s="40">
        <v>0</v>
      </c>
      <c r="O62" s="60">
        <f t="shared" si="4"/>
        <v>25000</v>
      </c>
      <c r="P62" s="270">
        <v>0</v>
      </c>
      <c r="Q62" s="60">
        <f t="shared" si="5"/>
        <v>25000</v>
      </c>
      <c r="U62" s="328"/>
      <c r="V62" s="260"/>
    </row>
    <row r="63" spans="1:24" x14ac:dyDescent="0.35">
      <c r="A63" s="40" t="s">
        <v>191</v>
      </c>
      <c r="B63" s="40">
        <v>29</v>
      </c>
      <c r="C63" s="40">
        <v>2012</v>
      </c>
      <c r="D63" s="40" t="s">
        <v>29</v>
      </c>
      <c r="E63" s="40" t="s">
        <v>261</v>
      </c>
      <c r="F63" s="40"/>
      <c r="G63" s="40" t="s">
        <v>20</v>
      </c>
      <c r="H63" s="40" t="s">
        <v>29</v>
      </c>
      <c r="I63" s="48">
        <v>25427</v>
      </c>
      <c r="J63" s="40" t="s">
        <v>218</v>
      </c>
      <c r="K63" s="270">
        <f>IF(G63="W",'US CBAs'!$B$19,0)</f>
        <v>1250</v>
      </c>
      <c r="L63" s="40">
        <v>20</v>
      </c>
      <c r="M63" s="270">
        <f>'US CBAs'!$B$12+IF(G63="W",'US CBAs'!$B$19,0)</f>
        <v>2500</v>
      </c>
      <c r="N63" s="40">
        <v>0</v>
      </c>
      <c r="O63" s="60">
        <f t="shared" si="4"/>
        <v>25000</v>
      </c>
      <c r="P63" s="270">
        <v>0</v>
      </c>
      <c r="Q63" s="60">
        <f t="shared" si="5"/>
        <v>25000</v>
      </c>
      <c r="S63" s="280" t="s">
        <v>399</v>
      </c>
      <c r="T63" s="327"/>
      <c r="U63" s="328"/>
      <c r="V63" s="260"/>
    </row>
    <row r="64" spans="1:24" x14ac:dyDescent="0.35">
      <c r="A64" s="40" t="s">
        <v>192</v>
      </c>
      <c r="B64" s="40">
        <v>11</v>
      </c>
      <c r="C64" s="40">
        <v>2012</v>
      </c>
      <c r="D64" s="40" t="s">
        <v>38</v>
      </c>
      <c r="E64" s="40" t="s">
        <v>220</v>
      </c>
      <c r="F64" s="40"/>
      <c r="G64" s="40" t="s">
        <v>20</v>
      </c>
      <c r="H64" s="40" t="s">
        <v>492</v>
      </c>
      <c r="I64" s="48">
        <v>20677</v>
      </c>
      <c r="J64" s="40" t="s">
        <v>218</v>
      </c>
      <c r="K64" s="270">
        <f>IF(G64="W",'US CBAs'!$B$19,0)</f>
        <v>1250</v>
      </c>
      <c r="L64" s="40">
        <v>18</v>
      </c>
      <c r="M64" s="270">
        <f>'US CBAs'!$B$12+IF(G64="W",'US CBAs'!$B$19,0)</f>
        <v>2500</v>
      </c>
      <c r="N64" s="40">
        <v>0</v>
      </c>
      <c r="O64" s="60">
        <f t="shared" si="4"/>
        <v>22500</v>
      </c>
      <c r="P64" s="270">
        <v>0</v>
      </c>
      <c r="Q64" s="60">
        <f t="shared" si="5"/>
        <v>22500</v>
      </c>
      <c r="S64" s="282" t="s">
        <v>219</v>
      </c>
      <c r="T64" s="283">
        <f>SUM(O37:O53)+SUM(O59:O68)</f>
        <v>1761220</v>
      </c>
    </row>
    <row r="65" spans="1:20" x14ac:dyDescent="0.35">
      <c r="A65" s="40" t="s">
        <v>192</v>
      </c>
      <c r="B65" s="40">
        <v>29</v>
      </c>
      <c r="C65" s="40">
        <v>2012</v>
      </c>
      <c r="D65" s="40" t="s">
        <v>51</v>
      </c>
      <c r="E65" s="40" t="s">
        <v>220</v>
      </c>
      <c r="F65" s="40"/>
      <c r="G65" s="40" t="s">
        <v>20</v>
      </c>
      <c r="H65" s="40" t="s">
        <v>82</v>
      </c>
      <c r="I65" s="40">
        <v>300</v>
      </c>
      <c r="J65" s="40" t="s">
        <v>218</v>
      </c>
      <c r="K65" s="270">
        <f>IF(G65="W",'US CBAs'!$B$19,0)</f>
        <v>1250</v>
      </c>
      <c r="L65" s="40">
        <v>18</v>
      </c>
      <c r="M65" s="270">
        <f>'US CBAs'!$B$12+IF(G65="W",'US CBAs'!$B$19,0)</f>
        <v>2500</v>
      </c>
      <c r="N65" s="40">
        <v>0</v>
      </c>
      <c r="O65" s="60">
        <f t="shared" si="4"/>
        <v>22500</v>
      </c>
      <c r="P65" s="270">
        <v>0</v>
      </c>
      <c r="Q65" s="60">
        <f t="shared" si="5"/>
        <v>22500</v>
      </c>
      <c r="S65" s="284" t="s">
        <v>394</v>
      </c>
      <c r="T65" s="283">
        <f>SUM(P37:P53)+SUM(P59:P68)</f>
        <v>0</v>
      </c>
    </row>
    <row r="66" spans="1:20" x14ac:dyDescent="0.35">
      <c r="A66" s="40" t="s">
        <v>221</v>
      </c>
      <c r="B66" s="40">
        <v>2</v>
      </c>
      <c r="C66" s="40">
        <v>2012</v>
      </c>
      <c r="D66" s="40" t="s">
        <v>62</v>
      </c>
      <c r="E66" s="40" t="s">
        <v>220</v>
      </c>
      <c r="F66" s="40"/>
      <c r="G66" s="40" t="s">
        <v>20</v>
      </c>
      <c r="H66" s="40" t="s">
        <v>82</v>
      </c>
      <c r="I66" s="40">
        <v>300</v>
      </c>
      <c r="J66" s="40" t="s">
        <v>218</v>
      </c>
      <c r="K66" s="270">
        <f>IF(G66="W",'US CBAs'!$B$19,0)</f>
        <v>1250</v>
      </c>
      <c r="L66" s="40">
        <v>18</v>
      </c>
      <c r="M66" s="270">
        <f>'US CBAs'!$B$12+IF(G66="W",'US CBAs'!$B$19,0)</f>
        <v>2500</v>
      </c>
      <c r="N66" s="40">
        <v>0</v>
      </c>
      <c r="O66" s="60">
        <f t="shared" si="4"/>
        <v>22500</v>
      </c>
      <c r="P66" s="270">
        <v>0</v>
      </c>
      <c r="Q66" s="60">
        <f t="shared" si="5"/>
        <v>22500</v>
      </c>
      <c r="S66" s="285" t="s">
        <v>395</v>
      </c>
      <c r="T66" s="286">
        <f>T64+T65</f>
        <v>1761220</v>
      </c>
    </row>
    <row r="67" spans="1:20" x14ac:dyDescent="0.35">
      <c r="A67" s="40" t="s">
        <v>221</v>
      </c>
      <c r="B67" s="40">
        <v>5</v>
      </c>
      <c r="C67" s="40">
        <v>2012</v>
      </c>
      <c r="D67" s="40" t="s">
        <v>50</v>
      </c>
      <c r="E67" s="40" t="s">
        <v>220</v>
      </c>
      <c r="F67" s="40"/>
      <c r="G67" s="40" t="s">
        <v>33</v>
      </c>
      <c r="H67" s="40" t="s">
        <v>82</v>
      </c>
      <c r="I67" s="48">
        <v>1000</v>
      </c>
      <c r="J67" s="40" t="s">
        <v>218</v>
      </c>
      <c r="K67" s="270">
        <f>IF(G67="W",'US CBAs'!$B$19,0)</f>
        <v>0</v>
      </c>
      <c r="L67" s="40">
        <v>18</v>
      </c>
      <c r="M67" s="270">
        <f>'US CBAs'!$B$12+IF(G67="W",'US CBAs'!$B$19,0)</f>
        <v>1250</v>
      </c>
      <c r="N67" s="40">
        <v>0</v>
      </c>
      <c r="O67" s="60">
        <f t="shared" si="4"/>
        <v>0</v>
      </c>
      <c r="P67" s="270">
        <v>0</v>
      </c>
      <c r="Q67" s="60">
        <f t="shared" si="5"/>
        <v>0</v>
      </c>
      <c r="S67" s="285" t="s">
        <v>183</v>
      </c>
      <c r="T67" s="286">
        <f>$V54+$V61</f>
        <v>1132000</v>
      </c>
    </row>
    <row r="68" spans="1:20" x14ac:dyDescent="0.35">
      <c r="A68" s="40" t="s">
        <v>221</v>
      </c>
      <c r="B68" s="40">
        <v>7</v>
      </c>
      <c r="C68" s="40">
        <v>2012</v>
      </c>
      <c r="D68" s="40" t="s">
        <v>26</v>
      </c>
      <c r="E68" s="40" t="s">
        <v>220</v>
      </c>
      <c r="F68" s="40"/>
      <c r="G68" s="40" t="s">
        <v>20</v>
      </c>
      <c r="H68" s="40" t="s">
        <v>82</v>
      </c>
      <c r="I68" s="40">
        <v>400</v>
      </c>
      <c r="J68" s="40" t="s">
        <v>218</v>
      </c>
      <c r="K68" s="270">
        <f>IF(G68="W",'US CBAs'!$B$19,0)</f>
        <v>1250</v>
      </c>
      <c r="L68" s="40">
        <v>18</v>
      </c>
      <c r="M68" s="270">
        <f>'US CBAs'!$B$12+IF(G68="W",'US CBAs'!$B$19,0)</f>
        <v>2500</v>
      </c>
      <c r="N68" s="40">
        <v>0</v>
      </c>
      <c r="O68" s="60">
        <f t="shared" si="4"/>
        <v>22500</v>
      </c>
      <c r="P68" s="270">
        <v>0</v>
      </c>
      <c r="Q68" s="60">
        <f t="shared" si="5"/>
        <v>22500</v>
      </c>
      <c r="S68" s="287" t="s">
        <v>400</v>
      </c>
      <c r="T68" s="288">
        <f>T66+T67</f>
        <v>2893220</v>
      </c>
    </row>
    <row r="69" spans="1:20" x14ac:dyDescent="0.35">
      <c r="A69" s="40" t="s">
        <v>240</v>
      </c>
      <c r="B69" s="40">
        <v>1</v>
      </c>
      <c r="C69" s="40">
        <v>2012</v>
      </c>
      <c r="D69" s="40" t="s">
        <v>50</v>
      </c>
      <c r="E69" s="40" t="s">
        <v>220</v>
      </c>
      <c r="F69" s="40"/>
      <c r="G69" s="40" t="s">
        <v>83</v>
      </c>
      <c r="H69" s="40" t="s">
        <v>50</v>
      </c>
      <c r="I69" s="48">
        <v>15159</v>
      </c>
      <c r="J69" s="40" t="s">
        <v>218</v>
      </c>
      <c r="K69" s="270">
        <f>IF(G69="W",'US CBAs'!$B$19,0)</f>
        <v>0</v>
      </c>
      <c r="L69" s="40">
        <v>18</v>
      </c>
      <c r="M69" s="270">
        <f>'US CBAs'!$B$12+IF(G69="W",'US CBAs'!$B$19,0)</f>
        <v>1250</v>
      </c>
      <c r="N69" s="40">
        <v>0</v>
      </c>
      <c r="O69" s="60">
        <f t="shared" si="4"/>
        <v>0</v>
      </c>
      <c r="P69" s="270">
        <v>0</v>
      </c>
      <c r="Q69" s="60">
        <f t="shared" si="5"/>
        <v>0</v>
      </c>
    </row>
    <row r="70" spans="1:20" x14ac:dyDescent="0.35">
      <c r="A70" s="40" t="s">
        <v>240</v>
      </c>
      <c r="B70" s="40">
        <v>3</v>
      </c>
      <c r="C70" s="40">
        <v>2012</v>
      </c>
      <c r="D70" s="40" t="s">
        <v>41</v>
      </c>
      <c r="E70" s="40" t="s">
        <v>220</v>
      </c>
      <c r="F70" s="40"/>
      <c r="G70" s="40" t="s">
        <v>20</v>
      </c>
      <c r="H70" s="40" t="s">
        <v>50</v>
      </c>
      <c r="I70" s="323" t="s">
        <v>263</v>
      </c>
      <c r="J70" s="40" t="s">
        <v>218</v>
      </c>
      <c r="K70" s="270">
        <f>IF(G70="W",'US CBAs'!$B$19,0)</f>
        <v>1250</v>
      </c>
      <c r="L70" s="40">
        <v>18</v>
      </c>
      <c r="M70" s="270">
        <f>'US CBAs'!$B$12+IF(G70="W",'US CBAs'!$B$19,0)</f>
        <v>2500</v>
      </c>
      <c r="N70" s="40">
        <v>0</v>
      </c>
      <c r="O70" s="60">
        <f t="shared" si="4"/>
        <v>22500</v>
      </c>
      <c r="P70" s="270">
        <v>0</v>
      </c>
      <c r="Q70" s="60">
        <f t="shared" si="5"/>
        <v>22500</v>
      </c>
    </row>
    <row r="71" spans="1:20" x14ac:dyDescent="0.35">
      <c r="A71" s="40" t="s">
        <v>186</v>
      </c>
      <c r="B71" s="40">
        <v>27</v>
      </c>
      <c r="C71" s="40">
        <v>2012</v>
      </c>
      <c r="D71" s="40" t="s">
        <v>25</v>
      </c>
      <c r="E71" s="40" t="s">
        <v>220</v>
      </c>
      <c r="F71" s="40"/>
      <c r="G71" s="40" t="s">
        <v>20</v>
      </c>
      <c r="H71" s="40" t="s">
        <v>484</v>
      </c>
      <c r="I71" s="48">
        <v>18573</v>
      </c>
      <c r="J71" s="40" t="s">
        <v>218</v>
      </c>
      <c r="K71" s="270">
        <f>IF(G71="W",'US CBAs'!$B$19,0)</f>
        <v>1250</v>
      </c>
      <c r="L71" s="40">
        <v>18</v>
      </c>
      <c r="M71" s="270">
        <f>'US CBAs'!$B$12+IF(G71="W",'US CBAs'!$B$19,0)</f>
        <v>2500</v>
      </c>
      <c r="N71" s="40">
        <v>0</v>
      </c>
      <c r="O71" s="60">
        <f t="shared" si="4"/>
        <v>22500</v>
      </c>
      <c r="P71" s="270">
        <v>0</v>
      </c>
      <c r="Q71" s="60">
        <f t="shared" si="5"/>
        <v>22500</v>
      </c>
    </row>
    <row r="72" spans="1:20" x14ac:dyDescent="0.35">
      <c r="A72" s="40" t="s">
        <v>223</v>
      </c>
      <c r="B72" s="40">
        <v>16</v>
      </c>
      <c r="C72" s="40">
        <v>2012</v>
      </c>
      <c r="D72" s="40" t="s">
        <v>26</v>
      </c>
      <c r="E72" s="40" t="s">
        <v>220</v>
      </c>
      <c r="F72" s="40"/>
      <c r="G72" s="40" t="s">
        <v>20</v>
      </c>
      <c r="H72" s="40" t="s">
        <v>26</v>
      </c>
      <c r="I72" s="48">
        <v>2751</v>
      </c>
      <c r="J72" s="40" t="s">
        <v>218</v>
      </c>
      <c r="K72" s="270">
        <f>IF(G72="W",'US CBAs'!$B$19,0)</f>
        <v>1250</v>
      </c>
      <c r="L72" s="40">
        <v>18</v>
      </c>
      <c r="M72" s="270">
        <f>'US CBAs'!$B$12+IF(G72="W",'US CBAs'!$B$19,0)</f>
        <v>2500</v>
      </c>
      <c r="N72" s="40">
        <v>0</v>
      </c>
      <c r="O72" s="60">
        <f t="shared" si="4"/>
        <v>22500</v>
      </c>
      <c r="P72" s="270">
        <v>0</v>
      </c>
      <c r="Q72" s="60">
        <f t="shared" si="5"/>
        <v>22500</v>
      </c>
    </row>
    <row r="73" spans="1:20" x14ac:dyDescent="0.35">
      <c r="A73" s="40" t="s">
        <v>223</v>
      </c>
      <c r="B73" s="40">
        <v>18</v>
      </c>
      <c r="C73" s="40">
        <v>2012</v>
      </c>
      <c r="D73" s="40" t="s">
        <v>50</v>
      </c>
      <c r="E73" s="40" t="s">
        <v>220</v>
      </c>
      <c r="F73" s="40"/>
      <c r="G73" s="40" t="s">
        <v>20</v>
      </c>
      <c r="H73" s="40" t="s">
        <v>26</v>
      </c>
      <c r="I73" s="48">
        <v>1309</v>
      </c>
      <c r="J73" s="40" t="s">
        <v>218</v>
      </c>
      <c r="K73" s="270">
        <f>IF(G73="W",'US CBAs'!$B$19,0)</f>
        <v>1250</v>
      </c>
      <c r="L73" s="40">
        <v>18</v>
      </c>
      <c r="M73" s="270">
        <f>'US CBAs'!$B$12+IF(G73="W",'US CBAs'!$B$19,0)</f>
        <v>2500</v>
      </c>
      <c r="N73" s="40">
        <v>0</v>
      </c>
      <c r="O73" s="60">
        <f t="shared" si="4"/>
        <v>22500</v>
      </c>
      <c r="P73" s="270">
        <v>0</v>
      </c>
      <c r="Q73" s="60">
        <f t="shared" si="5"/>
        <v>22500</v>
      </c>
    </row>
    <row r="74" spans="1:20" x14ac:dyDescent="0.35">
      <c r="A74" s="40" t="s">
        <v>223</v>
      </c>
      <c r="B74" s="40">
        <v>30</v>
      </c>
      <c r="C74" s="40">
        <v>2012</v>
      </c>
      <c r="D74" s="40" t="s">
        <v>29</v>
      </c>
      <c r="E74" s="40" t="s">
        <v>220</v>
      </c>
      <c r="F74" s="40"/>
      <c r="G74" s="40" t="s">
        <v>20</v>
      </c>
      <c r="H74" s="40" t="s">
        <v>498</v>
      </c>
      <c r="I74" s="48">
        <v>16805</v>
      </c>
      <c r="J74" s="40" t="s">
        <v>218</v>
      </c>
      <c r="K74" s="270">
        <f>IF(G74="W",'US CBAs'!$B$19,0)</f>
        <v>1250</v>
      </c>
      <c r="L74" s="40">
        <v>18</v>
      </c>
      <c r="M74" s="270">
        <f>'US CBAs'!$B$12+IF(G74="W",'US CBAs'!$B$19,0)</f>
        <v>2500</v>
      </c>
      <c r="N74" s="40">
        <v>0</v>
      </c>
      <c r="O74" s="60">
        <f t="shared" si="4"/>
        <v>22500</v>
      </c>
      <c r="P74" s="270">
        <v>0</v>
      </c>
      <c r="Q74" s="60">
        <f t="shared" si="5"/>
        <v>22500</v>
      </c>
    </row>
    <row r="75" spans="1:20" x14ac:dyDescent="0.35">
      <c r="A75" s="40" t="s">
        <v>230</v>
      </c>
      <c r="B75" s="40">
        <v>25</v>
      </c>
      <c r="C75" s="40">
        <v>2012</v>
      </c>
      <c r="D75" s="40" t="s">
        <v>53</v>
      </c>
      <c r="E75" s="40" t="s">
        <v>2</v>
      </c>
      <c r="F75" s="40"/>
      <c r="G75" s="40" t="s">
        <v>20</v>
      </c>
      <c r="H75" s="40" t="s">
        <v>19</v>
      </c>
      <c r="I75" s="48">
        <v>18090</v>
      </c>
      <c r="J75" s="40" t="s">
        <v>218</v>
      </c>
      <c r="K75" s="270">
        <f>IF(G75="W",'US CBAs'!$B$19,0)</f>
        <v>1250</v>
      </c>
      <c r="L75" s="40">
        <v>18</v>
      </c>
      <c r="M75" s="270">
        <f>'US CBAs'!$B$12+IF(G75="W",'US CBAs'!$B$19,0)</f>
        <v>2500</v>
      </c>
      <c r="N75" s="40">
        <v>0</v>
      </c>
      <c r="O75" s="60">
        <f t="shared" si="4"/>
        <v>22500</v>
      </c>
      <c r="P75" s="270">
        <v>0</v>
      </c>
      <c r="Q75" s="60">
        <f t="shared" si="5"/>
        <v>22500</v>
      </c>
    </row>
    <row r="76" spans="1:20" x14ac:dyDescent="0.35">
      <c r="A76" s="40" t="s">
        <v>230</v>
      </c>
      <c r="B76" s="40">
        <v>28</v>
      </c>
      <c r="C76" s="40">
        <v>2012</v>
      </c>
      <c r="D76" s="40" t="s">
        <v>64</v>
      </c>
      <c r="E76" s="40" t="s">
        <v>2</v>
      </c>
      <c r="F76" s="40"/>
      <c r="G76" s="40" t="s">
        <v>20</v>
      </c>
      <c r="H76" s="40" t="s">
        <v>19</v>
      </c>
      <c r="I76" s="48">
        <v>11313</v>
      </c>
      <c r="J76" s="40" t="s">
        <v>218</v>
      </c>
      <c r="K76" s="270">
        <f>IF(G76="W",'US CBAs'!$B$19,0)</f>
        <v>1250</v>
      </c>
      <c r="L76" s="40">
        <v>18</v>
      </c>
      <c r="M76" s="270">
        <f>'US CBAs'!$B$12+IF(G76="W",'US CBAs'!$B$19,0)</f>
        <v>2500</v>
      </c>
      <c r="N76" s="40">
        <v>0</v>
      </c>
      <c r="O76" s="60">
        <f t="shared" si="4"/>
        <v>22500</v>
      </c>
      <c r="P76" s="270">
        <v>0</v>
      </c>
      <c r="Q76" s="60">
        <f t="shared" si="5"/>
        <v>22500</v>
      </c>
    </row>
    <row r="77" spans="1:20" x14ac:dyDescent="0.35">
      <c r="A77" s="40" t="s">
        <v>230</v>
      </c>
      <c r="B77" s="40">
        <v>31</v>
      </c>
      <c r="C77" s="40">
        <v>2012</v>
      </c>
      <c r="D77" s="40" t="s">
        <v>52</v>
      </c>
      <c r="E77" s="40" t="s">
        <v>2</v>
      </c>
      <c r="F77" s="40"/>
      <c r="G77" s="40" t="s">
        <v>20</v>
      </c>
      <c r="H77" s="40" t="s">
        <v>61</v>
      </c>
      <c r="I77" s="48">
        <v>29522</v>
      </c>
      <c r="J77" s="40" t="s">
        <v>218</v>
      </c>
      <c r="K77" s="270">
        <f>IF(G77="W",'US CBAs'!$B$19,0)</f>
        <v>1250</v>
      </c>
      <c r="L77" s="40">
        <v>18</v>
      </c>
      <c r="M77" s="270">
        <f>'US CBAs'!$B$12+IF(G77="W",'US CBAs'!$B$19,0)</f>
        <v>2500</v>
      </c>
      <c r="N77" s="40">
        <v>0</v>
      </c>
      <c r="O77" s="60">
        <f t="shared" si="4"/>
        <v>22500</v>
      </c>
      <c r="P77" s="270">
        <v>0</v>
      </c>
      <c r="Q77" s="60">
        <f t="shared" si="5"/>
        <v>22500</v>
      </c>
      <c r="S77" s="309"/>
      <c r="T77" s="309"/>
    </row>
    <row r="78" spans="1:20" x14ac:dyDescent="0.35">
      <c r="A78" s="40" t="s">
        <v>203</v>
      </c>
      <c r="B78" s="40">
        <v>3</v>
      </c>
      <c r="C78" s="40">
        <v>2012</v>
      </c>
      <c r="D78" s="40" t="s">
        <v>38</v>
      </c>
      <c r="E78" s="40" t="s">
        <v>2</v>
      </c>
      <c r="F78" s="40"/>
      <c r="G78" s="40" t="s">
        <v>20</v>
      </c>
      <c r="H78" s="40" t="s">
        <v>61</v>
      </c>
      <c r="I78" s="48">
        <v>10441</v>
      </c>
      <c r="J78" s="40" t="s">
        <v>218</v>
      </c>
      <c r="K78" s="270">
        <f>IF(G78="W",'US CBAs'!$B$19,0)</f>
        <v>1250</v>
      </c>
      <c r="L78" s="40">
        <v>18</v>
      </c>
      <c r="M78" s="270">
        <f>'US CBAs'!$B$12+IF(G78="W",'US CBAs'!$B$19,0)</f>
        <v>2500</v>
      </c>
      <c r="N78" s="40">
        <v>0</v>
      </c>
      <c r="O78" s="60">
        <f t="shared" si="4"/>
        <v>22500</v>
      </c>
      <c r="P78" s="270">
        <v>0</v>
      </c>
      <c r="Q78" s="60">
        <f t="shared" si="5"/>
        <v>22500</v>
      </c>
      <c r="S78" s="309"/>
      <c r="T78" s="309"/>
    </row>
    <row r="79" spans="1:20" x14ac:dyDescent="0.35">
      <c r="A79" s="40" t="s">
        <v>203</v>
      </c>
      <c r="B79" s="40">
        <v>6</v>
      </c>
      <c r="C79" s="40">
        <v>2012</v>
      </c>
      <c r="D79" s="40" t="s">
        <v>29</v>
      </c>
      <c r="E79" s="40" t="s">
        <v>2</v>
      </c>
      <c r="F79" s="40"/>
      <c r="G79" s="40" t="s">
        <v>20</v>
      </c>
      <c r="H79" s="40" t="s">
        <v>61</v>
      </c>
      <c r="I79" s="48">
        <v>26640</v>
      </c>
      <c r="J79" s="40" t="s">
        <v>218</v>
      </c>
      <c r="K79" s="270">
        <f>IF(G79="W",'US CBAs'!$B$19,0)</f>
        <v>1250</v>
      </c>
      <c r="L79" s="40">
        <v>18</v>
      </c>
      <c r="M79" s="270">
        <f>'US CBAs'!$B$12+IF(G79="W",'US CBAs'!$B$19,0)</f>
        <v>2500</v>
      </c>
      <c r="N79" s="40">
        <v>0</v>
      </c>
      <c r="O79" s="60">
        <f t="shared" si="4"/>
        <v>22500</v>
      </c>
      <c r="P79" s="270">
        <v>0</v>
      </c>
      <c r="Q79" s="60">
        <f t="shared" si="5"/>
        <v>22500</v>
      </c>
      <c r="S79" s="242"/>
      <c r="T79" s="332"/>
    </row>
    <row r="80" spans="1:20" x14ac:dyDescent="0.35">
      <c r="A80" s="40" t="s">
        <v>203</v>
      </c>
      <c r="B80" s="40">
        <v>9</v>
      </c>
      <c r="C80" s="40">
        <v>2012</v>
      </c>
      <c r="D80" s="40" t="s">
        <v>50</v>
      </c>
      <c r="E80" s="40" t="s">
        <v>2</v>
      </c>
      <c r="F80" s="40"/>
      <c r="G80" s="40" t="s">
        <v>20</v>
      </c>
      <c r="H80" s="40" t="s">
        <v>61</v>
      </c>
      <c r="I80" s="48">
        <v>80203</v>
      </c>
      <c r="J80" s="40" t="s">
        <v>218</v>
      </c>
      <c r="K80" s="270">
        <f>IF(G80="W",'US CBAs'!$B$19,0)</f>
        <v>1250</v>
      </c>
      <c r="L80" s="40">
        <v>18</v>
      </c>
      <c r="M80" s="270">
        <f>'US CBAs'!$B$12+IF(G80="W",'US CBAs'!$B$19,0)</f>
        <v>2500</v>
      </c>
      <c r="N80" s="40">
        <v>0</v>
      </c>
      <c r="O80" s="60">
        <f t="shared" si="4"/>
        <v>22500</v>
      </c>
      <c r="P80" s="270">
        <v>0</v>
      </c>
      <c r="Q80" s="60">
        <f t="shared" si="5"/>
        <v>22500</v>
      </c>
      <c r="S80" s="242"/>
      <c r="T80" s="332"/>
    </row>
    <row r="81" spans="1:24" x14ac:dyDescent="0.35">
      <c r="A81" s="40" t="s">
        <v>222</v>
      </c>
      <c r="B81" s="40">
        <v>1</v>
      </c>
      <c r="C81" s="40">
        <v>2012</v>
      </c>
      <c r="D81" s="40" t="s">
        <v>36</v>
      </c>
      <c r="E81" s="40" t="s">
        <v>220</v>
      </c>
      <c r="F81" s="40"/>
      <c r="G81" s="40" t="s">
        <v>20</v>
      </c>
      <c r="H81" s="40" t="s">
        <v>507</v>
      </c>
      <c r="I81" s="48">
        <v>13208</v>
      </c>
      <c r="J81" s="40" t="s">
        <v>218</v>
      </c>
      <c r="K81" s="270">
        <f>IF(G81="W",'US CBAs'!$B$19,0)</f>
        <v>1250</v>
      </c>
      <c r="L81" s="40">
        <v>18</v>
      </c>
      <c r="M81" s="270">
        <f>'US CBAs'!$B$12+IF(G81="W",'US CBAs'!$B$19,0)</f>
        <v>2500</v>
      </c>
      <c r="N81" s="40">
        <v>0</v>
      </c>
      <c r="O81" s="60">
        <f t="shared" si="4"/>
        <v>22500</v>
      </c>
      <c r="P81" s="270">
        <v>0</v>
      </c>
      <c r="Q81" s="60">
        <f t="shared" si="5"/>
        <v>22500</v>
      </c>
      <c r="S81" s="309"/>
      <c r="T81" s="309"/>
    </row>
    <row r="82" spans="1:24" x14ac:dyDescent="0.35">
      <c r="A82" s="40" t="s">
        <v>222</v>
      </c>
      <c r="B82" s="40">
        <v>16</v>
      </c>
      <c r="C82" s="40">
        <v>2012</v>
      </c>
      <c r="D82" s="40" t="s">
        <v>37</v>
      </c>
      <c r="E82" s="40" t="s">
        <v>220</v>
      </c>
      <c r="F82" s="40"/>
      <c r="G82" s="40" t="s">
        <v>20</v>
      </c>
      <c r="H82" s="40" t="s">
        <v>481</v>
      </c>
      <c r="I82" s="48">
        <v>19851</v>
      </c>
      <c r="J82" s="40" t="s">
        <v>218</v>
      </c>
      <c r="K82" s="270">
        <f>IF(G82="W",'US CBAs'!$B$19,0)</f>
        <v>1250</v>
      </c>
      <c r="L82" s="40">
        <v>18</v>
      </c>
      <c r="M82" s="270">
        <f>'US CBAs'!$B$12+IF(G82="W",'US CBAs'!$B$19,0)</f>
        <v>2500</v>
      </c>
      <c r="N82" s="40">
        <v>0</v>
      </c>
      <c r="O82" s="60">
        <f t="shared" si="4"/>
        <v>22500</v>
      </c>
      <c r="P82" s="270">
        <v>0</v>
      </c>
      <c r="Q82" s="60">
        <f t="shared" si="5"/>
        <v>22500</v>
      </c>
      <c r="S82" s="309"/>
      <c r="T82" s="309"/>
    </row>
    <row r="83" spans="1:24" x14ac:dyDescent="0.35">
      <c r="A83" s="40" t="s">
        <v>222</v>
      </c>
      <c r="B83" s="40">
        <v>19</v>
      </c>
      <c r="C83" s="40">
        <v>2012</v>
      </c>
      <c r="D83" s="40" t="s">
        <v>37</v>
      </c>
      <c r="E83" s="40" t="s">
        <v>220</v>
      </c>
      <c r="F83" s="40"/>
      <c r="G83" s="40" t="s">
        <v>20</v>
      </c>
      <c r="H83" s="40" t="s">
        <v>496</v>
      </c>
      <c r="I83" s="48">
        <v>18589</v>
      </c>
      <c r="J83" s="40" t="s">
        <v>218</v>
      </c>
      <c r="K83" s="270">
        <f>IF(G83="W",'US CBAs'!$B$19,0)</f>
        <v>1250</v>
      </c>
      <c r="L83" s="40">
        <v>18</v>
      </c>
      <c r="M83" s="270">
        <f>'US CBAs'!$B$12+IF(G83="W",'US CBAs'!$B$19,0)</f>
        <v>2500</v>
      </c>
      <c r="N83" s="40">
        <v>0</v>
      </c>
      <c r="O83" s="60">
        <f t="shared" si="4"/>
        <v>22500</v>
      </c>
      <c r="P83" s="270">
        <v>0</v>
      </c>
      <c r="Q83" s="60">
        <f t="shared" si="5"/>
        <v>22500</v>
      </c>
      <c r="S83" s="239"/>
      <c r="T83" s="239"/>
    </row>
    <row r="84" spans="1:24" x14ac:dyDescent="0.35">
      <c r="A84" s="40" t="s">
        <v>189</v>
      </c>
      <c r="B84" s="40">
        <v>20</v>
      </c>
      <c r="C84" s="40">
        <v>2012</v>
      </c>
      <c r="D84" s="40" t="s">
        <v>27</v>
      </c>
      <c r="E84" s="40" t="s">
        <v>220</v>
      </c>
      <c r="F84" s="40"/>
      <c r="G84" s="40" t="s">
        <v>83</v>
      </c>
      <c r="H84" s="40" t="s">
        <v>487</v>
      </c>
      <c r="I84" s="48">
        <v>19522</v>
      </c>
      <c r="J84" s="40" t="s">
        <v>218</v>
      </c>
      <c r="K84" s="270">
        <f>IF(G84="W",'US CBAs'!$B$19,0)</f>
        <v>0</v>
      </c>
      <c r="L84" s="40">
        <v>18</v>
      </c>
      <c r="M84" s="270">
        <f>'US CBAs'!$B$12+IF(G84="W",'US CBAs'!$B$19,0)</f>
        <v>1250</v>
      </c>
      <c r="N84" s="40">
        <v>0</v>
      </c>
      <c r="O84" s="60">
        <f t="shared" si="4"/>
        <v>0</v>
      </c>
      <c r="P84" s="270">
        <v>0</v>
      </c>
      <c r="Q84" s="60">
        <f t="shared" si="5"/>
        <v>0</v>
      </c>
      <c r="S84" s="242"/>
      <c r="T84" s="242"/>
    </row>
    <row r="85" spans="1:24" x14ac:dyDescent="0.35">
      <c r="A85" s="40" t="s">
        <v>189</v>
      </c>
      <c r="B85" s="40">
        <v>23</v>
      </c>
      <c r="C85" s="40">
        <v>2012</v>
      </c>
      <c r="D85" s="40" t="s">
        <v>27</v>
      </c>
      <c r="E85" s="40" t="s">
        <v>220</v>
      </c>
      <c r="F85" s="40"/>
      <c r="G85" s="40" t="s">
        <v>83</v>
      </c>
      <c r="H85" s="40" t="s">
        <v>483</v>
      </c>
      <c r="I85" s="48">
        <v>18870</v>
      </c>
      <c r="J85" s="40" t="s">
        <v>218</v>
      </c>
      <c r="K85" s="270">
        <f>IF(G85="W",'US CBAs'!$B$19,0)</f>
        <v>0</v>
      </c>
      <c r="L85" s="40">
        <v>18</v>
      </c>
      <c r="M85" s="270">
        <f>'US CBAs'!$B$12+IF(G85="W",'US CBAs'!$B$19,0)</f>
        <v>1250</v>
      </c>
      <c r="N85" s="40">
        <v>0</v>
      </c>
      <c r="O85" s="60">
        <f t="shared" si="4"/>
        <v>0</v>
      </c>
      <c r="P85" s="270">
        <v>0</v>
      </c>
      <c r="Q85" s="60">
        <f t="shared" si="5"/>
        <v>0</v>
      </c>
      <c r="S85" s="242"/>
      <c r="T85" s="242"/>
    </row>
    <row r="86" spans="1:24" x14ac:dyDescent="0.35">
      <c r="A86" s="40" t="s">
        <v>190</v>
      </c>
      <c r="B86" s="40">
        <v>28</v>
      </c>
      <c r="C86" s="40">
        <v>2012</v>
      </c>
      <c r="D86" s="40" t="s">
        <v>65</v>
      </c>
      <c r="E86" s="40" t="s">
        <v>220</v>
      </c>
      <c r="F86" s="40"/>
      <c r="G86" s="40" t="s">
        <v>20</v>
      </c>
      <c r="H86" s="40" t="s">
        <v>499</v>
      </c>
      <c r="I86" s="48">
        <v>10092</v>
      </c>
      <c r="J86" s="40" t="s">
        <v>218</v>
      </c>
      <c r="K86" s="270">
        <f>IF(G86="W",'US CBAs'!$B$19,0)</f>
        <v>1250</v>
      </c>
      <c r="L86" s="40">
        <v>18</v>
      </c>
      <c r="M86" s="270">
        <f>'US CBAs'!$B$12+IF(G86="W",'US CBAs'!$B$19,0)</f>
        <v>2500</v>
      </c>
      <c r="N86" s="40">
        <v>0</v>
      </c>
      <c r="O86" s="60">
        <f t="shared" si="4"/>
        <v>22500</v>
      </c>
      <c r="P86" s="270">
        <v>0</v>
      </c>
      <c r="Q86" s="60">
        <f t="shared" si="5"/>
        <v>22500</v>
      </c>
      <c r="S86" s="242"/>
      <c r="T86" s="242"/>
    </row>
    <row r="87" spans="1:24" x14ac:dyDescent="0.35">
      <c r="A87" s="40" t="s">
        <v>262</v>
      </c>
      <c r="B87" s="40">
        <v>1</v>
      </c>
      <c r="C87" s="40">
        <v>2012</v>
      </c>
      <c r="D87" s="40" t="s">
        <v>65</v>
      </c>
      <c r="E87" s="40" t="s">
        <v>220</v>
      </c>
      <c r="F87" s="40"/>
      <c r="G87" s="40" t="s">
        <v>20</v>
      </c>
      <c r="H87" s="40" t="s">
        <v>493</v>
      </c>
      <c r="I87" s="48">
        <v>11570</v>
      </c>
      <c r="J87" s="40" t="s">
        <v>218</v>
      </c>
      <c r="K87" s="270">
        <f>IF(G87="W",'US CBAs'!$B$19,0)</f>
        <v>1250</v>
      </c>
      <c r="L87" s="40">
        <v>18</v>
      </c>
      <c r="M87" s="270">
        <f>'US CBAs'!$B$12+IF(G87="W",'US CBAs'!$B$19,0)</f>
        <v>2500</v>
      </c>
      <c r="N87" s="40">
        <v>0</v>
      </c>
      <c r="O87" s="60">
        <f t="shared" si="4"/>
        <v>22500</v>
      </c>
      <c r="P87" s="270">
        <v>0</v>
      </c>
      <c r="Q87" s="60">
        <f t="shared" si="5"/>
        <v>22500</v>
      </c>
      <c r="S87" s="242"/>
      <c r="T87" s="242"/>
    </row>
    <row r="88" spans="1:24" x14ac:dyDescent="0.35">
      <c r="A88" s="40" t="s">
        <v>262</v>
      </c>
      <c r="B88" s="40">
        <v>8</v>
      </c>
      <c r="C88" s="40">
        <v>2012</v>
      </c>
      <c r="D88" s="40" t="s">
        <v>25</v>
      </c>
      <c r="E88" s="40" t="s">
        <v>220</v>
      </c>
      <c r="F88" s="40"/>
      <c r="G88" s="40" t="s">
        <v>20</v>
      </c>
      <c r="H88" s="40" t="s">
        <v>565</v>
      </c>
      <c r="I88" s="48">
        <v>17371</v>
      </c>
      <c r="J88" s="40" t="s">
        <v>218</v>
      </c>
      <c r="K88" s="270">
        <f>IF(G88="W",'US CBAs'!$B$19,0)</f>
        <v>1250</v>
      </c>
      <c r="L88" s="40">
        <v>18</v>
      </c>
      <c r="M88" s="270">
        <f>'US CBAs'!$B$12+IF(G88="W",'US CBAs'!$B$19,0)</f>
        <v>2500</v>
      </c>
      <c r="N88" s="40">
        <v>0</v>
      </c>
      <c r="O88" s="60">
        <f t="shared" si="4"/>
        <v>22500</v>
      </c>
      <c r="P88" s="270">
        <v>0</v>
      </c>
      <c r="Q88" s="60">
        <f t="shared" si="5"/>
        <v>22500</v>
      </c>
      <c r="S88" s="242"/>
      <c r="T88" s="242"/>
    </row>
    <row r="89" spans="1:24" x14ac:dyDescent="0.35">
      <c r="A89" s="40" t="s">
        <v>262</v>
      </c>
      <c r="B89" s="40">
        <v>12</v>
      </c>
      <c r="C89" s="40">
        <v>2012</v>
      </c>
      <c r="D89" s="40" t="s">
        <v>25</v>
      </c>
      <c r="E89" s="40" t="s">
        <v>220</v>
      </c>
      <c r="F89" s="40"/>
      <c r="G89" s="40" t="s">
        <v>20</v>
      </c>
      <c r="H89" s="40" t="s">
        <v>492</v>
      </c>
      <c r="I89" s="48">
        <v>15643</v>
      </c>
      <c r="J89" s="40" t="s">
        <v>218</v>
      </c>
      <c r="K89" s="270">
        <f>IF(G89="W",'US CBAs'!$B$19,0)</f>
        <v>1250</v>
      </c>
      <c r="L89" s="40">
        <v>18</v>
      </c>
      <c r="M89" s="270">
        <f>'US CBAs'!$B$12+IF(G89="W",'US CBAs'!$B$19,0)</f>
        <v>2500</v>
      </c>
      <c r="N89" s="40">
        <v>0</v>
      </c>
      <c r="O89" s="60">
        <f t="shared" si="4"/>
        <v>22500</v>
      </c>
      <c r="P89" s="270">
        <v>0</v>
      </c>
      <c r="Q89" s="60">
        <f t="shared" si="5"/>
        <v>22500</v>
      </c>
      <c r="S89" s="309"/>
      <c r="T89" s="309"/>
    </row>
    <row r="90" spans="1:24" x14ac:dyDescent="0.35">
      <c r="A90" s="40" t="s">
        <v>262</v>
      </c>
      <c r="B90" s="40">
        <v>15</v>
      </c>
      <c r="C90" s="40">
        <v>2012</v>
      </c>
      <c r="D90" s="40" t="s">
        <v>25</v>
      </c>
      <c r="E90" s="40" t="s">
        <v>220</v>
      </c>
      <c r="F90" s="40"/>
      <c r="G90" s="40" t="s">
        <v>20</v>
      </c>
      <c r="H90" s="79" t="s">
        <v>482</v>
      </c>
      <c r="I90" s="48">
        <v>10493</v>
      </c>
      <c r="J90" s="40" t="s">
        <v>218</v>
      </c>
      <c r="K90" s="270">
        <f>IF(G90="W",'US CBAs'!$B$19,0)</f>
        <v>1250</v>
      </c>
      <c r="L90" s="40">
        <v>18</v>
      </c>
      <c r="M90" s="270">
        <f>'US CBAs'!$B$12+IF(G90="W",'US CBAs'!$B$19,0)</f>
        <v>2500</v>
      </c>
      <c r="N90" s="40">
        <v>0</v>
      </c>
      <c r="O90" s="60">
        <f t="shared" si="4"/>
        <v>22500</v>
      </c>
      <c r="P90" s="270">
        <v>0</v>
      </c>
      <c r="Q90" s="60">
        <f t="shared" si="5"/>
        <v>22500</v>
      </c>
    </row>
    <row r="91" spans="1:24" x14ac:dyDescent="0.35">
      <c r="A91" s="40"/>
      <c r="B91" s="40"/>
      <c r="C91" s="40"/>
      <c r="D91" s="40"/>
      <c r="E91" s="40"/>
      <c r="F91" s="40"/>
      <c r="G91" s="40"/>
      <c r="H91" s="315" t="s">
        <v>431</v>
      </c>
      <c r="J91" s="302"/>
      <c r="K91" s="307">
        <f>'US CBAs'!$B$4</f>
        <v>62500</v>
      </c>
      <c r="L91" s="302">
        <v>18</v>
      </c>
      <c r="M91" s="307"/>
      <c r="N91" s="302"/>
      <c r="O91" s="60">
        <f>(K91*L91)+(M91*N91)</f>
        <v>1125000</v>
      </c>
      <c r="P91" s="307"/>
      <c r="Q91" s="60">
        <f>O91+P91</f>
        <v>1125000</v>
      </c>
      <c r="S91" s="253" t="s">
        <v>445</v>
      </c>
      <c r="T91" s="254" t="s">
        <v>6</v>
      </c>
      <c r="U91" s="254" t="s">
        <v>18</v>
      </c>
      <c r="V91" s="255" t="s">
        <v>91</v>
      </c>
    </row>
    <row r="92" spans="1:24" x14ac:dyDescent="0.35">
      <c r="A92" s="40"/>
      <c r="B92" s="40"/>
      <c r="C92" s="40"/>
      <c r="D92" s="40"/>
      <c r="E92" s="40"/>
      <c r="F92" s="40"/>
      <c r="G92" s="40"/>
      <c r="H92" s="315" t="s">
        <v>432</v>
      </c>
      <c r="J92" s="302"/>
      <c r="K92" s="307">
        <f>'US CBAs'!$B$5</f>
        <v>43740</v>
      </c>
      <c r="L92" s="302">
        <v>4</v>
      </c>
      <c r="M92" s="307"/>
      <c r="N92" s="302"/>
      <c r="O92" s="60">
        <f>(K92*L92)+(M92*N92)</f>
        <v>174960</v>
      </c>
      <c r="P92" s="307"/>
      <c r="Q92" s="60">
        <f>O92+P92</f>
        <v>174960</v>
      </c>
      <c r="S92" s="322" t="s">
        <v>336</v>
      </c>
      <c r="T92" s="325">
        <f>'US CBAs'!$B$17</f>
        <v>12500</v>
      </c>
      <c r="U92" s="326">
        <v>18</v>
      </c>
      <c r="V92" s="252">
        <f>T92*U92</f>
        <v>225000</v>
      </c>
    </row>
    <row r="93" spans="1:24" x14ac:dyDescent="0.35">
      <c r="A93" s="40"/>
      <c r="B93" s="40"/>
      <c r="C93" s="40"/>
      <c r="D93" s="40"/>
      <c r="E93" s="40"/>
      <c r="F93" s="40"/>
      <c r="G93" s="40"/>
      <c r="H93" s="315" t="s">
        <v>433</v>
      </c>
      <c r="J93" s="302"/>
      <c r="K93" s="307">
        <f>'US CBAs'!$B$6</f>
        <v>31250</v>
      </c>
      <c r="L93" s="302">
        <v>2</v>
      </c>
      <c r="M93" s="307"/>
      <c r="N93" s="302"/>
      <c r="O93" s="60">
        <f>(K93*L93)+(M93*N93)</f>
        <v>62500</v>
      </c>
      <c r="P93" s="307"/>
      <c r="Q93" s="60">
        <f>O93+P93</f>
        <v>62500</v>
      </c>
      <c r="S93" s="322" t="s">
        <v>455</v>
      </c>
      <c r="T93" s="252">
        <f>'US CBAs'!$B$41</f>
        <v>62500</v>
      </c>
      <c r="U93" s="326">
        <v>18</v>
      </c>
      <c r="V93" s="252">
        <f>T93*U93</f>
        <v>1125000</v>
      </c>
    </row>
    <row r="94" spans="1:24" x14ac:dyDescent="0.35">
      <c r="A94" s="40"/>
      <c r="B94" s="40"/>
      <c r="C94" s="40"/>
      <c r="D94" s="40"/>
      <c r="E94" s="40"/>
      <c r="F94" s="40"/>
      <c r="G94" s="40"/>
      <c r="H94" s="315" t="s">
        <v>434</v>
      </c>
      <c r="J94" s="302"/>
      <c r="K94" s="39"/>
      <c r="L94" s="39"/>
      <c r="M94" s="307">
        <f>'US CBAs'!$B$8</f>
        <v>313</v>
      </c>
      <c r="N94" s="302">
        <v>20</v>
      </c>
      <c r="O94" s="60">
        <f>(M94*N94)</f>
        <v>6260</v>
      </c>
      <c r="P94" s="307"/>
      <c r="Q94" s="60">
        <f>O94+P94</f>
        <v>6260</v>
      </c>
      <c r="S94" s="322" t="s">
        <v>454</v>
      </c>
      <c r="T94" s="252">
        <f>'US CBAs'!$B$48</f>
        <v>83333.333333333328</v>
      </c>
      <c r="U94" s="326">
        <v>18</v>
      </c>
      <c r="V94" s="252">
        <f>T94*U94</f>
        <v>1500000</v>
      </c>
    </row>
    <row r="95" spans="1:24" x14ac:dyDescent="0.35">
      <c r="A95" s="289" t="s">
        <v>24</v>
      </c>
      <c r="B95" s="289"/>
      <c r="C95" s="289"/>
      <c r="D95" s="289"/>
      <c r="E95" s="289"/>
      <c r="F95" s="289"/>
      <c r="G95" s="289"/>
      <c r="H95" s="319"/>
      <c r="I95" s="303"/>
      <c r="J95" s="319"/>
      <c r="K95" s="320"/>
      <c r="L95" s="319"/>
      <c r="M95" s="320"/>
      <c r="N95" s="319"/>
      <c r="O95" s="298">
        <f>SUBTOTAL(109,Table17[Game pay])</f>
        <v>2011220</v>
      </c>
      <c r="P95" s="320"/>
      <c r="Q95" s="298">
        <f>SUBTOTAL(109,Table17[TEAM PAY])</f>
        <v>2011220</v>
      </c>
      <c r="S95" s="253" t="s">
        <v>444</v>
      </c>
      <c r="T95" s="325"/>
      <c r="U95" s="326"/>
      <c r="V95" s="257">
        <f>$V$61+$V$92+$V$93+$V$94</f>
        <v>3100000</v>
      </c>
    </row>
    <row r="96" spans="1:24" x14ac:dyDescent="0.35">
      <c r="A96" s="289"/>
      <c r="B96" s="290"/>
      <c r="C96" s="290"/>
      <c r="D96" s="289"/>
      <c r="E96" s="289"/>
      <c r="F96" s="289"/>
      <c r="G96" s="289"/>
      <c r="H96" s="289"/>
      <c r="I96" s="291"/>
      <c r="J96" s="289"/>
      <c r="K96" s="289"/>
      <c r="L96" s="289"/>
      <c r="M96" s="292"/>
      <c r="N96" s="39"/>
      <c r="O96" s="39"/>
      <c r="P96" s="293" t="s">
        <v>398</v>
      </c>
      <c r="Q96" s="294">
        <f>$V$95</f>
        <v>3100000</v>
      </c>
      <c r="S96" s="326"/>
      <c r="T96" s="252"/>
      <c r="X96" s="171"/>
    </row>
    <row r="97" spans="1:24" x14ac:dyDescent="0.35">
      <c r="A97" s="289"/>
      <c r="B97" s="290"/>
      <c r="C97" s="290"/>
      <c r="D97" s="289"/>
      <c r="E97" s="289"/>
      <c r="F97" s="289"/>
      <c r="G97" s="289"/>
      <c r="H97" s="289"/>
      <c r="I97" s="291"/>
      <c r="J97" s="289"/>
      <c r="K97" s="289"/>
      <c r="L97" s="289"/>
      <c r="M97" s="292"/>
      <c r="N97" s="39"/>
      <c r="O97" s="39"/>
      <c r="P97" s="295" t="s">
        <v>90</v>
      </c>
      <c r="Q97" s="296">
        <f>Q95+Q96</f>
        <v>5111220</v>
      </c>
      <c r="S97" s="326"/>
      <c r="T97" s="252"/>
      <c r="X97" s="171"/>
    </row>
    <row r="98" spans="1:24" x14ac:dyDescent="0.35">
      <c r="A98" s="40"/>
      <c r="B98" s="40"/>
      <c r="C98" s="40"/>
      <c r="D98" s="40"/>
      <c r="E98" s="40"/>
      <c r="F98" s="40"/>
      <c r="G98" s="40"/>
      <c r="H98" s="40"/>
      <c r="I98" s="48"/>
      <c r="J98" s="40"/>
    </row>
    <row r="99" spans="1:24" x14ac:dyDescent="0.35">
      <c r="A99" s="53" t="s">
        <v>249</v>
      </c>
      <c r="B99" s="65" t="s">
        <v>248</v>
      </c>
      <c r="C99" s="65" t="s">
        <v>247</v>
      </c>
      <c r="D99" s="53" t="s">
        <v>15</v>
      </c>
      <c r="E99" s="53" t="s">
        <v>194</v>
      </c>
      <c r="F99" s="53" t="s">
        <v>246</v>
      </c>
      <c r="G99" s="53" t="s">
        <v>16</v>
      </c>
      <c r="H99" s="53" t="s">
        <v>245</v>
      </c>
      <c r="I99" s="64" t="s">
        <v>14</v>
      </c>
      <c r="J99" s="47" t="s">
        <v>244</v>
      </c>
      <c r="K99" s="231" t="s">
        <v>426</v>
      </c>
      <c r="L99" s="47" t="s">
        <v>17</v>
      </c>
      <c r="M99" s="231" t="s">
        <v>427</v>
      </c>
      <c r="N99" s="47" t="s">
        <v>430</v>
      </c>
      <c r="O99" s="47" t="s">
        <v>219</v>
      </c>
      <c r="P99" s="316" t="s">
        <v>242</v>
      </c>
      <c r="Q99" s="47" t="s">
        <v>241</v>
      </c>
      <c r="S99" s="79" t="s">
        <v>275</v>
      </c>
    </row>
    <row r="100" spans="1:24" x14ac:dyDescent="0.35">
      <c r="A100" s="40" t="s">
        <v>192</v>
      </c>
      <c r="B100" s="40">
        <v>9</v>
      </c>
      <c r="C100" s="40">
        <v>2013</v>
      </c>
      <c r="D100" s="40" t="s">
        <v>19</v>
      </c>
      <c r="E100" s="40" t="s">
        <v>220</v>
      </c>
      <c r="F100" s="40"/>
      <c r="G100" s="40" t="s">
        <v>20</v>
      </c>
      <c r="H100" s="79" t="s">
        <v>482</v>
      </c>
      <c r="I100" s="48">
        <v>18656</v>
      </c>
      <c r="J100" s="40"/>
      <c r="K100" s="270">
        <f>IF(G100="W",'US CBAs'!$F$19,0)</f>
        <v>1350</v>
      </c>
      <c r="L100" s="40">
        <v>17</v>
      </c>
      <c r="M100" s="270">
        <f>'US CBAs'!$F$12+IF(G100="W",'US CBAs'!$F$19,0)</f>
        <v>2700</v>
      </c>
      <c r="N100" s="40">
        <v>1</v>
      </c>
      <c r="O100" s="60">
        <f>(K100*L100)+(M100*N100)</f>
        <v>25650</v>
      </c>
      <c r="P100" s="270">
        <f>IF(J100="",I100*'US CBAs'!$G$55,0)</f>
        <v>22387.200000000001</v>
      </c>
      <c r="Q100" s="60">
        <f>O100+P100</f>
        <v>48037.2</v>
      </c>
      <c r="S100" s="280" t="s">
        <v>403</v>
      </c>
      <c r="T100" s="327"/>
    </row>
    <row r="101" spans="1:24" x14ac:dyDescent="0.35">
      <c r="A101" s="40" t="s">
        <v>192</v>
      </c>
      <c r="B101" s="40">
        <v>13</v>
      </c>
      <c r="C101" s="40">
        <v>2013</v>
      </c>
      <c r="D101" s="40" t="s">
        <v>19</v>
      </c>
      <c r="E101" s="40" t="s">
        <v>220</v>
      </c>
      <c r="F101" s="40"/>
      <c r="G101" s="40" t="s">
        <v>20</v>
      </c>
      <c r="H101" s="40" t="s">
        <v>486</v>
      </c>
      <c r="I101" s="48">
        <v>14224</v>
      </c>
      <c r="J101" s="40"/>
      <c r="K101" s="270">
        <f>IF(G101="W",'US CBAs'!$F$19,0)</f>
        <v>1350</v>
      </c>
      <c r="L101" s="40">
        <v>17</v>
      </c>
      <c r="M101" s="270">
        <f>'US CBAs'!$F$12+IF(G101="W",'US CBAs'!$F$19,0)</f>
        <v>2700</v>
      </c>
      <c r="N101" s="40">
        <v>1</v>
      </c>
      <c r="O101" s="60">
        <f t="shared" ref="O101:O115" si="6">(K101*L101)+(M101*N101)</f>
        <v>25650</v>
      </c>
      <c r="P101" s="270">
        <f>IF(J101="",I101*'US CBAs'!$G$55,0)</f>
        <v>17068.8</v>
      </c>
      <c r="Q101" s="60">
        <f t="shared" ref="Q101:Q115" si="7">O101+P101</f>
        <v>42718.8</v>
      </c>
      <c r="S101" s="282" t="s">
        <v>219</v>
      </c>
      <c r="T101" s="283">
        <f>SUM(O69:O94)+SUM(O100:O105)</f>
        <v>1936620</v>
      </c>
    </row>
    <row r="102" spans="1:24" x14ac:dyDescent="0.35">
      <c r="A102" s="40" t="s">
        <v>221</v>
      </c>
      <c r="B102" s="40">
        <v>6</v>
      </c>
      <c r="C102" s="40">
        <v>2013</v>
      </c>
      <c r="D102" s="40" t="s">
        <v>23</v>
      </c>
      <c r="E102" s="40" t="s">
        <v>220</v>
      </c>
      <c r="F102" s="40"/>
      <c r="G102" s="40" t="s">
        <v>20</v>
      </c>
      <c r="H102" s="40" t="s">
        <v>82</v>
      </c>
      <c r="I102" s="40">
        <v>500</v>
      </c>
      <c r="J102" s="40" t="s">
        <v>218</v>
      </c>
      <c r="K102" s="270">
        <f>IF(G102="W",'US CBAs'!$F$19,0)</f>
        <v>1350</v>
      </c>
      <c r="L102" s="40">
        <v>22</v>
      </c>
      <c r="M102" s="270">
        <f>'US CBAs'!$F$12+IF(G102="W",'US CBAs'!$F$19,0)</f>
        <v>2700</v>
      </c>
      <c r="N102" s="40">
        <v>0</v>
      </c>
      <c r="O102" s="60">
        <f t="shared" si="6"/>
        <v>29700</v>
      </c>
      <c r="P102" s="270">
        <f>IF(J102="",I102*'US CBAs'!$G$55,0)</f>
        <v>0</v>
      </c>
      <c r="Q102" s="60">
        <f t="shared" si="7"/>
        <v>29700</v>
      </c>
      <c r="S102" s="284" t="s">
        <v>394</v>
      </c>
      <c r="T102" s="283">
        <f>SUM(P69:P94)+SUM(P100:P105)</f>
        <v>39456</v>
      </c>
    </row>
    <row r="103" spans="1:24" x14ac:dyDescent="0.35">
      <c r="A103" s="40" t="s">
        <v>221</v>
      </c>
      <c r="B103" s="40">
        <v>8</v>
      </c>
      <c r="C103" s="40">
        <v>2013</v>
      </c>
      <c r="D103" s="40" t="s">
        <v>25</v>
      </c>
      <c r="E103" s="40" t="s">
        <v>220</v>
      </c>
      <c r="F103" s="40"/>
      <c r="G103" s="40" t="s">
        <v>20</v>
      </c>
      <c r="H103" s="40" t="s">
        <v>82</v>
      </c>
      <c r="I103" s="40">
        <v>500</v>
      </c>
      <c r="J103" s="40" t="s">
        <v>218</v>
      </c>
      <c r="K103" s="270">
        <f>IF(G103="W",'US CBAs'!$F$19,0)</f>
        <v>1350</v>
      </c>
      <c r="L103" s="40">
        <v>22</v>
      </c>
      <c r="M103" s="270">
        <f>'US CBAs'!$F$12+IF(G103="W",'US CBAs'!$F$19,0)</f>
        <v>2700</v>
      </c>
      <c r="N103" s="40">
        <v>0</v>
      </c>
      <c r="O103" s="60">
        <f t="shared" si="6"/>
        <v>29700</v>
      </c>
      <c r="P103" s="270">
        <f>IF(J103="",I103*'US CBAs'!$G$55,0)</f>
        <v>0</v>
      </c>
      <c r="Q103" s="60">
        <f t="shared" si="7"/>
        <v>29700</v>
      </c>
      <c r="S103" s="285" t="s">
        <v>395</v>
      </c>
      <c r="T103" s="286">
        <f>T101+T102</f>
        <v>1976076</v>
      </c>
    </row>
    <row r="104" spans="1:24" x14ac:dyDescent="0.35">
      <c r="A104" s="40" t="s">
        <v>221</v>
      </c>
      <c r="B104" s="40">
        <v>11</v>
      </c>
      <c r="C104" s="40">
        <v>2013</v>
      </c>
      <c r="D104" s="40" t="s">
        <v>26</v>
      </c>
      <c r="E104" s="40" t="s">
        <v>220</v>
      </c>
      <c r="F104" s="40"/>
      <c r="G104" s="40" t="s">
        <v>83</v>
      </c>
      <c r="H104" s="40" t="s">
        <v>82</v>
      </c>
      <c r="I104" s="40">
        <v>750</v>
      </c>
      <c r="J104" s="40" t="s">
        <v>218</v>
      </c>
      <c r="K104" s="270">
        <f>IF(G104="W",'US CBAs'!$F$19,0)</f>
        <v>0</v>
      </c>
      <c r="L104" s="40">
        <v>22</v>
      </c>
      <c r="M104" s="270">
        <f>'US CBAs'!$F$12+IF(G104="W",'US CBAs'!$F$19,0)</f>
        <v>1350</v>
      </c>
      <c r="N104" s="40">
        <v>0</v>
      </c>
      <c r="O104" s="60">
        <f t="shared" si="6"/>
        <v>0</v>
      </c>
      <c r="P104" s="270">
        <f>IF(J104="",I104*'US CBAs'!$G$55,0)</f>
        <v>0</v>
      </c>
      <c r="Q104" s="60">
        <f t="shared" si="7"/>
        <v>0</v>
      </c>
      <c r="S104" s="285" t="s">
        <v>183</v>
      </c>
      <c r="T104" s="286">
        <f>SUM(V92:V94)</f>
        <v>2850000</v>
      </c>
    </row>
    <row r="105" spans="1:24" x14ac:dyDescent="0.35">
      <c r="A105" s="40" t="s">
        <v>221</v>
      </c>
      <c r="B105" s="40">
        <v>13</v>
      </c>
      <c r="C105" s="40">
        <v>2013</v>
      </c>
      <c r="D105" s="40" t="s">
        <v>27</v>
      </c>
      <c r="E105" s="40" t="s">
        <v>220</v>
      </c>
      <c r="F105" s="40"/>
      <c r="G105" s="40" t="s">
        <v>20</v>
      </c>
      <c r="H105" s="40" t="s">
        <v>82</v>
      </c>
      <c r="I105" s="48">
        <v>1200</v>
      </c>
      <c r="J105" s="40" t="s">
        <v>218</v>
      </c>
      <c r="K105" s="270">
        <f>IF(G105="W",'US CBAs'!$F$19,0)</f>
        <v>1350</v>
      </c>
      <c r="L105" s="40">
        <v>22</v>
      </c>
      <c r="M105" s="270">
        <f>'US CBAs'!$F$12+IF(G105="W",'US CBAs'!$F$19,0)</f>
        <v>2700</v>
      </c>
      <c r="N105" s="40">
        <v>0</v>
      </c>
      <c r="O105" s="60">
        <f t="shared" si="6"/>
        <v>29700</v>
      </c>
      <c r="P105" s="270">
        <f>IF(J105="",I105*'US CBAs'!$G$55,0)</f>
        <v>0</v>
      </c>
      <c r="Q105" s="60">
        <f t="shared" si="7"/>
        <v>29700</v>
      </c>
      <c r="S105" s="287" t="s">
        <v>404</v>
      </c>
      <c r="T105" s="288">
        <f>T103+T104</f>
        <v>4826076</v>
      </c>
    </row>
    <row r="106" spans="1:24" x14ac:dyDescent="0.35">
      <c r="A106" s="40" t="s">
        <v>240</v>
      </c>
      <c r="B106" s="40">
        <v>5</v>
      </c>
      <c r="C106" s="40">
        <v>2013</v>
      </c>
      <c r="D106" s="40" t="s">
        <v>27</v>
      </c>
      <c r="E106" s="40" t="s">
        <v>220</v>
      </c>
      <c r="F106" s="40"/>
      <c r="G106" s="40" t="s">
        <v>83</v>
      </c>
      <c r="H106" s="40" t="s">
        <v>27</v>
      </c>
      <c r="I106" s="48">
        <v>16090</v>
      </c>
      <c r="J106" s="40" t="s">
        <v>218</v>
      </c>
      <c r="K106" s="270">
        <f>IF(G106="W",'US CBAs'!$F$19,0)</f>
        <v>0</v>
      </c>
      <c r="L106" s="40">
        <v>16</v>
      </c>
      <c r="M106" s="270">
        <f>'US CBAs'!$F$12+IF(G106="W",'US CBAs'!$F$19,0)</f>
        <v>1350</v>
      </c>
      <c r="N106" s="40">
        <v>2</v>
      </c>
      <c r="O106" s="60">
        <f t="shared" si="6"/>
        <v>2700</v>
      </c>
      <c r="P106" s="270">
        <f>IF(J106="",I106*'US CBAs'!$G$55,0)</f>
        <v>0</v>
      </c>
      <c r="Q106" s="60">
        <f t="shared" si="7"/>
        <v>2700</v>
      </c>
      <c r="S106" s="242"/>
      <c r="T106" s="242"/>
    </row>
    <row r="107" spans="1:24" x14ac:dyDescent="0.35">
      <c r="A107" s="40" t="s">
        <v>240</v>
      </c>
      <c r="B107" s="40">
        <v>9</v>
      </c>
      <c r="C107" s="40">
        <v>2013</v>
      </c>
      <c r="D107" s="40" t="s">
        <v>30</v>
      </c>
      <c r="E107" s="40" t="s">
        <v>220</v>
      </c>
      <c r="F107" s="40"/>
      <c r="G107" s="40" t="s">
        <v>20</v>
      </c>
      <c r="H107" s="40" t="s">
        <v>30</v>
      </c>
      <c r="I107" s="48">
        <v>8000</v>
      </c>
      <c r="J107" s="40" t="s">
        <v>218</v>
      </c>
      <c r="K107" s="270">
        <f>IF(G107="W",'US CBAs'!$F$19,0)</f>
        <v>1350</v>
      </c>
      <c r="L107" s="40">
        <v>16</v>
      </c>
      <c r="M107" s="270">
        <f>'US CBAs'!$F$12+IF(G107="W",'US CBAs'!$F$19,0)</f>
        <v>2700</v>
      </c>
      <c r="N107" s="40">
        <v>2</v>
      </c>
      <c r="O107" s="60">
        <f t="shared" si="6"/>
        <v>27000</v>
      </c>
      <c r="P107" s="270">
        <f>IF(J107="",I107*'US CBAs'!$G$55,0)</f>
        <v>0</v>
      </c>
      <c r="Q107" s="60">
        <f t="shared" si="7"/>
        <v>27000</v>
      </c>
      <c r="T107" s="242"/>
    </row>
    <row r="108" spans="1:24" x14ac:dyDescent="0.35">
      <c r="A108" s="40" t="s">
        <v>223</v>
      </c>
      <c r="B108" s="40">
        <v>2</v>
      </c>
      <c r="C108" s="40">
        <v>2013</v>
      </c>
      <c r="D108" s="40" t="s">
        <v>29</v>
      </c>
      <c r="E108" s="40" t="s">
        <v>220</v>
      </c>
      <c r="F108" s="40"/>
      <c r="G108" s="40" t="s">
        <v>20</v>
      </c>
      <c r="H108" s="40" t="s">
        <v>29</v>
      </c>
      <c r="I108" s="48">
        <v>22453</v>
      </c>
      <c r="J108" s="40" t="s">
        <v>218</v>
      </c>
      <c r="K108" s="270">
        <f>IF(G108="W",'US CBAs'!$F$19,0)</f>
        <v>1350</v>
      </c>
      <c r="L108" s="40">
        <v>16</v>
      </c>
      <c r="M108" s="270">
        <f>'US CBAs'!$F$12+IF(G108="W",'US CBAs'!$F$19,0)</f>
        <v>2700</v>
      </c>
      <c r="N108" s="40">
        <v>2</v>
      </c>
      <c r="O108" s="60">
        <f t="shared" si="6"/>
        <v>27000</v>
      </c>
      <c r="P108" s="270">
        <f>IF(J108="",I108*'US CBAs'!$G$55,0)</f>
        <v>0</v>
      </c>
      <c r="Q108" s="60">
        <f t="shared" si="7"/>
        <v>27000</v>
      </c>
      <c r="S108" s="864"/>
      <c r="T108" s="865"/>
    </row>
    <row r="109" spans="1:24" x14ac:dyDescent="0.35">
      <c r="A109" s="40" t="s">
        <v>223</v>
      </c>
      <c r="B109" s="40">
        <v>15</v>
      </c>
      <c r="C109" s="40">
        <v>2013</v>
      </c>
      <c r="D109" s="40" t="s">
        <v>34</v>
      </c>
      <c r="E109" s="40" t="s">
        <v>220</v>
      </c>
      <c r="F109" s="40"/>
      <c r="G109" s="40" t="s">
        <v>20</v>
      </c>
      <c r="H109" s="40" t="s">
        <v>239</v>
      </c>
      <c r="I109" s="48">
        <v>13035</v>
      </c>
      <c r="J109" s="40"/>
      <c r="K109" s="270">
        <f>IF(G109="W",'US CBAs'!$F$19,0)</f>
        <v>1350</v>
      </c>
      <c r="L109" s="40">
        <v>16</v>
      </c>
      <c r="M109" s="270">
        <f>'US CBAs'!$F$12+IF(G109="W",'US CBAs'!$F$19,0)</f>
        <v>2700</v>
      </c>
      <c r="N109" s="40">
        <v>2</v>
      </c>
      <c r="O109" s="60">
        <f t="shared" si="6"/>
        <v>27000</v>
      </c>
      <c r="P109" s="270">
        <f>IF(J109="",I109*'US CBAs'!$G$55,0)</f>
        <v>15642</v>
      </c>
      <c r="Q109" s="60">
        <f t="shared" si="7"/>
        <v>42642</v>
      </c>
      <c r="S109" s="242"/>
      <c r="T109" s="242"/>
    </row>
    <row r="110" spans="1:24" x14ac:dyDescent="0.35">
      <c r="A110" s="40" t="s">
        <v>223</v>
      </c>
      <c r="B110" s="40">
        <v>20</v>
      </c>
      <c r="C110" s="40">
        <v>2013</v>
      </c>
      <c r="D110" s="40" t="s">
        <v>34</v>
      </c>
      <c r="E110" s="40" t="s">
        <v>220</v>
      </c>
      <c r="F110" s="40"/>
      <c r="G110" s="40" t="s">
        <v>20</v>
      </c>
      <c r="H110" s="40" t="s">
        <v>485</v>
      </c>
      <c r="I110" s="48">
        <v>18961</v>
      </c>
      <c r="J110" s="40"/>
      <c r="K110" s="270">
        <f>IF(G110="W",'US CBAs'!$F$19,0)</f>
        <v>1350</v>
      </c>
      <c r="L110" s="40">
        <v>16</v>
      </c>
      <c r="M110" s="270">
        <f>'US CBAs'!$F$12+IF(G110="W",'US CBAs'!$F$19,0)</f>
        <v>2700</v>
      </c>
      <c r="N110" s="40">
        <v>2</v>
      </c>
      <c r="O110" s="60">
        <f t="shared" si="6"/>
        <v>27000</v>
      </c>
      <c r="P110" s="270">
        <f>IF(J110="",I110*'US CBAs'!$G$55,0)</f>
        <v>22753.200000000001</v>
      </c>
      <c r="Q110" s="60">
        <f t="shared" si="7"/>
        <v>49753.2</v>
      </c>
      <c r="S110" s="242"/>
      <c r="T110" s="242"/>
    </row>
    <row r="111" spans="1:24" x14ac:dyDescent="0.35">
      <c r="A111" s="40" t="s">
        <v>222</v>
      </c>
      <c r="B111" s="40">
        <v>3</v>
      </c>
      <c r="C111" s="40">
        <v>2013</v>
      </c>
      <c r="D111" s="40" t="s">
        <v>35</v>
      </c>
      <c r="E111" s="40" t="s">
        <v>220</v>
      </c>
      <c r="F111" s="40"/>
      <c r="G111" s="40" t="s">
        <v>20</v>
      </c>
      <c r="H111" s="40" t="s">
        <v>491</v>
      </c>
      <c r="I111" s="48">
        <v>12594</v>
      </c>
      <c r="J111" s="40"/>
      <c r="K111" s="270">
        <f>IF(G111="W",'US CBAs'!$F$19,0)</f>
        <v>1350</v>
      </c>
      <c r="L111" s="40">
        <v>17</v>
      </c>
      <c r="M111" s="270">
        <f>'US CBAs'!$F$12+IF(G111="W",'US CBAs'!$F$19,0)</f>
        <v>2700</v>
      </c>
      <c r="N111" s="40">
        <v>0</v>
      </c>
      <c r="O111" s="60">
        <f t="shared" si="6"/>
        <v>22950</v>
      </c>
      <c r="P111" s="270">
        <f>IF(J111="",I111*'US CBAs'!$G$55,0)</f>
        <v>15112.8</v>
      </c>
      <c r="Q111" s="60">
        <f t="shared" si="7"/>
        <v>38062.800000000003</v>
      </c>
      <c r="S111" s="242"/>
      <c r="T111" s="242"/>
    </row>
    <row r="112" spans="1:24" x14ac:dyDescent="0.35">
      <c r="A112" s="40" t="s">
        <v>189</v>
      </c>
      <c r="B112" s="40">
        <v>20</v>
      </c>
      <c r="C112" s="40">
        <v>2013</v>
      </c>
      <c r="D112" s="40" t="s">
        <v>37</v>
      </c>
      <c r="E112" s="40" t="s">
        <v>220</v>
      </c>
      <c r="F112" s="40"/>
      <c r="G112" s="40" t="s">
        <v>20</v>
      </c>
      <c r="H112" s="40" t="s">
        <v>492</v>
      </c>
      <c r="I112" s="48">
        <v>19109</v>
      </c>
      <c r="J112" s="40"/>
      <c r="K112" s="270">
        <f>IF(G112="W",'US CBAs'!$F$19,0)</f>
        <v>1350</v>
      </c>
      <c r="L112" s="40">
        <v>17</v>
      </c>
      <c r="M112" s="270">
        <f>'US CBAs'!$F$12+IF(G112="W",'US CBAs'!$F$19,0)</f>
        <v>2700</v>
      </c>
      <c r="N112" s="40">
        <v>0</v>
      </c>
      <c r="O112" s="60">
        <f t="shared" si="6"/>
        <v>22950</v>
      </c>
      <c r="P112" s="270">
        <f>IF(J112="",I112*'US CBAs'!$G$55,0)</f>
        <v>22930.799999999999</v>
      </c>
      <c r="Q112" s="60">
        <f t="shared" si="7"/>
        <v>45880.800000000003</v>
      </c>
    </row>
    <row r="113" spans="1:24" x14ac:dyDescent="0.35">
      <c r="A113" s="40" t="s">
        <v>189</v>
      </c>
      <c r="B113" s="40">
        <v>27</v>
      </c>
      <c r="C113" s="40">
        <v>2013</v>
      </c>
      <c r="D113" s="40" t="s">
        <v>38</v>
      </c>
      <c r="E113" s="40" t="s">
        <v>220</v>
      </c>
      <c r="F113" s="40"/>
      <c r="G113" s="40" t="s">
        <v>20</v>
      </c>
      <c r="H113" s="40" t="s">
        <v>481</v>
      </c>
      <c r="I113" s="48">
        <v>16315</v>
      </c>
      <c r="J113" s="40"/>
      <c r="K113" s="270">
        <f>IF(G113="W",'US CBAs'!$F$19,0)</f>
        <v>1350</v>
      </c>
      <c r="L113" s="40">
        <v>17</v>
      </c>
      <c r="M113" s="270">
        <f>'US CBAs'!$F$12+IF(G113="W",'US CBAs'!$F$19,0)</f>
        <v>2700</v>
      </c>
      <c r="N113" s="40">
        <v>0</v>
      </c>
      <c r="O113" s="60">
        <f t="shared" si="6"/>
        <v>22950</v>
      </c>
      <c r="P113" s="270">
        <f>IF(J113="",I113*'US CBAs'!$G$55,0)</f>
        <v>19578</v>
      </c>
      <c r="Q113" s="60">
        <f t="shared" si="7"/>
        <v>42528</v>
      </c>
    </row>
    <row r="114" spans="1:24" x14ac:dyDescent="0.35">
      <c r="A114" s="40" t="s">
        <v>189</v>
      </c>
      <c r="B114" s="40">
        <v>30</v>
      </c>
      <c r="C114" s="40">
        <v>2013</v>
      </c>
      <c r="D114" s="40" t="s">
        <v>38</v>
      </c>
      <c r="E114" s="40" t="s">
        <v>220</v>
      </c>
      <c r="F114" s="40"/>
      <c r="G114" s="40" t="s">
        <v>83</v>
      </c>
      <c r="H114" s="40" t="s">
        <v>495</v>
      </c>
      <c r="I114" s="48">
        <v>15139</v>
      </c>
      <c r="J114" s="40"/>
      <c r="K114" s="270">
        <f>IF(G114="W",'US CBAs'!$F$19,0)</f>
        <v>0</v>
      </c>
      <c r="L114" s="40">
        <v>17</v>
      </c>
      <c r="M114" s="270">
        <f>'US CBAs'!$F$12+IF(G114="W",'US CBAs'!$F$19,0)</f>
        <v>1350</v>
      </c>
      <c r="N114" s="40">
        <v>0</v>
      </c>
      <c r="O114" s="60">
        <f t="shared" si="6"/>
        <v>0</v>
      </c>
      <c r="P114" s="270">
        <f>IF(J114="",I114*'US CBAs'!$G$55,0)</f>
        <v>18166.8</v>
      </c>
      <c r="Q114" s="60">
        <f t="shared" si="7"/>
        <v>18166.8</v>
      </c>
    </row>
    <row r="115" spans="1:24" x14ac:dyDescent="0.35">
      <c r="A115" s="40" t="s">
        <v>190</v>
      </c>
      <c r="B115" s="40">
        <v>10</v>
      </c>
      <c r="C115" s="40">
        <v>2013</v>
      </c>
      <c r="D115" s="40" t="s">
        <v>41</v>
      </c>
      <c r="E115" s="40" t="s">
        <v>220</v>
      </c>
      <c r="F115" s="40"/>
      <c r="G115" s="40" t="s">
        <v>20</v>
      </c>
      <c r="H115" s="79" t="s">
        <v>482</v>
      </c>
      <c r="I115" s="48">
        <v>20274</v>
      </c>
      <c r="J115" s="40"/>
      <c r="K115" s="270">
        <f>IF(G115="W",'US CBAs'!$F$19,0)</f>
        <v>1350</v>
      </c>
      <c r="L115" s="40">
        <v>17</v>
      </c>
      <c r="M115" s="270">
        <f>'US CBAs'!$F$12+IF(G115="W",'US CBAs'!$F$19,0)</f>
        <v>2700</v>
      </c>
      <c r="N115" s="40">
        <v>0</v>
      </c>
      <c r="O115" s="60">
        <f t="shared" si="6"/>
        <v>22950</v>
      </c>
      <c r="P115" s="270">
        <f>IF(J115="",I115*'US CBAs'!$G$55,0)</f>
        <v>24328.799999999999</v>
      </c>
      <c r="Q115" s="60">
        <f t="shared" si="7"/>
        <v>47278.8</v>
      </c>
    </row>
    <row r="116" spans="1:24" x14ac:dyDescent="0.35">
      <c r="A116" s="40"/>
      <c r="B116" s="40"/>
      <c r="C116" s="40"/>
      <c r="D116" s="40"/>
      <c r="E116" s="40"/>
      <c r="F116" s="40"/>
      <c r="G116" s="40"/>
      <c r="H116" s="315" t="s">
        <v>431</v>
      </c>
      <c r="J116" s="302"/>
      <c r="K116" s="307">
        <f>'US CBAs'!$F$4</f>
        <v>72000</v>
      </c>
      <c r="L116" s="302">
        <v>18</v>
      </c>
      <c r="M116" s="307"/>
      <c r="N116" s="302"/>
      <c r="O116" s="308">
        <f>(K116*L116)+(M116*N116)</f>
        <v>1296000</v>
      </c>
      <c r="P116" s="307"/>
      <c r="Q116" s="308">
        <f>O116+P116</f>
        <v>1296000</v>
      </c>
    </row>
    <row r="117" spans="1:24" x14ac:dyDescent="0.35">
      <c r="A117" s="40"/>
      <c r="B117" s="40"/>
      <c r="C117" s="40"/>
      <c r="D117" s="40"/>
      <c r="E117" s="40"/>
      <c r="F117" s="40"/>
      <c r="G117" s="40"/>
      <c r="H117" s="315" t="s">
        <v>432</v>
      </c>
      <c r="J117" s="302"/>
      <c r="K117" s="307">
        <f>'US CBAs'!$F$5</f>
        <v>51000</v>
      </c>
      <c r="L117" s="302">
        <v>4</v>
      </c>
      <c r="M117" s="307"/>
      <c r="N117" s="302"/>
      <c r="O117" s="308">
        <f>(K117*L117)+(M117*N117)</f>
        <v>204000</v>
      </c>
      <c r="P117" s="307"/>
      <c r="Q117" s="308">
        <f>O117+P117</f>
        <v>204000</v>
      </c>
    </row>
    <row r="118" spans="1:24" x14ac:dyDescent="0.35">
      <c r="A118" s="40"/>
      <c r="B118" s="40"/>
      <c r="C118" s="40"/>
      <c r="D118" s="40"/>
      <c r="E118" s="40"/>
      <c r="F118" s="40"/>
      <c r="G118" s="40"/>
      <c r="H118" s="315" t="s">
        <v>433</v>
      </c>
      <c r="J118" s="302"/>
      <c r="K118" s="307">
        <f>'US CBAs'!$F$6</f>
        <v>36000</v>
      </c>
      <c r="L118" s="302">
        <v>2</v>
      </c>
      <c r="M118" s="307"/>
      <c r="N118" s="302"/>
      <c r="O118" s="308">
        <f>(K118*L118)+(M118*N118)</f>
        <v>72000</v>
      </c>
      <c r="P118" s="307"/>
      <c r="Q118" s="308">
        <f>O118+P118</f>
        <v>72000</v>
      </c>
    </row>
    <row r="119" spans="1:24" x14ac:dyDescent="0.35">
      <c r="A119" s="40"/>
      <c r="B119" s="40"/>
      <c r="C119" s="40"/>
      <c r="D119" s="40"/>
      <c r="E119" s="40"/>
      <c r="F119" s="40"/>
      <c r="G119" s="40"/>
      <c r="H119" s="315" t="s">
        <v>434</v>
      </c>
      <c r="J119" s="302"/>
      <c r="K119" s="307"/>
      <c r="L119" s="302"/>
      <c r="M119" s="307">
        <f>'US CBAs'!$F$8</f>
        <v>500</v>
      </c>
      <c r="N119" s="302">
        <v>20</v>
      </c>
      <c r="O119" s="308">
        <f>(M119*N119)</f>
        <v>10000</v>
      </c>
      <c r="P119" s="307"/>
      <c r="Q119" s="308">
        <f>O119+P119</f>
        <v>10000</v>
      </c>
    </row>
    <row r="120" spans="1:24" x14ac:dyDescent="0.35">
      <c r="A120" s="289" t="s">
        <v>24</v>
      </c>
      <c r="B120" s="289"/>
      <c r="C120" s="289"/>
      <c r="D120" s="289"/>
      <c r="E120" s="289"/>
      <c r="F120" s="289"/>
      <c r="G120" s="289"/>
      <c r="H120" s="319"/>
      <c r="I120" s="303"/>
      <c r="J120" s="319"/>
      <c r="K120" s="320"/>
      <c r="L120" s="319"/>
      <c r="M120" s="320"/>
      <c r="N120" s="319"/>
      <c r="O120" s="298">
        <f>SUBTOTAL(109,Table16[Game pay])</f>
        <v>1924900</v>
      </c>
      <c r="P120" s="208">
        <f>SUBTOTAL(109,Table16[Att bonus])</f>
        <v>177968.39999999997</v>
      </c>
      <c r="Q120" s="298">
        <f>SUBTOTAL(109,Table16[TEAM PAY])</f>
        <v>2102868.4</v>
      </c>
    </row>
    <row r="121" spans="1:24" x14ac:dyDescent="0.35">
      <c r="A121" s="289"/>
      <c r="B121" s="290"/>
      <c r="C121" s="290"/>
      <c r="D121" s="289"/>
      <c r="E121" s="289"/>
      <c r="F121" s="289"/>
      <c r="G121" s="289"/>
      <c r="H121" s="289"/>
      <c r="I121" s="291"/>
      <c r="J121" s="289"/>
      <c r="K121" s="289"/>
      <c r="L121" s="289"/>
      <c r="M121" s="292"/>
      <c r="N121" s="39"/>
      <c r="O121" s="39"/>
      <c r="P121" s="293" t="s">
        <v>398</v>
      </c>
      <c r="Q121" s="294">
        <f>$T120</f>
        <v>0</v>
      </c>
      <c r="S121" s="326"/>
      <c r="T121" s="252"/>
      <c r="X121" s="171"/>
    </row>
    <row r="122" spans="1:24" x14ac:dyDescent="0.35">
      <c r="A122" s="289"/>
      <c r="B122" s="290"/>
      <c r="C122" s="290"/>
      <c r="D122" s="289"/>
      <c r="E122" s="289"/>
      <c r="F122" s="289"/>
      <c r="G122" s="289"/>
      <c r="H122" s="289"/>
      <c r="I122" s="291"/>
      <c r="J122" s="289"/>
      <c r="K122" s="289"/>
      <c r="L122" s="289"/>
      <c r="M122" s="292"/>
      <c r="N122" s="39"/>
      <c r="O122" s="39"/>
      <c r="P122" s="295" t="s">
        <v>90</v>
      </c>
      <c r="Q122" s="296">
        <f>Q120+Q121</f>
        <v>2102868.4</v>
      </c>
      <c r="S122" s="326"/>
      <c r="T122" s="252"/>
      <c r="X122" s="171"/>
    </row>
    <row r="123" spans="1:24" x14ac:dyDescent="0.35">
      <c r="A123" s="40"/>
      <c r="B123" s="40"/>
      <c r="C123" s="40"/>
      <c r="D123" s="40"/>
      <c r="E123" s="40"/>
      <c r="F123" s="40"/>
      <c r="G123" s="40"/>
      <c r="H123" s="40"/>
      <c r="I123" s="48"/>
      <c r="J123" s="40"/>
    </row>
    <row r="124" spans="1:24" x14ac:dyDescent="0.35">
      <c r="A124" s="53" t="s">
        <v>249</v>
      </c>
      <c r="B124" s="65" t="s">
        <v>248</v>
      </c>
      <c r="C124" s="65" t="s">
        <v>247</v>
      </c>
      <c r="D124" s="53" t="s">
        <v>15</v>
      </c>
      <c r="E124" s="53" t="s">
        <v>194</v>
      </c>
      <c r="F124" s="53" t="s">
        <v>246</v>
      </c>
      <c r="G124" s="53" t="s">
        <v>16</v>
      </c>
      <c r="H124" s="53" t="s">
        <v>245</v>
      </c>
      <c r="I124" s="64" t="s">
        <v>14</v>
      </c>
      <c r="J124" s="47" t="s">
        <v>244</v>
      </c>
      <c r="K124" s="231" t="s">
        <v>426</v>
      </c>
      <c r="L124" s="47" t="s">
        <v>17</v>
      </c>
      <c r="M124" s="231" t="s">
        <v>427</v>
      </c>
      <c r="N124" s="47" t="s">
        <v>430</v>
      </c>
      <c r="O124" s="47" t="s">
        <v>219</v>
      </c>
      <c r="P124" s="316" t="s">
        <v>242</v>
      </c>
      <c r="Q124" s="47" t="s">
        <v>241</v>
      </c>
    </row>
    <row r="125" spans="1:24" x14ac:dyDescent="0.35">
      <c r="A125" s="40" t="s">
        <v>191</v>
      </c>
      <c r="B125" s="40">
        <v>31</v>
      </c>
      <c r="C125" s="40">
        <v>2014</v>
      </c>
      <c r="D125" s="40" t="s">
        <v>29</v>
      </c>
      <c r="E125" s="40" t="s">
        <v>220</v>
      </c>
      <c r="F125" s="40"/>
      <c r="G125" s="40" t="s">
        <v>20</v>
      </c>
      <c r="H125" s="40" t="s">
        <v>492</v>
      </c>
      <c r="I125" s="48">
        <v>20862</v>
      </c>
      <c r="J125" s="40"/>
      <c r="K125" s="270">
        <f>IF(G125="W",'US CBAs'!$F$19,0)</f>
        <v>1350</v>
      </c>
      <c r="L125" s="40">
        <v>16</v>
      </c>
      <c r="M125" s="270">
        <f>'US CBAs'!$F$12+IF(G125="W",'US CBAs'!$F$19,0)</f>
        <v>2700</v>
      </c>
      <c r="N125" s="40">
        <v>2</v>
      </c>
      <c r="O125" s="60">
        <f>(K125*L125)+(M125*N125)</f>
        <v>27000</v>
      </c>
      <c r="P125" s="270">
        <f>IF(J125="",I125*'US CBAs'!$G$55,0)</f>
        <v>25034.399999999998</v>
      </c>
      <c r="Q125" s="60">
        <f>O125+P125</f>
        <v>52034.399999999994</v>
      </c>
    </row>
    <row r="126" spans="1:24" x14ac:dyDescent="0.35">
      <c r="A126" s="40" t="s">
        <v>192</v>
      </c>
      <c r="B126" s="40">
        <v>8</v>
      </c>
      <c r="C126" s="40">
        <v>2014</v>
      </c>
      <c r="D126" s="40" t="s">
        <v>49</v>
      </c>
      <c r="E126" s="40" t="s">
        <v>220</v>
      </c>
      <c r="F126" s="40"/>
      <c r="G126" s="40" t="s">
        <v>20</v>
      </c>
      <c r="H126" s="79" t="s">
        <v>482</v>
      </c>
      <c r="I126" s="48">
        <v>8857</v>
      </c>
      <c r="J126" s="40"/>
      <c r="K126" s="270">
        <f>IF(G126="W",'US CBAs'!$F$19,0)</f>
        <v>1350</v>
      </c>
      <c r="L126" s="40">
        <v>16</v>
      </c>
      <c r="M126" s="270">
        <f>'US CBAs'!$F$12+IF(G126="W",'US CBAs'!$F$19,0)</f>
        <v>2700</v>
      </c>
      <c r="N126" s="40">
        <v>2</v>
      </c>
      <c r="O126" s="60">
        <f t="shared" ref="O126:O148" si="8">(K126*L126)+(M126*N126)</f>
        <v>27000</v>
      </c>
      <c r="P126" s="270">
        <f>IF(J126="",I126*'US CBAs'!$G$55,0)</f>
        <v>10628.4</v>
      </c>
      <c r="Q126" s="60">
        <f t="shared" ref="Q126:Q148" si="9">O126+P126</f>
        <v>37628.400000000001</v>
      </c>
      <c r="S126" s="280" t="s">
        <v>405</v>
      </c>
      <c r="T126" s="327"/>
    </row>
    <row r="127" spans="1:24" x14ac:dyDescent="0.35">
      <c r="A127" s="40" t="s">
        <v>192</v>
      </c>
      <c r="B127" s="40">
        <v>13</v>
      </c>
      <c r="C127" s="40">
        <v>2014</v>
      </c>
      <c r="D127" s="40" t="s">
        <v>49</v>
      </c>
      <c r="E127" s="40" t="s">
        <v>220</v>
      </c>
      <c r="F127" s="40"/>
      <c r="G127" s="40" t="s">
        <v>20</v>
      </c>
      <c r="H127" s="40" t="s">
        <v>500</v>
      </c>
      <c r="I127" s="48">
        <v>16133</v>
      </c>
      <c r="J127" s="40"/>
      <c r="K127" s="270">
        <f>IF(G127="W",'US CBAs'!$F$19,0)</f>
        <v>1350</v>
      </c>
      <c r="L127" s="40">
        <v>16</v>
      </c>
      <c r="M127" s="270">
        <f>'US CBAs'!$F$12+IF(G127="W",'US CBAs'!$F$19,0)</f>
        <v>2700</v>
      </c>
      <c r="N127" s="40">
        <v>2</v>
      </c>
      <c r="O127" s="60">
        <f t="shared" si="8"/>
        <v>27000</v>
      </c>
      <c r="P127" s="270">
        <f>IF(J127="",I127*'US CBAs'!$G$55,0)</f>
        <v>19359.599999999999</v>
      </c>
      <c r="Q127" s="60">
        <f t="shared" si="9"/>
        <v>46359.6</v>
      </c>
      <c r="S127" s="282" t="s">
        <v>219</v>
      </c>
      <c r="T127" s="283">
        <f>SUM(O106:O119)+SUM(O125:O131)</f>
        <v>1901950</v>
      </c>
    </row>
    <row r="128" spans="1:24" x14ac:dyDescent="0.35">
      <c r="A128" s="40" t="s">
        <v>221</v>
      </c>
      <c r="B128" s="40">
        <v>5</v>
      </c>
      <c r="C128" s="40">
        <v>2014</v>
      </c>
      <c r="D128" s="40" t="s">
        <v>50</v>
      </c>
      <c r="E128" s="40" t="s">
        <v>220</v>
      </c>
      <c r="F128" s="40"/>
      <c r="G128" s="40" t="s">
        <v>83</v>
      </c>
      <c r="H128" s="40" t="s">
        <v>82</v>
      </c>
      <c r="I128" s="40">
        <v>500</v>
      </c>
      <c r="J128" s="40" t="s">
        <v>218</v>
      </c>
      <c r="K128" s="270">
        <f>IF(G128="W",'US CBAs'!$F$19,0)</f>
        <v>0</v>
      </c>
      <c r="L128" s="40">
        <v>22</v>
      </c>
      <c r="M128" s="270">
        <f>'US CBAs'!$F$12+IF(G128="W",'US CBAs'!$F$19,0)</f>
        <v>1350</v>
      </c>
      <c r="N128" s="40">
        <v>1</v>
      </c>
      <c r="O128" s="60">
        <f t="shared" si="8"/>
        <v>1350</v>
      </c>
      <c r="P128" s="270">
        <f>IF(J128="",I128*'US CBAs'!$G$55,0)</f>
        <v>0</v>
      </c>
      <c r="Q128" s="60">
        <f t="shared" si="9"/>
        <v>1350</v>
      </c>
      <c r="S128" s="284" t="s">
        <v>394</v>
      </c>
      <c r="T128" s="283">
        <f>SUM(P106:P119)+SUM(P125:P131)</f>
        <v>193534.8</v>
      </c>
    </row>
    <row r="129" spans="1:20" x14ac:dyDescent="0.35">
      <c r="A129" s="40" t="s">
        <v>221</v>
      </c>
      <c r="B129" s="40">
        <v>7</v>
      </c>
      <c r="C129" s="40">
        <v>2014</v>
      </c>
      <c r="D129" s="40" t="s">
        <v>26</v>
      </c>
      <c r="E129" s="40" t="s">
        <v>220</v>
      </c>
      <c r="F129" s="40"/>
      <c r="G129" s="40" t="s">
        <v>33</v>
      </c>
      <c r="H129" s="40" t="s">
        <v>82</v>
      </c>
      <c r="I129" s="48">
        <v>2000</v>
      </c>
      <c r="J129" s="40" t="s">
        <v>218</v>
      </c>
      <c r="K129" s="270">
        <f>IF(G129="W",'US CBAs'!$F$19,0)</f>
        <v>0</v>
      </c>
      <c r="L129" s="40">
        <v>22</v>
      </c>
      <c r="M129" s="270">
        <f>'US CBAs'!$F$12+IF(G129="W",'US CBAs'!$F$19,0)</f>
        <v>1350</v>
      </c>
      <c r="N129" s="40">
        <v>1</v>
      </c>
      <c r="O129" s="60">
        <f t="shared" si="8"/>
        <v>1350</v>
      </c>
      <c r="P129" s="270">
        <f>IF(J129="",I129*'US CBAs'!$G$55,0)</f>
        <v>0</v>
      </c>
      <c r="Q129" s="60">
        <f t="shared" si="9"/>
        <v>1350</v>
      </c>
      <c r="S129" s="285" t="s">
        <v>395</v>
      </c>
      <c r="T129" s="286">
        <f>T127+T128</f>
        <v>2095484.8</v>
      </c>
    </row>
    <row r="130" spans="1:20" x14ac:dyDescent="0.35">
      <c r="A130" s="40" t="s">
        <v>221</v>
      </c>
      <c r="B130" s="40">
        <v>10</v>
      </c>
      <c r="C130" s="40">
        <v>2014</v>
      </c>
      <c r="D130" s="40" t="s">
        <v>51</v>
      </c>
      <c r="E130" s="40" t="s">
        <v>220</v>
      </c>
      <c r="F130" s="40"/>
      <c r="G130" s="40" t="s">
        <v>33</v>
      </c>
      <c r="H130" s="40" t="s">
        <v>82</v>
      </c>
      <c r="I130" s="40">
        <v>750</v>
      </c>
      <c r="J130" s="40" t="s">
        <v>218</v>
      </c>
      <c r="K130" s="270">
        <f>IF(G130="W",'US CBAs'!$F$19,0)</f>
        <v>0</v>
      </c>
      <c r="L130" s="40">
        <v>22</v>
      </c>
      <c r="M130" s="270">
        <f>'US CBAs'!$F$12+IF(G130="W",'US CBAs'!$F$19,0)</f>
        <v>1350</v>
      </c>
      <c r="N130" s="40">
        <v>1</v>
      </c>
      <c r="O130" s="60">
        <f t="shared" si="8"/>
        <v>1350</v>
      </c>
      <c r="P130" s="270">
        <f>IF(J130="",I130*'US CBAs'!$G$55,0)</f>
        <v>0</v>
      </c>
      <c r="Q130" s="60">
        <f t="shared" si="9"/>
        <v>1350</v>
      </c>
      <c r="S130" s="285" t="s">
        <v>183</v>
      </c>
      <c r="T130" s="286">
        <f>$V118</f>
        <v>0</v>
      </c>
    </row>
    <row r="131" spans="1:20" x14ac:dyDescent="0.35">
      <c r="A131" s="40" t="s">
        <v>221</v>
      </c>
      <c r="B131" s="40">
        <v>12</v>
      </c>
      <c r="C131" s="40">
        <v>2014</v>
      </c>
      <c r="D131" s="40" t="s">
        <v>52</v>
      </c>
      <c r="E131" s="40" t="s">
        <v>220</v>
      </c>
      <c r="F131" s="40"/>
      <c r="G131" s="40" t="s">
        <v>20</v>
      </c>
      <c r="H131" s="40" t="s">
        <v>82</v>
      </c>
      <c r="I131" s="40">
        <v>250</v>
      </c>
      <c r="J131" s="40" t="s">
        <v>218</v>
      </c>
      <c r="K131" s="270">
        <f>IF(G131="W",'US CBAs'!$F$19,0)</f>
        <v>1350</v>
      </c>
      <c r="L131" s="40">
        <v>22</v>
      </c>
      <c r="M131" s="270">
        <f>'US CBAs'!$F$12+IF(G131="W",'US CBAs'!$F$19,0)</f>
        <v>2700</v>
      </c>
      <c r="N131" s="40">
        <v>1</v>
      </c>
      <c r="O131" s="60">
        <f t="shared" si="8"/>
        <v>32400</v>
      </c>
      <c r="P131" s="270">
        <f>IF(J131="",I131*'US CBAs'!$G$55,0)</f>
        <v>0</v>
      </c>
      <c r="Q131" s="60">
        <f t="shared" si="9"/>
        <v>32400</v>
      </c>
      <c r="S131" s="287" t="s">
        <v>406</v>
      </c>
      <c r="T131" s="288">
        <f>T129+T130</f>
        <v>2095484.8</v>
      </c>
    </row>
    <row r="132" spans="1:20" x14ac:dyDescent="0.35">
      <c r="A132" s="40" t="s">
        <v>240</v>
      </c>
      <c r="B132" s="40">
        <v>6</v>
      </c>
      <c r="C132" s="40">
        <v>2014</v>
      </c>
      <c r="D132" s="40" t="s">
        <v>25</v>
      </c>
      <c r="E132" s="40" t="s">
        <v>220</v>
      </c>
      <c r="F132" s="40"/>
      <c r="G132" s="40" t="s">
        <v>20</v>
      </c>
      <c r="H132" s="40" t="s">
        <v>496</v>
      </c>
      <c r="I132" s="48">
        <v>14903</v>
      </c>
      <c r="J132" s="40"/>
      <c r="K132" s="270">
        <f>IF(G132="W",'US CBAs'!$F$19,0)</f>
        <v>1350</v>
      </c>
      <c r="L132" s="40">
        <v>17</v>
      </c>
      <c r="M132" s="270">
        <f>'US CBAs'!$F$12+IF(G132="W",'US CBAs'!$F$19,0)</f>
        <v>2700</v>
      </c>
      <c r="N132" s="40">
        <v>1</v>
      </c>
      <c r="O132" s="60">
        <f t="shared" si="8"/>
        <v>25650</v>
      </c>
      <c r="P132" s="270">
        <f>IF(J132="",I132*'US CBAs'!$G$55,0)</f>
        <v>17883.599999999999</v>
      </c>
      <c r="Q132" s="60">
        <f t="shared" si="9"/>
        <v>43533.599999999999</v>
      </c>
    </row>
    <row r="133" spans="1:20" x14ac:dyDescent="0.35">
      <c r="A133" s="40" t="s">
        <v>240</v>
      </c>
      <c r="B133" s="40">
        <v>10</v>
      </c>
      <c r="C133" s="40">
        <v>2014</v>
      </c>
      <c r="D133" s="40" t="s">
        <v>25</v>
      </c>
      <c r="E133" s="40" t="s">
        <v>220</v>
      </c>
      <c r="F133" s="40"/>
      <c r="G133" s="40" t="s">
        <v>20</v>
      </c>
      <c r="H133" s="40" t="s">
        <v>481</v>
      </c>
      <c r="I133" s="48">
        <v>12857</v>
      </c>
      <c r="J133" s="40"/>
      <c r="K133" s="270">
        <f>IF(G133="W",'US CBAs'!$F$19,0)</f>
        <v>1350</v>
      </c>
      <c r="L133" s="40">
        <v>17</v>
      </c>
      <c r="M133" s="270">
        <f>'US CBAs'!$F$12+IF(G133="W",'US CBAs'!$F$19,0)</f>
        <v>2700</v>
      </c>
      <c r="N133" s="40">
        <v>1</v>
      </c>
      <c r="O133" s="60">
        <f t="shared" si="8"/>
        <v>25650</v>
      </c>
      <c r="P133" s="270">
        <f>IF(J133="",I133*'US CBAs'!$G$55,0)</f>
        <v>15428.4</v>
      </c>
      <c r="Q133" s="60">
        <f t="shared" si="9"/>
        <v>41078.400000000001</v>
      </c>
    </row>
    <row r="134" spans="1:20" x14ac:dyDescent="0.35">
      <c r="A134" s="40" t="s">
        <v>186</v>
      </c>
      <c r="B134" s="40">
        <v>8</v>
      </c>
      <c r="C134" s="40">
        <v>2014</v>
      </c>
      <c r="D134" s="40" t="s">
        <v>29</v>
      </c>
      <c r="E134" s="40" t="s">
        <v>220</v>
      </c>
      <c r="F134" s="40"/>
      <c r="G134" s="79" t="s">
        <v>83</v>
      </c>
      <c r="H134" s="40" t="s">
        <v>29</v>
      </c>
      <c r="I134" s="48">
        <v>28255</v>
      </c>
      <c r="J134" s="40" t="s">
        <v>218</v>
      </c>
      <c r="K134" s="270">
        <f>IF(G134="W",'US CBAs'!$F$19,0)</f>
        <v>0</v>
      </c>
      <c r="L134" s="40">
        <v>17</v>
      </c>
      <c r="M134" s="270">
        <f>'US CBAs'!$F$12+IF(G134="W",'US CBAs'!$F$19,0)</f>
        <v>1350</v>
      </c>
      <c r="N134" s="40">
        <v>1</v>
      </c>
      <c r="O134" s="60">
        <f t="shared" si="8"/>
        <v>1350</v>
      </c>
      <c r="P134" s="270">
        <f>IF(J134="",I134*'US CBAs'!$G$55,0)</f>
        <v>0</v>
      </c>
      <c r="Q134" s="60">
        <f t="shared" si="9"/>
        <v>1350</v>
      </c>
    </row>
    <row r="135" spans="1:20" x14ac:dyDescent="0.35">
      <c r="A135" s="40" t="s">
        <v>223</v>
      </c>
      <c r="B135" s="40">
        <v>14</v>
      </c>
      <c r="C135" s="40">
        <v>2014</v>
      </c>
      <c r="D135" s="40" t="s">
        <v>53</v>
      </c>
      <c r="E135" s="40" t="s">
        <v>220</v>
      </c>
      <c r="F135" s="40"/>
      <c r="G135" s="40" t="s">
        <v>20</v>
      </c>
      <c r="H135" s="79" t="s">
        <v>482</v>
      </c>
      <c r="I135" s="48">
        <v>9799</v>
      </c>
      <c r="J135" s="40"/>
      <c r="K135" s="270">
        <f>IF(G135="W",'US CBAs'!$F$19,0)</f>
        <v>1350</v>
      </c>
      <c r="L135" s="40">
        <v>17</v>
      </c>
      <c r="M135" s="270">
        <f>'US CBAs'!$F$12+IF(G135="W",'US CBAs'!$F$19,0)</f>
        <v>2700</v>
      </c>
      <c r="N135" s="40">
        <v>1</v>
      </c>
      <c r="O135" s="60">
        <f t="shared" si="8"/>
        <v>25650</v>
      </c>
      <c r="P135" s="270">
        <f>IF(J135="",I135*'US CBAs'!$G$55,0)</f>
        <v>11758.8</v>
      </c>
      <c r="Q135" s="60">
        <f t="shared" si="9"/>
        <v>37408.800000000003</v>
      </c>
    </row>
    <row r="136" spans="1:20" x14ac:dyDescent="0.35">
      <c r="A136" s="40" t="s">
        <v>223</v>
      </c>
      <c r="B136" s="40">
        <v>19</v>
      </c>
      <c r="C136" s="40">
        <v>2014</v>
      </c>
      <c r="D136" s="40" t="s">
        <v>53</v>
      </c>
      <c r="E136" s="40" t="s">
        <v>220</v>
      </c>
      <c r="F136" s="40"/>
      <c r="G136" s="79" t="s">
        <v>83</v>
      </c>
      <c r="H136" s="40" t="s">
        <v>483</v>
      </c>
      <c r="I136" s="48">
        <v>14695</v>
      </c>
      <c r="J136" s="40"/>
      <c r="K136" s="270">
        <f>IF(G136="W",'US CBAs'!$F$19,0)</f>
        <v>0</v>
      </c>
      <c r="L136" s="40">
        <v>17</v>
      </c>
      <c r="M136" s="270">
        <f>'US CBAs'!$F$12+IF(G136="W",'US CBAs'!$F$19,0)</f>
        <v>1350</v>
      </c>
      <c r="N136" s="40">
        <v>1</v>
      </c>
      <c r="O136" s="60">
        <f t="shared" si="8"/>
        <v>1350</v>
      </c>
      <c r="P136" s="270">
        <f>IF(J136="",I136*'US CBAs'!$G$55,0)</f>
        <v>17634</v>
      </c>
      <c r="Q136" s="60">
        <f t="shared" si="9"/>
        <v>18984</v>
      </c>
    </row>
    <row r="137" spans="1:20" x14ac:dyDescent="0.35">
      <c r="A137" s="40" t="s">
        <v>203</v>
      </c>
      <c r="B137" s="40">
        <v>20</v>
      </c>
      <c r="C137" s="40">
        <v>2014</v>
      </c>
      <c r="D137" s="40" t="s">
        <v>55</v>
      </c>
      <c r="E137" s="40" t="s">
        <v>220</v>
      </c>
      <c r="F137" s="40"/>
      <c r="G137" s="40" t="s">
        <v>20</v>
      </c>
      <c r="H137" s="40" t="s">
        <v>502</v>
      </c>
      <c r="I137" s="48">
        <v>9992</v>
      </c>
      <c r="J137" s="40"/>
      <c r="K137" s="270">
        <f>IF(G137="W",'US CBAs'!$F$19,0)</f>
        <v>1350</v>
      </c>
      <c r="L137" s="40">
        <v>20</v>
      </c>
      <c r="M137" s="270">
        <f>'US CBAs'!$F$12+IF(G137="W",'US CBAs'!$F$19,0)</f>
        <v>2700</v>
      </c>
      <c r="N137" s="40">
        <v>0</v>
      </c>
      <c r="O137" s="60">
        <f t="shared" si="8"/>
        <v>27000</v>
      </c>
      <c r="P137" s="270">
        <f>IF(J137="",I137*'US CBAs'!$G$55,0)</f>
        <v>11990.4</v>
      </c>
      <c r="Q137" s="60">
        <f t="shared" si="9"/>
        <v>38990.400000000001</v>
      </c>
    </row>
    <row r="138" spans="1:20" x14ac:dyDescent="0.35">
      <c r="A138" s="40" t="s">
        <v>222</v>
      </c>
      <c r="B138" s="40">
        <v>13</v>
      </c>
      <c r="C138" s="40">
        <v>2014</v>
      </c>
      <c r="D138" s="40" t="s">
        <v>35</v>
      </c>
      <c r="E138" s="40" t="s">
        <v>220</v>
      </c>
      <c r="F138" s="40"/>
      <c r="G138" s="40" t="s">
        <v>20</v>
      </c>
      <c r="H138" s="40" t="s">
        <v>498</v>
      </c>
      <c r="I138" s="48">
        <v>8849</v>
      </c>
      <c r="J138" s="40"/>
      <c r="K138" s="270">
        <f>IF(G138="W",'US CBAs'!$F$19,0)</f>
        <v>1350</v>
      </c>
      <c r="L138" s="40">
        <v>19</v>
      </c>
      <c r="M138" s="270">
        <f>'US CBAs'!$F$12+IF(G138="W",'US CBAs'!$F$19,0)</f>
        <v>2700</v>
      </c>
      <c r="N138" s="40">
        <v>0</v>
      </c>
      <c r="O138" s="60">
        <f t="shared" si="8"/>
        <v>25650</v>
      </c>
      <c r="P138" s="270">
        <f>IF(J138="",I138*'US CBAs'!$G$55,0)</f>
        <v>10618.8</v>
      </c>
      <c r="Q138" s="60">
        <f t="shared" si="9"/>
        <v>36268.800000000003</v>
      </c>
    </row>
    <row r="139" spans="1:20" x14ac:dyDescent="0.35">
      <c r="A139" s="40" t="s">
        <v>222</v>
      </c>
      <c r="B139" s="40">
        <v>18</v>
      </c>
      <c r="C139" s="40">
        <v>2014</v>
      </c>
      <c r="D139" s="40" t="s">
        <v>35</v>
      </c>
      <c r="E139" s="40" t="s">
        <v>220</v>
      </c>
      <c r="F139" s="40"/>
      <c r="G139" s="40" t="s">
        <v>20</v>
      </c>
      <c r="H139" s="40" t="s">
        <v>507</v>
      </c>
      <c r="I139" s="48">
        <v>5680</v>
      </c>
      <c r="J139" s="40"/>
      <c r="K139" s="270">
        <f>IF(G139="W",'US CBAs'!$F$19,0)</f>
        <v>1350</v>
      </c>
      <c r="L139" s="40">
        <v>19</v>
      </c>
      <c r="M139" s="270">
        <f>'US CBAs'!$F$12+IF(G139="W",'US CBAs'!$F$19,0)</f>
        <v>2700</v>
      </c>
      <c r="N139" s="40">
        <v>0</v>
      </c>
      <c r="O139" s="60">
        <f t="shared" si="8"/>
        <v>25650</v>
      </c>
      <c r="P139" s="270">
        <f>IF(J139="",I139*'US CBAs'!$G$55,0)</f>
        <v>6816</v>
      </c>
      <c r="Q139" s="60">
        <f t="shared" si="9"/>
        <v>32466</v>
      </c>
    </row>
    <row r="140" spans="1:20" x14ac:dyDescent="0.35">
      <c r="A140" s="40" t="s">
        <v>189</v>
      </c>
      <c r="B140" s="40">
        <v>15</v>
      </c>
      <c r="C140" s="40">
        <v>2014</v>
      </c>
      <c r="D140" s="40" t="s">
        <v>228</v>
      </c>
      <c r="E140" s="69" t="s">
        <v>260</v>
      </c>
      <c r="F140" s="40"/>
      <c r="G140" s="40" t="s">
        <v>20</v>
      </c>
      <c r="H140" s="40" t="s">
        <v>490</v>
      </c>
      <c r="I140" s="48">
        <v>3621</v>
      </c>
      <c r="J140" s="40" t="s">
        <v>218</v>
      </c>
      <c r="K140" s="270">
        <f>IF(G140="W",'US CBAs'!$F$19,0)</f>
        <v>1350</v>
      </c>
      <c r="L140" s="40">
        <v>19</v>
      </c>
      <c r="M140" s="270">
        <f>'US CBAs'!$F$12+IF(G140="W",'US CBAs'!$F$19,0)</f>
        <v>2700</v>
      </c>
      <c r="N140" s="40">
        <v>0</v>
      </c>
      <c r="O140" s="60">
        <f t="shared" si="8"/>
        <v>25650</v>
      </c>
      <c r="P140" s="270">
        <f>IF(J140="",I140*'US CBAs'!$G$55,0)</f>
        <v>0</v>
      </c>
      <c r="Q140" s="60">
        <f t="shared" si="9"/>
        <v>25650</v>
      </c>
      <c r="S140" s="79" t="s">
        <v>437</v>
      </c>
    </row>
    <row r="141" spans="1:20" x14ac:dyDescent="0.35">
      <c r="A141" s="40" t="s">
        <v>189</v>
      </c>
      <c r="B141" s="40">
        <v>17</v>
      </c>
      <c r="C141" s="40">
        <v>2014</v>
      </c>
      <c r="D141" s="40" t="s">
        <v>43</v>
      </c>
      <c r="E141" s="69" t="s">
        <v>260</v>
      </c>
      <c r="F141" s="40"/>
      <c r="G141" s="40" t="s">
        <v>20</v>
      </c>
      <c r="H141" s="40" t="s">
        <v>487</v>
      </c>
      <c r="I141" s="48">
        <v>6796</v>
      </c>
      <c r="J141" s="40" t="s">
        <v>218</v>
      </c>
      <c r="K141" s="270">
        <f>IF(G141="W",'US CBAs'!$F$19,0)</f>
        <v>1350</v>
      </c>
      <c r="L141" s="40">
        <v>19</v>
      </c>
      <c r="M141" s="270">
        <f>'US CBAs'!$F$12+IF(G141="W",'US CBAs'!$F$19,0)</f>
        <v>2700</v>
      </c>
      <c r="N141" s="40">
        <v>0</v>
      </c>
      <c r="O141" s="60">
        <f t="shared" si="8"/>
        <v>25650</v>
      </c>
      <c r="P141" s="270">
        <f>IF(J141="",I141*'US CBAs'!$G$55,0)</f>
        <v>0</v>
      </c>
      <c r="Q141" s="60">
        <f t="shared" si="9"/>
        <v>25650</v>
      </c>
    </row>
    <row r="142" spans="1:20" x14ac:dyDescent="0.35">
      <c r="A142" s="40" t="s">
        <v>189</v>
      </c>
      <c r="B142" s="40">
        <v>20</v>
      </c>
      <c r="C142" s="40">
        <v>2014</v>
      </c>
      <c r="D142" s="40" t="s">
        <v>59</v>
      </c>
      <c r="E142" s="69" t="s">
        <v>260</v>
      </c>
      <c r="F142" s="40"/>
      <c r="G142" s="40" t="s">
        <v>20</v>
      </c>
      <c r="H142" s="40" t="s">
        <v>491</v>
      </c>
      <c r="I142" s="48">
        <v>6421</v>
      </c>
      <c r="J142" s="40" t="s">
        <v>218</v>
      </c>
      <c r="K142" s="270">
        <f>IF(G142="W",'US CBAs'!$F$19,0)</f>
        <v>1350</v>
      </c>
      <c r="L142" s="40">
        <v>19</v>
      </c>
      <c r="M142" s="270">
        <f>'US CBAs'!$F$12+IF(G142="W",'US CBAs'!$F$19,0)</f>
        <v>2700</v>
      </c>
      <c r="N142" s="40">
        <v>0</v>
      </c>
      <c r="O142" s="60">
        <f t="shared" si="8"/>
        <v>25650</v>
      </c>
      <c r="P142" s="270">
        <f>IF(J142="",I142*'US CBAs'!$G$55,0)</f>
        <v>0</v>
      </c>
      <c r="Q142" s="60">
        <f t="shared" si="9"/>
        <v>25650</v>
      </c>
    </row>
    <row r="143" spans="1:20" x14ac:dyDescent="0.35">
      <c r="A143" s="40" t="s">
        <v>189</v>
      </c>
      <c r="B143" s="40">
        <v>24</v>
      </c>
      <c r="C143" s="40">
        <v>2014</v>
      </c>
      <c r="D143" s="40" t="s">
        <v>35</v>
      </c>
      <c r="E143" s="69" t="s">
        <v>260</v>
      </c>
      <c r="F143" s="40"/>
      <c r="G143" s="40" t="s">
        <v>20</v>
      </c>
      <c r="H143" s="40" t="s">
        <v>484</v>
      </c>
      <c r="I143" s="48">
        <v>8773</v>
      </c>
      <c r="J143" s="40" t="s">
        <v>218</v>
      </c>
      <c r="K143" s="270">
        <f>IF(G143="W",'US CBAs'!$F$19,0)</f>
        <v>1350</v>
      </c>
      <c r="L143" s="40">
        <v>19</v>
      </c>
      <c r="M143" s="270">
        <f>'US CBAs'!$F$12+IF(G143="W",'US CBAs'!$F$19,0)</f>
        <v>2700</v>
      </c>
      <c r="N143" s="40">
        <v>0</v>
      </c>
      <c r="O143" s="60">
        <f t="shared" si="8"/>
        <v>25650</v>
      </c>
      <c r="P143" s="270">
        <f>IF(J143="",I143*'US CBAs'!$G$55,0)</f>
        <v>0</v>
      </c>
      <c r="Q143" s="60">
        <f t="shared" si="9"/>
        <v>25650</v>
      </c>
    </row>
    <row r="144" spans="1:20" x14ac:dyDescent="0.35">
      <c r="A144" s="40" t="s">
        <v>189</v>
      </c>
      <c r="B144" s="40">
        <v>26</v>
      </c>
      <c r="C144" s="40">
        <v>2014</v>
      </c>
      <c r="D144" s="40" t="s">
        <v>36</v>
      </c>
      <c r="E144" s="69" t="s">
        <v>260</v>
      </c>
      <c r="F144" s="40"/>
      <c r="G144" s="40" t="s">
        <v>20</v>
      </c>
      <c r="H144" s="40" t="s">
        <v>484</v>
      </c>
      <c r="I144" s="48">
        <v>11625</v>
      </c>
      <c r="J144" s="40" t="s">
        <v>218</v>
      </c>
      <c r="K144" s="270">
        <f>IF(G144="W",'US CBAs'!$F$19,0)</f>
        <v>1350</v>
      </c>
      <c r="L144" s="40">
        <v>19</v>
      </c>
      <c r="M144" s="270">
        <f>'US CBAs'!$F$12+IF(G144="W",'US CBAs'!$F$19,0)</f>
        <v>2700</v>
      </c>
      <c r="N144" s="40">
        <v>0</v>
      </c>
      <c r="O144" s="60">
        <f t="shared" si="8"/>
        <v>25650</v>
      </c>
      <c r="P144" s="270">
        <f>IF(J144="",I144*'US CBAs'!$G$55,0)</f>
        <v>0</v>
      </c>
      <c r="Q144" s="60">
        <f t="shared" si="9"/>
        <v>25650</v>
      </c>
    </row>
    <row r="145" spans="1:24" x14ac:dyDescent="0.35">
      <c r="A145" s="40" t="s">
        <v>262</v>
      </c>
      <c r="B145" s="40">
        <v>10</v>
      </c>
      <c r="C145" s="40">
        <v>2014</v>
      </c>
      <c r="D145" s="40" t="s">
        <v>25</v>
      </c>
      <c r="E145" s="40" t="s">
        <v>220</v>
      </c>
      <c r="F145" s="40"/>
      <c r="G145" s="79" t="s">
        <v>83</v>
      </c>
      <c r="H145" s="40" t="s">
        <v>41</v>
      </c>
      <c r="I145" s="40">
        <v>300</v>
      </c>
      <c r="J145" s="40" t="s">
        <v>218</v>
      </c>
      <c r="K145" s="270">
        <f>IF(G145="W",'US CBAs'!$F$19,0)</f>
        <v>0</v>
      </c>
      <c r="L145" s="40">
        <v>21</v>
      </c>
      <c r="M145" s="270">
        <f>'US CBAs'!$F$12+IF(G145="W",'US CBAs'!$F$19,0)</f>
        <v>1350</v>
      </c>
      <c r="N145" s="40">
        <v>0</v>
      </c>
      <c r="O145" s="60">
        <f t="shared" si="8"/>
        <v>0</v>
      </c>
      <c r="P145" s="270">
        <f>IF(J145="",I145*'US CBAs'!$G$55,0)</f>
        <v>0</v>
      </c>
      <c r="Q145" s="60">
        <f t="shared" si="9"/>
        <v>0</v>
      </c>
    </row>
    <row r="146" spans="1:24" x14ac:dyDescent="0.35">
      <c r="A146" s="40" t="s">
        <v>262</v>
      </c>
      <c r="B146" s="40">
        <v>14</v>
      </c>
      <c r="C146" s="40">
        <v>2014</v>
      </c>
      <c r="D146" s="40" t="s">
        <v>41</v>
      </c>
      <c r="E146" s="40" t="s">
        <v>220</v>
      </c>
      <c r="F146" s="40"/>
      <c r="G146" s="40" t="s">
        <v>33</v>
      </c>
      <c r="H146" s="40" t="s">
        <v>41</v>
      </c>
      <c r="I146" s="48">
        <v>5421</v>
      </c>
      <c r="J146" s="40" t="s">
        <v>218</v>
      </c>
      <c r="K146" s="270">
        <f>IF(G146="W",'US CBAs'!$F$19,0)</f>
        <v>0</v>
      </c>
      <c r="L146" s="40">
        <v>21</v>
      </c>
      <c r="M146" s="270">
        <f>'US CBAs'!$F$12+IF(G146="W",'US CBAs'!$F$19,0)</f>
        <v>1350</v>
      </c>
      <c r="N146" s="40">
        <v>0</v>
      </c>
      <c r="O146" s="60">
        <f t="shared" si="8"/>
        <v>0</v>
      </c>
      <c r="P146" s="270">
        <f>IF(J146="",I146*'US CBAs'!$G$55,0)</f>
        <v>0</v>
      </c>
      <c r="Q146" s="60">
        <f t="shared" si="9"/>
        <v>0</v>
      </c>
    </row>
    <row r="147" spans="1:24" x14ac:dyDescent="0.35">
      <c r="A147" s="40" t="s">
        <v>262</v>
      </c>
      <c r="B147" s="40">
        <v>18</v>
      </c>
      <c r="C147" s="40">
        <v>2014</v>
      </c>
      <c r="D147" s="40" t="s">
        <v>60</v>
      </c>
      <c r="E147" s="40" t="s">
        <v>220</v>
      </c>
      <c r="F147" s="40"/>
      <c r="G147" s="40" t="s">
        <v>20</v>
      </c>
      <c r="H147" s="40" t="s">
        <v>41</v>
      </c>
      <c r="I147" s="40">
        <v>750</v>
      </c>
      <c r="J147" s="40" t="s">
        <v>218</v>
      </c>
      <c r="K147" s="270">
        <f>IF(G147="W",'US CBAs'!$F$19,0)</f>
        <v>1350</v>
      </c>
      <c r="L147" s="40">
        <v>21</v>
      </c>
      <c r="M147" s="270">
        <f>'US CBAs'!$F$12+IF(G147="W",'US CBAs'!$F$19,0)</f>
        <v>2700</v>
      </c>
      <c r="N147" s="40">
        <v>0</v>
      </c>
      <c r="O147" s="60">
        <f t="shared" si="8"/>
        <v>28350</v>
      </c>
      <c r="P147" s="270">
        <f>IF(J147="",I147*'US CBAs'!$G$55,0)</f>
        <v>0</v>
      </c>
      <c r="Q147" s="60">
        <f t="shared" si="9"/>
        <v>28350</v>
      </c>
    </row>
    <row r="148" spans="1:24" x14ac:dyDescent="0.35">
      <c r="A148" s="40" t="s">
        <v>262</v>
      </c>
      <c r="B148" s="40">
        <v>21</v>
      </c>
      <c r="C148" s="40">
        <v>2014</v>
      </c>
      <c r="D148" s="40" t="s">
        <v>41</v>
      </c>
      <c r="E148" s="40" t="s">
        <v>220</v>
      </c>
      <c r="F148" s="40"/>
      <c r="G148" s="79" t="s">
        <v>83</v>
      </c>
      <c r="H148" s="40" t="s">
        <v>41</v>
      </c>
      <c r="I148" s="48">
        <v>11000</v>
      </c>
      <c r="J148" s="40" t="s">
        <v>218</v>
      </c>
      <c r="K148" s="270">
        <f>IF(G148="W",'US CBAs'!$F$19,0)</f>
        <v>0</v>
      </c>
      <c r="L148" s="40">
        <v>21</v>
      </c>
      <c r="M148" s="270">
        <f>'US CBAs'!$F$12+IF(G148="W",'US CBAs'!$F$19,0)</f>
        <v>1350</v>
      </c>
      <c r="N148" s="40">
        <v>0</v>
      </c>
      <c r="O148" s="60">
        <f t="shared" si="8"/>
        <v>0</v>
      </c>
      <c r="P148" s="270">
        <f>IF(J148="",I148*'US CBAs'!$G$55,0)</f>
        <v>0</v>
      </c>
      <c r="Q148" s="60">
        <f t="shared" si="9"/>
        <v>0</v>
      </c>
    </row>
    <row r="149" spans="1:24" x14ac:dyDescent="0.35">
      <c r="A149" s="40"/>
      <c r="B149" s="40"/>
      <c r="C149" s="40"/>
      <c r="D149" s="40"/>
      <c r="E149" s="40"/>
      <c r="F149" s="40"/>
      <c r="G149" s="40"/>
      <c r="H149" s="315" t="s">
        <v>431</v>
      </c>
      <c r="J149" s="302"/>
      <c r="K149" s="307">
        <f>'US CBAs'!$F$4</f>
        <v>72000</v>
      </c>
      <c r="L149" s="302">
        <v>18</v>
      </c>
      <c r="M149" s="307"/>
      <c r="N149" s="302"/>
      <c r="O149" s="308">
        <f>(K149*L149)+(M149*N149)</f>
        <v>1296000</v>
      </c>
      <c r="P149" s="307"/>
      <c r="Q149" s="308">
        <f>O149+P149</f>
        <v>1296000</v>
      </c>
    </row>
    <row r="150" spans="1:24" x14ac:dyDescent="0.35">
      <c r="A150" s="40"/>
      <c r="B150" s="40"/>
      <c r="C150" s="40"/>
      <c r="D150" s="40"/>
      <c r="E150" s="40"/>
      <c r="F150" s="40"/>
      <c r="G150" s="40"/>
      <c r="H150" s="315" t="s">
        <v>432</v>
      </c>
      <c r="J150" s="302"/>
      <c r="K150" s="307">
        <f>'US CBAs'!$F$5</f>
        <v>51000</v>
      </c>
      <c r="L150" s="302">
        <v>4</v>
      </c>
      <c r="M150" s="307"/>
      <c r="N150" s="302"/>
      <c r="O150" s="308">
        <f>(K150*L150)+(M150*N150)</f>
        <v>204000</v>
      </c>
      <c r="P150" s="307"/>
      <c r="Q150" s="308">
        <f>O150+P150</f>
        <v>204000</v>
      </c>
    </row>
    <row r="151" spans="1:24" x14ac:dyDescent="0.35">
      <c r="A151" s="40"/>
      <c r="B151" s="40"/>
      <c r="C151" s="40"/>
      <c r="D151" s="40"/>
      <c r="E151" s="40"/>
      <c r="F151" s="40"/>
      <c r="G151" s="40"/>
      <c r="H151" s="315" t="s">
        <v>433</v>
      </c>
      <c r="J151" s="302"/>
      <c r="K151" s="307">
        <f>'US CBAs'!$F$6</f>
        <v>36000</v>
      </c>
      <c r="L151" s="302">
        <v>2</v>
      </c>
      <c r="M151" s="307"/>
      <c r="N151" s="302"/>
      <c r="O151" s="308">
        <f>(K151*L151)+(M151*N151)</f>
        <v>72000</v>
      </c>
      <c r="P151" s="307"/>
      <c r="Q151" s="308">
        <f>O151+P151</f>
        <v>72000</v>
      </c>
      <c r="S151" s="253" t="s">
        <v>446</v>
      </c>
      <c r="T151" s="254" t="s">
        <v>6</v>
      </c>
      <c r="U151" s="254" t="s">
        <v>18</v>
      </c>
      <c r="V151" s="255" t="s">
        <v>91</v>
      </c>
    </row>
    <row r="152" spans="1:24" x14ac:dyDescent="0.35">
      <c r="A152" s="40"/>
      <c r="B152" s="40"/>
      <c r="C152" s="40"/>
      <c r="D152" s="40"/>
      <c r="E152" s="40"/>
      <c r="F152" s="40"/>
      <c r="G152" s="40"/>
      <c r="H152" s="315" t="s">
        <v>434</v>
      </c>
      <c r="J152" s="302"/>
      <c r="K152" s="307"/>
      <c r="L152" s="302"/>
      <c r="M152" s="307">
        <f>'US CBAs'!$F$8</f>
        <v>500</v>
      </c>
      <c r="N152" s="302">
        <v>20</v>
      </c>
      <c r="O152" s="308">
        <f>(M152*N152)</f>
        <v>10000</v>
      </c>
      <c r="P152" s="307"/>
      <c r="Q152" s="308">
        <f>O152+P152</f>
        <v>10000</v>
      </c>
      <c r="S152" s="322" t="s">
        <v>233</v>
      </c>
      <c r="T152" s="325">
        <f>'US CBAs'!$F$30</f>
        <v>15000</v>
      </c>
      <c r="U152" s="326">
        <v>20</v>
      </c>
      <c r="V152" s="252">
        <f>T152*U152</f>
        <v>300000</v>
      </c>
    </row>
    <row r="153" spans="1:24" x14ac:dyDescent="0.35">
      <c r="A153" s="289" t="s">
        <v>24</v>
      </c>
      <c r="B153" s="289"/>
      <c r="C153" s="289"/>
      <c r="D153" s="289"/>
      <c r="E153" s="289"/>
      <c r="F153" s="289"/>
      <c r="G153" s="289"/>
      <c r="H153" s="319"/>
      <c r="I153" s="303"/>
      <c r="J153" s="319"/>
      <c r="K153" s="320"/>
      <c r="L153" s="319"/>
      <c r="M153" s="320"/>
      <c r="N153" s="319"/>
      <c r="O153" s="298">
        <f>SUBTOTAL(109,Table15[Game pay])</f>
        <v>2014000</v>
      </c>
      <c r="P153" s="208">
        <f>SUBTOTAL(109,Table15[Att bonus])</f>
        <v>147152.4</v>
      </c>
      <c r="Q153" s="298">
        <f>SUBTOTAL(109,Table15[TEAM PAY])</f>
        <v>2161152.4</v>
      </c>
      <c r="S153" s="253" t="s">
        <v>90</v>
      </c>
      <c r="T153" s="325"/>
      <c r="U153" s="326"/>
      <c r="V153" s="257">
        <f>V152</f>
        <v>300000</v>
      </c>
    </row>
    <row r="154" spans="1:24" x14ac:dyDescent="0.35">
      <c r="A154" s="289"/>
      <c r="B154" s="290"/>
      <c r="C154" s="290"/>
      <c r="D154" s="289"/>
      <c r="E154" s="289"/>
      <c r="F154" s="289"/>
      <c r="G154" s="289"/>
      <c r="H154" s="289"/>
      <c r="I154" s="291"/>
      <c r="J154" s="289"/>
      <c r="K154" s="289"/>
      <c r="L154" s="289"/>
      <c r="M154" s="292"/>
      <c r="N154" s="39"/>
      <c r="O154" s="39"/>
      <c r="P154" s="293" t="s">
        <v>398</v>
      </c>
      <c r="Q154" s="294">
        <f>$V153</f>
        <v>300000</v>
      </c>
      <c r="S154" s="326"/>
      <c r="T154" s="252"/>
      <c r="X154" s="171"/>
    </row>
    <row r="155" spans="1:24" x14ac:dyDescent="0.35">
      <c r="A155" s="289"/>
      <c r="B155" s="290"/>
      <c r="C155" s="290"/>
      <c r="D155" s="289"/>
      <c r="E155" s="289"/>
      <c r="F155" s="289"/>
      <c r="G155" s="289"/>
      <c r="H155" s="289"/>
      <c r="I155" s="291"/>
      <c r="J155" s="289"/>
      <c r="K155" s="289"/>
      <c r="L155" s="289"/>
      <c r="M155" s="292"/>
      <c r="N155" s="39"/>
      <c r="O155" s="39"/>
      <c r="P155" s="295" t="s">
        <v>90</v>
      </c>
      <c r="Q155" s="296">
        <f>Q153+Q154</f>
        <v>2461152.4</v>
      </c>
      <c r="S155" s="326"/>
      <c r="T155" s="252"/>
      <c r="X155" s="171"/>
    </row>
    <row r="156" spans="1:24" x14ac:dyDescent="0.35">
      <c r="A156" s="40"/>
      <c r="B156" s="40"/>
      <c r="C156" s="40"/>
      <c r="D156" s="40"/>
      <c r="E156" s="40"/>
      <c r="F156" s="40"/>
      <c r="G156" s="79"/>
      <c r="H156" s="40"/>
      <c r="I156" s="48"/>
      <c r="J156" s="40"/>
    </row>
    <row r="157" spans="1:24" x14ac:dyDescent="0.35">
      <c r="A157" s="53" t="s">
        <v>249</v>
      </c>
      <c r="B157" s="65" t="s">
        <v>248</v>
      </c>
      <c r="C157" s="65" t="s">
        <v>247</v>
      </c>
      <c r="D157" s="53" t="s">
        <v>15</v>
      </c>
      <c r="E157" s="53" t="s">
        <v>194</v>
      </c>
      <c r="F157" s="53" t="s">
        <v>246</v>
      </c>
      <c r="G157" s="53" t="s">
        <v>16</v>
      </c>
      <c r="H157" s="53" t="s">
        <v>245</v>
      </c>
      <c r="I157" s="64" t="s">
        <v>14</v>
      </c>
      <c r="J157" s="47" t="s">
        <v>244</v>
      </c>
      <c r="K157" s="231" t="s">
        <v>426</v>
      </c>
      <c r="L157" s="47" t="s">
        <v>17</v>
      </c>
      <c r="M157" s="231" t="s">
        <v>427</v>
      </c>
      <c r="N157" s="47" t="s">
        <v>430</v>
      </c>
      <c r="O157" s="47" t="s">
        <v>219</v>
      </c>
      <c r="P157" s="316" t="s">
        <v>242</v>
      </c>
      <c r="Q157" s="47" t="s">
        <v>241</v>
      </c>
    </row>
    <row r="158" spans="1:24" x14ac:dyDescent="0.35">
      <c r="A158" s="40" t="s">
        <v>192</v>
      </c>
      <c r="B158" s="40">
        <v>8</v>
      </c>
      <c r="C158" s="40">
        <v>2015</v>
      </c>
      <c r="D158" s="40" t="s">
        <v>53</v>
      </c>
      <c r="E158" s="40" t="s">
        <v>220</v>
      </c>
      <c r="F158" s="40"/>
      <c r="G158" s="40" t="s">
        <v>33</v>
      </c>
      <c r="H158" s="40" t="s">
        <v>53</v>
      </c>
      <c r="I158" s="48">
        <v>15663</v>
      </c>
      <c r="J158" s="40" t="s">
        <v>218</v>
      </c>
      <c r="K158" s="270">
        <f>IF(G158="W",'US CBAs'!$F$19,0)</f>
        <v>0</v>
      </c>
      <c r="L158" s="40">
        <v>18</v>
      </c>
      <c r="M158" s="270">
        <f>'US CBAs'!$F$12+IF(G158="W",'US CBAs'!$F$19,0)</f>
        <v>1350</v>
      </c>
      <c r="N158" s="40">
        <v>0</v>
      </c>
      <c r="O158" s="60">
        <f>(K158*L158)+(M158*N158)</f>
        <v>0</v>
      </c>
      <c r="P158" s="270">
        <f>IF(J158="",I158*'US CBAs'!$G$55,0)</f>
        <v>0</v>
      </c>
      <c r="Q158" s="60">
        <f>O158+P158</f>
        <v>0</v>
      </c>
      <c r="S158" s="280" t="s">
        <v>407</v>
      </c>
      <c r="T158" s="327"/>
    </row>
    <row r="159" spans="1:24" x14ac:dyDescent="0.35">
      <c r="A159" s="40" t="s">
        <v>192</v>
      </c>
      <c r="B159" s="40">
        <v>13</v>
      </c>
      <c r="C159" s="40">
        <v>2015</v>
      </c>
      <c r="D159" s="40" t="s">
        <v>61</v>
      </c>
      <c r="E159" s="40" t="s">
        <v>220</v>
      </c>
      <c r="F159" s="40"/>
      <c r="G159" s="40" t="s">
        <v>20</v>
      </c>
      <c r="H159" s="40" t="s">
        <v>61</v>
      </c>
      <c r="I159" s="48">
        <v>14369</v>
      </c>
      <c r="J159" s="40" t="s">
        <v>218</v>
      </c>
      <c r="K159" s="270">
        <f>IF(G159="W",'US CBAs'!$F$19,0)</f>
        <v>1350</v>
      </c>
      <c r="L159" s="40">
        <v>18</v>
      </c>
      <c r="M159" s="270">
        <f>'US CBAs'!$F$12+IF(G159="W",'US CBAs'!$F$19,0)</f>
        <v>2700</v>
      </c>
      <c r="N159" s="40">
        <v>0</v>
      </c>
      <c r="O159" s="60">
        <f t="shared" ref="O159:O183" si="10">(K159*L159)+(M159*N159)</f>
        <v>24300</v>
      </c>
      <c r="P159" s="270">
        <f>IF(J159="",I159*'US CBAs'!$G$55,0)</f>
        <v>0</v>
      </c>
      <c r="Q159" s="60">
        <f t="shared" ref="Q159:Q183" si="11">O159+P159</f>
        <v>24300</v>
      </c>
      <c r="S159" s="282" t="s">
        <v>219</v>
      </c>
      <c r="T159" s="283">
        <f>SUM(O132:O152)+SUM(O158:O163)</f>
        <v>2019400</v>
      </c>
    </row>
    <row r="160" spans="1:24" x14ac:dyDescent="0.35">
      <c r="A160" s="40" t="s">
        <v>221</v>
      </c>
      <c r="B160" s="40">
        <v>4</v>
      </c>
      <c r="C160" s="40">
        <v>2015</v>
      </c>
      <c r="D160" s="40" t="s">
        <v>62</v>
      </c>
      <c r="E160" s="40" t="s">
        <v>220</v>
      </c>
      <c r="F160" s="40"/>
      <c r="G160" s="40" t="s">
        <v>20</v>
      </c>
      <c r="H160" s="40" t="s">
        <v>82</v>
      </c>
      <c r="I160" s="40">
        <v>500</v>
      </c>
      <c r="J160" s="40" t="s">
        <v>218</v>
      </c>
      <c r="K160" s="270">
        <f>IF(G160="W",'US CBAs'!$F$19,0)</f>
        <v>1350</v>
      </c>
      <c r="L160" s="40">
        <v>22</v>
      </c>
      <c r="M160" s="270">
        <f>'US CBAs'!$F$12+IF(G160="W",'US CBAs'!$F$19,0)</f>
        <v>2700</v>
      </c>
      <c r="N160" s="40">
        <v>1</v>
      </c>
      <c r="O160" s="60">
        <f t="shared" si="10"/>
        <v>32400</v>
      </c>
      <c r="P160" s="270">
        <f>IF(J160="",I160*'US CBAs'!$G$55,0)</f>
        <v>0</v>
      </c>
      <c r="Q160" s="60">
        <f t="shared" si="11"/>
        <v>32400</v>
      </c>
      <c r="S160" s="284" t="s">
        <v>394</v>
      </c>
      <c r="T160" s="283">
        <f>SUM(P132:P152)+SUM(P158:P163)</f>
        <v>92130</v>
      </c>
    </row>
    <row r="161" spans="1:20" x14ac:dyDescent="0.35">
      <c r="A161" s="40" t="s">
        <v>221</v>
      </c>
      <c r="B161" s="40">
        <v>6</v>
      </c>
      <c r="C161" s="40">
        <v>2015</v>
      </c>
      <c r="D161" s="40" t="s">
        <v>55</v>
      </c>
      <c r="E161" s="40" t="s">
        <v>220</v>
      </c>
      <c r="F161" s="40"/>
      <c r="G161" s="40" t="s">
        <v>20</v>
      </c>
      <c r="H161" s="40" t="s">
        <v>82</v>
      </c>
      <c r="I161" s="40">
        <v>500</v>
      </c>
      <c r="J161" s="40" t="s">
        <v>218</v>
      </c>
      <c r="K161" s="270">
        <f>IF(G161="W",'US CBAs'!$F$19,0)</f>
        <v>1350</v>
      </c>
      <c r="L161" s="40">
        <v>22</v>
      </c>
      <c r="M161" s="270">
        <f>'US CBAs'!$F$12+IF(G161="W",'US CBAs'!$F$19,0)</f>
        <v>2700</v>
      </c>
      <c r="N161" s="40">
        <v>1</v>
      </c>
      <c r="O161" s="60">
        <f t="shared" si="10"/>
        <v>32400</v>
      </c>
      <c r="P161" s="270">
        <f>IF(J161="",I161*'US CBAs'!$G$55,0)</f>
        <v>0</v>
      </c>
      <c r="Q161" s="60">
        <f t="shared" si="11"/>
        <v>32400</v>
      </c>
      <c r="S161" s="285" t="s">
        <v>395</v>
      </c>
      <c r="T161" s="286">
        <f>T159+T160</f>
        <v>2111530</v>
      </c>
    </row>
    <row r="162" spans="1:20" x14ac:dyDescent="0.35">
      <c r="A162" s="40" t="s">
        <v>221</v>
      </c>
      <c r="B162" s="40">
        <v>9</v>
      </c>
      <c r="C162" s="40">
        <v>2015</v>
      </c>
      <c r="D162" s="40" t="s">
        <v>23</v>
      </c>
      <c r="E162" s="40" t="s">
        <v>220</v>
      </c>
      <c r="F162" s="40"/>
      <c r="G162" s="79" t="s">
        <v>83</v>
      </c>
      <c r="H162" s="40" t="s">
        <v>82</v>
      </c>
      <c r="I162" s="40">
        <v>500</v>
      </c>
      <c r="J162" s="40" t="s">
        <v>218</v>
      </c>
      <c r="K162" s="270">
        <f>IF(G162="W",'US CBAs'!$F$19,0)</f>
        <v>0</v>
      </c>
      <c r="L162" s="40">
        <v>22</v>
      </c>
      <c r="M162" s="270">
        <f>'US CBAs'!$F$12+IF(G162="W",'US CBAs'!$F$19,0)</f>
        <v>1350</v>
      </c>
      <c r="N162" s="40">
        <v>1</v>
      </c>
      <c r="O162" s="60">
        <f t="shared" si="10"/>
        <v>1350</v>
      </c>
      <c r="P162" s="270">
        <f>IF(J162="",I162*'US CBAs'!$G$55,0)</f>
        <v>0</v>
      </c>
      <c r="Q162" s="60">
        <f t="shared" si="11"/>
        <v>1350</v>
      </c>
      <c r="S162" s="285" t="s">
        <v>183</v>
      </c>
      <c r="T162" s="286">
        <f>$V153</f>
        <v>300000</v>
      </c>
    </row>
    <row r="163" spans="1:20" x14ac:dyDescent="0.35">
      <c r="A163" s="40" t="s">
        <v>221</v>
      </c>
      <c r="B163" s="40">
        <v>11</v>
      </c>
      <c r="C163" s="40">
        <v>2015</v>
      </c>
      <c r="D163" s="40" t="s">
        <v>53</v>
      </c>
      <c r="E163" s="40" t="s">
        <v>220</v>
      </c>
      <c r="F163" s="40"/>
      <c r="G163" s="40" t="s">
        <v>20</v>
      </c>
      <c r="H163" s="40" t="s">
        <v>82</v>
      </c>
      <c r="I163" s="48">
        <v>1500</v>
      </c>
      <c r="J163" s="40" t="s">
        <v>218</v>
      </c>
      <c r="K163" s="270">
        <f>IF(G163="W",'US CBAs'!$F$19,0)</f>
        <v>1350</v>
      </c>
      <c r="L163" s="40">
        <v>22</v>
      </c>
      <c r="M163" s="270">
        <f>'US CBAs'!$F$12+IF(G163="W",'US CBAs'!$F$19,0)</f>
        <v>2700</v>
      </c>
      <c r="N163" s="40">
        <v>1</v>
      </c>
      <c r="O163" s="60">
        <f t="shared" si="10"/>
        <v>32400</v>
      </c>
      <c r="P163" s="270">
        <f>IF(J163="",I163*'US CBAs'!$G$55,0)</f>
        <v>0</v>
      </c>
      <c r="Q163" s="60">
        <f t="shared" si="11"/>
        <v>32400</v>
      </c>
      <c r="S163" s="287" t="s">
        <v>408</v>
      </c>
      <c r="T163" s="288">
        <f>T161+T162</f>
        <v>2411530</v>
      </c>
    </row>
    <row r="164" spans="1:20" x14ac:dyDescent="0.35">
      <c r="A164" s="40" t="s">
        <v>240</v>
      </c>
      <c r="B164" s="40">
        <v>4</v>
      </c>
      <c r="C164" s="40">
        <v>2015</v>
      </c>
      <c r="D164" s="40" t="s">
        <v>38</v>
      </c>
      <c r="E164" s="40" t="s">
        <v>220</v>
      </c>
      <c r="F164" s="40"/>
      <c r="G164" s="40" t="s">
        <v>20</v>
      </c>
      <c r="H164" s="40" t="s">
        <v>501</v>
      </c>
      <c r="I164" s="48">
        <v>35817</v>
      </c>
      <c r="J164" s="40"/>
      <c r="K164" s="270">
        <f>IF(G164="W",'US CBAs'!$F$19,0)</f>
        <v>1350</v>
      </c>
      <c r="L164" s="40">
        <v>18</v>
      </c>
      <c r="M164" s="270">
        <f>'US CBAs'!$F$12+IF(G164="W",'US CBAs'!$F$19,0)</f>
        <v>2700</v>
      </c>
      <c r="N164" s="40">
        <v>0</v>
      </c>
      <c r="O164" s="60">
        <f t="shared" si="10"/>
        <v>24300</v>
      </c>
      <c r="P164" s="270">
        <f>IF(J164="",I164*'US CBAs'!$G$55,0)</f>
        <v>42980.4</v>
      </c>
      <c r="Q164" s="60">
        <f t="shared" si="11"/>
        <v>67280.399999999994</v>
      </c>
    </row>
    <row r="165" spans="1:20" x14ac:dyDescent="0.35">
      <c r="A165" s="40" t="s">
        <v>186</v>
      </c>
      <c r="B165" s="40">
        <v>10</v>
      </c>
      <c r="C165" s="40">
        <v>2015</v>
      </c>
      <c r="D165" s="40" t="s">
        <v>65</v>
      </c>
      <c r="E165" s="40" t="s">
        <v>220</v>
      </c>
      <c r="F165" s="40"/>
      <c r="G165" s="40" t="s">
        <v>20</v>
      </c>
      <c r="H165" s="40" t="s">
        <v>481</v>
      </c>
      <c r="I165" s="48">
        <v>18000</v>
      </c>
      <c r="J165" s="40"/>
      <c r="K165" s="270">
        <f>IF(G165="W",'US CBAs'!$F$19,0)</f>
        <v>1350</v>
      </c>
      <c r="L165" s="40">
        <v>23</v>
      </c>
      <c r="M165" s="270">
        <f>'US CBAs'!$F$12+IF(G165="W",'US CBAs'!$F$19,0)</f>
        <v>2700</v>
      </c>
      <c r="N165" s="40">
        <v>0</v>
      </c>
      <c r="O165" s="60">
        <f t="shared" si="10"/>
        <v>31050</v>
      </c>
      <c r="P165" s="270">
        <f>IF(J165="",I165*'US CBAs'!$G$55,0)</f>
        <v>21600</v>
      </c>
      <c r="Q165" s="60">
        <f t="shared" si="11"/>
        <v>52650</v>
      </c>
    </row>
    <row r="166" spans="1:20" x14ac:dyDescent="0.35">
      <c r="A166" s="40" t="s">
        <v>186</v>
      </c>
      <c r="B166" s="40">
        <v>17</v>
      </c>
      <c r="C166" s="40">
        <v>2015</v>
      </c>
      <c r="D166" s="40" t="s">
        <v>35</v>
      </c>
      <c r="E166" s="40" t="s">
        <v>220</v>
      </c>
      <c r="F166" s="40"/>
      <c r="G166" s="40" t="s">
        <v>20</v>
      </c>
      <c r="H166" s="40" t="s">
        <v>481</v>
      </c>
      <c r="I166" s="48">
        <v>27000</v>
      </c>
      <c r="J166" s="40"/>
      <c r="K166" s="270">
        <f>IF(G166="W",'US CBAs'!$F$19,0)</f>
        <v>1350</v>
      </c>
      <c r="L166" s="40">
        <v>23</v>
      </c>
      <c r="M166" s="270">
        <f>'US CBAs'!$F$12+IF(G166="W",'US CBAs'!$F$19,0)</f>
        <v>2700</v>
      </c>
      <c r="N166" s="40">
        <v>0</v>
      </c>
      <c r="O166" s="60">
        <f t="shared" si="10"/>
        <v>31050</v>
      </c>
      <c r="P166" s="270">
        <f>IF(J166="",I166*'US CBAs'!$G$55,0)</f>
        <v>32400</v>
      </c>
      <c r="Q166" s="60">
        <f t="shared" si="11"/>
        <v>63450</v>
      </c>
    </row>
    <row r="167" spans="1:20" x14ac:dyDescent="0.35">
      <c r="A167" s="40" t="s">
        <v>186</v>
      </c>
      <c r="B167" s="40">
        <v>30</v>
      </c>
      <c r="C167" s="40">
        <v>2015</v>
      </c>
      <c r="D167" s="40" t="s">
        <v>34</v>
      </c>
      <c r="E167" s="40" t="s">
        <v>220</v>
      </c>
      <c r="F167" s="40"/>
      <c r="G167" s="79" t="s">
        <v>83</v>
      </c>
      <c r="H167" s="40" t="s">
        <v>485</v>
      </c>
      <c r="I167" s="48">
        <v>26467</v>
      </c>
      <c r="J167" s="40"/>
      <c r="K167" s="270">
        <f>IF(G167="W",'US CBAs'!$F$19,0)</f>
        <v>0</v>
      </c>
      <c r="L167" s="40">
        <v>23</v>
      </c>
      <c r="M167" s="270">
        <f>'US CBAs'!$F$12+IF(G167="W",'US CBAs'!$F$19,0)</f>
        <v>1350</v>
      </c>
      <c r="N167" s="40">
        <v>0</v>
      </c>
      <c r="O167" s="60">
        <f t="shared" si="10"/>
        <v>0</v>
      </c>
      <c r="P167" s="270">
        <f>IF(J167="",I167*'US CBAs'!$G$55,0)</f>
        <v>31760.399999999998</v>
      </c>
      <c r="Q167" s="60">
        <f t="shared" si="11"/>
        <v>31760.399999999998</v>
      </c>
    </row>
    <row r="168" spans="1:20" x14ac:dyDescent="0.35">
      <c r="A168" s="40" t="s">
        <v>223</v>
      </c>
      <c r="B168" s="40">
        <v>8</v>
      </c>
      <c r="C168" s="40">
        <v>2015</v>
      </c>
      <c r="D168" s="40" t="s">
        <v>37</v>
      </c>
      <c r="E168" s="40" t="s">
        <v>1</v>
      </c>
      <c r="F168" s="40"/>
      <c r="G168" s="40" t="s">
        <v>20</v>
      </c>
      <c r="H168" s="40" t="s">
        <v>29</v>
      </c>
      <c r="I168" s="48">
        <v>31148</v>
      </c>
      <c r="J168" s="40" t="s">
        <v>218</v>
      </c>
      <c r="K168" s="270">
        <f>IF(G168="W",'US CBAs'!$F$19,0)</f>
        <v>1350</v>
      </c>
      <c r="L168" s="40">
        <v>23</v>
      </c>
      <c r="M168" s="270">
        <f>'US CBAs'!$F$12+IF(G168="W",'US CBAs'!$F$19,0)</f>
        <v>2700</v>
      </c>
      <c r="N168" s="40">
        <v>0</v>
      </c>
      <c r="O168" s="60">
        <f t="shared" si="10"/>
        <v>31050</v>
      </c>
      <c r="P168" s="270">
        <f>IF(J168="",I168*'US CBAs'!$G$55,0)</f>
        <v>0</v>
      </c>
      <c r="Q168" s="60">
        <f t="shared" si="11"/>
        <v>31050</v>
      </c>
    </row>
    <row r="169" spans="1:20" x14ac:dyDescent="0.35">
      <c r="A169" s="40" t="s">
        <v>223</v>
      </c>
      <c r="B169" s="40">
        <v>12</v>
      </c>
      <c r="C169" s="40">
        <v>2015</v>
      </c>
      <c r="D169" s="40" t="s">
        <v>26</v>
      </c>
      <c r="E169" s="40" t="s">
        <v>1</v>
      </c>
      <c r="F169" s="40"/>
      <c r="G169" s="79" t="s">
        <v>83</v>
      </c>
      <c r="H169" s="40" t="s">
        <v>29</v>
      </c>
      <c r="I169" s="48">
        <v>32716</v>
      </c>
      <c r="J169" s="40" t="s">
        <v>218</v>
      </c>
      <c r="K169" s="270">
        <f>IF(G169="W",'US CBAs'!$F$19,0)</f>
        <v>0</v>
      </c>
      <c r="L169" s="40">
        <v>23</v>
      </c>
      <c r="M169" s="270">
        <f>'US CBAs'!$F$12+IF(G169="W",'US CBAs'!$F$19,0)</f>
        <v>1350</v>
      </c>
      <c r="N169" s="40">
        <v>0</v>
      </c>
      <c r="O169" s="60">
        <f t="shared" si="10"/>
        <v>0</v>
      </c>
      <c r="P169" s="270">
        <f>IF(J169="",I169*'US CBAs'!$G$55,0)</f>
        <v>0</v>
      </c>
      <c r="Q169" s="60">
        <f t="shared" si="11"/>
        <v>0</v>
      </c>
    </row>
    <row r="170" spans="1:20" x14ac:dyDescent="0.35">
      <c r="A170" s="40" t="s">
        <v>223</v>
      </c>
      <c r="B170" s="40">
        <v>16</v>
      </c>
      <c r="C170" s="40">
        <v>2015</v>
      </c>
      <c r="D170" s="40" t="s">
        <v>58</v>
      </c>
      <c r="E170" s="40" t="s">
        <v>1</v>
      </c>
      <c r="F170" s="40"/>
      <c r="G170" s="40" t="s">
        <v>20</v>
      </c>
      <c r="H170" s="40" t="s">
        <v>29</v>
      </c>
      <c r="I170" s="48">
        <v>52193</v>
      </c>
      <c r="J170" s="40" t="s">
        <v>218</v>
      </c>
      <c r="K170" s="270">
        <f>IF(G170="W",'US CBAs'!$F$19,0)</f>
        <v>1350</v>
      </c>
      <c r="L170" s="40">
        <v>23</v>
      </c>
      <c r="M170" s="270">
        <f>'US CBAs'!$F$12+IF(G170="W",'US CBAs'!$F$19,0)</f>
        <v>2700</v>
      </c>
      <c r="N170" s="40">
        <v>0</v>
      </c>
      <c r="O170" s="60">
        <f t="shared" si="10"/>
        <v>31050</v>
      </c>
      <c r="P170" s="270">
        <f>IF(J170="",I170*'US CBAs'!$G$55,0)</f>
        <v>0</v>
      </c>
      <c r="Q170" s="60">
        <f t="shared" si="11"/>
        <v>31050</v>
      </c>
    </row>
    <row r="171" spans="1:20" x14ac:dyDescent="0.35">
      <c r="A171" s="40" t="s">
        <v>223</v>
      </c>
      <c r="B171" s="40">
        <v>22</v>
      </c>
      <c r="C171" s="40">
        <v>2015</v>
      </c>
      <c r="D171" s="40" t="s">
        <v>64</v>
      </c>
      <c r="E171" s="40" t="s">
        <v>1</v>
      </c>
      <c r="F171" s="40"/>
      <c r="G171" s="40" t="s">
        <v>20</v>
      </c>
      <c r="H171" s="40" t="s">
        <v>29</v>
      </c>
      <c r="I171" s="48">
        <v>19412</v>
      </c>
      <c r="J171" s="40" t="s">
        <v>218</v>
      </c>
      <c r="K171" s="270">
        <f>IF(G171="W",'US CBAs'!$F$19,0)</f>
        <v>1350</v>
      </c>
      <c r="L171" s="40">
        <v>23</v>
      </c>
      <c r="M171" s="270">
        <f>'US CBAs'!$F$12+IF(G171="W",'US CBAs'!$F$19,0)</f>
        <v>2700</v>
      </c>
      <c r="N171" s="40">
        <v>0</v>
      </c>
      <c r="O171" s="60">
        <f t="shared" si="10"/>
        <v>31050</v>
      </c>
      <c r="P171" s="270">
        <f>IF(J171="",I171*'US CBAs'!$G$55,0)</f>
        <v>0</v>
      </c>
      <c r="Q171" s="60">
        <f t="shared" si="11"/>
        <v>31050</v>
      </c>
    </row>
    <row r="172" spans="1:20" x14ac:dyDescent="0.35">
      <c r="A172" s="40" t="s">
        <v>223</v>
      </c>
      <c r="B172" s="40">
        <v>26</v>
      </c>
      <c r="C172" s="40">
        <v>2015</v>
      </c>
      <c r="D172" s="40" t="s">
        <v>25</v>
      </c>
      <c r="E172" s="40" t="s">
        <v>1</v>
      </c>
      <c r="F172" s="40"/>
      <c r="G172" s="40" t="s">
        <v>20</v>
      </c>
      <c r="H172" s="40" t="s">
        <v>29</v>
      </c>
      <c r="I172" s="48">
        <v>24141</v>
      </c>
      <c r="J172" s="40" t="s">
        <v>218</v>
      </c>
      <c r="K172" s="270">
        <f>IF(G172="W",'US CBAs'!$F$19,0)</f>
        <v>1350</v>
      </c>
      <c r="L172" s="40">
        <v>23</v>
      </c>
      <c r="M172" s="270">
        <f>'US CBAs'!$F$12+IF(G172="W",'US CBAs'!$F$19,0)</f>
        <v>2700</v>
      </c>
      <c r="N172" s="40">
        <v>0</v>
      </c>
      <c r="O172" s="60">
        <f t="shared" si="10"/>
        <v>31050</v>
      </c>
      <c r="P172" s="270">
        <f>IF(J172="",I172*'US CBAs'!$G$55,0)</f>
        <v>0</v>
      </c>
      <c r="Q172" s="60">
        <f t="shared" si="11"/>
        <v>31050</v>
      </c>
    </row>
    <row r="173" spans="1:20" x14ac:dyDescent="0.35">
      <c r="A173" s="40" t="s">
        <v>223</v>
      </c>
      <c r="B173" s="40">
        <v>30</v>
      </c>
      <c r="C173" s="40">
        <v>2015</v>
      </c>
      <c r="D173" s="40" t="s">
        <v>27</v>
      </c>
      <c r="E173" s="40" t="s">
        <v>1</v>
      </c>
      <c r="F173" s="40"/>
      <c r="G173" s="40" t="s">
        <v>20</v>
      </c>
      <c r="H173" s="40" t="s">
        <v>29</v>
      </c>
      <c r="I173" s="48">
        <v>51176</v>
      </c>
      <c r="J173" s="40" t="s">
        <v>218</v>
      </c>
      <c r="K173" s="270">
        <f>IF(G173="W",'US CBAs'!$F$19,0)</f>
        <v>1350</v>
      </c>
      <c r="L173" s="40">
        <v>23</v>
      </c>
      <c r="M173" s="270">
        <f>'US CBAs'!$F$12+IF(G173="W",'US CBAs'!$F$19,0)</f>
        <v>2700</v>
      </c>
      <c r="N173" s="40">
        <v>0</v>
      </c>
      <c r="O173" s="60">
        <f t="shared" si="10"/>
        <v>31050</v>
      </c>
      <c r="P173" s="270">
        <f>IF(J173="",I173*'US CBAs'!$G$55,0)</f>
        <v>0</v>
      </c>
      <c r="Q173" s="60">
        <f t="shared" si="11"/>
        <v>31050</v>
      </c>
    </row>
    <row r="174" spans="1:20" x14ac:dyDescent="0.35">
      <c r="A174" s="40" t="s">
        <v>230</v>
      </c>
      <c r="B174" s="40">
        <v>5</v>
      </c>
      <c r="C174" s="40">
        <v>2015</v>
      </c>
      <c r="D174" s="40" t="s">
        <v>50</v>
      </c>
      <c r="E174" s="40" t="s">
        <v>1</v>
      </c>
      <c r="F174" s="40"/>
      <c r="G174" s="40" t="s">
        <v>20</v>
      </c>
      <c r="H174" s="40" t="s">
        <v>29</v>
      </c>
      <c r="I174" s="48">
        <v>53341</v>
      </c>
      <c r="J174" s="40" t="s">
        <v>218</v>
      </c>
      <c r="K174" s="270">
        <f>IF(G174="W",'US CBAs'!$F$19,0)</f>
        <v>1350</v>
      </c>
      <c r="L174" s="40">
        <v>23</v>
      </c>
      <c r="M174" s="270">
        <f>'US CBAs'!$F$12+IF(G174="W",'US CBAs'!$F$19,0)</f>
        <v>2700</v>
      </c>
      <c r="N174" s="40">
        <v>0</v>
      </c>
      <c r="O174" s="60">
        <f t="shared" si="10"/>
        <v>31050</v>
      </c>
      <c r="P174" s="270">
        <f>IF(J174="",I174*'US CBAs'!$G$55,0)</f>
        <v>0</v>
      </c>
      <c r="Q174" s="60">
        <f t="shared" si="11"/>
        <v>31050</v>
      </c>
    </row>
    <row r="175" spans="1:20" x14ac:dyDescent="0.35">
      <c r="A175" s="40" t="s">
        <v>203</v>
      </c>
      <c r="B175" s="40">
        <v>16</v>
      </c>
      <c r="C175" s="40">
        <v>2015</v>
      </c>
      <c r="D175" s="40" t="s">
        <v>36</v>
      </c>
      <c r="E175" s="40" t="s">
        <v>220</v>
      </c>
      <c r="F175" s="40"/>
      <c r="G175" s="40" t="s">
        <v>20</v>
      </c>
      <c r="H175" s="40" t="s">
        <v>484</v>
      </c>
      <c r="I175" s="48">
        <v>44028</v>
      </c>
      <c r="J175" s="40"/>
      <c r="K175" s="270">
        <f>IF(G175="W",'US CBAs'!$F$19,0)</f>
        <v>1350</v>
      </c>
      <c r="L175" s="40">
        <v>22</v>
      </c>
      <c r="M175" s="270">
        <f>'US CBAs'!$F$12+IF(G175="W",'US CBAs'!$F$19,0)</f>
        <v>2700</v>
      </c>
      <c r="N175" s="40">
        <v>1</v>
      </c>
      <c r="O175" s="60">
        <f t="shared" si="10"/>
        <v>32400</v>
      </c>
      <c r="P175" s="270">
        <f>IF(J175="",I175*'US CBAs'!$G$55,0)</f>
        <v>52833.599999999999</v>
      </c>
      <c r="Q175" s="60">
        <f t="shared" si="11"/>
        <v>85233.600000000006</v>
      </c>
    </row>
    <row r="176" spans="1:20" x14ac:dyDescent="0.35">
      <c r="A176" s="40" t="s">
        <v>203</v>
      </c>
      <c r="B176" s="40">
        <v>19</v>
      </c>
      <c r="C176" s="40">
        <v>2015</v>
      </c>
      <c r="D176" s="40" t="s">
        <v>36</v>
      </c>
      <c r="E176" s="40" t="s">
        <v>220</v>
      </c>
      <c r="F176" s="40"/>
      <c r="G176" s="40" t="s">
        <v>20</v>
      </c>
      <c r="H176" s="40" t="s">
        <v>486</v>
      </c>
      <c r="I176" s="48">
        <v>20535</v>
      </c>
      <c r="J176" s="40"/>
      <c r="K176" s="270">
        <f>IF(G176="W",'US CBAs'!$F$19,0)</f>
        <v>1350</v>
      </c>
      <c r="L176" s="40">
        <v>22</v>
      </c>
      <c r="M176" s="270">
        <f>'US CBAs'!$F$12+IF(G176="W",'US CBAs'!$F$19,0)</f>
        <v>2700</v>
      </c>
      <c r="N176" s="40">
        <v>1</v>
      </c>
      <c r="O176" s="60">
        <f t="shared" si="10"/>
        <v>32400</v>
      </c>
      <c r="P176" s="270">
        <f>IF(J176="",I176*'US CBAs'!$G$55,0)</f>
        <v>24642</v>
      </c>
      <c r="Q176" s="60">
        <f t="shared" si="11"/>
        <v>57042</v>
      </c>
    </row>
    <row r="177" spans="1:24" x14ac:dyDescent="0.35">
      <c r="A177" s="40" t="s">
        <v>222</v>
      </c>
      <c r="B177" s="40">
        <v>17</v>
      </c>
      <c r="C177" s="40">
        <v>2015</v>
      </c>
      <c r="D177" s="40" t="s">
        <v>59</v>
      </c>
      <c r="E177" s="40" t="s">
        <v>220</v>
      </c>
      <c r="F177" s="40"/>
      <c r="G177" s="40" t="s">
        <v>20</v>
      </c>
      <c r="H177" s="40" t="s">
        <v>565</v>
      </c>
      <c r="I177" s="48">
        <v>34538</v>
      </c>
      <c r="J177" s="40"/>
      <c r="K177" s="270">
        <f>IF(G177="W",'US CBAs'!$F$19,0)</f>
        <v>1350</v>
      </c>
      <c r="L177" s="40">
        <v>22</v>
      </c>
      <c r="M177" s="270">
        <f>'US CBAs'!$F$12+IF(G177="W",'US CBAs'!$F$19,0)</f>
        <v>2700</v>
      </c>
      <c r="N177" s="40">
        <v>1</v>
      </c>
      <c r="O177" s="60">
        <f t="shared" si="10"/>
        <v>32400</v>
      </c>
      <c r="P177" s="270">
        <f>IF(J177="",I177*'US CBAs'!$G$55,0)</f>
        <v>41445.599999999999</v>
      </c>
      <c r="Q177" s="60">
        <f t="shared" si="11"/>
        <v>73845.600000000006</v>
      </c>
    </row>
    <row r="178" spans="1:24" x14ac:dyDescent="0.35">
      <c r="A178" s="40" t="s">
        <v>222</v>
      </c>
      <c r="B178" s="40">
        <v>20</v>
      </c>
      <c r="C178" s="40">
        <v>2015</v>
      </c>
      <c r="D178" s="40" t="s">
        <v>59</v>
      </c>
      <c r="E178" s="40" t="s">
        <v>220</v>
      </c>
      <c r="F178" s="40"/>
      <c r="G178" s="40" t="s">
        <v>20</v>
      </c>
      <c r="H178" s="79" t="s">
        <v>503</v>
      </c>
      <c r="I178" s="48">
        <v>35753</v>
      </c>
      <c r="J178" s="40"/>
      <c r="K178" s="270">
        <f>IF(G178="W",'US CBAs'!$F$19,0)</f>
        <v>1350</v>
      </c>
      <c r="L178" s="40">
        <v>22</v>
      </c>
      <c r="M178" s="270">
        <f>'US CBAs'!$F$12+IF(G178="W",'US CBAs'!$F$19,0)</f>
        <v>2700</v>
      </c>
      <c r="N178" s="40">
        <v>1</v>
      </c>
      <c r="O178" s="60">
        <f t="shared" si="10"/>
        <v>32400</v>
      </c>
      <c r="P178" s="270">
        <f>IF(J178="",I178*'US CBAs'!$G$55,0)</f>
        <v>42903.6</v>
      </c>
      <c r="Q178" s="60">
        <f t="shared" si="11"/>
        <v>75303.600000000006</v>
      </c>
    </row>
    <row r="179" spans="1:24" x14ac:dyDescent="0.35">
      <c r="A179" s="40" t="s">
        <v>189</v>
      </c>
      <c r="B179" s="40">
        <v>21</v>
      </c>
      <c r="C179" s="40">
        <v>2015</v>
      </c>
      <c r="D179" s="40" t="s">
        <v>41</v>
      </c>
      <c r="E179" s="40" t="s">
        <v>220</v>
      </c>
      <c r="F179" s="40"/>
      <c r="G179" s="79" t="s">
        <v>83</v>
      </c>
      <c r="H179" s="40" t="s">
        <v>497</v>
      </c>
      <c r="I179" s="48">
        <v>23603</v>
      </c>
      <c r="J179" s="40"/>
      <c r="K179" s="270">
        <f>IF(G179="W",'US CBAs'!$F$19,0)</f>
        <v>0</v>
      </c>
      <c r="L179" s="40">
        <v>19</v>
      </c>
      <c r="M179" s="270">
        <f>'US CBAs'!$F$12+IF(G179="W",'US CBAs'!$F$19,0)</f>
        <v>1350</v>
      </c>
      <c r="N179" s="40">
        <v>2</v>
      </c>
      <c r="O179" s="60">
        <f t="shared" si="10"/>
        <v>2700</v>
      </c>
      <c r="P179" s="270">
        <f>IF(J179="",I179*'US CBAs'!$G$55,0)</f>
        <v>28323.599999999999</v>
      </c>
      <c r="Q179" s="60">
        <f t="shared" si="11"/>
        <v>31023.599999999999</v>
      </c>
    </row>
    <row r="180" spans="1:24" x14ac:dyDescent="0.35">
      <c r="A180" s="40" t="s">
        <v>189</v>
      </c>
      <c r="B180" s="40">
        <v>25</v>
      </c>
      <c r="C180" s="40">
        <v>2015</v>
      </c>
      <c r="D180" s="40" t="s">
        <v>41</v>
      </c>
      <c r="E180" s="40" t="s">
        <v>220</v>
      </c>
      <c r="F180" s="40"/>
      <c r="G180" s="40" t="s">
        <v>20</v>
      </c>
      <c r="H180" s="79" t="s">
        <v>482</v>
      </c>
      <c r="I180" s="48">
        <v>32869</v>
      </c>
      <c r="J180" s="40"/>
      <c r="K180" s="270">
        <f>IF(G180="W",'US CBAs'!$F$19,0)</f>
        <v>1350</v>
      </c>
      <c r="L180" s="40">
        <v>19</v>
      </c>
      <c r="M180" s="270">
        <f>'US CBAs'!$F$12+IF(G180="W",'US CBAs'!$F$19,0)</f>
        <v>2700</v>
      </c>
      <c r="N180" s="40">
        <v>2</v>
      </c>
      <c r="O180" s="60">
        <f t="shared" si="10"/>
        <v>31050</v>
      </c>
      <c r="P180" s="270">
        <f>IF(J180="",I180*'US CBAs'!$G$55,0)</f>
        <v>39442.799999999996</v>
      </c>
      <c r="Q180" s="60">
        <f t="shared" si="11"/>
        <v>70492.799999999988</v>
      </c>
    </row>
    <row r="181" spans="1:24" x14ac:dyDescent="0.35">
      <c r="A181" s="40" t="s">
        <v>262</v>
      </c>
      <c r="B181" s="40">
        <v>10</v>
      </c>
      <c r="C181" s="40">
        <v>2015</v>
      </c>
      <c r="D181" s="40" t="s">
        <v>228</v>
      </c>
      <c r="E181" s="40" t="s">
        <v>220</v>
      </c>
      <c r="F181" s="40"/>
      <c r="G181" s="40" t="s">
        <v>20</v>
      </c>
      <c r="H181" s="40" t="s">
        <v>492</v>
      </c>
      <c r="I181" s="48">
        <v>10690</v>
      </c>
      <c r="J181" s="40"/>
      <c r="K181" s="270">
        <f>IF(G181="W",'US CBAs'!$F$19,0)</f>
        <v>1350</v>
      </c>
      <c r="L181" s="40">
        <v>19</v>
      </c>
      <c r="M181" s="270">
        <f>'US CBAs'!$F$12+IF(G181="W",'US CBAs'!$F$19,0)</f>
        <v>2700</v>
      </c>
      <c r="N181" s="40">
        <v>2</v>
      </c>
      <c r="O181" s="60">
        <f t="shared" si="10"/>
        <v>31050</v>
      </c>
      <c r="P181" s="270">
        <f>IF(J181="",I181*'US CBAs'!$G$55,0)</f>
        <v>12828</v>
      </c>
      <c r="Q181" s="60">
        <f t="shared" si="11"/>
        <v>43878</v>
      </c>
    </row>
    <row r="182" spans="1:24" x14ac:dyDescent="0.35">
      <c r="A182" s="40" t="s">
        <v>262</v>
      </c>
      <c r="B182" s="40">
        <v>13</v>
      </c>
      <c r="C182" s="40">
        <v>2015</v>
      </c>
      <c r="D182" s="40" t="s">
        <v>25</v>
      </c>
      <c r="E182" s="40" t="s">
        <v>220</v>
      </c>
      <c r="F182" s="40"/>
      <c r="G182" s="40" t="s">
        <v>20</v>
      </c>
      <c r="H182" s="40" t="s">
        <v>493</v>
      </c>
      <c r="I182" s="48">
        <v>19066</v>
      </c>
      <c r="J182" s="40"/>
      <c r="K182" s="270">
        <f>IF(G182="W",'US CBAs'!$F$19,0)</f>
        <v>1350</v>
      </c>
      <c r="L182" s="40">
        <v>19</v>
      </c>
      <c r="M182" s="270">
        <f>'US CBAs'!$F$12+IF(G182="W",'US CBAs'!$F$19,0)</f>
        <v>2700</v>
      </c>
      <c r="N182" s="40">
        <v>2</v>
      </c>
      <c r="O182" s="60">
        <f t="shared" si="10"/>
        <v>31050</v>
      </c>
      <c r="P182" s="270">
        <f>IF(J182="",I182*'US CBAs'!$G$55,0)</f>
        <v>22879.200000000001</v>
      </c>
      <c r="Q182" s="60">
        <f t="shared" si="11"/>
        <v>53929.2</v>
      </c>
    </row>
    <row r="183" spans="1:24" x14ac:dyDescent="0.35">
      <c r="A183" s="40" t="s">
        <v>262</v>
      </c>
      <c r="B183" s="40">
        <v>16</v>
      </c>
      <c r="C183" s="40">
        <v>2015</v>
      </c>
      <c r="D183" s="40" t="s">
        <v>25</v>
      </c>
      <c r="E183" s="40" t="s">
        <v>220</v>
      </c>
      <c r="F183" s="40"/>
      <c r="G183" s="40" t="s">
        <v>33</v>
      </c>
      <c r="H183" s="40" t="s">
        <v>505</v>
      </c>
      <c r="I183" s="48">
        <v>32950</v>
      </c>
      <c r="J183" s="40"/>
      <c r="K183" s="270">
        <f>IF(G183="W",'US CBAs'!$F$19,0)</f>
        <v>0</v>
      </c>
      <c r="L183" s="40">
        <v>19</v>
      </c>
      <c r="M183" s="270">
        <f>'US CBAs'!$F$12+IF(G183="W",'US CBAs'!$F$19,0)</f>
        <v>1350</v>
      </c>
      <c r="N183" s="40">
        <v>2</v>
      </c>
      <c r="O183" s="60">
        <f t="shared" si="10"/>
        <v>2700</v>
      </c>
      <c r="P183" s="270">
        <f>IF(J183="",I183*'US CBAs'!$G$55,0)</f>
        <v>39540</v>
      </c>
      <c r="Q183" s="60">
        <f t="shared" si="11"/>
        <v>42240</v>
      </c>
    </row>
    <row r="184" spans="1:24" x14ac:dyDescent="0.35">
      <c r="A184" s="40"/>
      <c r="B184" s="40"/>
      <c r="C184" s="40"/>
      <c r="D184" s="40"/>
      <c r="E184" s="40"/>
      <c r="F184" s="40"/>
      <c r="G184" s="40"/>
      <c r="H184" s="315" t="s">
        <v>431</v>
      </c>
      <c r="J184" s="302"/>
      <c r="K184" s="307">
        <f>'US CBAs'!$F$4</f>
        <v>72000</v>
      </c>
      <c r="L184" s="302">
        <v>18</v>
      </c>
      <c r="M184" s="307"/>
      <c r="N184" s="302"/>
      <c r="O184" s="308">
        <f>(K184*L184)+(M184*N184)</f>
        <v>1296000</v>
      </c>
      <c r="P184" s="307"/>
      <c r="Q184" s="308">
        <f>O184+P184</f>
        <v>1296000</v>
      </c>
      <c r="S184" s="341" t="s">
        <v>447</v>
      </c>
      <c r="T184" s="342" t="s">
        <v>6</v>
      </c>
      <c r="U184" s="342" t="s">
        <v>18</v>
      </c>
      <c r="V184" s="343" t="s">
        <v>91</v>
      </c>
    </row>
    <row r="185" spans="1:24" x14ac:dyDescent="0.35">
      <c r="A185" s="40"/>
      <c r="B185" s="40"/>
      <c r="C185" s="40"/>
      <c r="D185" s="40"/>
      <c r="E185" s="40"/>
      <c r="F185" s="40"/>
      <c r="G185" s="40"/>
      <c r="H185" s="315" t="s">
        <v>432</v>
      </c>
      <c r="J185" s="302"/>
      <c r="K185" s="307">
        <f>'US CBAs'!$F$5</f>
        <v>51000</v>
      </c>
      <c r="L185" s="302">
        <v>4</v>
      </c>
      <c r="M185" s="307"/>
      <c r="N185" s="302"/>
      <c r="O185" s="308">
        <f>(K185*L185)+(M185*N185)</f>
        <v>204000</v>
      </c>
      <c r="P185" s="307"/>
      <c r="Q185" s="308">
        <f>O185+P185</f>
        <v>204000</v>
      </c>
      <c r="S185" s="344" t="s">
        <v>217</v>
      </c>
      <c r="T185" s="340">
        <f>'US CBAs'!$F$16</f>
        <v>15000</v>
      </c>
      <c r="U185" s="345">
        <v>23</v>
      </c>
      <c r="V185" s="340">
        <f>T185*U185</f>
        <v>345000</v>
      </c>
    </row>
    <row r="186" spans="1:24" x14ac:dyDescent="0.35">
      <c r="A186" s="40"/>
      <c r="B186" s="40"/>
      <c r="C186" s="40"/>
      <c r="D186" s="40"/>
      <c r="E186" s="40"/>
      <c r="F186" s="40"/>
      <c r="G186" s="40"/>
      <c r="H186" s="315" t="s">
        <v>433</v>
      </c>
      <c r="J186" s="302"/>
      <c r="K186" s="307">
        <f>'US CBAs'!$F$6</f>
        <v>36000</v>
      </c>
      <c r="L186" s="302">
        <v>2</v>
      </c>
      <c r="M186" s="307"/>
      <c r="N186" s="302"/>
      <c r="O186" s="308">
        <f>(K186*L186)+(M186*N186)</f>
        <v>72000</v>
      </c>
      <c r="P186" s="307"/>
      <c r="Q186" s="308">
        <f>O186+P186</f>
        <v>72000</v>
      </c>
      <c r="S186" s="344" t="s">
        <v>456</v>
      </c>
      <c r="T186" s="340">
        <f>'US CBAs'!$F$36</f>
        <v>75000</v>
      </c>
      <c r="U186" s="345">
        <v>23</v>
      </c>
      <c r="V186" s="340">
        <f>T186*U186</f>
        <v>1725000</v>
      </c>
    </row>
    <row r="187" spans="1:24" x14ac:dyDescent="0.35">
      <c r="A187" s="40"/>
      <c r="B187" s="40"/>
      <c r="C187" s="40"/>
      <c r="D187" s="40"/>
      <c r="E187" s="40"/>
      <c r="F187" s="40"/>
      <c r="G187" s="40"/>
      <c r="H187" s="315" t="s">
        <v>434</v>
      </c>
      <c r="J187" s="302"/>
      <c r="K187" s="39"/>
      <c r="L187" s="39"/>
      <c r="M187" s="307">
        <f>'US CBAs'!$F$8</f>
        <v>500</v>
      </c>
      <c r="N187" s="302">
        <v>20</v>
      </c>
      <c r="O187" s="308">
        <f>(M187*N187)</f>
        <v>10000</v>
      </c>
      <c r="P187" s="307"/>
      <c r="Q187" s="308">
        <f>O187+P187</f>
        <v>10000</v>
      </c>
      <c r="S187" s="344" t="s">
        <v>454</v>
      </c>
      <c r="T187" s="340"/>
      <c r="U187" s="345"/>
      <c r="V187" s="340">
        <f>'US CBAs'!$G$44</f>
        <v>1800000</v>
      </c>
    </row>
    <row r="188" spans="1:24" x14ac:dyDescent="0.35">
      <c r="A188" s="289" t="s">
        <v>24</v>
      </c>
      <c r="B188" s="289"/>
      <c r="C188" s="289"/>
      <c r="D188" s="289"/>
      <c r="E188" s="289"/>
      <c r="F188" s="289"/>
      <c r="G188" s="289"/>
      <c r="H188" s="319"/>
      <c r="I188" s="303"/>
      <c r="J188" s="319"/>
      <c r="K188" s="320"/>
      <c r="L188" s="319"/>
      <c r="M188" s="320"/>
      <c r="N188" s="319"/>
      <c r="O188" s="298">
        <f>SUBTOTAL(109,Table14[Game pay])</f>
        <v>2205700</v>
      </c>
      <c r="P188" s="208">
        <f>SUBTOTAL(109,Table14[Att bonus])</f>
        <v>433579.19999999995</v>
      </c>
      <c r="Q188" s="298">
        <f>SUBTOTAL(109,Table14[TEAM PAY])</f>
        <v>2639279.2000000002</v>
      </c>
      <c r="S188" s="341" t="s">
        <v>90</v>
      </c>
      <c r="T188" s="330"/>
      <c r="U188" s="345"/>
      <c r="V188" s="316">
        <f>SUM($V$185:$V$187)</f>
        <v>3870000</v>
      </c>
    </row>
    <row r="189" spans="1:24" x14ac:dyDescent="0.35">
      <c r="A189" s="289"/>
      <c r="B189" s="290"/>
      <c r="C189" s="290"/>
      <c r="D189" s="289"/>
      <c r="E189" s="289"/>
      <c r="F189" s="289"/>
      <c r="G189" s="289"/>
      <c r="H189" s="289"/>
      <c r="I189" s="291"/>
      <c r="J189" s="289"/>
      <c r="K189" s="289"/>
      <c r="L189" s="289"/>
      <c r="M189" s="292"/>
      <c r="N189" s="39"/>
      <c r="O189" s="39"/>
      <c r="P189" s="293" t="s">
        <v>398</v>
      </c>
      <c r="Q189" s="294">
        <f>$V$188</f>
        <v>3870000</v>
      </c>
      <c r="S189" s="326"/>
      <c r="T189" s="252"/>
      <c r="X189" s="171"/>
    </row>
    <row r="190" spans="1:24" x14ac:dyDescent="0.35">
      <c r="A190" s="289"/>
      <c r="B190" s="290"/>
      <c r="C190" s="290"/>
      <c r="D190" s="289"/>
      <c r="E190" s="289"/>
      <c r="F190" s="289"/>
      <c r="G190" s="289"/>
      <c r="H190" s="289"/>
      <c r="I190" s="291"/>
      <c r="J190" s="289"/>
      <c r="K190" s="289"/>
      <c r="L190" s="289"/>
      <c r="M190" s="292"/>
      <c r="N190" s="39"/>
      <c r="O190" s="39"/>
      <c r="P190" s="295" t="s">
        <v>90</v>
      </c>
      <c r="Q190" s="296">
        <f>Q188+Q189</f>
        <v>6509279.2000000002</v>
      </c>
      <c r="S190" s="326"/>
      <c r="T190" s="252"/>
      <c r="X190" s="171"/>
    </row>
    <row r="191" spans="1:24" x14ac:dyDescent="0.35">
      <c r="A191" s="40"/>
      <c r="B191" s="40"/>
      <c r="C191" s="40"/>
      <c r="D191" s="40"/>
      <c r="E191" s="40"/>
      <c r="F191" s="40"/>
      <c r="G191" s="40"/>
      <c r="H191" s="40"/>
      <c r="I191" s="48"/>
      <c r="J191" s="40"/>
      <c r="S191" s="39"/>
      <c r="T191" s="39"/>
      <c r="U191" s="39"/>
      <c r="V191" s="39"/>
    </row>
    <row r="192" spans="1:24" x14ac:dyDescent="0.35">
      <c r="A192" s="53" t="s">
        <v>249</v>
      </c>
      <c r="B192" s="65" t="s">
        <v>248</v>
      </c>
      <c r="C192" s="65" t="s">
        <v>247</v>
      </c>
      <c r="D192" s="53" t="s">
        <v>15</v>
      </c>
      <c r="E192" s="53" t="s">
        <v>194</v>
      </c>
      <c r="F192" s="53" t="s">
        <v>246</v>
      </c>
      <c r="G192" s="53" t="s">
        <v>16</v>
      </c>
      <c r="H192" s="53" t="s">
        <v>245</v>
      </c>
      <c r="I192" s="64" t="s">
        <v>14</v>
      </c>
      <c r="J192" s="47" t="s">
        <v>244</v>
      </c>
      <c r="K192" s="231" t="s">
        <v>426</v>
      </c>
      <c r="L192" s="47" t="s">
        <v>17</v>
      </c>
      <c r="M192" s="231" t="s">
        <v>427</v>
      </c>
      <c r="N192" s="47" t="s">
        <v>430</v>
      </c>
      <c r="O192" s="47" t="s">
        <v>219</v>
      </c>
      <c r="P192" s="316" t="s">
        <v>242</v>
      </c>
      <c r="Q192" s="47" t="s">
        <v>241</v>
      </c>
      <c r="S192" s="47" t="s">
        <v>449</v>
      </c>
      <c r="T192" s="262" t="s">
        <v>6</v>
      </c>
      <c r="U192" s="262" t="s">
        <v>18</v>
      </c>
      <c r="V192" s="263" t="s">
        <v>91</v>
      </c>
    </row>
    <row r="193" spans="1:22" x14ac:dyDescent="0.35">
      <c r="A193" s="40" t="s">
        <v>191</v>
      </c>
      <c r="B193" s="40">
        <v>23</v>
      </c>
      <c r="C193" s="40">
        <v>2016</v>
      </c>
      <c r="D193" s="40" t="s">
        <v>65</v>
      </c>
      <c r="E193" s="40" t="s">
        <v>220</v>
      </c>
      <c r="F193" s="40"/>
      <c r="G193" s="40" t="s">
        <v>20</v>
      </c>
      <c r="H193" s="40" t="s">
        <v>481</v>
      </c>
      <c r="I193" s="48">
        <v>23309</v>
      </c>
      <c r="J193" s="40"/>
      <c r="K193" s="270">
        <f>IF(G193="W",'US CBAs'!$F$19,0)</f>
        <v>1350</v>
      </c>
      <c r="L193" s="40">
        <v>20</v>
      </c>
      <c r="M193" s="270">
        <f>'US CBAs'!$F$12+IF(G193="W",'US CBAs'!$F$19,0)</f>
        <v>2700</v>
      </c>
      <c r="N193" s="40">
        <v>0</v>
      </c>
      <c r="O193" s="60">
        <f>(K193*L193)+(M193*N193)</f>
        <v>27000</v>
      </c>
      <c r="P193" s="270">
        <f>IF(J193="",I193*'US CBAs'!$G$55,0)</f>
        <v>27970.799999999999</v>
      </c>
      <c r="Q193" s="60">
        <f>O193+P193</f>
        <v>54970.8</v>
      </c>
      <c r="S193" s="79" t="s">
        <v>443</v>
      </c>
      <c r="T193" s="228">
        <f>'US CBAs'!$F$31</f>
        <v>15000</v>
      </c>
      <c r="U193" s="328">
        <v>19</v>
      </c>
      <c r="V193" s="252">
        <f>T193*U193</f>
        <v>285000</v>
      </c>
    </row>
    <row r="194" spans="1:22" x14ac:dyDescent="0.35">
      <c r="A194" s="40" t="s">
        <v>192</v>
      </c>
      <c r="B194" s="40">
        <v>10</v>
      </c>
      <c r="C194" s="40">
        <v>2016</v>
      </c>
      <c r="D194" s="40" t="s">
        <v>36</v>
      </c>
      <c r="E194" s="40" t="s">
        <v>261</v>
      </c>
      <c r="F194" s="40"/>
      <c r="G194" s="40" t="s">
        <v>20</v>
      </c>
      <c r="H194" s="40" t="s">
        <v>492</v>
      </c>
      <c r="I194" s="48">
        <v>8143</v>
      </c>
      <c r="J194" s="40" t="s">
        <v>218</v>
      </c>
      <c r="K194" s="270">
        <f>IF(G194="W",'US CBAs'!$F$19,0)</f>
        <v>1350</v>
      </c>
      <c r="L194" s="40">
        <v>18</v>
      </c>
      <c r="M194" s="270">
        <f>'US CBAs'!$F$12+IF(G194="W",'US CBAs'!$F$19,0)</f>
        <v>2700</v>
      </c>
      <c r="N194" s="40">
        <v>1</v>
      </c>
      <c r="O194" s="60">
        <f t="shared" ref="O194:O218" si="12">(K194*L194)+(M194*N194)</f>
        <v>27000</v>
      </c>
      <c r="P194" s="270">
        <f>IF(J194="",I194*'US CBAs'!$G$55,0)</f>
        <v>0</v>
      </c>
      <c r="Q194" s="60">
        <f t="shared" ref="Q194:Q218" si="13">O194+P194</f>
        <v>27000</v>
      </c>
      <c r="S194" s="79" t="s">
        <v>436</v>
      </c>
    </row>
    <row r="195" spans="1:22" x14ac:dyDescent="0.35">
      <c r="A195" s="40" t="s">
        <v>192</v>
      </c>
      <c r="B195" s="40">
        <v>13</v>
      </c>
      <c r="C195" s="40">
        <v>2016</v>
      </c>
      <c r="D195" s="40" t="s">
        <v>35</v>
      </c>
      <c r="E195" s="40" t="s">
        <v>261</v>
      </c>
      <c r="F195" s="40"/>
      <c r="G195" s="40" t="s">
        <v>20</v>
      </c>
      <c r="H195" s="40" t="s">
        <v>492</v>
      </c>
      <c r="I195" s="48">
        <v>15032</v>
      </c>
      <c r="J195" s="40" t="s">
        <v>218</v>
      </c>
      <c r="K195" s="270">
        <f>IF(G195="W",'US CBAs'!$F$19,0)</f>
        <v>1350</v>
      </c>
      <c r="L195" s="40">
        <v>18</v>
      </c>
      <c r="M195" s="270">
        <f>'US CBAs'!$F$12+IF(G195="W",'US CBAs'!$F$19,0)</f>
        <v>2700</v>
      </c>
      <c r="N195" s="40">
        <v>1</v>
      </c>
      <c r="O195" s="60">
        <f t="shared" si="12"/>
        <v>27000</v>
      </c>
      <c r="P195" s="270">
        <f>IF(J195="",I195*'US CBAs'!$G$55,0)</f>
        <v>0</v>
      </c>
      <c r="Q195" s="60">
        <f t="shared" si="13"/>
        <v>27000</v>
      </c>
    </row>
    <row r="196" spans="1:22" x14ac:dyDescent="0.35">
      <c r="A196" s="40" t="s">
        <v>192</v>
      </c>
      <c r="B196" s="40">
        <v>15</v>
      </c>
      <c r="C196" s="40">
        <v>2016</v>
      </c>
      <c r="D196" s="40" t="s">
        <v>71</v>
      </c>
      <c r="E196" s="40" t="s">
        <v>261</v>
      </c>
      <c r="F196" s="40"/>
      <c r="G196" s="40" t="s">
        <v>20</v>
      </c>
      <c r="H196" s="40" t="s">
        <v>492</v>
      </c>
      <c r="I196" s="48">
        <v>7658</v>
      </c>
      <c r="J196" s="40" t="s">
        <v>218</v>
      </c>
      <c r="K196" s="270">
        <f>IF(G196="W",'US CBAs'!$F$19,0)</f>
        <v>1350</v>
      </c>
      <c r="L196" s="40">
        <v>18</v>
      </c>
      <c r="M196" s="270">
        <f>'US CBAs'!$F$12+IF(G196="W",'US CBAs'!$F$19,0)</f>
        <v>2700</v>
      </c>
      <c r="N196" s="40">
        <v>1</v>
      </c>
      <c r="O196" s="60">
        <f t="shared" si="12"/>
        <v>27000</v>
      </c>
      <c r="P196" s="270">
        <f>IF(J196="",I196*'US CBAs'!$G$55,0)</f>
        <v>0</v>
      </c>
      <c r="Q196" s="60">
        <f t="shared" si="13"/>
        <v>27000</v>
      </c>
      <c r="S196" s="280" t="s">
        <v>409</v>
      </c>
      <c r="T196" s="327"/>
    </row>
    <row r="197" spans="1:22" x14ac:dyDescent="0.35">
      <c r="A197" s="40" t="s">
        <v>192</v>
      </c>
      <c r="B197" s="40">
        <v>19</v>
      </c>
      <c r="C197" s="40">
        <v>2016</v>
      </c>
      <c r="D197" s="40" t="s">
        <v>228</v>
      </c>
      <c r="E197" s="40" t="s">
        <v>261</v>
      </c>
      <c r="F197" s="40"/>
      <c r="G197" s="40" t="s">
        <v>20</v>
      </c>
      <c r="H197" s="40" t="s">
        <v>492</v>
      </c>
      <c r="I197" s="48">
        <v>5561</v>
      </c>
      <c r="J197" s="40" t="s">
        <v>218</v>
      </c>
      <c r="K197" s="270">
        <f>IF(G197="W",'US CBAs'!$F$19,0)</f>
        <v>1350</v>
      </c>
      <c r="L197" s="40">
        <v>18</v>
      </c>
      <c r="M197" s="270">
        <f>'US CBAs'!$F$12+IF(G197="W",'US CBAs'!$F$19,0)</f>
        <v>2700</v>
      </c>
      <c r="N197" s="40">
        <v>1</v>
      </c>
      <c r="O197" s="60">
        <f t="shared" si="12"/>
        <v>27000</v>
      </c>
      <c r="P197" s="270">
        <f>IF(J197="",I197*'US CBAs'!$G$55,0)</f>
        <v>0</v>
      </c>
      <c r="Q197" s="60">
        <f t="shared" si="13"/>
        <v>27000</v>
      </c>
      <c r="S197" s="282" t="s">
        <v>219</v>
      </c>
      <c r="T197" s="283">
        <f>SUM(O164:O187)+SUM(O193:O201)</f>
        <v>2342050</v>
      </c>
    </row>
    <row r="198" spans="1:22" x14ac:dyDescent="0.35">
      <c r="A198" s="40" t="s">
        <v>192</v>
      </c>
      <c r="B198" s="40">
        <v>21</v>
      </c>
      <c r="C198" s="40">
        <v>2016</v>
      </c>
      <c r="D198" s="40" t="s">
        <v>29</v>
      </c>
      <c r="E198" s="40" t="s">
        <v>261</v>
      </c>
      <c r="F198" s="40"/>
      <c r="G198" s="40" t="s">
        <v>20</v>
      </c>
      <c r="H198" s="40" t="s">
        <v>492</v>
      </c>
      <c r="I198" s="48">
        <v>10119</v>
      </c>
      <c r="J198" s="40" t="s">
        <v>218</v>
      </c>
      <c r="K198" s="270">
        <f>IF(G198="W",'US CBAs'!$F$19,0)</f>
        <v>1350</v>
      </c>
      <c r="L198" s="40">
        <v>18</v>
      </c>
      <c r="M198" s="270">
        <f>'US CBAs'!$F$12+IF(G198="W",'US CBAs'!$F$19,0)</f>
        <v>2700</v>
      </c>
      <c r="N198" s="40">
        <v>1</v>
      </c>
      <c r="O198" s="60">
        <f t="shared" si="12"/>
        <v>27000</v>
      </c>
      <c r="P198" s="270">
        <f>IF(J198="",I198*'US CBAs'!$G$55,0)</f>
        <v>0</v>
      </c>
      <c r="Q198" s="60">
        <f t="shared" si="13"/>
        <v>27000</v>
      </c>
      <c r="S198" s="284" t="s">
        <v>394</v>
      </c>
      <c r="T198" s="283">
        <f>SUM(P164:P187)+SUM(P193:P201)</f>
        <v>523819.19999999995</v>
      </c>
    </row>
    <row r="199" spans="1:22" x14ac:dyDescent="0.35">
      <c r="A199" s="40" t="s">
        <v>221</v>
      </c>
      <c r="B199" s="40">
        <v>3</v>
      </c>
      <c r="C199" s="40">
        <v>2016</v>
      </c>
      <c r="D199" s="40" t="s">
        <v>61</v>
      </c>
      <c r="E199" s="40" t="s">
        <v>220</v>
      </c>
      <c r="F199" s="40"/>
      <c r="G199" s="40" t="s">
        <v>20</v>
      </c>
      <c r="H199" s="79" t="s">
        <v>482</v>
      </c>
      <c r="I199" s="48">
        <v>13027</v>
      </c>
      <c r="J199" s="40"/>
      <c r="K199" s="270">
        <f>IF(G199="W",'US CBAs'!$F$19,0)</f>
        <v>1350</v>
      </c>
      <c r="L199" s="40">
        <v>20</v>
      </c>
      <c r="M199" s="270">
        <f>'US CBAs'!$F$12+IF(G199="W",'US CBAs'!$F$19,0)</f>
        <v>2700</v>
      </c>
      <c r="N199" s="40">
        <v>2</v>
      </c>
      <c r="O199" s="60">
        <f t="shared" si="12"/>
        <v>32400</v>
      </c>
      <c r="P199" s="270">
        <f>IF(J199="",I199*'US CBAs'!$G$55,0)</f>
        <v>15632.4</v>
      </c>
      <c r="Q199" s="60">
        <f t="shared" si="13"/>
        <v>48032.4</v>
      </c>
      <c r="S199" s="285" t="s">
        <v>395</v>
      </c>
      <c r="T199" s="286">
        <f>T197+T198</f>
        <v>2865869.2</v>
      </c>
    </row>
    <row r="200" spans="1:22" x14ac:dyDescent="0.35">
      <c r="A200" s="40" t="s">
        <v>221</v>
      </c>
      <c r="B200" s="40">
        <v>6</v>
      </c>
      <c r="C200" s="40">
        <v>2016</v>
      </c>
      <c r="D200" s="40" t="s">
        <v>53</v>
      </c>
      <c r="E200" s="40" t="s">
        <v>220</v>
      </c>
      <c r="F200" s="40"/>
      <c r="G200" s="40" t="s">
        <v>20</v>
      </c>
      <c r="H200" s="40" t="s">
        <v>486</v>
      </c>
      <c r="I200" s="48">
        <v>25363</v>
      </c>
      <c r="J200" s="40"/>
      <c r="K200" s="270">
        <f>IF(G200="W",'US CBAs'!$F$19,0)</f>
        <v>1350</v>
      </c>
      <c r="L200" s="40">
        <v>20</v>
      </c>
      <c r="M200" s="270">
        <f>'US CBAs'!$F$12+IF(G200="W",'US CBAs'!$F$19,0)</f>
        <v>2700</v>
      </c>
      <c r="N200" s="40">
        <v>2</v>
      </c>
      <c r="O200" s="60">
        <f t="shared" si="12"/>
        <v>32400</v>
      </c>
      <c r="P200" s="270">
        <f>IF(J200="",I200*'US CBAs'!$G$55,0)</f>
        <v>30435.599999999999</v>
      </c>
      <c r="Q200" s="60">
        <f t="shared" si="13"/>
        <v>62835.6</v>
      </c>
      <c r="S200" s="285" t="s">
        <v>183</v>
      </c>
      <c r="T200" s="286">
        <f>$V188+$V193</f>
        <v>4155000</v>
      </c>
    </row>
    <row r="201" spans="1:22" x14ac:dyDescent="0.35">
      <c r="A201" s="40" t="s">
        <v>221</v>
      </c>
      <c r="B201" s="40">
        <v>9</v>
      </c>
      <c r="C201" s="40">
        <v>2016</v>
      </c>
      <c r="D201" s="40" t="s">
        <v>27</v>
      </c>
      <c r="E201" s="40" t="s">
        <v>220</v>
      </c>
      <c r="F201" s="40"/>
      <c r="G201" s="40" t="s">
        <v>20</v>
      </c>
      <c r="H201" s="79" t="s">
        <v>482</v>
      </c>
      <c r="I201" s="48">
        <v>13501</v>
      </c>
      <c r="J201" s="40"/>
      <c r="K201" s="270">
        <f>IF(G201="W",'US CBAs'!$F$19,0)</f>
        <v>1350</v>
      </c>
      <c r="L201" s="40">
        <v>20</v>
      </c>
      <c r="M201" s="270">
        <f>'US CBAs'!$F$12+IF(G201="W",'US CBAs'!$F$19,0)</f>
        <v>2700</v>
      </c>
      <c r="N201" s="40">
        <v>2</v>
      </c>
      <c r="O201" s="60">
        <f t="shared" si="12"/>
        <v>32400</v>
      </c>
      <c r="P201" s="270">
        <f>IF(J201="",I201*'US CBAs'!$G$55,0)</f>
        <v>16201.199999999999</v>
      </c>
      <c r="Q201" s="60">
        <f t="shared" si="13"/>
        <v>48601.2</v>
      </c>
      <c r="S201" s="287" t="s">
        <v>410</v>
      </c>
      <c r="T201" s="288">
        <f>T199+T200</f>
        <v>7020869.2000000002</v>
      </c>
    </row>
    <row r="202" spans="1:22" x14ac:dyDescent="0.35">
      <c r="A202" s="40" t="s">
        <v>240</v>
      </c>
      <c r="B202" s="40">
        <v>6</v>
      </c>
      <c r="C202" s="40">
        <v>2016</v>
      </c>
      <c r="D202" s="40" t="s">
        <v>64</v>
      </c>
      <c r="E202" s="40" t="s">
        <v>220</v>
      </c>
      <c r="F202" s="40"/>
      <c r="G202" s="40" t="s">
        <v>20</v>
      </c>
      <c r="H202" s="40" t="s">
        <v>483</v>
      </c>
      <c r="I202" s="48">
        <v>21792</v>
      </c>
      <c r="J202" s="40"/>
      <c r="K202" s="270">
        <f>IF(G202="W",'US CBAs'!$F$19,0)</f>
        <v>1350</v>
      </c>
      <c r="L202" s="40">
        <v>16</v>
      </c>
      <c r="M202" s="270">
        <f>'US CBAs'!$F$12+IF(G202="W",'US CBAs'!$F$19,0)</f>
        <v>2700</v>
      </c>
      <c r="N202" s="40">
        <v>1</v>
      </c>
      <c r="O202" s="60">
        <f t="shared" si="12"/>
        <v>24300</v>
      </c>
      <c r="P202" s="270">
        <f>IF(J202="",I202*'US CBAs'!$G$55,0)</f>
        <v>26150.399999999998</v>
      </c>
      <c r="Q202" s="60">
        <f t="shared" si="13"/>
        <v>50450.399999999994</v>
      </c>
    </row>
    <row r="203" spans="1:22" x14ac:dyDescent="0.35">
      <c r="A203" s="40" t="s">
        <v>240</v>
      </c>
      <c r="B203" s="40">
        <v>10</v>
      </c>
      <c r="C203" s="40">
        <v>2016</v>
      </c>
      <c r="D203" s="40" t="s">
        <v>64</v>
      </c>
      <c r="E203" s="40" t="s">
        <v>220</v>
      </c>
      <c r="F203" s="40"/>
      <c r="G203" s="40" t="s">
        <v>20</v>
      </c>
      <c r="H203" s="40" t="s">
        <v>484</v>
      </c>
      <c r="I203" s="48">
        <v>17275</v>
      </c>
      <c r="J203" s="40"/>
      <c r="K203" s="270">
        <f>IF(G203="W",'US CBAs'!$F$19,0)</f>
        <v>1350</v>
      </c>
      <c r="L203" s="40">
        <v>16</v>
      </c>
      <c r="M203" s="270">
        <f>'US CBAs'!$F$12+IF(G203="W",'US CBAs'!$F$19,0)</f>
        <v>2700</v>
      </c>
      <c r="N203" s="40">
        <v>1</v>
      </c>
      <c r="O203" s="60">
        <f t="shared" si="12"/>
        <v>24300</v>
      </c>
      <c r="P203" s="270">
        <f>IF(J203="",I203*'US CBAs'!$G$55,0)</f>
        <v>20730</v>
      </c>
      <c r="Q203" s="60">
        <f t="shared" si="13"/>
        <v>45030</v>
      </c>
    </row>
    <row r="204" spans="1:22" x14ac:dyDescent="0.35">
      <c r="A204" s="40" t="s">
        <v>223</v>
      </c>
      <c r="B204" s="40">
        <v>2</v>
      </c>
      <c r="C204" s="40">
        <v>2016</v>
      </c>
      <c r="D204" s="40" t="s">
        <v>50</v>
      </c>
      <c r="E204" s="40" t="s">
        <v>220</v>
      </c>
      <c r="F204" s="40"/>
      <c r="G204" s="79" t="s">
        <v>83</v>
      </c>
      <c r="H204" s="40" t="s">
        <v>496</v>
      </c>
      <c r="I204" s="48">
        <v>18572</v>
      </c>
      <c r="J204" s="40"/>
      <c r="K204" s="270">
        <f>IF(G204="W",'US CBAs'!$F$19,0)</f>
        <v>0</v>
      </c>
      <c r="L204" s="40">
        <v>17</v>
      </c>
      <c r="M204" s="270">
        <f>'US CBAs'!$F$12+IF(G204="W",'US CBAs'!$F$19,0)</f>
        <v>1350</v>
      </c>
      <c r="N204" s="40">
        <v>0</v>
      </c>
      <c r="O204" s="60">
        <f t="shared" si="12"/>
        <v>0</v>
      </c>
      <c r="P204" s="270">
        <f>IF(J204="",I204*'US CBAs'!$G$55,0)</f>
        <v>22286.399999999998</v>
      </c>
      <c r="Q204" s="60">
        <f t="shared" si="13"/>
        <v>22286.399999999998</v>
      </c>
    </row>
    <row r="205" spans="1:22" x14ac:dyDescent="0.35">
      <c r="A205" s="40" t="s">
        <v>223</v>
      </c>
      <c r="B205" s="40">
        <v>5</v>
      </c>
      <c r="C205" s="40">
        <v>2016</v>
      </c>
      <c r="D205" s="40" t="s">
        <v>50</v>
      </c>
      <c r="E205" s="40" t="s">
        <v>220</v>
      </c>
      <c r="F205" s="40"/>
      <c r="G205" s="40" t="s">
        <v>20</v>
      </c>
      <c r="H205" s="40" t="s">
        <v>495</v>
      </c>
      <c r="I205" s="48">
        <v>23535</v>
      </c>
      <c r="J205" s="40"/>
      <c r="K205" s="270">
        <f>IF(G205="W",'US CBAs'!$F$19,0)</f>
        <v>1350</v>
      </c>
      <c r="L205" s="40">
        <v>17</v>
      </c>
      <c r="M205" s="270">
        <f>'US CBAs'!$F$12+IF(G205="W",'US CBAs'!$F$19,0)</f>
        <v>2700</v>
      </c>
      <c r="N205" s="40">
        <v>0</v>
      </c>
      <c r="O205" s="60">
        <f t="shared" si="12"/>
        <v>22950</v>
      </c>
      <c r="P205" s="270">
        <f>IF(J205="",I205*'US CBAs'!$G$55,0)</f>
        <v>28242</v>
      </c>
      <c r="Q205" s="60">
        <f t="shared" si="13"/>
        <v>51192</v>
      </c>
    </row>
    <row r="206" spans="1:22" x14ac:dyDescent="0.35">
      <c r="A206" s="40" t="s">
        <v>230</v>
      </c>
      <c r="B206" s="40">
        <v>9</v>
      </c>
      <c r="C206" s="40">
        <v>2016</v>
      </c>
      <c r="D206" s="40" t="s">
        <v>74</v>
      </c>
      <c r="E206" s="40" t="s">
        <v>220</v>
      </c>
      <c r="F206" s="40"/>
      <c r="G206" s="40" t="s">
        <v>20</v>
      </c>
      <c r="H206" s="40" t="s">
        <v>487</v>
      </c>
      <c r="I206" s="48">
        <v>19272</v>
      </c>
      <c r="J206" s="40"/>
      <c r="K206" s="270">
        <f>IF(G206="W",'US CBAs'!$F$19,0)</f>
        <v>1350</v>
      </c>
      <c r="L206" s="40">
        <v>17</v>
      </c>
      <c r="M206" s="270">
        <f>'US CBAs'!$F$12+IF(G206="W",'US CBAs'!$F$19,0)</f>
        <v>2700</v>
      </c>
      <c r="N206" s="40">
        <v>0</v>
      </c>
      <c r="O206" s="60">
        <f t="shared" si="12"/>
        <v>22950</v>
      </c>
      <c r="P206" s="270">
        <f>IF(J206="",I206*'US CBAs'!$G$55,0)</f>
        <v>23126.399999999998</v>
      </c>
      <c r="Q206" s="60">
        <f t="shared" si="13"/>
        <v>46076.399999999994</v>
      </c>
    </row>
    <row r="207" spans="1:22" x14ac:dyDescent="0.35">
      <c r="A207" s="40" t="s">
        <v>230</v>
      </c>
      <c r="B207" s="40">
        <v>22</v>
      </c>
      <c r="C207" s="40">
        <v>2016</v>
      </c>
      <c r="D207" s="40" t="s">
        <v>36</v>
      </c>
      <c r="E207" s="40" t="s">
        <v>220</v>
      </c>
      <c r="F207" s="40"/>
      <c r="G207" s="40" t="s">
        <v>20</v>
      </c>
      <c r="H207" s="40" t="s">
        <v>490</v>
      </c>
      <c r="I207" s="48">
        <v>12635</v>
      </c>
      <c r="J207" s="40"/>
      <c r="K207" s="270">
        <f>IF(G207="W",'US CBAs'!$F$19,0)</f>
        <v>1350</v>
      </c>
      <c r="L207" s="40">
        <v>17</v>
      </c>
      <c r="M207" s="270">
        <f>'US CBAs'!$F$12+IF(G207="W",'US CBAs'!$F$19,0)</f>
        <v>2700</v>
      </c>
      <c r="N207" s="40">
        <v>0</v>
      </c>
      <c r="O207" s="60">
        <f t="shared" si="12"/>
        <v>22950</v>
      </c>
      <c r="P207" s="270">
        <f>IF(J207="",I207*'US CBAs'!$G$55,0)</f>
        <v>15162</v>
      </c>
      <c r="Q207" s="60">
        <f t="shared" si="13"/>
        <v>38112</v>
      </c>
    </row>
    <row r="208" spans="1:22" x14ac:dyDescent="0.35">
      <c r="A208" s="40" t="s">
        <v>203</v>
      </c>
      <c r="B208" s="40">
        <v>3</v>
      </c>
      <c r="C208" s="40">
        <v>2016</v>
      </c>
      <c r="D208" s="40" t="s">
        <v>38</v>
      </c>
      <c r="E208" s="40" t="s">
        <v>2</v>
      </c>
      <c r="F208" s="40"/>
      <c r="G208" s="40" t="s">
        <v>20</v>
      </c>
      <c r="H208" s="40" t="s">
        <v>41</v>
      </c>
      <c r="I208" s="48">
        <v>9556</v>
      </c>
      <c r="J208" s="40" t="s">
        <v>218</v>
      </c>
      <c r="K208" s="270">
        <f>IF(G208="W",'US CBAs'!$F$19,0)</f>
        <v>1350</v>
      </c>
      <c r="L208" s="40">
        <v>17</v>
      </c>
      <c r="M208" s="270">
        <f>'US CBAs'!$F$12+IF(G208="W",'US CBAs'!$F$19,0)</f>
        <v>2700</v>
      </c>
      <c r="N208" s="40">
        <v>0</v>
      </c>
      <c r="O208" s="60">
        <f t="shared" si="12"/>
        <v>22950</v>
      </c>
      <c r="P208" s="270">
        <f>IF(J208="",I208*'US CBAs'!$G$55,0)</f>
        <v>0</v>
      </c>
      <c r="Q208" s="60">
        <f t="shared" si="13"/>
        <v>22950</v>
      </c>
      <c r="S208" s="79" t="s">
        <v>436</v>
      </c>
    </row>
    <row r="209" spans="1:24" x14ac:dyDescent="0.35">
      <c r="A209" s="40" t="s">
        <v>203</v>
      </c>
      <c r="B209" s="40">
        <v>6</v>
      </c>
      <c r="C209" s="40">
        <v>2016</v>
      </c>
      <c r="D209" s="40" t="s">
        <v>53</v>
      </c>
      <c r="E209" s="40" t="s">
        <v>2</v>
      </c>
      <c r="F209" s="40"/>
      <c r="G209" s="40" t="s">
        <v>20</v>
      </c>
      <c r="H209" s="40" t="s">
        <v>41</v>
      </c>
      <c r="I209" s="48">
        <v>11782</v>
      </c>
      <c r="J209" s="40" t="s">
        <v>218</v>
      </c>
      <c r="K209" s="270">
        <f>IF(G209="W",'US CBAs'!$F$19,0)</f>
        <v>1350</v>
      </c>
      <c r="L209" s="40">
        <v>17</v>
      </c>
      <c r="M209" s="270">
        <f>'US CBAs'!$F$12+IF(G209="W",'US CBAs'!$F$19,0)</f>
        <v>2700</v>
      </c>
      <c r="N209" s="40">
        <v>0</v>
      </c>
      <c r="O209" s="60">
        <f t="shared" si="12"/>
        <v>22950</v>
      </c>
      <c r="P209" s="270">
        <f>IF(J209="",I209*'US CBAs'!$G$55,0)</f>
        <v>0</v>
      </c>
      <c r="Q209" s="60">
        <f t="shared" si="13"/>
        <v>22950</v>
      </c>
    </row>
    <row r="210" spans="1:24" x14ac:dyDescent="0.35">
      <c r="A210" s="40" t="s">
        <v>203</v>
      </c>
      <c r="B210" s="40">
        <v>9</v>
      </c>
      <c r="C210" s="40">
        <v>2016</v>
      </c>
      <c r="D210" s="40" t="s">
        <v>64</v>
      </c>
      <c r="E210" s="40" t="s">
        <v>2</v>
      </c>
      <c r="F210" s="40"/>
      <c r="G210" s="79" t="s">
        <v>83</v>
      </c>
      <c r="H210" s="40" t="s">
        <v>41</v>
      </c>
      <c r="I210" s="48">
        <v>30557</v>
      </c>
      <c r="J210" s="40" t="s">
        <v>218</v>
      </c>
      <c r="K210" s="270">
        <f>IF(G210="W",'US CBAs'!$F$19,0)</f>
        <v>0</v>
      </c>
      <c r="L210" s="40">
        <v>18</v>
      </c>
      <c r="M210" s="270">
        <f>'US CBAs'!$F$12+IF(G210="W",'US CBAs'!$F$19,0)</f>
        <v>1350</v>
      </c>
      <c r="N210" s="40">
        <v>0</v>
      </c>
      <c r="O210" s="60">
        <f t="shared" si="12"/>
        <v>0</v>
      </c>
      <c r="P210" s="270">
        <f>IF(J210="",I210*'US CBAs'!$G$55,0)</f>
        <v>0</v>
      </c>
      <c r="Q210" s="60">
        <f t="shared" si="13"/>
        <v>0</v>
      </c>
    </row>
    <row r="211" spans="1:24" x14ac:dyDescent="0.35">
      <c r="A211" s="40" t="s">
        <v>203</v>
      </c>
      <c r="B211" s="40">
        <v>12</v>
      </c>
      <c r="C211" s="40">
        <v>2016</v>
      </c>
      <c r="D211" s="40" t="s">
        <v>26</v>
      </c>
      <c r="E211" s="40" t="s">
        <v>2</v>
      </c>
      <c r="F211" s="40"/>
      <c r="G211" s="79" t="s">
        <v>83</v>
      </c>
      <c r="H211" s="40" t="s">
        <v>41</v>
      </c>
      <c r="I211" s="48">
        <v>13892</v>
      </c>
      <c r="J211" s="40" t="s">
        <v>218</v>
      </c>
      <c r="K211" s="270">
        <f>IF(G211="W",'US CBAs'!$F$19,0)</f>
        <v>0</v>
      </c>
      <c r="L211" s="40">
        <v>18</v>
      </c>
      <c r="M211" s="270">
        <f>'US CBAs'!$F$12+IF(G211="W",'US CBAs'!$F$19,0)</f>
        <v>1350</v>
      </c>
      <c r="N211" s="40">
        <v>0</v>
      </c>
      <c r="O211" s="60">
        <f t="shared" si="12"/>
        <v>0</v>
      </c>
      <c r="P211" s="270">
        <f>IF(J211="",I211*'US CBAs'!$G$55,0)</f>
        <v>0</v>
      </c>
      <c r="Q211" s="60">
        <f t="shared" si="13"/>
        <v>0</v>
      </c>
    </row>
    <row r="212" spans="1:24" x14ac:dyDescent="0.35">
      <c r="A212" s="40" t="s">
        <v>222</v>
      </c>
      <c r="B212" s="40">
        <v>15</v>
      </c>
      <c r="C212" s="40">
        <v>2016</v>
      </c>
      <c r="D212" s="40" t="s">
        <v>78</v>
      </c>
      <c r="E212" s="40" t="s">
        <v>220</v>
      </c>
      <c r="F212" s="40"/>
      <c r="G212" s="40" t="s">
        <v>20</v>
      </c>
      <c r="H212" s="40" t="s">
        <v>495</v>
      </c>
      <c r="I212" s="48">
        <v>10490</v>
      </c>
      <c r="J212" s="40"/>
      <c r="K212" s="270">
        <f>IF(G212="W",'US CBAs'!$F$19,0)</f>
        <v>1350</v>
      </c>
      <c r="L212" s="40">
        <v>20</v>
      </c>
      <c r="M212" s="270">
        <f>'US CBAs'!$F$12+IF(G212="W",'US CBAs'!$F$19,0)</f>
        <v>2700</v>
      </c>
      <c r="N212" s="40">
        <v>0</v>
      </c>
      <c r="O212" s="60">
        <f t="shared" si="12"/>
        <v>27000</v>
      </c>
      <c r="P212" s="270">
        <f>IF(J212="",I212*'US CBAs'!$G$55,0)</f>
        <v>12588</v>
      </c>
      <c r="Q212" s="60">
        <f t="shared" si="13"/>
        <v>39588</v>
      </c>
    </row>
    <row r="213" spans="1:24" x14ac:dyDescent="0.35">
      <c r="A213" s="40" t="s">
        <v>222</v>
      </c>
      <c r="B213" s="40">
        <v>18</v>
      </c>
      <c r="C213" s="40">
        <v>2016</v>
      </c>
      <c r="D213" s="40" t="s">
        <v>30</v>
      </c>
      <c r="E213" s="40" t="s">
        <v>220</v>
      </c>
      <c r="F213" s="40"/>
      <c r="G213" s="40" t="s">
        <v>20</v>
      </c>
      <c r="H213" s="40" t="s">
        <v>500</v>
      </c>
      <c r="I213" s="48">
        <v>15652</v>
      </c>
      <c r="J213" s="40"/>
      <c r="K213" s="270">
        <f>IF(G213="W",'US CBAs'!$F$19,0)</f>
        <v>1350</v>
      </c>
      <c r="L213" s="40">
        <v>20</v>
      </c>
      <c r="M213" s="270">
        <f>'US CBAs'!$F$12+IF(G213="W",'US CBAs'!$F$19,0)</f>
        <v>2700</v>
      </c>
      <c r="N213" s="40">
        <v>0</v>
      </c>
      <c r="O213" s="60">
        <f t="shared" si="12"/>
        <v>27000</v>
      </c>
      <c r="P213" s="270">
        <f>IF(J213="",I213*'US CBAs'!$G$55,0)</f>
        <v>18782.399999999998</v>
      </c>
      <c r="Q213" s="60">
        <f t="shared" si="13"/>
        <v>45782.399999999994</v>
      </c>
    </row>
    <row r="214" spans="1:24" x14ac:dyDescent="0.35">
      <c r="A214" s="40" t="s">
        <v>189</v>
      </c>
      <c r="B214" s="40">
        <v>19</v>
      </c>
      <c r="C214" s="40">
        <v>2016</v>
      </c>
      <c r="D214" s="40" t="s">
        <v>55</v>
      </c>
      <c r="E214" s="40" t="s">
        <v>220</v>
      </c>
      <c r="F214" s="40"/>
      <c r="G214" s="40" t="s">
        <v>20</v>
      </c>
      <c r="H214" s="40" t="s">
        <v>498</v>
      </c>
      <c r="I214" s="48">
        <v>14336</v>
      </c>
      <c r="J214" s="40"/>
      <c r="K214" s="270">
        <f>IF(G214="W",'US CBAs'!$F$19,0)</f>
        <v>1350</v>
      </c>
      <c r="L214" s="40">
        <v>16</v>
      </c>
      <c r="M214" s="270">
        <f>'US CBAs'!$F$12+IF(G214="W",'US CBAs'!$F$19,0)</f>
        <v>2700</v>
      </c>
      <c r="N214" s="40">
        <v>2</v>
      </c>
      <c r="O214" s="60">
        <f t="shared" si="12"/>
        <v>27000</v>
      </c>
      <c r="P214" s="270">
        <f>IF(J214="",I214*'US CBAs'!$G$55,0)</f>
        <v>17203.2</v>
      </c>
      <c r="Q214" s="60">
        <f t="shared" si="13"/>
        <v>44203.199999999997</v>
      </c>
    </row>
    <row r="215" spans="1:24" x14ac:dyDescent="0.35">
      <c r="A215" s="40" t="s">
        <v>189</v>
      </c>
      <c r="B215" s="40">
        <v>23</v>
      </c>
      <c r="C215" s="40">
        <v>2016</v>
      </c>
      <c r="D215" s="40" t="s">
        <v>55</v>
      </c>
      <c r="E215" s="40" t="s">
        <v>220</v>
      </c>
      <c r="F215" s="40"/>
      <c r="G215" s="40" t="s">
        <v>20</v>
      </c>
      <c r="H215" s="40" t="s">
        <v>506</v>
      </c>
      <c r="I215" s="48">
        <v>23400</v>
      </c>
      <c r="J215" s="40"/>
      <c r="K215" s="270">
        <f>IF(G215="W",'US CBAs'!$F$19,0)</f>
        <v>1350</v>
      </c>
      <c r="L215" s="40">
        <v>16</v>
      </c>
      <c r="M215" s="270">
        <f>'US CBAs'!$F$12+IF(G215="W",'US CBAs'!$F$19,0)</f>
        <v>2700</v>
      </c>
      <c r="N215" s="40">
        <v>2</v>
      </c>
      <c r="O215" s="60">
        <f t="shared" si="12"/>
        <v>27000</v>
      </c>
      <c r="P215" s="270">
        <f>IF(J215="",I215*'US CBAs'!$G$55,0)</f>
        <v>28080</v>
      </c>
      <c r="Q215" s="60">
        <f t="shared" si="13"/>
        <v>55080</v>
      </c>
    </row>
    <row r="216" spans="1:24" x14ac:dyDescent="0.35">
      <c r="A216" s="40" t="s">
        <v>190</v>
      </c>
      <c r="B216" s="40">
        <v>10</v>
      </c>
      <c r="C216" s="40">
        <v>2016</v>
      </c>
      <c r="D216" s="40" t="s">
        <v>81</v>
      </c>
      <c r="E216" s="40" t="s">
        <v>220</v>
      </c>
      <c r="F216" s="40"/>
      <c r="G216" s="40" t="s">
        <v>20</v>
      </c>
      <c r="H216" s="40" t="s">
        <v>481</v>
      </c>
      <c r="I216" s="48">
        <v>16425</v>
      </c>
      <c r="J216" s="40"/>
      <c r="K216" s="270">
        <f>IF(G216="W",'US CBAs'!$F$19,0)</f>
        <v>1350</v>
      </c>
      <c r="L216" s="40">
        <v>17</v>
      </c>
      <c r="M216" s="270">
        <f>'US CBAs'!$F$12+IF(G216="W",'US CBAs'!$F$19,0)</f>
        <v>2700</v>
      </c>
      <c r="N216" s="40">
        <v>1</v>
      </c>
      <c r="O216" s="60">
        <f t="shared" si="12"/>
        <v>25650</v>
      </c>
      <c r="P216" s="270">
        <f>IF(J216="",I216*'US CBAs'!$G$55,0)</f>
        <v>19710</v>
      </c>
      <c r="Q216" s="60">
        <f t="shared" si="13"/>
        <v>45360</v>
      </c>
    </row>
    <row r="217" spans="1:24" x14ac:dyDescent="0.35">
      <c r="A217" s="40" t="s">
        <v>190</v>
      </c>
      <c r="B217" s="40">
        <v>13</v>
      </c>
      <c r="C217" s="40">
        <v>2016</v>
      </c>
      <c r="D217" s="40" t="s">
        <v>81</v>
      </c>
      <c r="E217" s="40" t="s">
        <v>220</v>
      </c>
      <c r="F217" s="40"/>
      <c r="G217" s="40" t="s">
        <v>20</v>
      </c>
      <c r="H217" s="40" t="s">
        <v>481</v>
      </c>
      <c r="I217" s="48">
        <v>20336</v>
      </c>
      <c r="J217" s="40"/>
      <c r="K217" s="270">
        <f>IF(G217="W",'US CBAs'!$F$19,0)</f>
        <v>1350</v>
      </c>
      <c r="L217" s="40">
        <v>17</v>
      </c>
      <c r="M217" s="270">
        <f>'US CBAs'!$F$12+IF(G217="W",'US CBAs'!$F$19,0)</f>
        <v>2700</v>
      </c>
      <c r="N217" s="40">
        <v>1</v>
      </c>
      <c r="O217" s="60">
        <f t="shared" si="12"/>
        <v>25650</v>
      </c>
      <c r="P217" s="270">
        <f>IF(J217="",I217*'US CBAs'!$G$55,0)</f>
        <v>24403.200000000001</v>
      </c>
      <c r="Q217" s="60">
        <f t="shared" si="13"/>
        <v>50053.2</v>
      </c>
    </row>
    <row r="218" spans="1:24" x14ac:dyDescent="0.35">
      <c r="A218" s="40"/>
      <c r="B218" s="40"/>
      <c r="C218" s="40"/>
      <c r="D218" s="40"/>
      <c r="E218" s="40"/>
      <c r="F218" s="40"/>
      <c r="G218" s="40"/>
      <c r="H218" s="315" t="s">
        <v>431</v>
      </c>
      <c r="J218" s="302"/>
      <c r="K218" s="307">
        <f>'US CBAs'!$F$4</f>
        <v>72000</v>
      </c>
      <c r="L218" s="302">
        <v>18</v>
      </c>
      <c r="M218" s="307"/>
      <c r="N218" s="302"/>
      <c r="O218" s="308">
        <f t="shared" si="12"/>
        <v>1296000</v>
      </c>
      <c r="P218" s="307"/>
      <c r="Q218" s="308">
        <f t="shared" si="13"/>
        <v>1296000</v>
      </c>
    </row>
    <row r="219" spans="1:24" x14ac:dyDescent="0.35">
      <c r="A219" s="40"/>
      <c r="B219" s="40"/>
      <c r="C219" s="40"/>
      <c r="D219" s="40"/>
      <c r="E219" s="40"/>
      <c r="F219" s="40"/>
      <c r="G219" s="40"/>
      <c r="H219" s="315" t="s">
        <v>432</v>
      </c>
      <c r="J219" s="302"/>
      <c r="K219" s="307">
        <f>'US CBAs'!$F$5</f>
        <v>51000</v>
      </c>
      <c r="L219" s="302">
        <v>4</v>
      </c>
      <c r="M219" s="307"/>
      <c r="N219" s="302"/>
      <c r="O219" s="308">
        <f>(K219*L219)+(M219*N219)</f>
        <v>204000</v>
      </c>
      <c r="P219" s="307"/>
      <c r="Q219" s="308">
        <f>O219+P219</f>
        <v>204000</v>
      </c>
    </row>
    <row r="220" spans="1:24" x14ac:dyDescent="0.35">
      <c r="A220" s="40"/>
      <c r="B220" s="40"/>
      <c r="C220" s="40"/>
      <c r="D220" s="40"/>
      <c r="E220" s="40"/>
      <c r="F220" s="40"/>
      <c r="G220" s="40"/>
      <c r="H220" s="315" t="s">
        <v>433</v>
      </c>
      <c r="J220" s="302"/>
      <c r="K220" s="307">
        <f>'US CBAs'!$F$6</f>
        <v>36000</v>
      </c>
      <c r="L220" s="302">
        <v>2</v>
      </c>
      <c r="M220" s="307"/>
      <c r="N220" s="302"/>
      <c r="O220" s="308">
        <f>(K220*L220)+(M220*N220)</f>
        <v>72000</v>
      </c>
      <c r="P220" s="307"/>
      <c r="Q220" s="308">
        <f>O220+P220</f>
        <v>72000</v>
      </c>
      <c r="S220" s="253" t="s">
        <v>450</v>
      </c>
      <c r="T220" s="262" t="s">
        <v>6</v>
      </c>
      <c r="U220" s="262" t="s">
        <v>18</v>
      </c>
      <c r="V220" s="263" t="s">
        <v>91</v>
      </c>
    </row>
    <row r="221" spans="1:24" x14ac:dyDescent="0.35">
      <c r="A221" s="40"/>
      <c r="B221" s="40"/>
      <c r="C221" s="40"/>
      <c r="D221" s="40"/>
      <c r="E221" s="40"/>
      <c r="F221" s="40"/>
      <c r="G221" s="40"/>
      <c r="H221" s="315" t="s">
        <v>434</v>
      </c>
      <c r="J221" s="302"/>
      <c r="K221" s="39"/>
      <c r="L221" s="39"/>
      <c r="M221" s="307">
        <f>'US CBAs'!$F$8</f>
        <v>500</v>
      </c>
      <c r="N221" s="302">
        <v>20</v>
      </c>
      <c r="O221" s="308">
        <f>(M221*N221)</f>
        <v>10000</v>
      </c>
      <c r="P221" s="307"/>
      <c r="Q221" s="308">
        <f>O221+P221</f>
        <v>10000</v>
      </c>
      <c r="S221" s="322" t="s">
        <v>336</v>
      </c>
      <c r="T221" s="325">
        <f>'US CBAs'!$F$17</f>
        <v>15000</v>
      </c>
      <c r="U221" s="326">
        <v>20</v>
      </c>
      <c r="V221" s="252">
        <f>T221*U221</f>
        <v>300000</v>
      </c>
    </row>
    <row r="222" spans="1:24" x14ac:dyDescent="0.35">
      <c r="A222" s="289" t="s">
        <v>24</v>
      </c>
      <c r="B222" s="289"/>
      <c r="C222" s="289"/>
      <c r="D222" s="289"/>
      <c r="E222" s="289"/>
      <c r="F222" s="289"/>
      <c r="G222" s="289"/>
      <c r="H222" s="319"/>
      <c r="I222" s="303"/>
      <c r="J222" s="319"/>
      <c r="K222" s="320"/>
      <c r="L222" s="319"/>
      <c r="M222" s="320"/>
      <c r="N222" s="319"/>
      <c r="O222" s="298">
        <f>SUBTOTAL(109,Table13[Game pay])</f>
        <v>2163850</v>
      </c>
      <c r="P222" s="208">
        <f>SUBTOTAL(109,Table13[Att bonus])</f>
        <v>346703.99999999994</v>
      </c>
      <c r="Q222" s="298">
        <f>SUBTOTAL(109,Table13[TEAM PAY])</f>
        <v>2510554</v>
      </c>
      <c r="S222" s="253" t="s">
        <v>444</v>
      </c>
      <c r="T222" s="325"/>
      <c r="U222" s="326"/>
      <c r="V222" s="257">
        <f>V193+V221</f>
        <v>585000</v>
      </c>
    </row>
    <row r="223" spans="1:24" x14ac:dyDescent="0.35">
      <c r="A223" s="289"/>
      <c r="B223" s="290"/>
      <c r="C223" s="290"/>
      <c r="D223" s="289"/>
      <c r="E223" s="289"/>
      <c r="F223" s="289"/>
      <c r="G223" s="289"/>
      <c r="H223" s="289"/>
      <c r="I223" s="291"/>
      <c r="J223" s="289"/>
      <c r="K223" s="289"/>
      <c r="L223" s="289"/>
      <c r="M223" s="292"/>
      <c r="N223" s="39"/>
      <c r="O223" s="39"/>
      <c r="P223" s="293" t="s">
        <v>398</v>
      </c>
      <c r="Q223" s="294">
        <f>$V222</f>
        <v>585000</v>
      </c>
      <c r="S223" s="326"/>
      <c r="T223" s="252"/>
      <c r="X223" s="171"/>
    </row>
    <row r="224" spans="1:24" x14ac:dyDescent="0.35">
      <c r="A224" s="289"/>
      <c r="B224" s="290"/>
      <c r="C224" s="290"/>
      <c r="D224" s="289"/>
      <c r="E224" s="289"/>
      <c r="F224" s="289"/>
      <c r="G224" s="289"/>
      <c r="H224" s="289"/>
      <c r="I224" s="291"/>
      <c r="J224" s="289"/>
      <c r="K224" s="289"/>
      <c r="L224" s="289"/>
      <c r="M224" s="292"/>
      <c r="N224" s="39"/>
      <c r="O224" s="39"/>
      <c r="P224" s="295" t="s">
        <v>90</v>
      </c>
      <c r="Q224" s="296">
        <f>Q222+Q223</f>
        <v>3095554</v>
      </c>
      <c r="S224" s="326"/>
      <c r="T224" s="252"/>
      <c r="X224" s="171"/>
    </row>
    <row r="225" spans="1:22" x14ac:dyDescent="0.35">
      <c r="A225" s="40"/>
      <c r="B225" s="40"/>
      <c r="C225" s="40"/>
      <c r="D225" s="40"/>
      <c r="E225" s="40"/>
      <c r="F225" s="40"/>
      <c r="G225" s="40"/>
      <c r="H225" s="40"/>
      <c r="I225" s="48"/>
      <c r="J225" s="40"/>
    </row>
    <row r="226" spans="1:22" x14ac:dyDescent="0.35">
      <c r="A226" s="53" t="s">
        <v>249</v>
      </c>
      <c r="B226" s="65" t="s">
        <v>248</v>
      </c>
      <c r="C226" s="65" t="s">
        <v>247</v>
      </c>
      <c r="D226" s="53" t="s">
        <v>15</v>
      </c>
      <c r="E226" s="53" t="s">
        <v>194</v>
      </c>
      <c r="F226" s="53" t="s">
        <v>246</v>
      </c>
      <c r="G226" s="53" t="s">
        <v>16</v>
      </c>
      <c r="H226" s="53" t="s">
        <v>245</v>
      </c>
      <c r="I226" s="64" t="s">
        <v>14</v>
      </c>
      <c r="J226" s="47" t="s">
        <v>244</v>
      </c>
      <c r="K226" s="231" t="s">
        <v>426</v>
      </c>
      <c r="L226" s="47" t="s">
        <v>17</v>
      </c>
      <c r="M226" s="231" t="s">
        <v>427</v>
      </c>
      <c r="N226" s="47" t="s">
        <v>430</v>
      </c>
      <c r="O226" s="47" t="s">
        <v>219</v>
      </c>
      <c r="P226" s="316" t="s">
        <v>242</v>
      </c>
      <c r="Q226" s="47" t="s">
        <v>241</v>
      </c>
      <c r="S226" s="47" t="s">
        <v>388</v>
      </c>
      <c r="T226" s="47"/>
      <c r="U226" s="47"/>
      <c r="V226" s="692" t="s">
        <v>91</v>
      </c>
    </row>
    <row r="227" spans="1:22" x14ac:dyDescent="0.35">
      <c r="A227" s="40" t="s">
        <v>221</v>
      </c>
      <c r="B227" s="40">
        <v>1</v>
      </c>
      <c r="C227" s="40">
        <v>2017</v>
      </c>
      <c r="D227" s="40" t="s">
        <v>27</v>
      </c>
      <c r="E227" s="40" t="s">
        <v>220</v>
      </c>
      <c r="F227" s="40" t="s">
        <v>28</v>
      </c>
      <c r="G227" s="40" t="s">
        <v>20</v>
      </c>
      <c r="H227" s="40" t="s">
        <v>484</v>
      </c>
      <c r="I227" s="48">
        <v>16318</v>
      </c>
      <c r="J227" s="40"/>
      <c r="K227" s="270">
        <f>IF(G227="L",0,
IF(AND(E227="Friendly",F227="T1",G227="W"),'US CBAs'!$J$19,
IF(AND(E227="Friendly",F227="T2",G227="W"),'US CBAs'!$J$20,
IF(AND(E227="Friendly",F227="",G227="W"),'US CBAs'!$J$21,
IF(AND(E227="Friendly",F227="T1",G227="D"),'US CBAs'!$J$22,
IF(AND(E227="Friendly",F227="",G227="D"),'US CBAs'!$J$23,
IF(AND(E227="WC qual",G227="W"),'US CBAs'!$J$27,
IF(AND(E227="WC qual",G227="D"),0,
IF(AND(E227="Oly qual",G227="W"),'US CBAs'!$J$27,
IF(AND(E227="Oly qual",G227="D"),0,
IF(E227="Olympics",0,
IF(E227="World Cup",'US CBAs'!$J$14,
0))))))))))))</f>
        <v>8500</v>
      </c>
      <c r="L227" s="40">
        <v>20</v>
      </c>
      <c r="M227" s="270">
        <f>$K227+'US CBAs'!$J$13</f>
        <v>12250</v>
      </c>
      <c r="N227" s="40">
        <v>3</v>
      </c>
      <c r="O227" s="304">
        <f>(K227*L227)+(M227*N227)</f>
        <v>206750</v>
      </c>
      <c r="P227" s="317">
        <f>IF(J227="",I227*'US CBAs'!$K$55,0)</f>
        <v>24477</v>
      </c>
      <c r="Q227" s="305">
        <f>O227+P227</f>
        <v>231227</v>
      </c>
      <c r="S227" s="434" t="s">
        <v>457</v>
      </c>
      <c r="V227" s="203">
        <f>'US CBAs'!$G$52</f>
        <v>425000</v>
      </c>
    </row>
    <row r="228" spans="1:22" x14ac:dyDescent="0.35">
      <c r="A228" s="40" t="s">
        <v>221</v>
      </c>
      <c r="B228" s="40">
        <v>4</v>
      </c>
      <c r="C228" s="40">
        <v>2017</v>
      </c>
      <c r="D228" s="40" t="s">
        <v>61</v>
      </c>
      <c r="E228" s="40" t="s">
        <v>220</v>
      </c>
      <c r="F228" s="40" t="s">
        <v>31</v>
      </c>
      <c r="G228" s="40" t="s">
        <v>33</v>
      </c>
      <c r="H228" s="40" t="s">
        <v>485</v>
      </c>
      <c r="I228" s="48">
        <v>26500</v>
      </c>
      <c r="J228" s="40"/>
      <c r="K228" s="270">
        <f>IF(G228="L",0,
IF(AND(E228="Friendly",F228="T1",G228="W"),'US CBAs'!$J$19,
IF(AND(E228="Friendly",F228="T2",G228="W"),'US CBAs'!$J$20,
IF(AND(E228="Friendly",F228="",G228="W"),'US CBAs'!$J$21,
IF(AND(E228="Friendly",F228="T1",G228="D"),'US CBAs'!$J$22,
IF(AND(E228="Friendly",F228="",G228="D"),'US CBAs'!$J$23,
IF(AND(E228="WC qual",G228="W"),'US CBAs'!$J$27,
IF(AND(E228="WC qual",G228="D"),0,
IF(AND(E228="Oly qual",G228="W"),'US CBAs'!$J$27,
IF(AND(E228="Oly qual",G228="D"),0,
IF(E228="Olympics",0,
IF(E228="World Cup",'US CBAs'!$J$14,
0))))))))))))</f>
        <v>0</v>
      </c>
      <c r="L228" s="40">
        <v>20</v>
      </c>
      <c r="M228" s="270">
        <f>$K228+'US CBAs'!$J$13</f>
        <v>3750</v>
      </c>
      <c r="N228" s="40">
        <v>3</v>
      </c>
      <c r="O228" s="304">
        <f t="shared" ref="O228:O242" si="14">(K228*L228)+(M228*N228)</f>
        <v>11250</v>
      </c>
      <c r="P228" s="317">
        <f>IF(J228="",I228*'US CBAs'!$K$55,0)</f>
        <v>39750</v>
      </c>
      <c r="Q228" s="305">
        <f t="shared" ref="Q228:Q242" si="15">O228+P228</f>
        <v>51000</v>
      </c>
    </row>
    <row r="229" spans="1:22" x14ac:dyDescent="0.35">
      <c r="A229" s="40" t="s">
        <v>221</v>
      </c>
      <c r="B229" s="40">
        <v>7</v>
      </c>
      <c r="C229" s="40">
        <v>2017</v>
      </c>
      <c r="D229" s="40" t="s">
        <v>53</v>
      </c>
      <c r="E229" s="40" t="s">
        <v>220</v>
      </c>
      <c r="F229" s="40" t="s">
        <v>28</v>
      </c>
      <c r="G229" s="40" t="s">
        <v>33</v>
      </c>
      <c r="H229" s="40" t="s">
        <v>491</v>
      </c>
      <c r="I229" s="48">
        <v>21638</v>
      </c>
      <c r="J229" s="40"/>
      <c r="K229" s="270">
        <f>IF(G229="L",0,
IF(AND(E229="Friendly",F229="T1",G229="W"),'US CBAs'!$J$19,
IF(AND(E229="Friendly",F229="T2",G229="W"),'US CBAs'!$J$20,
IF(AND(E229="Friendly",F229="",G229="W"),'US CBAs'!$J$21,
IF(AND(E229="Friendly",F229="T1",G229="D"),'US CBAs'!$J$22,
IF(AND(E229="Friendly",F229="",G229="D"),'US CBAs'!$J$23,
IF(AND(E229="WC qual",G229="W"),'US CBAs'!$J$27,
IF(AND(E229="WC qual",G229="D"),0,
IF(AND(E229="Oly qual",G229="W"),'US CBAs'!$J$27,
IF(AND(E229="Oly qual",G229="D"),0,
IF(E229="Olympics",0,
IF(E229="World Cup",'US CBAs'!$J$14,
0))))))))))))</f>
        <v>0</v>
      </c>
      <c r="L229" s="40">
        <v>20</v>
      </c>
      <c r="M229" s="270">
        <f>$K229+'US CBAs'!$J$13</f>
        <v>3750</v>
      </c>
      <c r="N229" s="40">
        <v>3</v>
      </c>
      <c r="O229" s="304">
        <f t="shared" si="14"/>
        <v>11250</v>
      </c>
      <c r="P229" s="317">
        <f>IF(J229="",I229*'US CBAs'!$K$55,0)</f>
        <v>32457</v>
      </c>
      <c r="Q229" s="305">
        <f t="shared" si="15"/>
        <v>43707</v>
      </c>
    </row>
    <row r="230" spans="1:22" x14ac:dyDescent="0.35">
      <c r="A230" s="40" t="s">
        <v>240</v>
      </c>
      <c r="B230" s="40">
        <v>6</v>
      </c>
      <c r="C230" s="40">
        <v>2017</v>
      </c>
      <c r="D230" s="40" t="s">
        <v>49</v>
      </c>
      <c r="E230" s="40" t="s">
        <v>220</v>
      </c>
      <c r="F230" s="40"/>
      <c r="G230" s="40" t="s">
        <v>20</v>
      </c>
      <c r="H230" s="40" t="s">
        <v>492</v>
      </c>
      <c r="I230" s="48">
        <v>15191</v>
      </c>
      <c r="J230" s="40"/>
      <c r="K230" s="270">
        <f>IF(G230="L",0,
IF(AND(E230="Friendly",F230="T1",G230="W"),'US CBAs'!$J$19,
IF(AND(E230="Friendly",F230="T2",G230="W"),'US CBAs'!$J$20,
IF(AND(E230="Friendly",F230="",G230="W"),'US CBAs'!$J$21,
IF(AND(E230="Friendly",F230="T1",G230="D"),'US CBAs'!$J$22,
IF(AND(E230="Friendly",F230="",G230="D"),'US CBAs'!$J$23,
IF(AND(E230="WC qual",G230="W"),'US CBAs'!$J$27,
IF(AND(E230="WC qual",G230="D"),0,
IF(AND(E230="Oly qual",G230="W"),'US CBAs'!$J$27,
IF(AND(E230="Oly qual",G230="D"),0,
IF(E230="Olympics",0,
IF(E230="World Cup",'US CBAs'!$J$14,
0))))))))))))</f>
        <v>5250</v>
      </c>
      <c r="L230" s="40">
        <v>16</v>
      </c>
      <c r="M230" s="270">
        <f>$K230+'US CBAs'!$J$13</f>
        <v>9000</v>
      </c>
      <c r="N230" s="40">
        <v>2</v>
      </c>
      <c r="O230" s="304">
        <f t="shared" si="14"/>
        <v>102000</v>
      </c>
      <c r="P230" s="317">
        <f>IF(J230="",I230*'US CBAs'!$K$55,0)</f>
        <v>22786.5</v>
      </c>
      <c r="Q230" s="305">
        <f t="shared" si="15"/>
        <v>124786.5</v>
      </c>
    </row>
    <row r="231" spans="1:22" x14ac:dyDescent="0.35">
      <c r="A231" s="40" t="s">
        <v>240</v>
      </c>
      <c r="B231" s="40">
        <v>9</v>
      </c>
      <c r="C231" s="40">
        <v>2017</v>
      </c>
      <c r="D231" s="40" t="s">
        <v>49</v>
      </c>
      <c r="E231" s="40" t="s">
        <v>220</v>
      </c>
      <c r="F231" s="40"/>
      <c r="G231" s="40" t="s">
        <v>20</v>
      </c>
      <c r="H231" s="40" t="s">
        <v>492</v>
      </c>
      <c r="I231" s="48">
        <v>11347</v>
      </c>
      <c r="J231" s="40"/>
      <c r="K231" s="270">
        <f>IF(G231="L",0,
IF(AND(E231="Friendly",F231="T1",G231="W"),'US CBAs'!$J$19,
IF(AND(E231="Friendly",F231="T2",G231="W"),'US CBAs'!$J$20,
IF(AND(E231="Friendly",F231="",G231="W"),'US CBAs'!$J$21,
IF(AND(E231="Friendly",F231="T1",G231="D"),'US CBAs'!$J$22,
IF(AND(E231="Friendly",F231="",G231="D"),'US CBAs'!$J$23,
IF(AND(E231="WC qual",G231="W"),'US CBAs'!$J$27,
IF(AND(E231="WC qual",G231="D"),0,
IF(AND(E231="Oly qual",G231="W"),'US CBAs'!$J$27,
IF(AND(E231="Oly qual",G231="D"),0,
IF(E231="Olympics",0,
IF(E231="World Cup",'US CBAs'!$J$14,
0))))))))))))</f>
        <v>5250</v>
      </c>
      <c r="L231" s="40">
        <v>16</v>
      </c>
      <c r="M231" s="270">
        <f>$K231+'US CBAs'!$J$13</f>
        <v>9000</v>
      </c>
      <c r="N231" s="40">
        <v>2</v>
      </c>
      <c r="O231" s="304">
        <f t="shared" si="14"/>
        <v>102000</v>
      </c>
      <c r="P231" s="317">
        <f>IF(J231="",I231*'US CBAs'!$K$55,0)</f>
        <v>17020.5</v>
      </c>
      <c r="Q231" s="305">
        <f t="shared" si="15"/>
        <v>119020.5</v>
      </c>
    </row>
    <row r="232" spans="1:22" x14ac:dyDescent="0.35">
      <c r="A232" s="40" t="s">
        <v>223</v>
      </c>
      <c r="B232" s="40">
        <v>8</v>
      </c>
      <c r="C232" s="40">
        <v>2017</v>
      </c>
      <c r="D232" s="40" t="s">
        <v>26</v>
      </c>
      <c r="E232" s="40" t="s">
        <v>220</v>
      </c>
      <c r="F232" s="40"/>
      <c r="G232" s="40" t="s">
        <v>20</v>
      </c>
      <c r="H232" s="40" t="s">
        <v>26</v>
      </c>
      <c r="I232" s="48">
        <v>10011</v>
      </c>
      <c r="J232" s="40" t="s">
        <v>218</v>
      </c>
      <c r="K232" s="270">
        <f>IF(G232="L",0,
IF(AND(E232="Friendly",F232="T1",G232="W"),'US CBAs'!$J$19,
IF(AND(E232="Friendly",F232="T2",G232="W"),'US CBAs'!$J$20,
IF(AND(E232="Friendly",F232="",G232="W"),'US CBAs'!$J$21,
IF(AND(E232="Friendly",F232="T1",G232="D"),'US CBAs'!$J$22,
IF(AND(E232="Friendly",F232="",G232="D"),'US CBAs'!$J$23,
IF(AND(E232="WC qual",G232="W"),'US CBAs'!$J$27,
IF(AND(E232="WC qual",G232="D"),0,
IF(AND(E232="Oly qual",G232="W"),'US CBAs'!$J$27,
IF(AND(E232="Oly qual",G232="D"),0,
IF(E232="Olympics",0,
IF(E232="World Cup",'US CBAs'!$J$14,
0))))))))))))</f>
        <v>5250</v>
      </c>
      <c r="L232" s="40">
        <v>16</v>
      </c>
      <c r="M232" s="270">
        <f>$K232+'US CBAs'!$J$13</f>
        <v>9000</v>
      </c>
      <c r="N232" s="40">
        <v>2</v>
      </c>
      <c r="O232" s="304">
        <f t="shared" si="14"/>
        <v>102000</v>
      </c>
      <c r="P232" s="317">
        <f>IF(J232="",I232*'US CBAs'!$K$55,0)</f>
        <v>0</v>
      </c>
      <c r="Q232" s="305">
        <f t="shared" si="15"/>
        <v>102000</v>
      </c>
    </row>
    <row r="233" spans="1:22" x14ac:dyDescent="0.35">
      <c r="A233" s="40" t="s">
        <v>223</v>
      </c>
      <c r="B233" s="40">
        <v>11</v>
      </c>
      <c r="C233" s="40">
        <v>2017</v>
      </c>
      <c r="D233" s="40" t="s">
        <v>62</v>
      </c>
      <c r="E233" s="40" t="s">
        <v>220</v>
      </c>
      <c r="F233" s="40"/>
      <c r="G233" s="40" t="s">
        <v>20</v>
      </c>
      <c r="H233" s="40" t="s">
        <v>62</v>
      </c>
      <c r="I233" s="48">
        <v>3866</v>
      </c>
      <c r="J233" s="40" t="s">
        <v>218</v>
      </c>
      <c r="K233" s="270">
        <f>IF(G233="L",0,
IF(AND(E233="Friendly",F233="T1",G233="W"),'US CBAs'!$J$19,
IF(AND(E233="Friendly",F233="T2",G233="W"),'US CBAs'!$J$20,
IF(AND(E233="Friendly",F233="",G233="W"),'US CBAs'!$J$21,
IF(AND(E233="Friendly",F233="T1",G233="D"),'US CBAs'!$J$22,
IF(AND(E233="Friendly",F233="",G233="D"),'US CBAs'!$J$23,
IF(AND(E233="WC qual",G233="W"),'US CBAs'!$J$27,
IF(AND(E233="WC qual",G233="D"),0,
IF(AND(E233="Oly qual",G233="W"),'US CBAs'!$J$27,
IF(AND(E233="Oly qual",G233="D"),0,
IF(E233="Olympics",0,
IF(E233="World Cup",'US CBAs'!$J$14,
0))))))))))))</f>
        <v>5250</v>
      </c>
      <c r="L233" s="40">
        <v>16</v>
      </c>
      <c r="M233" s="270">
        <f>$K233+'US CBAs'!$J$13</f>
        <v>9000</v>
      </c>
      <c r="N233" s="40">
        <v>2</v>
      </c>
      <c r="O233" s="304">
        <f t="shared" si="14"/>
        <v>102000</v>
      </c>
      <c r="P233" s="317">
        <f>IF(J233="",I233*'US CBAs'!$K$55,0)</f>
        <v>0</v>
      </c>
      <c r="Q233" s="305">
        <f t="shared" si="15"/>
        <v>102000</v>
      </c>
    </row>
    <row r="234" spans="1:22" x14ac:dyDescent="0.35">
      <c r="A234" s="40" t="s">
        <v>230</v>
      </c>
      <c r="B234" s="40">
        <v>27</v>
      </c>
      <c r="C234" s="40">
        <v>2017</v>
      </c>
      <c r="D234" s="40" t="s">
        <v>37</v>
      </c>
      <c r="E234" s="40" t="s">
        <v>220</v>
      </c>
      <c r="F234" s="40" t="s">
        <v>31</v>
      </c>
      <c r="G234" s="40" t="s">
        <v>33</v>
      </c>
      <c r="H234" s="40" t="s">
        <v>497</v>
      </c>
      <c r="I234" s="48">
        <v>15748</v>
      </c>
      <c r="J234" s="40"/>
      <c r="K234" s="270">
        <f>IF(G234="L",0,
IF(AND(E234="Friendly",F234="T1",G234="W"),'US CBAs'!$J$19,
IF(AND(E234="Friendly",F234="T2",G234="W"),'US CBAs'!$J$20,
IF(AND(E234="Friendly",F234="",G234="W"),'US CBAs'!$J$21,
IF(AND(E234="Friendly",F234="T1",G234="D"),'US CBAs'!$J$22,
IF(AND(E234="Friendly",F234="",G234="D"),'US CBAs'!$J$23,
IF(AND(E234="WC qual",G234="W"),'US CBAs'!$J$27,
IF(AND(E234="WC qual",G234="D"),0,
IF(AND(E234="Oly qual",G234="W"),'US CBAs'!$J$27,
IF(AND(E234="Oly qual",G234="D"),0,
IF(E234="Olympics",0,
IF(E234="World Cup",'US CBAs'!$J$14,
0))))))))))))</f>
        <v>0</v>
      </c>
      <c r="L234" s="40">
        <v>17</v>
      </c>
      <c r="M234" s="270">
        <f>$K234+'US CBAs'!$J$13</f>
        <v>3750</v>
      </c>
      <c r="N234" s="40">
        <v>6</v>
      </c>
      <c r="O234" s="304">
        <f t="shared" si="14"/>
        <v>22500</v>
      </c>
      <c r="P234" s="317">
        <f>IF(J234="",I234*'US CBAs'!$K$55,0)</f>
        <v>23622</v>
      </c>
      <c r="Q234" s="305">
        <f t="shared" si="15"/>
        <v>46122</v>
      </c>
    </row>
    <row r="235" spans="1:22" x14ac:dyDescent="0.35">
      <c r="A235" s="40" t="s">
        <v>230</v>
      </c>
      <c r="B235" s="40">
        <v>30</v>
      </c>
      <c r="C235" s="40">
        <v>2017</v>
      </c>
      <c r="D235" s="40" t="s">
        <v>41</v>
      </c>
      <c r="E235" s="40" t="s">
        <v>220</v>
      </c>
      <c r="F235" s="40"/>
      <c r="G235" s="40" t="s">
        <v>20</v>
      </c>
      <c r="H235" s="40" t="s">
        <v>481</v>
      </c>
      <c r="I235" s="48">
        <v>21096</v>
      </c>
      <c r="K235" s="270">
        <f>IF(G235="L",0,
IF(AND(E235="Friendly",F235="T1",G235="W"),'US CBAs'!$J$19,
IF(AND(E235="Friendly",F235="T2",G235="W"),'US CBAs'!$J$20,
IF(AND(E235="Friendly",F235="",G235="W"),'US CBAs'!$J$21,
IF(AND(E235="Friendly",F235="T1",G235="D"),'US CBAs'!$J$22,
IF(AND(E235="Friendly",F235="",G235="D"),'US CBAs'!$J$23,
IF(AND(E235="WC qual",G235="W"),'US CBAs'!$J$27,
IF(AND(E235="WC qual",G235="D"),0,
IF(AND(E235="Oly qual",G235="W"),'US CBAs'!$J$27,
IF(AND(E235="Oly qual",G235="D"),0,
IF(E235="Olympics",0,
IF(E235="World Cup",'US CBAs'!$J$14,
0))))))))))))</f>
        <v>5250</v>
      </c>
      <c r="L235" s="40">
        <v>17</v>
      </c>
      <c r="M235" s="270">
        <f>$K235+'US CBAs'!$J$13</f>
        <v>9000</v>
      </c>
      <c r="N235" s="40">
        <v>6</v>
      </c>
      <c r="O235" s="304">
        <f t="shared" si="14"/>
        <v>143250</v>
      </c>
      <c r="P235" s="317">
        <f>IF(J235="",I235*'US CBAs'!$K$55,0)</f>
        <v>31644</v>
      </c>
      <c r="Q235" s="305">
        <f t="shared" si="15"/>
        <v>174894</v>
      </c>
      <c r="S235" s="280" t="s">
        <v>411</v>
      </c>
      <c r="T235" s="327"/>
    </row>
    <row r="236" spans="1:22" x14ac:dyDescent="0.35">
      <c r="A236" s="40" t="s">
        <v>203</v>
      </c>
      <c r="B236" s="40">
        <v>3</v>
      </c>
      <c r="C236" s="40">
        <v>2017</v>
      </c>
      <c r="D236" s="40" t="s">
        <v>50</v>
      </c>
      <c r="E236" s="40" t="s">
        <v>220</v>
      </c>
      <c r="F236" s="40"/>
      <c r="G236" s="40" t="s">
        <v>20</v>
      </c>
      <c r="H236" s="40" t="s">
        <v>481</v>
      </c>
      <c r="I236" s="48">
        <v>23161</v>
      </c>
      <c r="J236" s="40"/>
      <c r="K236" s="270">
        <f>IF(G236="L",0,
IF(AND(E236="Friendly",F236="T1",G236="W"),'US CBAs'!$J$19,
IF(AND(E236="Friendly",F236="T2",G236="W"),'US CBAs'!$J$20,
IF(AND(E236="Friendly",F236="",G236="W"),'US CBAs'!$J$21,
IF(AND(E236="Friendly",F236="T1",G236="D"),'US CBAs'!$J$22,
IF(AND(E236="Friendly",F236="",G236="D"),'US CBAs'!$J$23,
IF(AND(E236="WC qual",G236="W"),'US CBAs'!$J$27,
IF(AND(E236="WC qual",G236="D"),0,
IF(AND(E236="Oly qual",G236="W"),'US CBAs'!$J$27,
IF(AND(E236="Oly qual",G236="D"),0,
IF(E236="Olympics",0,
IF(E236="World Cup",'US CBAs'!$J$14,
0))))))))))))</f>
        <v>5250</v>
      </c>
      <c r="L236" s="40">
        <v>17</v>
      </c>
      <c r="M236" s="270">
        <f>$K236+'US CBAs'!$J$13</f>
        <v>9000</v>
      </c>
      <c r="N236" s="40">
        <v>6</v>
      </c>
      <c r="O236" s="304">
        <f t="shared" si="14"/>
        <v>143250</v>
      </c>
      <c r="P236" s="317">
        <f>IF(J236="",I236*'US CBAs'!$K$55,0)</f>
        <v>34741.5</v>
      </c>
      <c r="Q236" s="305">
        <f t="shared" si="15"/>
        <v>177991.5</v>
      </c>
      <c r="S236" s="282" t="s">
        <v>219</v>
      </c>
      <c r="T236" s="283">
        <f>SUM(O202:O221)+SUM(O227:O229)</f>
        <v>2133900</v>
      </c>
    </row>
    <row r="237" spans="1:22" x14ac:dyDescent="0.35">
      <c r="A237" s="40" t="s">
        <v>222</v>
      </c>
      <c r="B237" s="40">
        <v>15</v>
      </c>
      <c r="C237" s="40">
        <v>2017</v>
      </c>
      <c r="D237" s="40" t="s">
        <v>38</v>
      </c>
      <c r="E237" s="40" t="s">
        <v>220</v>
      </c>
      <c r="F237" s="40"/>
      <c r="G237" s="40" t="s">
        <v>20</v>
      </c>
      <c r="H237" s="40" t="s">
        <v>496</v>
      </c>
      <c r="I237" s="48">
        <v>17301</v>
      </c>
      <c r="J237" s="40"/>
      <c r="K237" s="270">
        <f>IF(G237="L",0,
IF(AND(E237="Friendly",F237="T1",G237="W"),'US CBAs'!$J$19,
IF(AND(E237="Friendly",F237="T2",G237="W"),'US CBAs'!$J$20,
IF(AND(E237="Friendly",F237="",G237="W"),'US CBAs'!$J$21,
IF(AND(E237="Friendly",F237="T1",G237="D"),'US CBAs'!$J$22,
IF(AND(E237="Friendly",F237="",G237="D"),'US CBAs'!$J$23,
IF(AND(E237="WC qual",G237="W"),'US CBAs'!$J$27,
IF(AND(E237="WC qual",G237="D"),0,
IF(AND(E237="Oly qual",G237="W"),'US CBAs'!$J$27,
IF(AND(E237="Oly qual",G237="D"),0,
IF(E237="Olympics",0,
IF(E237="World Cup",'US CBAs'!$J$14,
0))))))))))))</f>
        <v>5250</v>
      </c>
      <c r="L237" s="40">
        <v>14</v>
      </c>
      <c r="M237" s="270">
        <f>$K237+'US CBAs'!$J$13</f>
        <v>9000</v>
      </c>
      <c r="N237" s="40">
        <v>8</v>
      </c>
      <c r="O237" s="304">
        <f t="shared" si="14"/>
        <v>145500</v>
      </c>
      <c r="P237" s="317">
        <f>IF(J237="",I237*'US CBAs'!$K$55,0)</f>
        <v>25951.5</v>
      </c>
      <c r="Q237" s="305">
        <f t="shared" si="15"/>
        <v>171451.5</v>
      </c>
      <c r="S237" s="284" t="s">
        <v>394</v>
      </c>
      <c r="T237" s="283">
        <f>SUM(P202:P221)+SUM(P227:P229)</f>
        <v>353148</v>
      </c>
    </row>
    <row r="238" spans="1:22" x14ac:dyDescent="0.35">
      <c r="A238" s="40" t="s">
        <v>222</v>
      </c>
      <c r="B238" s="40">
        <v>19</v>
      </c>
      <c r="C238" s="40">
        <v>2017</v>
      </c>
      <c r="D238" s="40" t="s">
        <v>38</v>
      </c>
      <c r="E238" s="40" t="s">
        <v>220</v>
      </c>
      <c r="F238" s="40"/>
      <c r="G238" s="40" t="s">
        <v>20</v>
      </c>
      <c r="H238" s="40" t="s">
        <v>495</v>
      </c>
      <c r="I238" s="48">
        <v>30596</v>
      </c>
      <c r="J238" s="40"/>
      <c r="K238" s="270">
        <f>IF(G238="L",0,
IF(AND(E238="Friendly",F238="T1",G238="W"),'US CBAs'!$J$19,
IF(AND(E238="Friendly",F238="T2",G238="W"),'US CBAs'!$J$20,
IF(AND(E238="Friendly",F238="",G238="W"),'US CBAs'!$J$21,
IF(AND(E238="Friendly",F238="T1",G238="D"),'US CBAs'!$J$22,
IF(AND(E238="Friendly",F238="",G238="D"),'US CBAs'!$J$23,
IF(AND(E238="WC qual",G238="W"),'US CBAs'!$J$27,
IF(AND(E238="WC qual",G238="D"),0,
IF(AND(E238="Oly qual",G238="W"),'US CBAs'!$J$27,
IF(AND(E238="Oly qual",G238="D"),0,
IF(E238="Olympics",0,
IF(E238="World Cup",'US CBAs'!$J$14,
0))))))))))))</f>
        <v>5250</v>
      </c>
      <c r="L238" s="40">
        <v>14</v>
      </c>
      <c r="M238" s="270">
        <f>$K238+'US CBAs'!$J$13</f>
        <v>9000</v>
      </c>
      <c r="N238" s="40">
        <v>8</v>
      </c>
      <c r="O238" s="304">
        <f t="shared" si="14"/>
        <v>145500</v>
      </c>
      <c r="P238" s="317">
        <f>IF(J238="",I238*'US CBAs'!$K$55,0)</f>
        <v>45894</v>
      </c>
      <c r="Q238" s="305">
        <f t="shared" si="15"/>
        <v>191394</v>
      </c>
      <c r="S238" s="285" t="s">
        <v>395</v>
      </c>
      <c r="T238" s="286">
        <f>T236+T237</f>
        <v>2487048</v>
      </c>
    </row>
    <row r="239" spans="1:22" x14ac:dyDescent="0.35">
      <c r="A239" s="40" t="s">
        <v>189</v>
      </c>
      <c r="B239" s="40">
        <v>19</v>
      </c>
      <c r="C239" s="40">
        <v>2017</v>
      </c>
      <c r="D239" s="40" t="s">
        <v>34</v>
      </c>
      <c r="E239" s="40" t="s">
        <v>220</v>
      </c>
      <c r="F239" s="40"/>
      <c r="G239" s="40" t="s">
        <v>20</v>
      </c>
      <c r="H239" s="40" t="s">
        <v>505</v>
      </c>
      <c r="I239" s="48">
        <v>9371</v>
      </c>
      <c r="J239" s="40"/>
      <c r="K239" s="270">
        <f>IF(G239="L",0,
IF(AND(E239="Friendly",F239="T1",G239="W"),'US CBAs'!$J$19,
IF(AND(E239="Friendly",F239="T2",G239="W"),'US CBAs'!$J$20,
IF(AND(E239="Friendly",F239="",G239="W"),'US CBAs'!$J$21,
IF(AND(E239="Friendly",F239="T1",G239="D"),'US CBAs'!$J$22,
IF(AND(E239="Friendly",F239="",G239="D"),'US CBAs'!$J$23,
IF(AND(E239="WC qual",G239="W"),'US CBAs'!$J$27,
IF(AND(E239="WC qual",G239="D"),0,
IF(AND(E239="Oly qual",G239="W"),'US CBAs'!$J$27,
IF(AND(E239="Oly qual",G239="D"),0,
IF(E239="Olympics",0,
IF(E239="World Cup",'US CBAs'!$J$14,
0))))))))))))</f>
        <v>5250</v>
      </c>
      <c r="L239" s="40">
        <v>14</v>
      </c>
      <c r="M239" s="270">
        <f>$K239+'US CBAs'!$J$13</f>
        <v>9000</v>
      </c>
      <c r="N239" s="40">
        <v>3</v>
      </c>
      <c r="O239" s="304">
        <f t="shared" si="14"/>
        <v>100500</v>
      </c>
      <c r="P239" s="317">
        <f>IF(J239="",I239*'US CBAs'!$K$55,0)</f>
        <v>14056.5</v>
      </c>
      <c r="Q239" s="305">
        <f t="shared" si="15"/>
        <v>114556.5</v>
      </c>
      <c r="S239" s="285" t="s">
        <v>183</v>
      </c>
      <c r="T239" s="286">
        <f>$V221+$V227</f>
        <v>725000</v>
      </c>
    </row>
    <row r="240" spans="1:22" x14ac:dyDescent="0.35">
      <c r="A240" s="40" t="s">
        <v>189</v>
      </c>
      <c r="B240" s="40">
        <v>22</v>
      </c>
      <c r="C240" s="40">
        <v>2017</v>
      </c>
      <c r="D240" s="40" t="s">
        <v>34</v>
      </c>
      <c r="E240" s="40" t="s">
        <v>220</v>
      </c>
      <c r="F240" s="40"/>
      <c r="G240" s="40" t="s">
        <v>20</v>
      </c>
      <c r="H240" s="40" t="s">
        <v>502</v>
      </c>
      <c r="I240" s="48">
        <v>9727</v>
      </c>
      <c r="J240" s="40"/>
      <c r="K240" s="270">
        <f>IF(G240="L",0,
IF(AND(E240="Friendly",F240="T1",G240="W"),'US CBAs'!$J$19,
IF(AND(E240="Friendly",F240="T2",G240="W"),'US CBAs'!$J$20,
IF(AND(E240="Friendly",F240="",G240="W"),'US CBAs'!$J$21,
IF(AND(E240="Friendly",F240="T1",G240="D"),'US CBAs'!$J$22,
IF(AND(E240="Friendly",F240="",G240="D"),'US CBAs'!$J$23,
IF(AND(E240="WC qual",G240="W"),'US CBAs'!$J$27,
IF(AND(E240="WC qual",G240="D"),0,
IF(AND(E240="Oly qual",G240="W"),'US CBAs'!$J$27,
IF(AND(E240="Oly qual",G240="D"),0,
IF(E240="Olympics",0,
IF(E240="World Cup",'US CBAs'!$J$14,
0))))))))))))</f>
        <v>5250</v>
      </c>
      <c r="L240" s="40">
        <v>14</v>
      </c>
      <c r="M240" s="270">
        <f>$K240+'US CBAs'!$J$13</f>
        <v>9000</v>
      </c>
      <c r="N240" s="40">
        <v>4</v>
      </c>
      <c r="O240" s="304">
        <f t="shared" si="14"/>
        <v>109500</v>
      </c>
      <c r="P240" s="317">
        <f>IF(J240="",I240*'US CBAs'!$K$55,0)</f>
        <v>14590.5</v>
      </c>
      <c r="Q240" s="305">
        <f t="shared" si="15"/>
        <v>124090.5</v>
      </c>
      <c r="S240" s="287" t="s">
        <v>412</v>
      </c>
      <c r="T240" s="288">
        <f>T238+T239</f>
        <v>3212048</v>
      </c>
    </row>
    <row r="241" spans="1:24" x14ac:dyDescent="0.35">
      <c r="A241" s="40" t="s">
        <v>190</v>
      </c>
      <c r="B241" s="40">
        <v>9</v>
      </c>
      <c r="C241" s="40">
        <v>2017</v>
      </c>
      <c r="D241" s="40" t="s">
        <v>29</v>
      </c>
      <c r="E241" s="40" t="s">
        <v>220</v>
      </c>
      <c r="F241" s="40" t="s">
        <v>28</v>
      </c>
      <c r="G241" s="79" t="s">
        <v>83</v>
      </c>
      <c r="H241" s="40" t="s">
        <v>29</v>
      </c>
      <c r="I241" s="48">
        <v>28017</v>
      </c>
      <c r="J241" s="40" t="s">
        <v>218</v>
      </c>
      <c r="K241" s="270">
        <f>IF(G241="L",0,
IF(AND(E241="Friendly",F241="T1",G241="W"),'US CBAs'!$J$19,
IF(AND(E241="Friendly",F241="T2",G241="W"),'US CBAs'!$J$20,
IF(AND(E241="Friendly",F241="",G241="W"),'US CBAs'!$J$21,
IF(AND(E241="Friendly",F241="T1",G241="D"),'US CBAs'!$J$22,
IF(AND(E241="Friendly",F241="",G241="D"),'US CBAs'!$J$23,
IF(AND(E241="WC qual",G241="W"),'US CBAs'!$J$27,
IF(AND(E241="WC qual",G241="D"),0,
IF(AND(E241="Oly qual",G241="W"),'US CBAs'!$J$27,
IF(AND(E241="Oly qual",G241="D"),0,
IF(E241="Olympics",0,
IF(E241="World Cup",'US CBAs'!$J$14,
0))))))))))))</f>
        <v>1750</v>
      </c>
      <c r="L241" s="40">
        <v>15</v>
      </c>
      <c r="M241" s="270">
        <f>$K241+'US CBAs'!$J$13</f>
        <v>5500</v>
      </c>
      <c r="N241" s="40">
        <v>3</v>
      </c>
      <c r="O241" s="304">
        <f t="shared" si="14"/>
        <v>42750</v>
      </c>
      <c r="P241" s="317">
        <f>IF(J241="",I241*'US CBAs'!$K$55,0)</f>
        <v>0</v>
      </c>
      <c r="Q241" s="305">
        <f t="shared" si="15"/>
        <v>42750</v>
      </c>
    </row>
    <row r="242" spans="1:24" x14ac:dyDescent="0.35">
      <c r="A242" s="40" t="s">
        <v>190</v>
      </c>
      <c r="B242" s="40">
        <v>12</v>
      </c>
      <c r="C242" s="40">
        <v>2017</v>
      </c>
      <c r="D242" s="40" t="s">
        <v>29</v>
      </c>
      <c r="E242" s="40" t="s">
        <v>220</v>
      </c>
      <c r="F242" s="40" t="s">
        <v>28</v>
      </c>
      <c r="G242" s="40" t="s">
        <v>20</v>
      </c>
      <c r="H242" s="40" t="s">
        <v>481</v>
      </c>
      <c r="I242" s="48">
        <v>17960</v>
      </c>
      <c r="J242" s="40"/>
      <c r="K242" s="270">
        <f>IF(G242="L",0,
IF(AND(E242="Friendly",F242="T1",G242="W"),'US CBAs'!$J$19,
IF(AND(E242="Friendly",F242="T2",G242="W"),'US CBAs'!$J$20,
IF(AND(E242="Friendly",F242="",G242="W"),'US CBAs'!$J$21,
IF(AND(E242="Friendly",F242="T1",G242="D"),'US CBAs'!$J$22,
IF(AND(E242="Friendly",F242="",G242="D"),'US CBAs'!$J$23,
IF(AND(E242="WC qual",G242="W"),'US CBAs'!$J$27,
IF(AND(E242="WC qual",G242="D"),0,
IF(AND(E242="Oly qual",G242="W"),'US CBAs'!$J$27,
IF(AND(E242="Oly qual",G242="D"),0,
IF(E242="Olympics",0,
IF(E242="World Cup",'US CBAs'!$J$14,
0))))))))))))</f>
        <v>8500</v>
      </c>
      <c r="L242" s="40">
        <v>15</v>
      </c>
      <c r="M242" s="270">
        <f>$K242+'US CBAs'!$J$13</f>
        <v>12250</v>
      </c>
      <c r="N242" s="40">
        <v>3</v>
      </c>
      <c r="O242" s="304">
        <f t="shared" si="14"/>
        <v>164250</v>
      </c>
      <c r="P242" s="317">
        <f>IF(J242="",I242*'US CBAs'!$K$55,0)</f>
        <v>26940</v>
      </c>
      <c r="Q242" s="305">
        <f t="shared" si="15"/>
        <v>191190</v>
      </c>
    </row>
    <row r="243" spans="1:24" x14ac:dyDescent="0.35">
      <c r="A243" s="309"/>
      <c r="B243" s="309"/>
      <c r="C243" s="309"/>
      <c r="D243" s="309"/>
      <c r="E243" s="309"/>
      <c r="F243" s="309"/>
      <c r="G243" s="309"/>
      <c r="H243" s="309"/>
      <c r="I243" s="314" t="s">
        <v>0</v>
      </c>
      <c r="J243" s="309"/>
      <c r="K243" s="307">
        <v>100000</v>
      </c>
      <c r="L243" s="313">
        <v>20</v>
      </c>
      <c r="M243" s="228"/>
      <c r="N243" s="310"/>
      <c r="O243" s="312">
        <f>(K243*L243)+(M243*N243)</f>
        <v>2000000</v>
      </c>
      <c r="P243" s="317"/>
      <c r="Q243" s="311">
        <f>O243+P243</f>
        <v>2000000</v>
      </c>
    </row>
    <row r="244" spans="1:24" x14ac:dyDescent="0.35">
      <c r="A244" s="309"/>
      <c r="B244" s="309"/>
      <c r="C244" s="309"/>
      <c r="D244" s="309"/>
      <c r="E244" s="309"/>
      <c r="F244" s="309"/>
      <c r="G244" s="309"/>
      <c r="H244" s="309"/>
      <c r="I244" s="314" t="s">
        <v>435</v>
      </c>
      <c r="J244" s="309"/>
      <c r="K244" s="228">
        <f>IF(G244="L",0,
IF(AND(E244="Friendly",F244="T1",G244="W"),'US CBAs'!$J$19,
IF(AND(E244="Friendly",F244="T2",G244="W"),'US CBAs'!$J$20,
IF(AND(E244="Friendly",F244="",G244="W"),'US CBAs'!$J$21,
IF(AND(E244="Friendly",F244="T1",G244="D"),'US CBAs'!$J$22,
IF(AND(E244="Friendly",F244="",G244="D"),'US CBAs'!$J$23,
IF(AND(E244="WC qual",G244="W"),'US CBAs'!$J$27,
IF(AND(E244="WC qual",G244="D"),0,
IF(AND(E244="Oly qual",G244="W"),'US CBAs'!$J$27,
IF(AND(E244="Oly qual",G244="D"),0,
IF(E244="Olympics",0,
IF(E244="World Cup",'US CBAs'!$J$14,
0))))))))))))</f>
        <v>0</v>
      </c>
      <c r="L244" s="309"/>
      <c r="M244" s="307">
        <f>$K244+'US CBAs'!$J$13</f>
        <v>3750</v>
      </c>
      <c r="N244" s="381">
        <v>20</v>
      </c>
      <c r="O244" s="312">
        <f>(K244*L244)+(M244*N244)</f>
        <v>75000</v>
      </c>
      <c r="P244" s="382"/>
      <c r="Q244" s="311">
        <f>O244+P244</f>
        <v>75000</v>
      </c>
    </row>
    <row r="245" spans="1:24" x14ac:dyDescent="0.35">
      <c r="A245" s="289" t="s">
        <v>24</v>
      </c>
      <c r="B245" s="289"/>
      <c r="C245" s="289"/>
      <c r="D245" s="289"/>
      <c r="E245" s="289"/>
      <c r="F245" s="289"/>
      <c r="G245" s="289"/>
      <c r="H245" s="289"/>
      <c r="I245" s="289"/>
      <c r="J245" s="289"/>
      <c r="K245" s="291"/>
      <c r="L245" s="289"/>
      <c r="M245" s="291"/>
      <c r="N245" s="289"/>
      <c r="O245" s="321">
        <f>SUBTOTAL(109,Table1[Game pay])</f>
        <v>3729250</v>
      </c>
      <c r="P245" s="321">
        <f>SUBTOTAL(109,Table1[Att bonus])</f>
        <v>353931</v>
      </c>
      <c r="Q245" s="306">
        <f>SUBTOTAL(109,Table1[TEAM PAY])</f>
        <v>4083181</v>
      </c>
    </row>
    <row r="246" spans="1:24" x14ac:dyDescent="0.35">
      <c r="A246" s="289"/>
      <c r="B246" s="290"/>
      <c r="C246" s="290"/>
      <c r="D246" s="289"/>
      <c r="E246" s="289"/>
      <c r="F246" s="289"/>
      <c r="G246" s="289"/>
      <c r="H246" s="289"/>
      <c r="I246" s="291"/>
      <c r="J246" s="289"/>
      <c r="K246" s="289"/>
      <c r="L246" s="289"/>
      <c r="M246" s="292"/>
      <c r="N246" s="39"/>
      <c r="O246" s="39"/>
      <c r="P246" s="293" t="s">
        <v>398</v>
      </c>
      <c r="Q246" s="294">
        <f>$V227</f>
        <v>425000</v>
      </c>
      <c r="S246" s="326"/>
      <c r="T246" s="252"/>
      <c r="X246" s="171"/>
    </row>
    <row r="247" spans="1:24" x14ac:dyDescent="0.35">
      <c r="A247" s="289"/>
      <c r="B247" s="290"/>
      <c r="C247" s="290"/>
      <c r="D247" s="289"/>
      <c r="E247" s="289"/>
      <c r="F247" s="289"/>
      <c r="G247" s="289"/>
      <c r="H247" s="289"/>
      <c r="I247" s="291"/>
      <c r="J247" s="289"/>
      <c r="K247" s="289"/>
      <c r="L247" s="289"/>
      <c r="M247" s="292"/>
      <c r="N247" s="39"/>
      <c r="O247" s="39"/>
      <c r="P247" s="295" t="s">
        <v>90</v>
      </c>
      <c r="Q247" s="296">
        <f>Q245+Q246</f>
        <v>4508181</v>
      </c>
      <c r="S247" s="326"/>
      <c r="T247" s="252"/>
      <c r="X247" s="171"/>
    </row>
    <row r="248" spans="1:24" x14ac:dyDescent="0.35">
      <c r="A248" s="40"/>
      <c r="B248" s="40"/>
      <c r="C248" s="40"/>
      <c r="D248" s="40"/>
      <c r="E248" s="40"/>
      <c r="F248" s="40"/>
      <c r="G248" s="40"/>
      <c r="H248" s="40"/>
      <c r="I248" s="48"/>
      <c r="J248" s="40"/>
    </row>
    <row r="249" spans="1:24" x14ac:dyDescent="0.35">
      <c r="A249" s="53" t="s">
        <v>249</v>
      </c>
      <c r="B249" s="65" t="s">
        <v>248</v>
      </c>
      <c r="C249" s="65" t="s">
        <v>247</v>
      </c>
      <c r="D249" s="53" t="s">
        <v>15</v>
      </c>
      <c r="E249" s="53" t="s">
        <v>194</v>
      </c>
      <c r="F249" s="53" t="s">
        <v>246</v>
      </c>
      <c r="G249" s="53" t="s">
        <v>16</v>
      </c>
      <c r="H249" s="53" t="s">
        <v>245</v>
      </c>
      <c r="I249" s="64" t="s">
        <v>14</v>
      </c>
      <c r="J249" s="47" t="s">
        <v>244</v>
      </c>
      <c r="K249" s="231" t="s">
        <v>426</v>
      </c>
      <c r="L249" s="47" t="s">
        <v>17</v>
      </c>
      <c r="M249" s="231" t="s">
        <v>427</v>
      </c>
      <c r="N249" s="47" t="s">
        <v>430</v>
      </c>
      <c r="O249" s="47" t="s">
        <v>219</v>
      </c>
      <c r="P249" s="316" t="s">
        <v>242</v>
      </c>
      <c r="Q249" s="47" t="s">
        <v>241</v>
      </c>
      <c r="S249" s="39"/>
      <c r="T249" s="39"/>
    </row>
    <row r="250" spans="1:24" x14ac:dyDescent="0.35">
      <c r="A250" s="40" t="s">
        <v>191</v>
      </c>
      <c r="B250" s="40">
        <v>21</v>
      </c>
      <c r="C250" s="40">
        <v>2018</v>
      </c>
      <c r="D250" s="40" t="s">
        <v>51</v>
      </c>
      <c r="E250" s="40" t="s">
        <v>220</v>
      </c>
      <c r="F250" s="40"/>
      <c r="G250" s="40" t="s">
        <v>20</v>
      </c>
      <c r="H250" s="40" t="s">
        <v>481</v>
      </c>
      <c r="I250" s="48">
        <v>17526</v>
      </c>
      <c r="J250" s="40"/>
      <c r="K250" s="270">
        <f>IF(G250="L",0,
IF(AND(E250="Friendly",F250="T1",G250="W"),'US CBAs'!$J$19,
IF(AND(E250="Friendly",F250="T2",G250="W"),'US CBAs'!$J$20,
IF(AND(E250="Friendly",F250="",G250="W"),'US CBAs'!$J$21,
IF(AND(E250="Friendly",F250="T1",G250="D"),'US CBAs'!$J$22,
IF(AND(E250="Friendly",F250="",G250="D"),'US CBAs'!$J$23,
IF(AND(E250="WC qual",G250="W"),'US CBAs'!$J$27,
IF(AND(E250="WC qual",G250="D"),0,
IF(AND(E250="Oly qual",G250="W"),'US CBAs'!$J$27,
IF(AND(E250="Oly qual",G250="D"),0,
IF(E250="Olympics",0,
IF(E250="World Cup",'US CBAs'!$J$14,
0))))))))))))</f>
        <v>5250</v>
      </c>
      <c r="L250" s="40">
        <v>14</v>
      </c>
      <c r="M250" s="270">
        <f>$K250+'US CBAs'!$J$13</f>
        <v>9000</v>
      </c>
      <c r="N250" s="40">
        <v>3</v>
      </c>
      <c r="O250" s="60">
        <f>(K250*L250)+(M250*N250)</f>
        <v>100500</v>
      </c>
      <c r="P250" s="270">
        <f>IF(J250="",I250*'US CBAs'!$K$55,0)</f>
        <v>26289</v>
      </c>
      <c r="Q250" s="60">
        <f>O250+P250</f>
        <v>126789</v>
      </c>
      <c r="S250" s="47" t="s">
        <v>451</v>
      </c>
      <c r="T250" s="262" t="s">
        <v>6</v>
      </c>
      <c r="U250" s="262" t="s">
        <v>18</v>
      </c>
      <c r="V250" s="263" t="s">
        <v>91</v>
      </c>
    </row>
    <row r="251" spans="1:24" x14ac:dyDescent="0.35">
      <c r="A251" s="40" t="s">
        <v>221</v>
      </c>
      <c r="B251" s="40">
        <v>1</v>
      </c>
      <c r="C251" s="40">
        <v>2018</v>
      </c>
      <c r="D251" s="40" t="s">
        <v>27</v>
      </c>
      <c r="E251" s="40" t="s">
        <v>220</v>
      </c>
      <c r="F251" s="40" t="s">
        <v>28</v>
      </c>
      <c r="G251" s="40" t="s">
        <v>20</v>
      </c>
      <c r="H251" s="40" t="s">
        <v>495</v>
      </c>
      <c r="I251" s="48">
        <v>14591</v>
      </c>
      <c r="J251" s="40"/>
      <c r="K251" s="270">
        <f>IF(G251="L",0,
IF(AND(E251="Friendly",F251="T1",G251="W"),'US CBAs'!$J$19,
IF(AND(E251="Friendly",F251="T2",G251="W"),'US CBAs'!$J$20,
IF(AND(E251="Friendly",F251="",G251="W"),'US CBAs'!$J$21,
IF(AND(E251="Friendly",F251="T1",G251="D"),'US CBAs'!$J$22,
IF(AND(E251="Friendly",F251="",G251="D"),'US CBAs'!$J$23,
IF(AND(E251="WC qual",G251="W"),'US CBAs'!$J$27,
IF(AND(E251="WC qual",G251="D"),0,
IF(AND(E251="Oly qual",G251="W"),'US CBAs'!$J$27,
IF(AND(E251="Oly qual",G251="D"),0,
IF(E251="Olympics",0,
IF(E251="World Cup",'US CBAs'!$J$14,
0))))))))))))</f>
        <v>8500</v>
      </c>
      <c r="L251" s="40">
        <v>16</v>
      </c>
      <c r="M251" s="270">
        <f>$K251+'US CBAs'!$J$13</f>
        <v>12250</v>
      </c>
      <c r="N251" s="40">
        <v>6</v>
      </c>
      <c r="O251" s="60">
        <f t="shared" ref="O251:O269" si="16">(K251*L251)+(M251*N251)</f>
        <v>209500</v>
      </c>
      <c r="P251" s="270">
        <f>IF(J251="",I251*'US CBAs'!$K$55,0)</f>
        <v>21886.5</v>
      </c>
      <c r="Q251" s="60">
        <f t="shared" ref="Q251:Q270" si="17">O251+P251</f>
        <v>231386.5</v>
      </c>
      <c r="S251" s="79" t="s">
        <v>428</v>
      </c>
      <c r="T251" s="228">
        <f>'US CBAs'!$J$25</f>
        <v>5000</v>
      </c>
      <c r="U251" s="328">
        <v>22</v>
      </c>
      <c r="V251" s="252">
        <f>T251*U251</f>
        <v>110000</v>
      </c>
    </row>
    <row r="252" spans="1:24" x14ac:dyDescent="0.35">
      <c r="A252" s="40" t="s">
        <v>221</v>
      </c>
      <c r="B252" s="40">
        <v>4</v>
      </c>
      <c r="C252" s="40">
        <v>2018</v>
      </c>
      <c r="D252" s="40" t="s">
        <v>53</v>
      </c>
      <c r="E252" s="40" t="s">
        <v>220</v>
      </c>
      <c r="F252" s="40" t="s">
        <v>31</v>
      </c>
      <c r="G252" s="79" t="s">
        <v>83</v>
      </c>
      <c r="H252" s="40" t="s">
        <v>485</v>
      </c>
      <c r="I252" s="48">
        <v>25706</v>
      </c>
      <c r="J252" s="40"/>
      <c r="K252" s="270">
        <f>IF(G252="L",0,
IF(AND(E252="Friendly",F252="T1",G252="W"),'US CBAs'!$J$19,
IF(AND(E252="Friendly",F252="T2",G252="W"),'US CBAs'!$J$20,
IF(AND(E252="Friendly",F252="",G252="W"),'US CBAs'!$J$21,
IF(AND(E252="Friendly",F252="T1",G252="D"),'US CBAs'!$J$22,
IF(AND(E252="Friendly",F252="",G252="D"),'US CBAs'!$J$23,
IF(AND(E252="WC qual",G252="W"),'US CBAs'!$J$27,
IF(AND(E252="WC qual",G252="D"),0,
IF(AND(E252="Oly qual",G252="W"),'US CBAs'!$J$27,
IF(AND(E252="Oly qual",G252="D"),0,
IF(E252="Olympics",0,
IF(E252="World Cup",'US CBAs'!$J$14,
0))))))))))))</f>
        <v>0</v>
      </c>
      <c r="L252" s="40">
        <v>16</v>
      </c>
      <c r="M252" s="270">
        <f>$K252+'US CBAs'!$J$13</f>
        <v>3750</v>
      </c>
      <c r="N252" s="40">
        <v>6</v>
      </c>
      <c r="O252" s="60">
        <f t="shared" si="16"/>
        <v>22500</v>
      </c>
      <c r="P252" s="270">
        <f>IF(J252="",I252*'US CBAs'!$K$55,0)</f>
        <v>38559</v>
      </c>
      <c r="Q252" s="60">
        <f t="shared" si="17"/>
        <v>61059</v>
      </c>
      <c r="T252" s="39"/>
    </row>
    <row r="253" spans="1:24" x14ac:dyDescent="0.35">
      <c r="A253" s="40" t="s">
        <v>221</v>
      </c>
      <c r="B253" s="40">
        <v>7</v>
      </c>
      <c r="C253" s="40">
        <v>2018</v>
      </c>
      <c r="D253" s="40" t="s">
        <v>61</v>
      </c>
      <c r="E253" s="40" t="s">
        <v>220</v>
      </c>
      <c r="F253" s="40" t="s">
        <v>28</v>
      </c>
      <c r="G253" s="40" t="s">
        <v>20</v>
      </c>
      <c r="H253" s="79" t="s">
        <v>482</v>
      </c>
      <c r="I253" s="48">
        <v>12351</v>
      </c>
      <c r="J253" s="40"/>
      <c r="K253" s="270">
        <f>IF(G253="L",0,
IF(AND(E253="Friendly",F253="T1",G253="W"),'US CBAs'!$J$19,
IF(AND(E253="Friendly",F253="T2",G253="W"),'US CBAs'!$J$20,
IF(AND(E253="Friendly",F253="",G253="W"),'US CBAs'!$J$21,
IF(AND(E253="Friendly",F253="T1",G253="D"),'US CBAs'!$J$22,
IF(AND(E253="Friendly",F253="",G253="D"),'US CBAs'!$J$23,
IF(AND(E253="WC qual",G253="W"),'US CBAs'!$J$27,
IF(AND(E253="WC qual",G253="D"),0,
IF(AND(E253="Oly qual",G253="W"),'US CBAs'!$J$27,
IF(AND(E253="Oly qual",G253="D"),0,
IF(E253="Olympics",0,
IF(E253="World Cup",'US CBAs'!$J$14,
0))))))))))))</f>
        <v>8500</v>
      </c>
      <c r="L253" s="40">
        <v>16</v>
      </c>
      <c r="M253" s="270">
        <f>$K253+'US CBAs'!$J$13</f>
        <v>12250</v>
      </c>
      <c r="N253" s="40">
        <v>6</v>
      </c>
      <c r="O253" s="60">
        <f t="shared" si="16"/>
        <v>209500</v>
      </c>
      <c r="P253" s="270">
        <f>IF(J253="",I253*'US CBAs'!$K$55,0)</f>
        <v>18526.5</v>
      </c>
      <c r="Q253" s="60">
        <f t="shared" si="17"/>
        <v>228026.5</v>
      </c>
      <c r="S253" s="39"/>
      <c r="T253" s="39"/>
    </row>
    <row r="254" spans="1:24" x14ac:dyDescent="0.35">
      <c r="A254" s="40" t="s">
        <v>240</v>
      </c>
      <c r="B254" s="40">
        <v>5</v>
      </c>
      <c r="C254" s="40">
        <v>2018</v>
      </c>
      <c r="D254" s="40" t="s">
        <v>35</v>
      </c>
      <c r="E254" s="40" t="s">
        <v>220</v>
      </c>
      <c r="F254" s="40"/>
      <c r="G254" s="40" t="s">
        <v>20</v>
      </c>
      <c r="H254" s="79" t="s">
        <v>482</v>
      </c>
      <c r="I254" s="48">
        <v>14360</v>
      </c>
      <c r="J254" s="40"/>
      <c r="K254" s="270">
        <f>IF(G254="L",0,
IF(AND(E254="Friendly",F254="T1",G254="W"),'US CBAs'!$J$19,
IF(AND(E254="Friendly",F254="T2",G254="W"),'US CBAs'!$J$20,
IF(AND(E254="Friendly",F254="",G254="W"),'US CBAs'!$J$21,
IF(AND(E254="Friendly",F254="T1",G254="D"),'US CBAs'!$J$22,
IF(AND(E254="Friendly",F254="",G254="D"),'US CBAs'!$J$23,
IF(AND(E254="WC qual",G254="W"),'US CBAs'!$J$27,
IF(AND(E254="WC qual",G254="D"),0,
IF(AND(E254="Oly qual",G254="W"),'US CBAs'!$J$27,
IF(AND(E254="Oly qual",G254="D"),0,
IF(E254="Olympics",0,
IF(E254="World Cup",'US CBAs'!$J$14,
0))))))))))))</f>
        <v>5250</v>
      </c>
      <c r="L254" s="40">
        <v>15</v>
      </c>
      <c r="M254" s="270">
        <f>$K254+'US CBAs'!$J$13</f>
        <v>9000</v>
      </c>
      <c r="N254" s="40">
        <v>6</v>
      </c>
      <c r="O254" s="60">
        <f t="shared" si="16"/>
        <v>132750</v>
      </c>
      <c r="P254" s="270">
        <f>IF(J254="",I254*'US CBAs'!$K$55,0)</f>
        <v>21540</v>
      </c>
      <c r="Q254" s="60">
        <f t="shared" si="17"/>
        <v>154290</v>
      </c>
      <c r="S254" s="280" t="s">
        <v>413</v>
      </c>
      <c r="T254" s="327"/>
    </row>
    <row r="255" spans="1:24" x14ac:dyDescent="0.35">
      <c r="A255" s="40" t="s">
        <v>240</v>
      </c>
      <c r="B255" s="40">
        <v>8</v>
      </c>
      <c r="C255" s="40">
        <v>2018</v>
      </c>
      <c r="D255" s="40" t="s">
        <v>35</v>
      </c>
      <c r="E255" s="40" t="s">
        <v>220</v>
      </c>
      <c r="F255" s="40"/>
      <c r="G255" s="40" t="s">
        <v>20</v>
      </c>
      <c r="H255" s="40" t="s">
        <v>492</v>
      </c>
      <c r="I255" s="48">
        <v>15349</v>
      </c>
      <c r="J255" s="40"/>
      <c r="K255" s="270">
        <f>IF(G255="L",0,
IF(AND(E255="Friendly",F255="T1",G255="W"),'US CBAs'!$J$19,
IF(AND(E255="Friendly",F255="T2",G255="W"),'US CBAs'!$J$20,
IF(AND(E255="Friendly",F255="",G255="W"),'US CBAs'!$J$21,
IF(AND(E255="Friendly",F255="T1",G255="D"),'US CBAs'!$J$22,
IF(AND(E255="Friendly",F255="",G255="D"),'US CBAs'!$J$23,
IF(AND(E255="WC qual",G255="W"),'US CBAs'!$J$27,
IF(AND(E255="WC qual",G255="D"),0,
IF(AND(E255="Oly qual",G255="W"),'US CBAs'!$J$27,
IF(AND(E255="Oly qual",G255="D"),0,
IF(E255="Olympics",0,
IF(E255="World Cup",'US CBAs'!$J$14,
0))))))))))))</f>
        <v>5250</v>
      </c>
      <c r="L255" s="40">
        <v>15</v>
      </c>
      <c r="M255" s="270">
        <f>$K255+'US CBAs'!$J$13</f>
        <v>9000</v>
      </c>
      <c r="N255" s="40">
        <v>6</v>
      </c>
      <c r="O255" s="60">
        <f t="shared" si="16"/>
        <v>132750</v>
      </c>
      <c r="P255" s="270">
        <f>IF(J255="",I255*'US CBAs'!$K$55,0)</f>
        <v>23023.5</v>
      </c>
      <c r="Q255" s="60">
        <f t="shared" si="17"/>
        <v>155773.5</v>
      </c>
      <c r="S255" s="282" t="s">
        <v>219</v>
      </c>
      <c r="T255" s="283">
        <f>SUM($O$230:$O$244)+SUM($O$250:$O$253)</f>
        <v>4042000</v>
      </c>
    </row>
    <row r="256" spans="1:24" x14ac:dyDescent="0.35">
      <c r="A256" s="40" t="s">
        <v>223</v>
      </c>
      <c r="B256" s="40">
        <v>7</v>
      </c>
      <c r="C256" s="40">
        <v>2018</v>
      </c>
      <c r="D256" s="40" t="s">
        <v>25</v>
      </c>
      <c r="E256" s="40" t="s">
        <v>220</v>
      </c>
      <c r="F256" s="40"/>
      <c r="G256" s="40" t="s">
        <v>20</v>
      </c>
      <c r="H256" s="40" t="s">
        <v>498</v>
      </c>
      <c r="I256" s="48">
        <v>13230</v>
      </c>
      <c r="J256" s="40"/>
      <c r="K256" s="270">
        <f>IF(G256="L",0,
IF(AND(E256="Friendly",F256="T1",G256="W"),'US CBAs'!$J$19,
IF(AND(E256="Friendly",F256="T2",G256="W"),'US CBAs'!$J$20,
IF(AND(E256="Friendly",F256="",G256="W"),'US CBAs'!$J$21,
IF(AND(E256="Friendly",F256="T1",G256="D"),'US CBAs'!$J$22,
IF(AND(E256="Friendly",F256="",G256="D"),'US CBAs'!$J$23,
IF(AND(E256="WC qual",G256="W"),'US CBAs'!$J$27,
IF(AND(E256="WC qual",G256="D"),0,
IF(AND(E256="Oly qual",G256="W"),'US CBAs'!$J$27,
IF(AND(E256="Oly qual",G256="D"),0,
IF(E256="Olympics",0,
IF(E256="World Cup",'US CBAs'!$J$14,
0))))))))))))</f>
        <v>5250</v>
      </c>
      <c r="L256" s="40">
        <v>13</v>
      </c>
      <c r="M256" s="270">
        <f>$K256+'US CBAs'!$J$13</f>
        <v>9000</v>
      </c>
      <c r="N256" s="40">
        <v>9</v>
      </c>
      <c r="O256" s="60">
        <f t="shared" si="16"/>
        <v>149250</v>
      </c>
      <c r="P256" s="270">
        <f>IF(J256="",I256*'US CBAs'!$K$55,0)</f>
        <v>19845</v>
      </c>
      <c r="Q256" s="60">
        <f t="shared" si="17"/>
        <v>169095</v>
      </c>
      <c r="S256" s="284" t="s">
        <v>394</v>
      </c>
      <c r="T256" s="283">
        <f>SUM($P$230:$P$244)+SUM($P$250:$P$253)</f>
        <v>362508</v>
      </c>
    </row>
    <row r="257" spans="1:22" x14ac:dyDescent="0.35">
      <c r="A257" s="40" t="s">
        <v>223</v>
      </c>
      <c r="B257" s="40">
        <v>12</v>
      </c>
      <c r="C257" s="40">
        <v>2018</v>
      </c>
      <c r="D257" s="40" t="s">
        <v>25</v>
      </c>
      <c r="E257" s="40" t="s">
        <v>220</v>
      </c>
      <c r="F257" s="40"/>
      <c r="G257" s="40" t="s">
        <v>20</v>
      </c>
      <c r="H257" s="40" t="s">
        <v>495</v>
      </c>
      <c r="I257" s="48">
        <v>12335</v>
      </c>
      <c r="J257" s="40"/>
      <c r="K257" s="270">
        <f>IF(G257="L",0,
IF(AND(E257="Friendly",F257="T1",G257="W"),'US CBAs'!$J$19,
IF(AND(E257="Friendly",F257="T2",G257="W"),'US CBAs'!$J$20,
IF(AND(E257="Friendly",F257="",G257="W"),'US CBAs'!$J$21,
IF(AND(E257="Friendly",F257="T1",G257="D"),'US CBAs'!$J$22,
IF(AND(E257="Friendly",F257="",G257="D"),'US CBAs'!$J$23,
IF(AND(E257="WC qual",G257="W"),'US CBAs'!$J$27,
IF(AND(E257="WC qual",G257="D"),0,
IF(AND(E257="Oly qual",G257="W"),'US CBAs'!$J$27,
IF(AND(E257="Oly qual",G257="D"),0,
IF(E257="Olympics",0,
IF(E257="World Cup",'US CBAs'!$J$14,
0))))))))))))</f>
        <v>5250</v>
      </c>
      <c r="L257" s="40">
        <v>13</v>
      </c>
      <c r="M257" s="270">
        <f>$K257+'US CBAs'!$J$13</f>
        <v>9000</v>
      </c>
      <c r="N257" s="40">
        <v>9</v>
      </c>
      <c r="O257" s="60">
        <f t="shared" si="16"/>
        <v>149250</v>
      </c>
      <c r="P257" s="270">
        <f>IF(J257="",I257*'US CBAs'!$K$55,0)</f>
        <v>18502.5</v>
      </c>
      <c r="Q257" s="60">
        <f t="shared" si="17"/>
        <v>167752.5</v>
      </c>
      <c r="S257" s="285" t="s">
        <v>395</v>
      </c>
      <c r="T257" s="286">
        <f>$T$255+$T$256</f>
        <v>4404508</v>
      </c>
    </row>
    <row r="258" spans="1:22" x14ac:dyDescent="0.35">
      <c r="A258" s="40" t="s">
        <v>230</v>
      </c>
      <c r="B258" s="40">
        <v>26</v>
      </c>
      <c r="C258" s="40">
        <v>2018</v>
      </c>
      <c r="D258" s="40" t="s">
        <v>50</v>
      </c>
      <c r="E258" s="40" t="s">
        <v>220</v>
      </c>
      <c r="F258" s="40"/>
      <c r="G258" s="40" t="s">
        <v>20</v>
      </c>
      <c r="H258" s="40" t="s">
        <v>490</v>
      </c>
      <c r="I258" s="48">
        <v>18467</v>
      </c>
      <c r="J258" s="40"/>
      <c r="K258" s="270">
        <f>IF(G258="L",0,
IF(AND(E258="Friendly",F258="T1",G258="W"),'US CBAs'!$J$19,
IF(AND(E258="Friendly",F258="T2",G258="W"),'US CBAs'!$J$20,
IF(AND(E258="Friendly",F258="",G258="W"),'US CBAs'!$J$21,
IF(AND(E258="Friendly",F258="T1",G258="D"),'US CBAs'!$J$22,
IF(AND(E258="Friendly",F258="",G258="D"),'US CBAs'!$J$23,
IF(AND(E258="WC qual",G258="W"),'US CBAs'!$J$27,
IF(AND(E258="WC qual",G258="D"),0,
IF(AND(E258="Oly qual",G258="W"),'US CBAs'!$J$27,
IF(AND(E258="Oly qual",G258="D"),0,
IF(E258="Olympics",0,
IF(E258="World Cup",'US CBAs'!$J$14,
0))))))))))))</f>
        <v>5250</v>
      </c>
      <c r="L258" s="40">
        <v>17</v>
      </c>
      <c r="M258" s="270">
        <f>$K258+'US CBAs'!$J$13</f>
        <v>9000</v>
      </c>
      <c r="N258" s="40">
        <v>5</v>
      </c>
      <c r="O258" s="60">
        <f t="shared" si="16"/>
        <v>134250</v>
      </c>
      <c r="P258" s="270">
        <f>IF(J258="",I258*'US CBAs'!$K$55,0)</f>
        <v>27700.5</v>
      </c>
      <c r="Q258" s="60">
        <f t="shared" si="17"/>
        <v>161950.5</v>
      </c>
      <c r="S258" s="285" t="s">
        <v>183</v>
      </c>
      <c r="T258" s="286">
        <f>$V251</f>
        <v>110000</v>
      </c>
    </row>
    <row r="259" spans="1:22" x14ac:dyDescent="0.35">
      <c r="A259" s="40" t="s">
        <v>230</v>
      </c>
      <c r="B259" s="40">
        <v>29</v>
      </c>
      <c r="C259" s="40">
        <v>2018</v>
      </c>
      <c r="D259" s="40" t="s">
        <v>37</v>
      </c>
      <c r="E259" s="40" t="s">
        <v>220</v>
      </c>
      <c r="F259" s="40" t="s">
        <v>31</v>
      </c>
      <c r="G259" s="79" t="s">
        <v>83</v>
      </c>
      <c r="H259" s="40" t="s">
        <v>483</v>
      </c>
      <c r="I259" s="48">
        <v>21570</v>
      </c>
      <c r="J259" s="40"/>
      <c r="K259" s="270">
        <f>IF(G259="L",0,
IF(AND(E259="Friendly",F259="T1",G259="W"),'US CBAs'!$J$19,
IF(AND(E259="Friendly",F259="T2",G259="W"),'US CBAs'!$J$20,
IF(AND(E259="Friendly",F259="",G259="W"),'US CBAs'!$J$21,
IF(AND(E259="Friendly",F259="T1",G259="D"),'US CBAs'!$J$22,
IF(AND(E259="Friendly",F259="",G259="D"),'US CBAs'!$J$23,
IF(AND(E259="WC qual",G259="W"),'US CBAs'!$J$27,
IF(AND(E259="WC qual",G259="D"),0,
IF(AND(E259="Oly qual",G259="W"),'US CBAs'!$J$27,
IF(AND(E259="Oly qual",G259="D"),0,
IF(E259="Olympics",0,
IF(E259="World Cup",'US CBAs'!$J$14,
0))))))))))))</f>
        <v>0</v>
      </c>
      <c r="L259" s="40">
        <v>17</v>
      </c>
      <c r="M259" s="270">
        <f>$K259+'US CBAs'!$J$13</f>
        <v>3750</v>
      </c>
      <c r="N259" s="40">
        <v>5</v>
      </c>
      <c r="O259" s="60">
        <f t="shared" si="16"/>
        <v>18750</v>
      </c>
      <c r="P259" s="270">
        <f>IF(J259="",I259*'US CBAs'!$K$55,0)</f>
        <v>32355</v>
      </c>
      <c r="Q259" s="60">
        <f t="shared" si="17"/>
        <v>51105</v>
      </c>
      <c r="S259" s="287" t="s">
        <v>414</v>
      </c>
      <c r="T259" s="288">
        <f>$T$257+$T$258</f>
        <v>4514508</v>
      </c>
    </row>
    <row r="260" spans="1:22" x14ac:dyDescent="0.35">
      <c r="A260" s="40" t="s">
        <v>203</v>
      </c>
      <c r="B260" s="40">
        <v>2</v>
      </c>
      <c r="C260" s="40">
        <v>2018</v>
      </c>
      <c r="D260" s="40" t="s">
        <v>41</v>
      </c>
      <c r="E260" s="40" t="s">
        <v>220</v>
      </c>
      <c r="F260" s="40" t="s">
        <v>31</v>
      </c>
      <c r="G260" s="40" t="s">
        <v>20</v>
      </c>
      <c r="H260" s="40" t="s">
        <v>487</v>
      </c>
      <c r="I260" s="48">
        <v>18309</v>
      </c>
      <c r="J260" s="40"/>
      <c r="K260" s="270">
        <f>IF(G260="L",0,
IF(AND(E260="Friendly",F260="T1",G260="W"),'US CBAs'!$J$19,
IF(AND(E260="Friendly",F260="T2",G260="W"),'US CBAs'!$J$20,
IF(AND(E260="Friendly",F260="",G260="W"),'US CBAs'!$J$21,
IF(AND(E260="Friendly",F260="T1",G260="D"),'US CBAs'!$J$22,
IF(AND(E260="Friendly",F260="",G260="D"),'US CBAs'!$J$23,
IF(AND(E260="WC qual",G260="W"),'US CBAs'!$J$27,
IF(AND(E260="WC qual",G260="D"),0,
IF(AND(E260="Oly qual",G260="W"),'US CBAs'!$J$27,
IF(AND(E260="Oly qual",G260="D"),0,
IF(E260="Olympics",0,
IF(E260="World Cup",'US CBAs'!$J$14,
0))))))))))))</f>
        <v>6500</v>
      </c>
      <c r="L260" s="40">
        <v>17</v>
      </c>
      <c r="M260" s="270">
        <f>$K260+'US CBAs'!$J$13</f>
        <v>10250</v>
      </c>
      <c r="N260" s="40">
        <v>5</v>
      </c>
      <c r="O260" s="60">
        <f t="shared" si="16"/>
        <v>161750</v>
      </c>
      <c r="P260" s="270">
        <f>IF(J260="",I260*'US CBAs'!$K$55,0)</f>
        <v>27463.5</v>
      </c>
      <c r="Q260" s="60">
        <f t="shared" si="17"/>
        <v>189213.5</v>
      </c>
    </row>
    <row r="261" spans="1:22" x14ac:dyDescent="0.35">
      <c r="A261" s="40" t="s">
        <v>203</v>
      </c>
      <c r="B261" s="40">
        <v>31</v>
      </c>
      <c r="C261" s="40">
        <v>2018</v>
      </c>
      <c r="D261" s="40" t="s">
        <v>66</v>
      </c>
      <c r="E261" s="40" t="s">
        <v>220</v>
      </c>
      <c r="F261" s="40"/>
      <c r="G261" s="40" t="s">
        <v>20</v>
      </c>
      <c r="H261" s="40" t="s">
        <v>481</v>
      </c>
      <c r="I261" s="48">
        <v>23544</v>
      </c>
      <c r="J261" s="40"/>
      <c r="K261" s="270">
        <f>IF(G261="L",0,
IF(AND(E261="Friendly",F261="T1",G261="W"),'US CBAs'!$J$19,
IF(AND(E261="Friendly",F261="T2",G261="W"),'US CBAs'!$J$20,
IF(AND(E261="Friendly",F261="",G261="W"),'US CBAs'!$J$21,
IF(AND(E261="Friendly",F261="T1",G261="D"),'US CBAs'!$J$22,
IF(AND(E261="Friendly",F261="",G261="D"),'US CBAs'!$J$23,
IF(AND(E261="WC qual",G261="W"),'US CBAs'!$J$27,
IF(AND(E261="WC qual",G261="D"),0,
IF(AND(E261="Oly qual",G261="W"),'US CBAs'!$J$27,
IF(AND(E261="Oly qual",G261="D"),0,
IF(E261="Olympics",0,
IF(E261="World Cup",'US CBAs'!$J$14,
0))))))))))))</f>
        <v>5250</v>
      </c>
      <c r="L261" s="40">
        <v>17</v>
      </c>
      <c r="M261" s="270">
        <f>$K261+'US CBAs'!$J$13</f>
        <v>9000</v>
      </c>
      <c r="N261" s="40">
        <v>1</v>
      </c>
      <c r="O261" s="60">
        <f t="shared" si="16"/>
        <v>98250</v>
      </c>
      <c r="P261" s="270">
        <f>IF(J261="",I261*'US CBAs'!$K$55,0)</f>
        <v>35316</v>
      </c>
      <c r="Q261" s="60">
        <f t="shared" si="17"/>
        <v>133566</v>
      </c>
    </row>
    <row r="262" spans="1:22" x14ac:dyDescent="0.35">
      <c r="A262" s="40" t="s">
        <v>222</v>
      </c>
      <c r="B262" s="40">
        <v>4</v>
      </c>
      <c r="C262" s="40">
        <v>2018</v>
      </c>
      <c r="D262" s="40" t="s">
        <v>66</v>
      </c>
      <c r="E262" s="40" t="s">
        <v>220</v>
      </c>
      <c r="F262" s="40"/>
      <c r="G262" s="40" t="s">
        <v>20</v>
      </c>
      <c r="H262" s="40" t="s">
        <v>481</v>
      </c>
      <c r="I262" s="48">
        <v>14340</v>
      </c>
      <c r="J262" s="40"/>
      <c r="K262" s="270">
        <f>IF(G262="L",0,
IF(AND(E262="Friendly",F262="T1",G262="W"),'US CBAs'!$J$19,
IF(AND(E262="Friendly",F262="T2",G262="W"),'US CBAs'!$J$20,
IF(AND(E262="Friendly",F262="",G262="W"),'US CBAs'!$J$21,
IF(AND(E262="Friendly",F262="T1",G262="D"),'US CBAs'!$J$22,
IF(AND(E262="Friendly",F262="",G262="D"),'US CBAs'!$J$23,
IF(AND(E262="WC qual",G262="W"),'US CBAs'!$J$27,
IF(AND(E262="WC qual",G262="D"),0,
IF(AND(E262="Oly qual",G262="W"),'US CBAs'!$J$27,
IF(AND(E262="Oly qual",G262="D"),0,
IF(E262="Olympics",0,
IF(E262="World Cup",'US CBAs'!$J$14,
0))))))))))))</f>
        <v>5250</v>
      </c>
      <c r="L262" s="40">
        <v>17</v>
      </c>
      <c r="M262" s="270">
        <f>$K262+'US CBAs'!$J$13</f>
        <v>9000</v>
      </c>
      <c r="N262" s="40">
        <v>1</v>
      </c>
      <c r="O262" s="60">
        <f t="shared" si="16"/>
        <v>98250</v>
      </c>
      <c r="P262" s="270">
        <f>IF(J262="",I262*'US CBAs'!$K$55,0)</f>
        <v>21510</v>
      </c>
      <c r="Q262" s="60">
        <f t="shared" si="17"/>
        <v>119760</v>
      </c>
    </row>
    <row r="263" spans="1:22" x14ac:dyDescent="0.35">
      <c r="A263" s="40" t="s">
        <v>189</v>
      </c>
      <c r="B263" s="40">
        <v>4</v>
      </c>
      <c r="C263" s="40">
        <v>2018</v>
      </c>
      <c r="D263" s="40" t="s">
        <v>35</v>
      </c>
      <c r="E263" s="69" t="s">
        <v>260</v>
      </c>
      <c r="F263" s="40"/>
      <c r="G263" s="40" t="s">
        <v>20</v>
      </c>
      <c r="H263" s="40" t="s">
        <v>502</v>
      </c>
      <c r="I263" s="48">
        <v>5404</v>
      </c>
      <c r="J263" s="40" t="s">
        <v>218</v>
      </c>
      <c r="K263" s="270">
        <f>IF(G263="L",0,
IF(AND(E263="Friendly",F263="T1",G263="W"),'US CBAs'!$J$19,
IF(AND(E263="Friendly",F263="T2",G263="W"),'US CBAs'!$J$20,
IF(AND(E263="Friendly",F263="",G263="W"),'US CBAs'!$J$21,
IF(AND(E263="Friendly",F263="T1",G263="D"),'US CBAs'!$J$22,
IF(AND(E263="Friendly",F263="",G263="D"),'US CBAs'!$J$23,
IF(AND(E263="WC qual",G263="W"),'US CBAs'!$J$27,
IF(AND(E263="WC qual",G263="D"),0,
IF(AND(E263="Oly qual",G263="W"),'US CBAs'!$J$27,
IF(AND(E263="Oly qual",G263="D"),0,
IF(E263="Olympics",0,
IF(E263="World Cup",'US CBAs'!$J$14,
0))))))))))))</f>
        <v>3000</v>
      </c>
      <c r="L263" s="40">
        <v>19</v>
      </c>
      <c r="M263" s="270">
        <f>$K263+'US CBAs'!$J$13</f>
        <v>6750</v>
      </c>
      <c r="N263" s="40">
        <v>0</v>
      </c>
      <c r="O263" s="60">
        <f t="shared" si="16"/>
        <v>57000</v>
      </c>
      <c r="P263" s="270">
        <f>IF(J263="",I263*'US CBAs'!$K$55,0)</f>
        <v>0</v>
      </c>
      <c r="Q263" s="60">
        <f t="shared" si="17"/>
        <v>57000</v>
      </c>
    </row>
    <row r="264" spans="1:22" x14ac:dyDescent="0.35">
      <c r="A264" s="40" t="s">
        <v>189</v>
      </c>
      <c r="B264" s="40">
        <v>7</v>
      </c>
      <c r="C264" s="40">
        <v>2018</v>
      </c>
      <c r="D264" s="40" t="s">
        <v>42</v>
      </c>
      <c r="E264" s="69" t="s">
        <v>260</v>
      </c>
      <c r="F264" s="40"/>
      <c r="G264" s="40" t="s">
        <v>20</v>
      </c>
      <c r="H264" s="40" t="s">
        <v>502</v>
      </c>
      <c r="I264" s="48">
        <v>7532</v>
      </c>
      <c r="J264" s="40" t="s">
        <v>218</v>
      </c>
      <c r="K264" s="270">
        <f>IF(G264="L",0,
IF(AND(E264="Friendly",F264="T1",G264="W"),'US CBAs'!$J$19,
IF(AND(E264="Friendly",F264="T2",G264="W"),'US CBAs'!$J$20,
IF(AND(E264="Friendly",F264="",G264="W"),'US CBAs'!$J$21,
IF(AND(E264="Friendly",F264="T1",G264="D"),'US CBAs'!$J$22,
IF(AND(E264="Friendly",F264="",G264="D"),'US CBAs'!$J$23,
IF(AND(E264="WC qual",G264="W"),'US CBAs'!$J$27,
IF(AND(E264="WC qual",G264="D"),0,
IF(AND(E264="Oly qual",G264="W"),'US CBAs'!$J$27,
IF(AND(E264="Oly qual",G264="D"),0,
IF(E264="Olympics",0,
IF(E264="World Cup",'US CBAs'!$J$14,
0))))))))))))</f>
        <v>3000</v>
      </c>
      <c r="L264" s="40">
        <v>19</v>
      </c>
      <c r="M264" s="270">
        <f>$K264+'US CBAs'!$J$13</f>
        <v>6750</v>
      </c>
      <c r="N264" s="40">
        <v>0</v>
      </c>
      <c r="O264" s="60">
        <f t="shared" si="16"/>
        <v>57000</v>
      </c>
      <c r="P264" s="270">
        <f>IF(J264="",I264*'US CBAs'!$K$55,0)</f>
        <v>0</v>
      </c>
      <c r="Q264" s="60">
        <f t="shared" si="17"/>
        <v>57000</v>
      </c>
    </row>
    <row r="265" spans="1:22" x14ac:dyDescent="0.35">
      <c r="A265" s="40" t="s">
        <v>189</v>
      </c>
      <c r="B265" s="40">
        <v>10</v>
      </c>
      <c r="C265" s="40">
        <v>2018</v>
      </c>
      <c r="D265" s="40" t="s">
        <v>228</v>
      </c>
      <c r="E265" s="69" t="s">
        <v>260</v>
      </c>
      <c r="F265" s="40"/>
      <c r="G265" s="40" t="s">
        <v>20</v>
      </c>
      <c r="H265" s="40" t="s">
        <v>502</v>
      </c>
      <c r="I265" s="48">
        <v>3996</v>
      </c>
      <c r="J265" s="40" t="s">
        <v>218</v>
      </c>
      <c r="K265" s="270">
        <f>IF(G265="L",0,
IF(AND(E265="Friendly",F265="T1",G265="W"),'US CBAs'!$J$19,
IF(AND(E265="Friendly",F265="T2",G265="W"),'US CBAs'!$J$20,
IF(AND(E265="Friendly",F265="",G265="W"),'US CBAs'!$J$21,
IF(AND(E265="Friendly",F265="T1",G265="D"),'US CBAs'!$J$22,
IF(AND(E265="Friendly",F265="",G265="D"),'US CBAs'!$J$23,
IF(AND(E265="WC qual",G265="W"),'US CBAs'!$J$27,
IF(AND(E265="WC qual",G265="D"),0,
IF(AND(E265="Oly qual",G265="W"),'US CBAs'!$J$27,
IF(AND(E265="Oly qual",G265="D"),0,
IF(E265="Olympics",0,
IF(E265="World Cup",'US CBAs'!$J$14,
0))))))))))))</f>
        <v>3000</v>
      </c>
      <c r="L265" s="40">
        <v>19</v>
      </c>
      <c r="M265" s="270">
        <f>$K265+'US CBAs'!$J$13</f>
        <v>6750</v>
      </c>
      <c r="N265" s="40">
        <v>0</v>
      </c>
      <c r="O265" s="60">
        <f t="shared" si="16"/>
        <v>57000</v>
      </c>
      <c r="P265" s="270">
        <f>IF(J265="",I265*'US CBAs'!$K$55,0)</f>
        <v>0</v>
      </c>
      <c r="Q265" s="60">
        <f t="shared" si="17"/>
        <v>57000</v>
      </c>
    </row>
    <row r="266" spans="1:22" x14ac:dyDescent="0.35">
      <c r="A266" s="40" t="s">
        <v>189</v>
      </c>
      <c r="B266" s="40">
        <v>14</v>
      </c>
      <c r="C266" s="40">
        <v>2018</v>
      </c>
      <c r="D266" s="40" t="s">
        <v>40</v>
      </c>
      <c r="E266" s="69" t="s">
        <v>260</v>
      </c>
      <c r="F266" s="40"/>
      <c r="G266" s="40" t="s">
        <v>20</v>
      </c>
      <c r="H266" s="40" t="s">
        <v>492</v>
      </c>
      <c r="I266" s="48">
        <v>7555</v>
      </c>
      <c r="J266" s="40" t="s">
        <v>218</v>
      </c>
      <c r="K266" s="270">
        <f>IF(G266="L",0,
IF(AND(E266="Friendly",F266="T1",G266="W"),'US CBAs'!$J$19,
IF(AND(E266="Friendly",F266="T2",G266="W"),'US CBAs'!$J$20,
IF(AND(E266="Friendly",F266="",G266="W"),'US CBAs'!$J$21,
IF(AND(E266="Friendly",F266="T1",G266="D"),'US CBAs'!$J$22,
IF(AND(E266="Friendly",F266="",G266="D"),'US CBAs'!$J$23,
IF(AND(E266="WC qual",G266="W"),'US CBAs'!$J$27,
IF(AND(E266="WC qual",G266="D"),0,
IF(AND(E266="Oly qual",G266="W"),'US CBAs'!$J$27,
IF(AND(E266="Oly qual",G266="D"),0,
IF(E266="Olympics",0,
IF(E266="World Cup",'US CBAs'!$J$14,
0))))))))))))</f>
        <v>3000</v>
      </c>
      <c r="L266" s="40">
        <v>19</v>
      </c>
      <c r="M266" s="270">
        <f>$K266+'US CBAs'!$J$13</f>
        <v>6750</v>
      </c>
      <c r="N266" s="40">
        <v>0</v>
      </c>
      <c r="O266" s="60">
        <f t="shared" si="16"/>
        <v>57000</v>
      </c>
      <c r="P266" s="270">
        <f>IF(J266="",I266*'US CBAs'!$K$55,0)</f>
        <v>0</v>
      </c>
      <c r="Q266" s="60">
        <f t="shared" si="17"/>
        <v>57000</v>
      </c>
      <c r="S266" s="79" t="s">
        <v>477</v>
      </c>
    </row>
    <row r="267" spans="1:22" x14ac:dyDescent="0.35">
      <c r="A267" s="40" t="s">
        <v>189</v>
      </c>
      <c r="B267" s="40">
        <v>17</v>
      </c>
      <c r="C267" s="40">
        <v>2018</v>
      </c>
      <c r="D267" s="40" t="s">
        <v>29</v>
      </c>
      <c r="E267" s="69" t="s">
        <v>260</v>
      </c>
      <c r="F267" s="40" t="s">
        <v>28</v>
      </c>
      <c r="G267" s="40" t="s">
        <v>20</v>
      </c>
      <c r="H267" s="40" t="s">
        <v>492</v>
      </c>
      <c r="I267" s="48">
        <v>6986</v>
      </c>
      <c r="J267" s="40" t="s">
        <v>218</v>
      </c>
      <c r="K267" s="270">
        <f>IF(G267="L",0,
IF(AND(E267="Friendly",F267="T1",G267="W"),'US CBAs'!$J$19,
IF(AND(E267="Friendly",F267="T2",G267="W"),'US CBAs'!$J$20,
IF(AND(E267="Friendly",F267="",G267="W"),'US CBAs'!$J$21,
IF(AND(E267="Friendly",F267="T1",G267="D"),'US CBAs'!$J$22,
IF(AND(E267="Friendly",F267="",G267="D"),'US CBAs'!$J$23,
IF(AND(E267="WC qual",G267="W"),'US CBAs'!$J$27,
IF(AND(E267="WC qual",G267="D"),0,
IF(AND(E267="Oly qual",G267="W"),'US CBAs'!$J$27,
IF(AND(E267="Oly qual",G267="D"),0,
IF(E267="Olympics",0,
IF(E267="World Cup",'US CBAs'!$J$14,
0))))))))))))</f>
        <v>3000</v>
      </c>
      <c r="L267" s="40">
        <v>19</v>
      </c>
      <c r="M267" s="270">
        <f>$K267+'US CBAs'!$J$13</f>
        <v>6750</v>
      </c>
      <c r="N267" s="40">
        <v>0</v>
      </c>
      <c r="O267" s="60">
        <f t="shared" si="16"/>
        <v>57000</v>
      </c>
      <c r="P267" s="270">
        <f>IF(J267="",I267*'US CBAs'!$K$55,0)</f>
        <v>0</v>
      </c>
      <c r="Q267" s="60">
        <f t="shared" si="17"/>
        <v>57000</v>
      </c>
      <c r="S267" s="79" t="s">
        <v>478</v>
      </c>
    </row>
    <row r="268" spans="1:22" x14ac:dyDescent="0.35">
      <c r="A268" s="40" t="s">
        <v>190</v>
      </c>
      <c r="B268" s="40">
        <v>8</v>
      </c>
      <c r="C268" s="40">
        <v>2018</v>
      </c>
      <c r="D268" s="40" t="s">
        <v>82</v>
      </c>
      <c r="E268" s="40" t="s">
        <v>220</v>
      </c>
      <c r="F268" s="40"/>
      <c r="G268" s="40" t="s">
        <v>20</v>
      </c>
      <c r="H268" s="40" t="s">
        <v>82</v>
      </c>
      <c r="I268" s="40">
        <v>980</v>
      </c>
      <c r="J268" s="40" t="s">
        <v>218</v>
      </c>
      <c r="K268" s="270">
        <f>IF(G268="L",0,
IF(AND(E268="Friendly",F268="T1",G268="W"),'US CBAs'!$J$19,
IF(AND(E268="Friendly",F268="T2",G268="W"),'US CBAs'!$J$20,
IF(AND(E268="Friendly",F268="",G268="W"),'US CBAs'!$J$21,
IF(AND(E268="Friendly",F268="T1",G268="D"),'US CBAs'!$J$22,
IF(AND(E268="Friendly",F268="",G268="D"),'US CBAs'!$J$23,
IF(AND(E268="WC qual",G268="W"),'US CBAs'!$J$27,
IF(AND(E268="WC qual",G268="D"),0,
IF(AND(E268="Oly qual",G268="W"),'US CBAs'!$J$27,
IF(AND(E268="Oly qual",G268="D"),0,
IF(E268="Olympics",0,
IF(E268="World Cup",'US CBAs'!$J$14,
0))))))))))))</f>
        <v>5250</v>
      </c>
      <c r="L268" s="40">
        <v>14</v>
      </c>
      <c r="M268" s="270">
        <f>$K268+'US CBAs'!$J$13</f>
        <v>9000</v>
      </c>
      <c r="N268" s="40">
        <v>3</v>
      </c>
      <c r="O268" s="60">
        <f t="shared" si="16"/>
        <v>100500</v>
      </c>
      <c r="P268" s="270">
        <f>IF(J268="",I268*'US CBAs'!$K$55,0)</f>
        <v>0</v>
      </c>
      <c r="Q268" s="60">
        <f t="shared" si="17"/>
        <v>100500</v>
      </c>
      <c r="S268" s="253" t="s">
        <v>452</v>
      </c>
      <c r="T268" s="254" t="s">
        <v>6</v>
      </c>
      <c r="U268" s="254" t="s">
        <v>18</v>
      </c>
      <c r="V268" s="255" t="s">
        <v>91</v>
      </c>
    </row>
    <row r="269" spans="1:22" x14ac:dyDescent="0.35">
      <c r="A269" s="40" t="s">
        <v>190</v>
      </c>
      <c r="B269" s="40">
        <v>13</v>
      </c>
      <c r="C269" s="40">
        <v>2018</v>
      </c>
      <c r="D269" s="40" t="s">
        <v>19</v>
      </c>
      <c r="E269" s="40" t="s">
        <v>220</v>
      </c>
      <c r="F269" s="40"/>
      <c r="G269" s="40" t="s">
        <v>20</v>
      </c>
      <c r="H269" s="40" t="s">
        <v>19</v>
      </c>
      <c r="I269" s="48">
        <v>3790</v>
      </c>
      <c r="J269" s="40" t="s">
        <v>218</v>
      </c>
      <c r="K269" s="270">
        <f>IF(G269="L",0,
IF(AND(E269="Friendly",F269="T1",G269="W"),'US CBAs'!$J$19,
IF(AND(E269="Friendly",F269="T2",G269="W"),'US CBAs'!$J$20,
IF(AND(E269="Friendly",F269="",G269="W"),'US CBAs'!$J$21,
IF(AND(E269="Friendly",F269="T1",G269="D"),'US CBAs'!$J$22,
IF(AND(E269="Friendly",F269="",G269="D"),'US CBAs'!$J$23,
IF(AND(E269="WC qual",G269="W"),'US CBAs'!$J$27,
IF(AND(E269="WC qual",G269="D"),0,
IF(AND(E269="Oly qual",G269="W"),'US CBAs'!$J$27,
IF(AND(E269="Oly qual",G269="D"),0,
IF(E269="Olympics",0,
IF(E269="World Cup",'US CBAs'!$J$14,
0))))))))))))</f>
        <v>5250</v>
      </c>
      <c r="L269" s="40">
        <v>14</v>
      </c>
      <c r="M269" s="270">
        <f>$K269+'US CBAs'!$J$13</f>
        <v>9000</v>
      </c>
      <c r="N269" s="40">
        <v>3</v>
      </c>
      <c r="O269" s="60">
        <f t="shared" si="16"/>
        <v>100500</v>
      </c>
      <c r="P269" s="270">
        <f>IF(J269="",I269*'US CBAs'!$K$55,0)</f>
        <v>0</v>
      </c>
      <c r="Q269" s="60">
        <f t="shared" si="17"/>
        <v>100500</v>
      </c>
      <c r="S269" s="322" t="s">
        <v>429</v>
      </c>
      <c r="T269" s="252">
        <f>'US CBAs'!$J$25</f>
        <v>5000</v>
      </c>
      <c r="U269" s="326">
        <v>22</v>
      </c>
      <c r="V269" s="252">
        <f>T269*U269</f>
        <v>110000</v>
      </c>
    </row>
    <row r="270" spans="1:22" x14ac:dyDescent="0.35">
      <c r="I270" s="302" t="s">
        <v>0</v>
      </c>
      <c r="K270" s="307">
        <v>100000</v>
      </c>
      <c r="L270" s="302">
        <v>19</v>
      </c>
      <c r="O270" s="308">
        <f>(K270*L270)+(M270*N270)</f>
        <v>1900000</v>
      </c>
      <c r="Q270" s="308">
        <f t="shared" si="17"/>
        <v>1900000</v>
      </c>
      <c r="S270" s="322" t="s">
        <v>233</v>
      </c>
      <c r="T270" s="325">
        <f>'US CBAs'!$J$30</f>
        <v>37500</v>
      </c>
      <c r="U270" s="326">
        <v>19</v>
      </c>
      <c r="V270" s="252">
        <f>T270*U270</f>
        <v>712500</v>
      </c>
    </row>
    <row r="271" spans="1:22" x14ac:dyDescent="0.35">
      <c r="A271" s="309"/>
      <c r="B271" s="309"/>
      <c r="C271" s="309"/>
      <c r="D271" s="309"/>
      <c r="F271" s="309"/>
      <c r="G271" s="309"/>
      <c r="H271" s="309"/>
      <c r="I271" s="314" t="s">
        <v>435</v>
      </c>
      <c r="J271" s="313"/>
      <c r="K271" s="307"/>
      <c r="L271" s="313"/>
      <c r="M271" s="307">
        <f>$K244+'US CBAs'!$J$13</f>
        <v>3750</v>
      </c>
      <c r="N271" s="313">
        <v>20</v>
      </c>
      <c r="O271" s="383">
        <f>(K271*L271)+(M271*N271)</f>
        <v>75000</v>
      </c>
      <c r="P271" s="307"/>
      <c r="Q271" s="383">
        <f>O271+P271</f>
        <v>75000</v>
      </c>
      <c r="S271" s="322"/>
      <c r="T271" s="325"/>
      <c r="U271" s="326"/>
      <c r="V271" s="252"/>
    </row>
    <row r="272" spans="1:22" x14ac:dyDescent="0.35">
      <c r="A272" s="289" t="s">
        <v>24</v>
      </c>
      <c r="B272" s="289"/>
      <c r="C272" s="289"/>
      <c r="D272" s="289"/>
      <c r="E272"/>
      <c r="F272" s="289"/>
      <c r="G272" s="289"/>
      <c r="H272" s="289"/>
      <c r="I272" s="289"/>
      <c r="J272" s="289"/>
      <c r="K272" s="291"/>
      <c r="L272" s="289"/>
      <c r="M272" s="291"/>
      <c r="N272" s="289"/>
      <c r="O272" s="298">
        <f>SUBTOTAL(109,Table12[Game pay])</f>
        <v>4078250</v>
      </c>
      <c r="P272" s="298">
        <f>SUBTOTAL(109,Table12[Att bonus])</f>
        <v>332517</v>
      </c>
      <c r="Q272" s="298">
        <f>SUBTOTAL(109,Table12[TEAM PAY])</f>
        <v>4410767</v>
      </c>
      <c r="S272" s="253" t="s">
        <v>453</v>
      </c>
      <c r="T272" s="325"/>
      <c r="U272" s="326"/>
      <c r="V272" s="257">
        <f>V270+V269+V251</f>
        <v>932500</v>
      </c>
    </row>
    <row r="273" spans="1:24" x14ac:dyDescent="0.35">
      <c r="A273" s="289"/>
      <c r="B273" s="290"/>
      <c r="C273" s="290"/>
      <c r="D273" s="289"/>
      <c r="E273" s="289"/>
      <c r="F273" s="289"/>
      <c r="G273" s="289"/>
      <c r="H273" s="289"/>
      <c r="I273" s="291"/>
      <c r="J273" s="289"/>
      <c r="K273" s="289"/>
      <c r="L273" s="289"/>
      <c r="M273" s="292"/>
      <c r="N273" s="39"/>
      <c r="O273" s="39"/>
      <c r="P273" s="293" t="s">
        <v>398</v>
      </c>
      <c r="Q273" s="294">
        <f>$V272</f>
        <v>932500</v>
      </c>
      <c r="S273" s="326"/>
      <c r="T273" s="252"/>
      <c r="X273" s="171"/>
    </row>
    <row r="274" spans="1:24" x14ac:dyDescent="0.35">
      <c r="A274" s="289"/>
      <c r="B274" s="290"/>
      <c r="C274" s="290"/>
      <c r="D274" s="289"/>
      <c r="E274" s="289"/>
      <c r="F274" s="289"/>
      <c r="G274" s="289"/>
      <c r="H274" s="289"/>
      <c r="I274" s="291"/>
      <c r="J274" s="289"/>
      <c r="K274" s="289"/>
      <c r="L274" s="289"/>
      <c r="M274" s="292"/>
      <c r="N274" s="39"/>
      <c r="O274" s="39"/>
      <c r="P274" s="295" t="s">
        <v>90</v>
      </c>
      <c r="Q274" s="296">
        <f>Q272+Q273</f>
        <v>5343267</v>
      </c>
      <c r="S274" s="326"/>
      <c r="T274" s="252"/>
      <c r="X274" s="171"/>
    </row>
    <row r="275" spans="1:24" x14ac:dyDescent="0.35">
      <c r="A275" s="289"/>
      <c r="B275" s="290"/>
      <c r="C275" s="290"/>
      <c r="D275" s="289"/>
      <c r="E275" s="289"/>
      <c r="F275" s="289"/>
      <c r="G275" s="289"/>
      <c r="H275" s="289"/>
      <c r="I275" s="291"/>
      <c r="J275" s="289"/>
      <c r="K275" s="289"/>
      <c r="L275" s="289"/>
      <c r="M275" s="292"/>
      <c r="N275" s="39"/>
      <c r="O275" s="39"/>
      <c r="P275" s="295"/>
      <c r="Q275" s="296"/>
      <c r="S275" s="326"/>
      <c r="T275" s="252"/>
      <c r="X275" s="361"/>
    </row>
    <row r="276" spans="1:24" x14ac:dyDescent="0.35">
      <c r="A276" s="372" t="s">
        <v>249</v>
      </c>
      <c r="B276" s="373" t="s">
        <v>248</v>
      </c>
      <c r="C276" s="373" t="s">
        <v>247</v>
      </c>
      <c r="D276" s="374" t="s">
        <v>15</v>
      </c>
      <c r="E276" s="374" t="s">
        <v>194</v>
      </c>
      <c r="F276" s="374" t="s">
        <v>246</v>
      </c>
      <c r="G276" s="374" t="s">
        <v>16</v>
      </c>
      <c r="H276" s="374" t="s">
        <v>245</v>
      </c>
      <c r="I276" s="375" t="s">
        <v>14</v>
      </c>
      <c r="J276" s="376" t="s">
        <v>244</v>
      </c>
      <c r="K276" s="377" t="s">
        <v>426</v>
      </c>
      <c r="L276" s="376" t="s">
        <v>17</v>
      </c>
      <c r="M276" s="377" t="s">
        <v>427</v>
      </c>
      <c r="N276" s="376" t="s">
        <v>430</v>
      </c>
      <c r="O276" s="376" t="s">
        <v>219</v>
      </c>
      <c r="P276" s="378" t="s">
        <v>242</v>
      </c>
      <c r="Q276" s="376" t="s">
        <v>241</v>
      </c>
      <c r="S276" s="326"/>
      <c r="T276" s="252"/>
      <c r="X276" s="361"/>
    </row>
    <row r="277" spans="1:24" x14ac:dyDescent="0.35">
      <c r="A277" s="79" t="s">
        <v>191</v>
      </c>
      <c r="B277" s="79">
        <v>19</v>
      </c>
      <c r="C277" s="79">
        <v>2019</v>
      </c>
      <c r="D277" s="79" t="s">
        <v>53</v>
      </c>
      <c r="E277" s="79" t="s">
        <v>220</v>
      </c>
      <c r="F277" s="79"/>
      <c r="G277" s="79" t="s">
        <v>33</v>
      </c>
      <c r="H277" s="309" t="s">
        <v>53</v>
      </c>
      <c r="I277" s="364">
        <v>22780</v>
      </c>
      <c r="J277" s="309" t="s">
        <v>218</v>
      </c>
      <c r="K277" s="365">
        <f>IF(G277="L",0,
IF(AND(E277="Friendly",F277="T1",G277="W"),'US CBAs'!$J$19,
IF(AND(E277="Friendly",F277="T2",G277="W"),'US CBAs'!$J$20,
IF(AND(E277="Friendly",F277="",G277="W"),'US CBAs'!$J$21,
IF(AND(E277="Friendly",F277="T1",G277="D"),'US CBAs'!$J$22,
IF(AND(E277="Friendly",F277="",G277="D"),'US CBAs'!$J$23,
IF(AND(E277="WC qual",G277="W"),'US CBAs'!$J$27,
IF(AND(E277="WC qual",G277="D"),0,
IF(AND(E277="Oly qual",G277="W"),'US CBAs'!$J$27,
IF(AND(E277="Oly qual",G277="D"),0,
IF(E277="Olympics",0,
IF(E277="World Cup",'US CBAs'!$J$14,
0))))))))))))</f>
        <v>0</v>
      </c>
      <c r="L277" s="309">
        <v>17</v>
      </c>
      <c r="M277" s="365">
        <f>$K277+'US CBAs'!$J$13</f>
        <v>3750</v>
      </c>
      <c r="N277" s="309">
        <v>2</v>
      </c>
      <c r="O277" s="366">
        <f t="shared" ref="O277:O300" si="18">(K277*L277)+(M277*N277)</f>
        <v>7500</v>
      </c>
      <c r="P277" s="365">
        <f>IF(J277="",I277*'US CBAs'!$K$55,0)</f>
        <v>0</v>
      </c>
      <c r="Q277" s="366">
        <f t="shared" ref="Q277:Q300" si="19">O277+P277</f>
        <v>7500</v>
      </c>
      <c r="S277" s="79" t="s">
        <v>567</v>
      </c>
    </row>
    <row r="278" spans="1:24" x14ac:dyDescent="0.35">
      <c r="A278" s="79" t="s">
        <v>191</v>
      </c>
      <c r="B278" s="79">
        <v>22</v>
      </c>
      <c r="C278" s="79">
        <v>2019</v>
      </c>
      <c r="D278" s="79" t="s">
        <v>256</v>
      </c>
      <c r="E278" s="79" t="s">
        <v>220</v>
      </c>
      <c r="F278" s="79"/>
      <c r="G278" s="79" t="s">
        <v>20</v>
      </c>
      <c r="H278" s="309" t="s">
        <v>256</v>
      </c>
      <c r="I278" s="364">
        <v>9182</v>
      </c>
      <c r="J278" s="309" t="s">
        <v>218</v>
      </c>
      <c r="K278" s="365">
        <f>IF(G278="L",0,
IF(AND(E278="Friendly",F278="T1",G278="W"),'US CBAs'!$J$19,
IF(AND(E278="Friendly",F278="T2",G278="W"),'US CBAs'!$J$20,
IF(AND(E278="Friendly",F278="",G278="W"),'US CBAs'!$J$21,
IF(AND(E278="Friendly",F278="T1",G278="D"),'US CBAs'!$J$22,
IF(AND(E278="Friendly",F278="",G278="D"),'US CBAs'!$J$23,
IF(AND(E278="WC qual",G278="W"),'US CBAs'!$J$27,
IF(AND(E278="WC qual",G278="D"),0,
IF(AND(E278="Oly qual",G278="W"),'US CBAs'!$J$27,
IF(AND(E278="Oly qual",G278="D"),0,
IF(E278="Olympics",0,
IF(E278="World Cup",'US CBAs'!$J$14,
0))))))))))))</f>
        <v>5250</v>
      </c>
      <c r="L278" s="309">
        <v>17</v>
      </c>
      <c r="M278" s="365">
        <f>$K278+'US CBAs'!$J$13</f>
        <v>9000</v>
      </c>
      <c r="N278" s="309">
        <v>2</v>
      </c>
      <c r="O278" s="366">
        <f t="shared" si="18"/>
        <v>107250</v>
      </c>
      <c r="P278" s="365">
        <f>IF(J278="",I278*'US CBAs'!$K$55,0)</f>
        <v>0</v>
      </c>
      <c r="Q278" s="366">
        <f t="shared" si="19"/>
        <v>107250</v>
      </c>
    </row>
    <row r="279" spans="1:24" x14ac:dyDescent="0.35">
      <c r="A279" s="352" t="s">
        <v>192</v>
      </c>
      <c r="B279" s="79">
        <v>27</v>
      </c>
      <c r="C279" s="79">
        <v>2019</v>
      </c>
      <c r="D279" s="79" t="s">
        <v>50</v>
      </c>
      <c r="E279" s="362" t="s">
        <v>220</v>
      </c>
      <c r="F279" s="79"/>
      <c r="G279" s="79" t="s">
        <v>83</v>
      </c>
      <c r="H279" s="362" t="s">
        <v>484</v>
      </c>
      <c r="I279" s="364">
        <v>14555</v>
      </c>
      <c r="J279" s="367"/>
      <c r="K279" s="365">
        <f>IF(G279="L",0,
IF(AND(E279="Friendly",F279="T1",G279="W"),'US CBAs'!$J$19,
IF(AND(E279="Friendly",F279="T2",G279="W"),'US CBAs'!$J$20,
IF(AND(E279="Friendly",F279="",G279="W"),'US CBAs'!$J$21,
IF(AND(E279="Friendly",F279="T1",G279="D"),'US CBAs'!$J$22,
IF(AND(E279="Friendly",F279="",G279="D"),'US CBAs'!$J$23,
IF(AND(E279="WC qual",G279="W"),'US CBAs'!$J$27,
IF(AND(E279="WC qual",G279="D"),0,
IF(AND(E279="Oly qual",G279="W"),'US CBAs'!$J$27,
IF(AND(E279="Oly qual",G279="D"),0,
IF(E279="Olympics",0,
IF(E279="World Cup",'US CBAs'!$J$14,
0))))))))))))</f>
        <v>1250</v>
      </c>
      <c r="L279" s="233">
        <v>18</v>
      </c>
      <c r="M279" s="365">
        <f>$K279+'US CBAs'!$J$13</f>
        <v>5000</v>
      </c>
      <c r="N279" s="233">
        <v>4</v>
      </c>
      <c r="O279" s="366">
        <f t="shared" si="18"/>
        <v>42500</v>
      </c>
      <c r="P279" s="365">
        <f>IF(J279="",I279*'US CBAs'!$K$55,0)</f>
        <v>21832.5</v>
      </c>
      <c r="Q279" s="366">
        <f t="shared" si="19"/>
        <v>64332.5</v>
      </c>
    </row>
    <row r="280" spans="1:24" x14ac:dyDescent="0.35">
      <c r="A280" s="352" t="s">
        <v>221</v>
      </c>
      <c r="B280" s="79">
        <v>2</v>
      </c>
      <c r="C280" s="79">
        <v>2019</v>
      </c>
      <c r="D280" s="79" t="s">
        <v>61</v>
      </c>
      <c r="E280" s="362" t="s">
        <v>220</v>
      </c>
      <c r="F280" s="79"/>
      <c r="G280" s="79" t="s">
        <v>83</v>
      </c>
      <c r="H280" s="309" t="s">
        <v>486</v>
      </c>
      <c r="I280" s="364">
        <v>22125</v>
      </c>
      <c r="J280" s="367"/>
      <c r="K280" s="365">
        <f>IF(G280="L",0,
IF(AND(E280="Friendly",F280="T1",G280="W"),'US CBAs'!$J$19,
IF(AND(E280="Friendly",F280="T2",G280="W"),'US CBAs'!$J$20,
IF(AND(E280="Friendly",F280="",G280="W"),'US CBAs'!$J$21,
IF(AND(E280="Friendly",F280="T1",G280="D"),'US CBAs'!$J$22,
IF(AND(E280="Friendly",F280="",G280="D"),'US CBAs'!$J$23,
IF(AND(E280="WC qual",G280="W"),'US CBAs'!$J$27,
IF(AND(E280="WC qual",G280="D"),0,
IF(AND(E280="Oly qual",G280="W"),'US CBAs'!$J$27,
IF(AND(E280="Oly qual",G280="D"),0,
IF(E280="Olympics",0,
IF(E280="World Cup",'US CBAs'!$J$14,
0))))))))))))</f>
        <v>1250</v>
      </c>
      <c r="L280" s="233">
        <v>18</v>
      </c>
      <c r="M280" s="365">
        <f>$K280+'US CBAs'!$J$13</f>
        <v>5000</v>
      </c>
      <c r="N280" s="233">
        <v>4</v>
      </c>
      <c r="O280" s="366">
        <f t="shared" si="18"/>
        <v>42500</v>
      </c>
      <c r="P280" s="365">
        <f>IF(J280="",I280*'US CBAs'!$K$55,0)</f>
        <v>33187.5</v>
      </c>
      <c r="Q280" s="366">
        <f t="shared" si="19"/>
        <v>75687.5</v>
      </c>
    </row>
    <row r="281" spans="1:24" x14ac:dyDescent="0.35">
      <c r="A281" s="352" t="s">
        <v>221</v>
      </c>
      <c r="B281" s="79">
        <v>5</v>
      </c>
      <c r="C281" s="79">
        <v>2019</v>
      </c>
      <c r="D281" s="79" t="s">
        <v>41</v>
      </c>
      <c r="E281" s="362" t="s">
        <v>220</v>
      </c>
      <c r="F281" s="79"/>
      <c r="G281" s="79" t="s">
        <v>20</v>
      </c>
      <c r="H281" s="309" t="s">
        <v>482</v>
      </c>
      <c r="I281" s="364">
        <v>14009</v>
      </c>
      <c r="J281" s="367"/>
      <c r="K281" s="365">
        <f>IF(G281="L",0,
IF(AND(E281="Friendly",F281="T1",G281="W"),'US CBAs'!$J$19,
IF(AND(E281="Friendly",F281="T2",G281="W"),'US CBAs'!$J$20,
IF(AND(E281="Friendly",F281="",G281="W"),'US CBAs'!$J$21,
IF(AND(E281="Friendly",F281="T1",G281="D"),'US CBAs'!$J$22,
IF(AND(E281="Friendly",F281="",G281="D"),'US CBAs'!$J$23,
IF(AND(E281="WC qual",G281="W"),'US CBAs'!$J$27,
IF(AND(E281="WC qual",G281="D"),0,
IF(AND(E281="Oly qual",G281="W"),'US CBAs'!$J$27,
IF(AND(E281="Oly qual",G281="D"),0,
IF(E281="Olympics",0,
IF(E281="World Cup",'US CBAs'!$J$14,
0))))))))))))</f>
        <v>5250</v>
      </c>
      <c r="L281" s="233">
        <v>18</v>
      </c>
      <c r="M281" s="365">
        <f>$K281+'US CBAs'!$J$13</f>
        <v>9000</v>
      </c>
      <c r="N281" s="233">
        <v>4</v>
      </c>
      <c r="O281" s="366">
        <f t="shared" si="18"/>
        <v>130500</v>
      </c>
      <c r="P281" s="365">
        <f>IF(J281="",I281*'US CBAs'!$K$55,0)</f>
        <v>21013.5</v>
      </c>
      <c r="Q281" s="366">
        <f t="shared" si="19"/>
        <v>151513.5</v>
      </c>
    </row>
    <row r="282" spans="1:24" x14ac:dyDescent="0.35">
      <c r="A282" s="352" t="s">
        <v>240</v>
      </c>
      <c r="B282" s="79">
        <v>4</v>
      </c>
      <c r="C282" s="79">
        <v>2019</v>
      </c>
      <c r="D282" s="79" t="s">
        <v>37</v>
      </c>
      <c r="E282" s="362" t="s">
        <v>220</v>
      </c>
      <c r="F282" s="79"/>
      <c r="G282" s="79" t="s">
        <v>20</v>
      </c>
      <c r="H282" s="309" t="s">
        <v>496</v>
      </c>
      <c r="I282" s="364">
        <v>17264</v>
      </c>
      <c r="J282" s="367"/>
      <c r="K282" s="365">
        <f>IF(G282="L",0,
IF(AND(E282="Friendly",F282="T1",G282="W"),'US CBAs'!$J$19,
IF(AND(E282="Friendly",F282="T2",G282="W"),'US CBAs'!$J$20,
IF(AND(E282="Friendly",F282="",G282="W"),'US CBAs'!$J$21,
IF(AND(E282="Friendly",F282="T1",G282="D"),'US CBAs'!$J$22,
IF(AND(E282="Friendly",F282="",G282="D"),'US CBAs'!$J$23,
IF(AND(E282="WC qual",G282="W"),'US CBAs'!$J$27,
IF(AND(E282="WC qual",G282="D"),0,
IF(AND(E282="Oly qual",G282="W"),'US CBAs'!$J$27,
IF(AND(E282="Oly qual",G282="D"),0,
IF(E282="Olympics",0,
IF(E282="World Cup",'US CBAs'!$J$14,
0))))))))))))</f>
        <v>5250</v>
      </c>
      <c r="L282" s="233">
        <v>18</v>
      </c>
      <c r="M282" s="365">
        <f>$K282+'US CBAs'!$J$13</f>
        <v>9000</v>
      </c>
      <c r="N282" s="233">
        <v>2</v>
      </c>
      <c r="O282" s="366">
        <f t="shared" si="18"/>
        <v>112500</v>
      </c>
      <c r="P282" s="365">
        <f>IF(J282="",I282*'US CBAs'!$K$55,0)</f>
        <v>25896</v>
      </c>
      <c r="Q282" s="366">
        <f t="shared" si="19"/>
        <v>138396</v>
      </c>
      <c r="S282" s="280" t="s">
        <v>415</v>
      </c>
      <c r="T282" s="327"/>
    </row>
    <row r="283" spans="1:24" x14ac:dyDescent="0.35">
      <c r="A283" s="352" t="s">
        <v>240</v>
      </c>
      <c r="B283" s="79">
        <v>7</v>
      </c>
      <c r="C283" s="79">
        <v>2019</v>
      </c>
      <c r="D283" s="79" t="s">
        <v>39</v>
      </c>
      <c r="E283" s="362" t="s">
        <v>220</v>
      </c>
      <c r="F283" s="79"/>
      <c r="G283" s="79" t="s">
        <v>20</v>
      </c>
      <c r="H283" s="362" t="s">
        <v>481</v>
      </c>
      <c r="I283" s="364">
        <v>20941</v>
      </c>
      <c r="J283" s="367"/>
      <c r="K283" s="365">
        <f>IF(G283="L",0,
IF(AND(E283="Friendly",F283="T1",G283="W"),'US CBAs'!$J$19,
IF(AND(E283="Friendly",F283="T2",G283="W"),'US CBAs'!$J$20,
IF(AND(E283="Friendly",F283="",G283="W"),'US CBAs'!$J$21,
IF(AND(E283="Friendly",F283="T1",G283="D"),'US CBAs'!$J$22,
IF(AND(E283="Friendly",F283="",G283="D"),'US CBAs'!$J$23,
IF(AND(E283="WC qual",G283="W"),'US CBAs'!$J$27,
IF(AND(E283="WC qual",G283="D"),0,
IF(AND(E283="Oly qual",G283="W"),'US CBAs'!$J$27,
IF(AND(E283="Oly qual",G283="D"),0,
IF(E283="Olympics",0,
IF(E283="World Cup",'US CBAs'!$J$14,
0))))))))))))</f>
        <v>5250</v>
      </c>
      <c r="L283" s="233">
        <v>18</v>
      </c>
      <c r="M283" s="365">
        <f>$K283+'US CBAs'!$J$13</f>
        <v>9000</v>
      </c>
      <c r="N283" s="233">
        <v>2</v>
      </c>
      <c r="O283" s="366">
        <f t="shared" si="18"/>
        <v>112500</v>
      </c>
      <c r="P283" s="365">
        <f>IF(J283="",I283*'US CBAs'!$K$55,0)</f>
        <v>31411.5</v>
      </c>
      <c r="Q283" s="366">
        <f t="shared" si="19"/>
        <v>143911.5</v>
      </c>
      <c r="S283" s="282" t="s">
        <v>219</v>
      </c>
      <c r="T283" s="283">
        <f>SUM($O$254:$O$269)+SUM($O$277:$O$280)</f>
        <v>1761000</v>
      </c>
    </row>
    <row r="284" spans="1:24" x14ac:dyDescent="0.35">
      <c r="A284" s="352" t="s">
        <v>186</v>
      </c>
      <c r="B284" s="79">
        <v>12</v>
      </c>
      <c r="C284" s="79">
        <v>2019</v>
      </c>
      <c r="D284" s="79" t="s">
        <v>74</v>
      </c>
      <c r="E284" s="362" t="s">
        <v>220</v>
      </c>
      <c r="F284" s="79"/>
      <c r="G284" s="79" t="s">
        <v>20</v>
      </c>
      <c r="H284" s="362" t="s">
        <v>481</v>
      </c>
      <c r="I284" s="364">
        <v>22788</v>
      </c>
      <c r="J284" s="367"/>
      <c r="K284" s="365">
        <f>IF(G284="L",0,
IF(AND(E284="Friendly",F284="T1",G284="W"),'US CBAs'!$J$19,
IF(AND(E284="Friendly",F284="T2",G284="W"),'US CBAs'!$J$20,
IF(AND(E284="Friendly",F284="",G284="W"),'US CBAs'!$J$21,
IF(AND(E284="Friendly",F284="T1",G284="D"),'US CBAs'!$J$22,
IF(AND(E284="Friendly",F284="",G284="D"),'US CBAs'!$J$23,
IF(AND(E284="WC qual",G284="W"),'US CBAs'!$J$27,
IF(AND(E284="WC qual",G284="D"),0,
IF(AND(E284="Oly qual",G284="W"),'US CBAs'!$J$27,
IF(AND(E284="Oly qual",G284="D"),0,
IF(E284="Olympics",0,
IF(E284="World Cup",'US CBAs'!$J$14,
0))))))))))))</f>
        <v>5250</v>
      </c>
      <c r="L284" s="233">
        <v>18</v>
      </c>
      <c r="M284" s="365">
        <f>$K284+'US CBAs'!$J$13</f>
        <v>9000</v>
      </c>
      <c r="N284" s="233">
        <v>5</v>
      </c>
      <c r="O284" s="366">
        <f t="shared" si="18"/>
        <v>139500</v>
      </c>
      <c r="P284" s="365">
        <f>IF(J284="",I284*'US CBAs'!$K$55,0)</f>
        <v>34182</v>
      </c>
      <c r="Q284" s="366">
        <f t="shared" si="19"/>
        <v>173682</v>
      </c>
      <c r="S284" s="284" t="s">
        <v>394</v>
      </c>
      <c r="T284" s="283">
        <f>SUM($P$254:$P$269)+SUM($P$277:$P$280)</f>
        <v>282276</v>
      </c>
    </row>
    <row r="285" spans="1:24" x14ac:dyDescent="0.35">
      <c r="A285" s="352" t="s">
        <v>186</v>
      </c>
      <c r="B285" s="79">
        <v>16</v>
      </c>
      <c r="C285" s="79">
        <v>2019</v>
      </c>
      <c r="D285" s="79" t="s">
        <v>38</v>
      </c>
      <c r="E285" s="362" t="s">
        <v>220</v>
      </c>
      <c r="F285" s="79"/>
      <c r="G285" s="79" t="s">
        <v>20</v>
      </c>
      <c r="H285" s="309" t="s">
        <v>501</v>
      </c>
      <c r="I285" s="364">
        <v>35761</v>
      </c>
      <c r="J285" s="367"/>
      <c r="K285" s="365">
        <f>IF(G285="L",0,
IF(AND(E285="Friendly",F285="T1",G285="W"),'US CBAs'!$J$19,
IF(AND(E285="Friendly",F285="T2",G285="W"),'US CBAs'!$J$20,
IF(AND(E285="Friendly",F285="",G285="W"),'US CBAs'!$J$21,
IF(AND(E285="Friendly",F285="T1",G285="D"),'US CBAs'!$J$22,
IF(AND(E285="Friendly",F285="",G285="D"),'US CBAs'!$J$23,
IF(AND(E285="WC qual",G285="W"),'US CBAs'!$J$27,
IF(AND(E285="WC qual",G285="D"),0,
IF(AND(E285="Oly qual",G285="W"),'US CBAs'!$J$27,
IF(AND(E285="Oly qual",G285="D"),0,
IF(E285="Olympics",0,
IF(E285="World Cup",'US CBAs'!$J$14,
0))))))))))))</f>
        <v>5250</v>
      </c>
      <c r="L285" s="233">
        <v>18</v>
      </c>
      <c r="M285" s="365">
        <f>$K285+'US CBAs'!$J$13</f>
        <v>9000</v>
      </c>
      <c r="N285" s="233">
        <v>5</v>
      </c>
      <c r="O285" s="366">
        <f t="shared" si="18"/>
        <v>139500</v>
      </c>
      <c r="P285" s="365">
        <f>IF(J285="",I285*'US CBAs'!$K$55,0)</f>
        <v>53641.5</v>
      </c>
      <c r="Q285" s="366">
        <f t="shared" si="19"/>
        <v>193141.5</v>
      </c>
      <c r="S285" s="285" t="s">
        <v>395</v>
      </c>
      <c r="T285" s="286">
        <f>$T$283+$T$284</f>
        <v>2043276</v>
      </c>
    </row>
    <row r="286" spans="1:24" x14ac:dyDescent="0.35">
      <c r="A286" s="352" t="s">
        <v>186</v>
      </c>
      <c r="B286" s="79">
        <v>26</v>
      </c>
      <c r="C286" s="79">
        <v>2019</v>
      </c>
      <c r="D286" s="79" t="s">
        <v>35</v>
      </c>
      <c r="E286" s="362" t="s">
        <v>220</v>
      </c>
      <c r="F286" s="79"/>
      <c r="G286" s="79" t="s">
        <v>20</v>
      </c>
      <c r="H286" s="350" t="s">
        <v>485</v>
      </c>
      <c r="I286" s="364">
        <v>26332</v>
      </c>
      <c r="J286" s="367"/>
      <c r="K286" s="365">
        <f>IF(G286="L",0,
IF(AND(E286="Friendly",F286="T1",G286="W"),'US CBAs'!$J$19,
IF(AND(E286="Friendly",F286="T2",G286="W"),'US CBAs'!$J$20,
IF(AND(E286="Friendly",F286="",G286="W"),'US CBAs'!$J$21,
IF(AND(E286="Friendly",F286="T1",G286="D"),'US CBAs'!$J$22,
IF(AND(E286="Friendly",F286="",G286="D"),'US CBAs'!$J$23,
IF(AND(E286="WC qual",G286="W"),'US CBAs'!$J$27,
IF(AND(E286="WC qual",G286="D"),0,
IF(AND(E286="Oly qual",G286="W"),'US CBAs'!$J$27,
IF(AND(E286="Oly qual",G286="D"),0,
IF(E286="Olympics",0,
IF(E286="World Cup",'US CBAs'!$J$14,
0))))))))))))</f>
        <v>5250</v>
      </c>
      <c r="L286" s="233">
        <v>18</v>
      </c>
      <c r="M286" s="365">
        <f>$K286+'US CBAs'!$J$13</f>
        <v>9000</v>
      </c>
      <c r="N286" s="233">
        <v>5</v>
      </c>
      <c r="O286" s="366">
        <f t="shared" si="18"/>
        <v>139500</v>
      </c>
      <c r="P286" s="365">
        <f>IF(J286="",I286*'US CBAs'!$K$55,0)</f>
        <v>39498</v>
      </c>
      <c r="Q286" s="366">
        <f t="shared" si="19"/>
        <v>178998</v>
      </c>
      <c r="S286" s="285" t="s">
        <v>183</v>
      </c>
      <c r="T286" s="286">
        <f>$V279</f>
        <v>0</v>
      </c>
    </row>
    <row r="287" spans="1:24" x14ac:dyDescent="0.35">
      <c r="A287" s="352" t="s">
        <v>223</v>
      </c>
      <c r="B287" s="79">
        <v>11</v>
      </c>
      <c r="C287" s="79">
        <v>2019</v>
      </c>
      <c r="D287" s="79" t="s">
        <v>78</v>
      </c>
      <c r="E287" s="362" t="s">
        <v>1</v>
      </c>
      <c r="F287" s="79"/>
      <c r="G287" s="79" t="s">
        <v>20</v>
      </c>
      <c r="H287" s="350" t="s">
        <v>53</v>
      </c>
      <c r="I287" s="364">
        <v>18591</v>
      </c>
      <c r="J287" s="368" t="s">
        <v>218</v>
      </c>
      <c r="K287" s="365">
        <f>IF(G287="L",0,
IF(AND(E287="Friendly",F287="T1",G287="W"),'US CBAs'!$J$19,
IF(AND(E287="Friendly",F287="T2",G287="W"),'US CBAs'!$J$20,
IF(AND(E287="Friendly",F287="",G287="W"),'US CBAs'!$J$21,
IF(AND(E287="Friendly",F287="T1",G287="D"),'US CBAs'!$J$22,
IF(AND(E287="Friendly",F287="",G287="D"),'US CBAs'!$J$23,
IF(AND(E287="WC qual",G287="W"),'US CBAs'!$J$27,
IF(AND(E287="WC qual",G287="D"),0,
IF(AND(E287="Oly qual",G287="W"),'US CBAs'!$J$27,
IF(AND(E287="Oly qual",G287="D"),0,
IF(E287="Olympics",0,
IF(E287="World Cup",'US CBAs'!$J$14,
0))))))))))))</f>
        <v>4500</v>
      </c>
      <c r="L287" s="233">
        <v>18</v>
      </c>
      <c r="M287" s="365">
        <f>$K287+'US CBAs'!$J$13</f>
        <v>8250</v>
      </c>
      <c r="N287" s="233">
        <v>5</v>
      </c>
      <c r="O287" s="366">
        <f t="shared" si="18"/>
        <v>122250</v>
      </c>
      <c r="P287" s="365">
        <f>IF(J287="",I287*'US CBAs'!$K$55,0)</f>
        <v>0</v>
      </c>
      <c r="Q287" s="366">
        <f t="shared" si="19"/>
        <v>122250</v>
      </c>
      <c r="S287" s="287" t="s">
        <v>414</v>
      </c>
      <c r="T287" s="288">
        <f>$T285+$T286</f>
        <v>2043276</v>
      </c>
    </row>
    <row r="288" spans="1:24" x14ac:dyDescent="0.35">
      <c r="A288" s="352" t="s">
        <v>223</v>
      </c>
      <c r="B288" s="79">
        <v>16</v>
      </c>
      <c r="C288" s="79">
        <v>2019</v>
      </c>
      <c r="D288" s="79" t="s">
        <v>66</v>
      </c>
      <c r="E288" s="362" t="s">
        <v>1</v>
      </c>
      <c r="F288" s="79"/>
      <c r="G288" s="79" t="s">
        <v>20</v>
      </c>
      <c r="H288" s="350" t="s">
        <v>53</v>
      </c>
      <c r="I288" s="364">
        <v>45594</v>
      </c>
      <c r="J288" s="368" t="s">
        <v>218</v>
      </c>
      <c r="K288" s="365">
        <f>IF(G288="L",0,
IF(AND(E288="Friendly",F288="T1",G288="W"),'US CBAs'!$J$19,
IF(AND(E288="Friendly",F288="T2",G288="W"),'US CBAs'!$J$20,
IF(AND(E288="Friendly",F288="",G288="W"),'US CBAs'!$J$21,
IF(AND(E288="Friendly",F288="T1",G288="D"),'US CBAs'!$J$22,
IF(AND(E288="Friendly",F288="",G288="D"),'US CBAs'!$J$23,
IF(AND(E288="WC qual",G288="W"),'US CBAs'!$J$27,
IF(AND(E288="WC qual",G288="D"),0,
IF(AND(E288="Oly qual",G288="W"),'US CBAs'!$J$27,
IF(AND(E288="Oly qual",G288="D"),0,
IF(E288="Olympics",0,
IF(E288="World Cup",'US CBAs'!$J$14,
0))))))))))))</f>
        <v>4500</v>
      </c>
      <c r="L288" s="233">
        <v>18</v>
      </c>
      <c r="M288" s="365">
        <f>$K288+'US CBAs'!$J$13</f>
        <v>8250</v>
      </c>
      <c r="N288" s="233">
        <v>5</v>
      </c>
      <c r="O288" s="366">
        <f t="shared" si="18"/>
        <v>122250</v>
      </c>
      <c r="P288" s="365">
        <f>IF(J288="",I288*'US CBAs'!$K$55,0)</f>
        <v>0</v>
      </c>
      <c r="Q288" s="366">
        <f t="shared" si="19"/>
        <v>122250</v>
      </c>
    </row>
    <row r="289" spans="1:22" x14ac:dyDescent="0.35">
      <c r="A289" s="352" t="s">
        <v>223</v>
      </c>
      <c r="B289" s="79">
        <v>20</v>
      </c>
      <c r="C289" s="79">
        <v>2019</v>
      </c>
      <c r="D289" s="79" t="s">
        <v>26</v>
      </c>
      <c r="E289" s="362" t="s">
        <v>1</v>
      </c>
      <c r="F289" s="79"/>
      <c r="G289" s="79" t="s">
        <v>20</v>
      </c>
      <c r="H289" s="350" t="s">
        <v>53</v>
      </c>
      <c r="I289" s="364">
        <v>22418</v>
      </c>
      <c r="J289" s="368" t="s">
        <v>218</v>
      </c>
      <c r="K289" s="365">
        <f>IF(G289="L",0,
IF(AND(E289="Friendly",F289="T1",G289="W"),'US CBAs'!$J$19,
IF(AND(E289="Friendly",F289="T2",G289="W"),'US CBAs'!$J$20,
IF(AND(E289="Friendly",F289="",G289="W"),'US CBAs'!$J$21,
IF(AND(E289="Friendly",F289="T1",G289="D"),'US CBAs'!$J$22,
IF(AND(E289="Friendly",F289="",G289="D"),'US CBAs'!$J$23,
IF(AND(E289="WC qual",G289="W"),'US CBAs'!$J$27,
IF(AND(E289="WC qual",G289="D"),0,
IF(AND(E289="Oly qual",G289="W"),'US CBAs'!$J$27,
IF(AND(E289="Oly qual",G289="D"),0,
IF(E289="Olympics",0,
IF(E289="World Cup",'US CBAs'!$J$14,
0))))))))))))</f>
        <v>4500</v>
      </c>
      <c r="L289" s="233">
        <v>18</v>
      </c>
      <c r="M289" s="365">
        <f>$K289+'US CBAs'!$J$13</f>
        <v>8250</v>
      </c>
      <c r="N289" s="233">
        <v>5</v>
      </c>
      <c r="O289" s="366">
        <f t="shared" si="18"/>
        <v>122250</v>
      </c>
      <c r="P289" s="365">
        <f>IF(J289="",I289*'US CBAs'!$K$55,0)</f>
        <v>0</v>
      </c>
      <c r="Q289" s="366">
        <f t="shared" si="19"/>
        <v>122250</v>
      </c>
    </row>
    <row r="290" spans="1:22" x14ac:dyDescent="0.35">
      <c r="A290" s="352" t="s">
        <v>223</v>
      </c>
      <c r="B290" s="79">
        <v>24</v>
      </c>
      <c r="C290" s="79">
        <v>2019</v>
      </c>
      <c r="D290" s="79" t="s">
        <v>256</v>
      </c>
      <c r="E290" s="362" t="s">
        <v>1</v>
      </c>
      <c r="F290" s="79"/>
      <c r="G290" s="79" t="s">
        <v>20</v>
      </c>
      <c r="H290" s="350" t="s">
        <v>53</v>
      </c>
      <c r="I290" s="364">
        <v>19633</v>
      </c>
      <c r="J290" s="368" t="s">
        <v>218</v>
      </c>
      <c r="K290" s="365">
        <f>IF(G290="L",0,
IF(AND(E290="Friendly",F290="T1",G290="W"),'US CBAs'!$J$19,
IF(AND(E290="Friendly",F290="T2",G290="W"),'US CBAs'!$J$20,
IF(AND(E290="Friendly",F290="",G290="W"),'US CBAs'!$J$21,
IF(AND(E290="Friendly",F290="T1",G290="D"),'US CBAs'!$J$22,
IF(AND(E290="Friendly",F290="",G290="D"),'US CBAs'!$J$23,
IF(AND(E290="WC qual",G290="W"),'US CBAs'!$J$27,
IF(AND(E290="WC qual",G290="D"),0,
IF(AND(E290="Oly qual",G290="W"),'US CBAs'!$J$27,
IF(AND(E290="Oly qual",G290="D"),0,
IF(E290="Olympics",0,
IF(E290="World Cup",'US CBAs'!$J$14,
0))))))))))))</f>
        <v>4500</v>
      </c>
      <c r="L290" s="233">
        <v>18</v>
      </c>
      <c r="M290" s="365">
        <f>$K290+'US CBAs'!$J$13</f>
        <v>8250</v>
      </c>
      <c r="N290" s="233">
        <v>5</v>
      </c>
      <c r="O290" s="366">
        <f t="shared" si="18"/>
        <v>122250</v>
      </c>
      <c r="P290" s="365">
        <f>IF(J290="",I290*'US CBAs'!$K$55,0)</f>
        <v>0</v>
      </c>
      <c r="Q290" s="366">
        <f t="shared" si="19"/>
        <v>122250</v>
      </c>
    </row>
    <row r="291" spans="1:22" x14ac:dyDescent="0.35">
      <c r="A291" s="352" t="s">
        <v>223</v>
      </c>
      <c r="B291" s="79">
        <v>28</v>
      </c>
      <c r="C291" s="79">
        <v>2019</v>
      </c>
      <c r="D291" s="79" t="s">
        <v>53</v>
      </c>
      <c r="E291" s="362" t="s">
        <v>1</v>
      </c>
      <c r="F291" s="79"/>
      <c r="G291" s="79" t="s">
        <v>20</v>
      </c>
      <c r="H291" s="350" t="s">
        <v>53</v>
      </c>
      <c r="I291" s="364">
        <v>45595</v>
      </c>
      <c r="J291" s="368" t="s">
        <v>218</v>
      </c>
      <c r="K291" s="365">
        <f>IF(G291="L",0,
IF(AND(E291="Friendly",F291="T1",G291="W"),'US CBAs'!$J$19,
IF(AND(E291="Friendly",F291="T2",G291="W"),'US CBAs'!$J$20,
IF(AND(E291="Friendly",F291="",G291="W"),'US CBAs'!$J$21,
IF(AND(E291="Friendly",F291="T1",G291="D"),'US CBAs'!$J$22,
IF(AND(E291="Friendly",F291="",G291="D"),'US CBAs'!$J$23,
IF(AND(E291="WC qual",G291="W"),'US CBAs'!$J$27,
IF(AND(E291="WC qual",G291="D"),0,
IF(AND(E291="Oly qual",G291="W"),'US CBAs'!$J$27,
IF(AND(E291="Oly qual",G291="D"),0,
IF(E291="Olympics",0,
IF(E291="World Cup",'US CBAs'!$J$14,
0))))))))))))</f>
        <v>4500</v>
      </c>
      <c r="L291" s="233">
        <v>18</v>
      </c>
      <c r="M291" s="365">
        <f>$K291+'US CBAs'!$J$13</f>
        <v>8250</v>
      </c>
      <c r="N291" s="233">
        <v>5</v>
      </c>
      <c r="O291" s="366">
        <f t="shared" si="18"/>
        <v>122250</v>
      </c>
      <c r="P291" s="365">
        <f>IF(J291="",I291*'US CBAs'!$K$55,0)</f>
        <v>0</v>
      </c>
      <c r="Q291" s="366">
        <f t="shared" si="19"/>
        <v>122250</v>
      </c>
    </row>
    <row r="292" spans="1:22" x14ac:dyDescent="0.35">
      <c r="A292" s="352" t="s">
        <v>230</v>
      </c>
      <c r="B292" s="79">
        <v>2</v>
      </c>
      <c r="C292" s="79">
        <v>2019</v>
      </c>
      <c r="D292" s="79" t="s">
        <v>61</v>
      </c>
      <c r="E292" s="362" t="s">
        <v>1</v>
      </c>
      <c r="F292" s="79"/>
      <c r="G292" s="79" t="s">
        <v>20</v>
      </c>
      <c r="H292" s="350" t="s">
        <v>53</v>
      </c>
      <c r="I292" s="364">
        <v>53512</v>
      </c>
      <c r="J292" s="368" t="s">
        <v>218</v>
      </c>
      <c r="K292" s="365">
        <f>IF(G292="L",0,
IF(AND(E292="Friendly",F292="T1",G292="W"),'US CBAs'!$J$19,
IF(AND(E292="Friendly",F292="T2",G292="W"),'US CBAs'!$J$20,
IF(AND(E292="Friendly",F292="",G292="W"),'US CBAs'!$J$21,
IF(AND(E292="Friendly",F292="T1",G292="D"),'US CBAs'!$J$22,
IF(AND(E292="Friendly",F292="",G292="D"),'US CBAs'!$J$23,
IF(AND(E292="WC qual",G292="W"),'US CBAs'!$J$27,
IF(AND(E292="WC qual",G292="D"),0,
IF(AND(E292="Oly qual",G292="W"),'US CBAs'!$J$27,
IF(AND(E292="Oly qual",G292="D"),0,
IF(E292="Olympics",0,
IF(E292="World Cup",'US CBAs'!$J$14,
0))))))))))))</f>
        <v>4500</v>
      </c>
      <c r="L292" s="233">
        <v>18</v>
      </c>
      <c r="M292" s="365">
        <f>$K292+'US CBAs'!$J$13</f>
        <v>8250</v>
      </c>
      <c r="N292" s="233">
        <v>5</v>
      </c>
      <c r="O292" s="366">
        <f t="shared" si="18"/>
        <v>122250</v>
      </c>
      <c r="P292" s="365">
        <f>IF(J292="",I292*'US CBAs'!$K$55,0)</f>
        <v>0</v>
      </c>
      <c r="Q292" s="366">
        <f t="shared" si="19"/>
        <v>122250</v>
      </c>
    </row>
    <row r="293" spans="1:22" x14ac:dyDescent="0.35">
      <c r="A293" s="352" t="s">
        <v>230</v>
      </c>
      <c r="B293" s="79">
        <v>7</v>
      </c>
      <c r="C293" s="79">
        <v>2019</v>
      </c>
      <c r="D293" s="79" t="s">
        <v>30</v>
      </c>
      <c r="E293" s="362" t="s">
        <v>1</v>
      </c>
      <c r="F293" s="79"/>
      <c r="G293" s="79" t="s">
        <v>20</v>
      </c>
      <c r="H293" s="350" t="s">
        <v>53</v>
      </c>
      <c r="I293" s="364">
        <v>53512</v>
      </c>
      <c r="J293" s="368" t="s">
        <v>218</v>
      </c>
      <c r="K293" s="365">
        <f>IF(G293="L",0,
IF(AND(E293="Friendly",F293="T1",G293="W"),'US CBAs'!$J$19,
IF(AND(E293="Friendly",F293="T2",G293="W"),'US CBAs'!$J$20,
IF(AND(E293="Friendly",F293="",G293="W"),'US CBAs'!$J$21,
IF(AND(E293="Friendly",F293="T1",G293="D"),'US CBAs'!$J$22,
IF(AND(E293="Friendly",F293="",G293="D"),'US CBAs'!$J$23,
IF(AND(E293="WC qual",G293="W"),'US CBAs'!$J$27,
IF(AND(E293="WC qual",G293="D"),0,
IF(AND(E293="Oly qual",G293="W"),'US CBAs'!$J$27,
IF(AND(E293="Oly qual",G293="D"),0,
IF(E293="Olympics",0,
IF(E293="World Cup",'US CBAs'!$J$14,
0))))))))))))</f>
        <v>4500</v>
      </c>
      <c r="L293" s="233">
        <v>18</v>
      </c>
      <c r="M293" s="365">
        <f>$K293+'US CBAs'!$J$13</f>
        <v>8250</v>
      </c>
      <c r="N293" s="233">
        <v>5</v>
      </c>
      <c r="O293" s="366">
        <f t="shared" si="18"/>
        <v>122250</v>
      </c>
      <c r="P293" s="365">
        <f>IF(J293="",I293*'US CBAs'!$K$55,0)</f>
        <v>0</v>
      </c>
      <c r="Q293" s="366">
        <f t="shared" si="19"/>
        <v>122250</v>
      </c>
    </row>
    <row r="294" spans="1:22" x14ac:dyDescent="0.35">
      <c r="A294" s="352" t="s">
        <v>203</v>
      </c>
      <c r="B294" s="79">
        <v>3</v>
      </c>
      <c r="C294" s="79">
        <v>2019</v>
      </c>
      <c r="D294" s="79" t="s">
        <v>566</v>
      </c>
      <c r="E294" s="362" t="s">
        <v>220</v>
      </c>
      <c r="F294" s="79"/>
      <c r="G294" s="79" t="s">
        <v>20</v>
      </c>
      <c r="H294" s="362" t="s">
        <v>481</v>
      </c>
      <c r="I294" s="364">
        <v>37040</v>
      </c>
      <c r="J294" s="367"/>
      <c r="K294" s="365">
        <f>IF(G294="L",0,
IF(AND(E294="Friendly",F294="T1",G294="W"),'US CBAs'!$J$19,
IF(AND(E294="Friendly",F294="T2",G294="W"),'US CBAs'!$J$20,
IF(AND(E294="Friendly",F294="",G294="W"),'US CBAs'!$J$21,
IF(AND(E294="Friendly",F294="T1",G294="D"),'US CBAs'!$J$22,
IF(AND(E294="Friendly",F294="",G294="D"),'US CBAs'!$J$23,
IF(AND(E294="WC qual",G294="W"),'US CBAs'!$J$27,
IF(AND(E294="WC qual",G294="D"),0,
IF(AND(E294="Oly qual",G294="W"),'US CBAs'!$J$27,
IF(AND(E294="Oly qual",G294="D"),0,
IF(E294="Olympics",0,
IF(E294="World Cup",'US CBAs'!$J$14,
0))))))))))))</f>
        <v>5250</v>
      </c>
      <c r="L294" s="233">
        <v>16</v>
      </c>
      <c r="M294" s="365">
        <f>$K294+'US CBAs'!$J$13</f>
        <v>9000</v>
      </c>
      <c r="N294" s="233">
        <v>5</v>
      </c>
      <c r="O294" s="366">
        <f t="shared" si="18"/>
        <v>129000</v>
      </c>
      <c r="P294" s="365">
        <f>IF(J294="",I294*'US CBAs'!$K$55,0)</f>
        <v>55560</v>
      </c>
      <c r="Q294" s="366">
        <f t="shared" si="19"/>
        <v>184560</v>
      </c>
    </row>
    <row r="295" spans="1:22" x14ac:dyDescent="0.35">
      <c r="A295" s="352" t="s">
        <v>203</v>
      </c>
      <c r="B295" s="79">
        <v>29</v>
      </c>
      <c r="C295" s="79">
        <v>2019</v>
      </c>
      <c r="D295" s="79" t="s">
        <v>82</v>
      </c>
      <c r="E295" s="362" t="s">
        <v>220</v>
      </c>
      <c r="F295" s="79"/>
      <c r="G295" s="79" t="s">
        <v>20</v>
      </c>
      <c r="H295" s="362" t="s">
        <v>484</v>
      </c>
      <c r="I295" s="364">
        <v>49504</v>
      </c>
      <c r="J295" s="367"/>
      <c r="K295" s="365">
        <f>IF(G295="L",0,
IF(AND(E295="Friendly",F295="T1",G295="W"),'US CBAs'!$J$19,
IF(AND(E295="Friendly",F295="T2",G295="W"),'US CBAs'!$J$20,
IF(AND(E295="Friendly",F295="",G295="W"),'US CBAs'!$J$21,
IF(AND(E295="Friendly",F295="T1",G295="D"),'US CBAs'!$J$22,
IF(AND(E295="Friendly",F295="",G295="D"),'US CBAs'!$J$23,
IF(AND(E295="WC qual",G295="W"),'US CBAs'!$J$27,
IF(AND(E295="WC qual",G295="D"),0,
IF(AND(E295="Oly qual",G295="W"),'US CBAs'!$J$27,
IF(AND(E295="Oly qual",G295="D"),0,
IF(E295="Olympics",0,
IF(E295="World Cup",'US CBAs'!$J$14,
0))))))))))))</f>
        <v>5250</v>
      </c>
      <c r="L295" s="233">
        <v>14</v>
      </c>
      <c r="M295" s="365">
        <f>$K295+'US CBAs'!$J$13</f>
        <v>9000</v>
      </c>
      <c r="N295" s="233">
        <v>6</v>
      </c>
      <c r="O295" s="366">
        <f t="shared" si="18"/>
        <v>127500</v>
      </c>
      <c r="P295" s="365">
        <f>IF(J295="",I295*'US CBAs'!$K$55,0)</f>
        <v>74256</v>
      </c>
      <c r="Q295" s="366">
        <f t="shared" si="19"/>
        <v>201756</v>
      </c>
    </row>
    <row r="296" spans="1:22" x14ac:dyDescent="0.35">
      <c r="A296" s="352" t="s">
        <v>222</v>
      </c>
      <c r="B296" s="79">
        <v>3</v>
      </c>
      <c r="C296" s="79">
        <v>2019</v>
      </c>
      <c r="D296" s="79" t="s">
        <v>82</v>
      </c>
      <c r="E296" s="362" t="s">
        <v>220</v>
      </c>
      <c r="F296" s="79"/>
      <c r="G296" s="79" t="s">
        <v>20</v>
      </c>
      <c r="H296" s="309" t="s">
        <v>506</v>
      </c>
      <c r="I296" s="364">
        <v>19600</v>
      </c>
      <c r="J296" s="367"/>
      <c r="K296" s="365">
        <f>IF(G296="L",0,
IF(AND(E296="Friendly",F296="T1",G296="W"),'US CBAs'!$J$19,
IF(AND(E296="Friendly",F296="T2",G296="W"),'US CBAs'!$J$20,
IF(AND(E296="Friendly",F296="",G296="W"),'US CBAs'!$J$21,
IF(AND(E296="Friendly",F296="T1",G296="D"),'US CBAs'!$J$22,
IF(AND(E296="Friendly",F296="",G296="D"),'US CBAs'!$J$23,
IF(AND(E296="WC qual",G296="W"),'US CBAs'!$J$27,
IF(AND(E296="WC qual",G296="D"),0,
IF(AND(E296="Oly qual",G296="W"),'US CBAs'!$J$27,
IF(AND(E296="Oly qual",G296="D"),0,
IF(E296="Olympics",0,
IF(E296="World Cup",'US CBAs'!$J$14,
0))))))))))))</f>
        <v>5250</v>
      </c>
      <c r="L296" s="233">
        <v>14</v>
      </c>
      <c r="M296" s="365">
        <f>$K296+'US CBAs'!$J$13</f>
        <v>9000</v>
      </c>
      <c r="N296" s="233">
        <v>6</v>
      </c>
      <c r="O296" s="366">
        <f t="shared" si="18"/>
        <v>127500</v>
      </c>
      <c r="P296" s="365">
        <f>IF(J296="",I296*'US CBAs'!$K$55,0)</f>
        <v>29400</v>
      </c>
      <c r="Q296" s="366">
        <f t="shared" si="19"/>
        <v>156900</v>
      </c>
    </row>
    <row r="297" spans="1:22" x14ac:dyDescent="0.35">
      <c r="A297" s="352" t="s">
        <v>189</v>
      </c>
      <c r="B297" s="79">
        <v>3</v>
      </c>
      <c r="C297" s="79">
        <v>2019</v>
      </c>
      <c r="D297" s="79" t="s">
        <v>34</v>
      </c>
      <c r="E297" s="362" t="s">
        <v>220</v>
      </c>
      <c r="F297" s="79"/>
      <c r="G297" s="79" t="s">
        <v>20</v>
      </c>
      <c r="H297" s="362" t="s">
        <v>502</v>
      </c>
      <c r="I297" s="364">
        <v>30071</v>
      </c>
      <c r="J297" s="367"/>
      <c r="K297" s="365">
        <f>IF(G297="L",0,
IF(AND(E297="Friendly",F297="T1",G297="W"),'US CBAs'!$J$19,
IF(AND(E297="Friendly",F297="T2",G297="W"),'US CBAs'!$J$20,
IF(AND(E297="Friendly",F297="",G297="W"),'US CBAs'!$J$21,
IF(AND(E297="Friendly",F297="T1",G297="D"),'US CBAs'!$J$22,
IF(AND(E297="Friendly",F297="",G297="D"),'US CBAs'!$J$23,
IF(AND(E297="WC qual",G297="W"),'US CBAs'!$J$27,
IF(AND(E297="WC qual",G297="D"),0,
IF(AND(E297="Oly qual",G297="W"),'US CBAs'!$J$27,
IF(AND(E297="Oly qual",G297="D"),0,
IF(E297="Olympics",0,
IF(E297="World Cup",'US CBAs'!$J$14,
0))))))))))))</f>
        <v>5250</v>
      </c>
      <c r="L297" s="233">
        <v>13</v>
      </c>
      <c r="M297" s="365">
        <f>$K297+'US CBAs'!$J$13</f>
        <v>9000</v>
      </c>
      <c r="N297" s="233">
        <v>5</v>
      </c>
      <c r="O297" s="366">
        <f t="shared" si="18"/>
        <v>113250</v>
      </c>
      <c r="P297" s="365">
        <f>IF(J297="",I297*'US CBAs'!$K$55,0)</f>
        <v>45106.5</v>
      </c>
      <c r="Q297" s="366">
        <f t="shared" si="19"/>
        <v>158356.5</v>
      </c>
    </row>
    <row r="298" spans="1:22" x14ac:dyDescent="0.35">
      <c r="A298" s="352" t="s">
        <v>189</v>
      </c>
      <c r="B298" s="79">
        <v>6</v>
      </c>
      <c r="C298" s="79">
        <v>2019</v>
      </c>
      <c r="D298" s="79" t="s">
        <v>34</v>
      </c>
      <c r="E298" s="362" t="s">
        <v>220</v>
      </c>
      <c r="F298" s="79"/>
      <c r="G298" s="79" t="s">
        <v>83</v>
      </c>
      <c r="H298" s="362" t="s">
        <v>487</v>
      </c>
      <c r="I298" s="364">
        <v>33027</v>
      </c>
      <c r="J298" s="367"/>
      <c r="K298" s="365">
        <f>IF(G298="L",0,
IF(AND(E298="Friendly",F298="T1",G298="W"),'US CBAs'!$J$19,
IF(AND(E298="Friendly",F298="T2",G298="W"),'US CBAs'!$J$20,
IF(AND(E298="Friendly",F298="",G298="W"),'US CBAs'!$J$21,
IF(AND(E298="Friendly",F298="T1",G298="D"),'US CBAs'!$J$22,
IF(AND(E298="Friendly",F298="",G298="D"),'US CBAs'!$J$23,
IF(AND(E298="WC qual",G298="W"),'US CBAs'!$J$27,
IF(AND(E298="WC qual",G298="D"),0,
IF(AND(E298="Oly qual",G298="W"),'US CBAs'!$J$27,
IF(AND(E298="Oly qual",G298="D"),0,
IF(E298="Olympics",0,
IF(E298="World Cup",'US CBAs'!$J$14,
0))))))))))))</f>
        <v>1250</v>
      </c>
      <c r="L298" s="233">
        <v>13</v>
      </c>
      <c r="M298" s="365">
        <f>$K298+'US CBAs'!$J$13</f>
        <v>5000</v>
      </c>
      <c r="N298" s="233">
        <v>6</v>
      </c>
      <c r="O298" s="366">
        <f t="shared" si="18"/>
        <v>46250</v>
      </c>
      <c r="P298" s="365">
        <f>IF(J298="",I298*'US CBAs'!$K$55,0)</f>
        <v>49540.5</v>
      </c>
      <c r="Q298" s="366">
        <f t="shared" si="19"/>
        <v>95790.5</v>
      </c>
      <c r="S298" s="253" t="s">
        <v>568</v>
      </c>
      <c r="T298" s="254" t="s">
        <v>6</v>
      </c>
      <c r="U298" s="254" t="s">
        <v>18</v>
      </c>
      <c r="V298" s="255" t="s">
        <v>91</v>
      </c>
    </row>
    <row r="299" spans="1:22" x14ac:dyDescent="0.35">
      <c r="A299" s="352" t="s">
        <v>190</v>
      </c>
      <c r="B299" s="79">
        <v>7</v>
      </c>
      <c r="C299" s="79">
        <v>2019</v>
      </c>
      <c r="D299" s="79" t="s">
        <v>26</v>
      </c>
      <c r="E299" s="362" t="s">
        <v>220</v>
      </c>
      <c r="F299" s="79"/>
      <c r="G299" s="79" t="s">
        <v>20</v>
      </c>
      <c r="H299" s="362" t="s">
        <v>495</v>
      </c>
      <c r="I299" s="364">
        <v>20903</v>
      </c>
      <c r="J299" s="367"/>
      <c r="K299" s="365">
        <f>IF(G299="L",0,
IF(AND(E299="Friendly",F299="T1",G299="W"),'US CBAs'!$J$19,
IF(AND(E299="Friendly",F299="T2",G299="W"),'US CBAs'!$J$20,
IF(AND(E299="Friendly",F299="",G299="W"),'US CBAs'!$J$21,
IF(AND(E299="Friendly",F299="T1",G299="D"),'US CBAs'!$J$22,
IF(AND(E299="Friendly",F299="",G299="D"),'US CBAs'!$J$23,
IF(AND(E299="WC qual",G299="W"),'US CBAs'!$J$27,
IF(AND(E299="WC qual",G299="D"),0,
IF(AND(E299="Oly qual",G299="W"),'US CBAs'!$J$27,
IF(AND(E299="Oly qual",G299="D"),0,
IF(E299="Olympics",0,
IF(E299="World Cup",'US CBAs'!$J$14,
0))))))))))))</f>
        <v>5250</v>
      </c>
      <c r="L299" s="233">
        <v>13</v>
      </c>
      <c r="M299" s="365">
        <f>$K299+'US CBAs'!$J$13</f>
        <v>9000</v>
      </c>
      <c r="N299" s="233">
        <v>5</v>
      </c>
      <c r="O299" s="366">
        <f t="shared" si="18"/>
        <v>113250</v>
      </c>
      <c r="P299" s="365">
        <f>IF(J299="",I299*'US CBAs'!$K$55,0)</f>
        <v>31354.5</v>
      </c>
      <c r="Q299" s="366">
        <f t="shared" si="19"/>
        <v>144604.5</v>
      </c>
      <c r="S299" s="322" t="s">
        <v>289</v>
      </c>
      <c r="T299" s="252">
        <f>'US CBAs'!$J$16</f>
        <v>37500</v>
      </c>
      <c r="U299" s="326">
        <v>23</v>
      </c>
      <c r="V299" s="252">
        <f>T299*U299</f>
        <v>862500</v>
      </c>
    </row>
    <row r="300" spans="1:22" x14ac:dyDescent="0.35">
      <c r="A300" s="352" t="s">
        <v>190</v>
      </c>
      <c r="B300" s="79">
        <v>10</v>
      </c>
      <c r="C300" s="79">
        <v>2019</v>
      </c>
      <c r="D300" s="79" t="s">
        <v>36</v>
      </c>
      <c r="E300" s="362" t="s">
        <v>220</v>
      </c>
      <c r="F300" s="79"/>
      <c r="G300" s="79" t="s">
        <v>20</v>
      </c>
      <c r="H300" s="309" t="s">
        <v>482</v>
      </c>
      <c r="I300" s="364">
        <v>12914</v>
      </c>
      <c r="J300" s="367"/>
      <c r="K300" s="365">
        <f>IF(G300="L",0,
IF(AND(E300="Friendly",F300="T1",G300="W"),'US CBAs'!$J$19,
IF(AND(E300="Friendly",F300="T2",G300="W"),'US CBAs'!$J$20,
IF(AND(E300="Friendly",F300="",G300="W"),'US CBAs'!$J$21,
IF(AND(E300="Friendly",F300="T1",G300="D"),'US CBAs'!$J$22,
IF(AND(E300="Friendly",F300="",G300="D"),'US CBAs'!$J$23,
IF(AND(E300="WC qual",G300="W"),'US CBAs'!$J$27,
IF(AND(E300="WC qual",G300="D"),0,
IF(AND(E300="Oly qual",G300="W"),'US CBAs'!$J$27,
IF(AND(E300="Oly qual",G300="D"),0,
IF(E300="Olympics",0,
IF(E300="World Cup",'US CBAs'!$J$14,
0))))))))))))</f>
        <v>5250</v>
      </c>
      <c r="L300" s="233">
        <v>9</v>
      </c>
      <c r="M300" s="365">
        <f>$K300+'US CBAs'!$J$13</f>
        <v>9000</v>
      </c>
      <c r="N300" s="233">
        <v>9</v>
      </c>
      <c r="O300" s="366">
        <f t="shared" si="18"/>
        <v>128250</v>
      </c>
      <c r="P300" s="365">
        <f>IF(J300="",I300*'US CBAs'!$K$55,0)</f>
        <v>19371</v>
      </c>
      <c r="Q300" s="366">
        <f t="shared" si="19"/>
        <v>147621</v>
      </c>
      <c r="S300" s="322" t="s">
        <v>569</v>
      </c>
      <c r="T300" s="325"/>
      <c r="U300" s="326"/>
      <c r="V300" s="252">
        <f>'US CBAs'!$K$36</f>
        <v>2530000</v>
      </c>
    </row>
    <row r="301" spans="1:22" x14ac:dyDescent="0.35">
      <c r="A301" s="379"/>
      <c r="B301" s="309"/>
      <c r="C301" s="309"/>
      <c r="D301" s="309"/>
      <c r="E301" s="309"/>
      <c r="F301" s="309"/>
      <c r="G301" s="309"/>
      <c r="H301" s="309"/>
      <c r="I301" s="385" t="s">
        <v>0</v>
      </c>
      <c r="J301" s="386"/>
      <c r="K301" s="387">
        <v>100000</v>
      </c>
      <c r="L301" s="313">
        <v>18</v>
      </c>
      <c r="M301" s="387"/>
      <c r="N301" s="313"/>
      <c r="O301" s="388">
        <f>(K301*L301)+(M301*N301)</f>
        <v>1800000</v>
      </c>
      <c r="P301" s="389"/>
      <c r="Q301" s="388">
        <f>O301+P301</f>
        <v>1800000</v>
      </c>
      <c r="S301" s="79" t="s">
        <v>454</v>
      </c>
      <c r="V301" s="252">
        <f>'US CBAs'!$K$44</f>
        <v>1400000</v>
      </c>
    </row>
    <row r="302" spans="1:22" x14ac:dyDescent="0.35">
      <c r="A302" s="379"/>
      <c r="B302" s="309"/>
      <c r="C302" s="309"/>
      <c r="D302" s="309"/>
      <c r="E302" s="309"/>
      <c r="F302" s="309"/>
      <c r="G302" s="309"/>
      <c r="H302" s="309"/>
      <c r="I302" s="385" t="s">
        <v>435</v>
      </c>
      <c r="J302" s="386"/>
      <c r="K302" s="387">
        <f>IF(G302="L",0,
IF(AND(E302="Friendly",F302="T1",G302="W"),'US CBAs'!$J$19,
IF(AND(E302="Friendly",F302="T2",G302="W"),'US CBAs'!$J$20,
IF(AND(E302="Friendly",F302="",G302="W"),'US CBAs'!$J$21,
IF(AND(E302="Friendly",F302="T1",G302="D"),'US CBAs'!$J$22,
IF(AND(E302="Friendly",F302="",G302="D"),'US CBAs'!$J$23,
IF(AND(E302="WC qual",G302="W"),'US CBAs'!$J$27,
IF(AND(E302="WC qual",G302="D"),0,
IF(AND(E302="Oly qual",G302="W"),'US CBAs'!$J$27,
IF(AND(E302="Oly qual",G302="D"),0,
IF(E302="Olympics",0,
IF(E302="World Cup",'US CBAs'!$J$14,
0))))))))))))</f>
        <v>0</v>
      </c>
      <c r="L302" s="313"/>
      <c r="M302" s="387">
        <f>$K302+'US CBAs'!$J$13</f>
        <v>3750</v>
      </c>
      <c r="N302" s="313">
        <v>20</v>
      </c>
      <c r="O302" s="388">
        <f>(K302*L302)+(M302*N302)</f>
        <v>75000</v>
      </c>
      <c r="P302" s="389"/>
      <c r="Q302" s="388">
        <f>O302+P302</f>
        <v>75000</v>
      </c>
      <c r="S302" s="79" t="s">
        <v>570</v>
      </c>
      <c r="T302" s="39"/>
      <c r="U302" s="39"/>
      <c r="V302" s="318">
        <f>V301/4</f>
        <v>350000</v>
      </c>
    </row>
    <row r="303" spans="1:22" x14ac:dyDescent="0.35">
      <c r="A303" s="289" t="s">
        <v>24</v>
      </c>
      <c r="B303" s="289"/>
      <c r="C303" s="289"/>
      <c r="D303" s="289"/>
      <c r="E303" s="363"/>
      <c r="F303" s="289"/>
      <c r="G303" s="289"/>
      <c r="H303" s="371"/>
      <c r="I303" s="369"/>
      <c r="J303" s="303"/>
      <c r="K303" s="370"/>
      <c r="L303" s="289"/>
      <c r="M303" s="370"/>
      <c r="N303" s="289"/>
      <c r="O303" s="306">
        <f>SUBTOTAL(109,Table20[Game pay])</f>
        <v>4489500</v>
      </c>
      <c r="P303" s="306">
        <f>SUBTOTAL(109,Table20[Att bonus])</f>
        <v>565251</v>
      </c>
      <c r="Q303" s="306">
        <f>SUBTOTAL(109,Table20[TEAM PAY])</f>
        <v>5054751</v>
      </c>
      <c r="S303" s="47" t="s">
        <v>90</v>
      </c>
      <c r="V303" s="318">
        <f>SUM(V299:V302)</f>
        <v>5142500</v>
      </c>
    </row>
    <row r="304" spans="1:22" x14ac:dyDescent="0.35">
      <c r="P304" s="293" t="s">
        <v>398</v>
      </c>
      <c r="Q304" s="294">
        <f>$V303</f>
        <v>5142500</v>
      </c>
    </row>
    <row r="305" spans="16:17" x14ac:dyDescent="0.35">
      <c r="P305" s="295" t="s">
        <v>90</v>
      </c>
      <c r="Q305" s="296">
        <f>Q303+Q304</f>
        <v>10197251</v>
      </c>
    </row>
  </sheetData>
  <mergeCells count="2">
    <mergeCell ref="A1:Y1"/>
    <mergeCell ref="S108:T108"/>
  </mergeCells>
  <pageMargins left="0.7" right="0.7" top="0.75" bottom="0.75" header="0.3" footer="0.3"/>
  <pageSetup orientation="portrait" horizontalDpi="4294967293" r:id="rId1"/>
  <ignoredErrors>
    <ignoredError sqref="K243 K301" calculatedColumn="1"/>
  </ignoredErrors>
  <tableParts count="10">
    <tablePart r:id="rId2"/>
    <tablePart r:id="rId3"/>
    <tablePart r:id="rId4"/>
    <tablePart r:id="rId5"/>
    <tablePart r:id="rId6"/>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AA796-874B-4607-A356-4D96B9DA76F9}">
  <sheetPr>
    <tabColor rgb="FF92D050"/>
  </sheetPr>
  <dimension ref="A1:U227"/>
  <sheetViews>
    <sheetView topLeftCell="K1" workbookViewId="0">
      <selection activeCell="Q14" sqref="Q14:T17"/>
    </sheetView>
  </sheetViews>
  <sheetFormatPr defaultRowHeight="12.75" x14ac:dyDescent="0.35"/>
  <cols>
    <col min="1" max="1" width="7.46484375" style="39" customWidth="1"/>
    <col min="2" max="2" width="5.59765625" style="196" customWidth="1"/>
    <col min="3" max="3" width="6.265625" style="44" customWidth="1"/>
    <col min="4" max="4" width="16.59765625" style="39" customWidth="1"/>
    <col min="5" max="5" width="12.06640625" style="39" customWidth="1"/>
    <col min="6" max="7" width="5.73046875" style="39" customWidth="1"/>
    <col min="8" max="8" width="13.06640625" style="39" customWidth="1"/>
    <col min="9" max="9" width="12.53125" style="43" customWidth="1"/>
    <col min="10" max="10" width="5.86328125" style="39" customWidth="1"/>
    <col min="11" max="11" width="10.53125" style="40" customWidth="1"/>
    <col min="12" max="12" width="5.19921875" style="39" customWidth="1"/>
    <col min="13" max="13" width="11.86328125" style="39" customWidth="1"/>
    <col min="14" max="14" width="11.06640625" style="42" customWidth="1"/>
    <col min="15" max="15" width="11.73046875" style="39" customWidth="1"/>
    <col min="16" max="16" width="1.265625" style="41" customWidth="1"/>
    <col min="17" max="17" width="22.59765625" style="40" customWidth="1"/>
    <col min="18" max="18" width="10.796875" style="40" customWidth="1"/>
    <col min="19" max="19" width="6.9296875" style="40" customWidth="1"/>
    <col min="20" max="20" width="12.53125" style="228" customWidth="1"/>
    <col min="22" max="16384" width="9.06640625" style="39"/>
  </cols>
  <sheetData>
    <row r="1" spans="1:21" ht="21" customHeight="1" x14ac:dyDescent="0.35">
      <c r="A1" s="863" t="s">
        <v>441</v>
      </c>
      <c r="B1" s="863"/>
      <c r="C1" s="863"/>
      <c r="D1" s="863"/>
      <c r="E1" s="863"/>
      <c r="F1" s="863"/>
      <c r="G1" s="863"/>
      <c r="H1" s="863"/>
      <c r="I1" s="863"/>
      <c r="J1" s="863"/>
      <c r="K1" s="863"/>
      <c r="L1" s="863"/>
      <c r="M1" s="863"/>
      <c r="N1" s="863"/>
      <c r="O1" s="863"/>
      <c r="P1" s="863"/>
      <c r="Q1" s="863"/>
      <c r="R1" s="863"/>
      <c r="S1" s="863"/>
      <c r="T1" s="863"/>
      <c r="U1" s="171"/>
    </row>
    <row r="2" spans="1:21" x14ac:dyDescent="0.35">
      <c r="A2" s="53" t="s">
        <v>249</v>
      </c>
      <c r="B2" s="194" t="s">
        <v>248</v>
      </c>
      <c r="C2" s="65" t="s">
        <v>247</v>
      </c>
      <c r="D2" s="53" t="s">
        <v>15</v>
      </c>
      <c r="E2" s="53" t="s">
        <v>194</v>
      </c>
      <c r="F2" s="53" t="s">
        <v>246</v>
      </c>
      <c r="G2" s="53" t="s">
        <v>16</v>
      </c>
      <c r="H2" s="53" t="s">
        <v>245</v>
      </c>
      <c r="I2" s="64" t="s">
        <v>14</v>
      </c>
      <c r="J2" s="47" t="s">
        <v>244</v>
      </c>
      <c r="K2" s="47" t="s">
        <v>243</v>
      </c>
      <c r="L2" s="47" t="s">
        <v>17</v>
      </c>
      <c r="M2" s="47" t="s">
        <v>219</v>
      </c>
      <c r="N2" s="63" t="s">
        <v>242</v>
      </c>
      <c r="O2" s="47" t="s">
        <v>241</v>
      </c>
      <c r="P2" s="62"/>
      <c r="Q2" s="79"/>
    </row>
    <row r="3" spans="1:21" x14ac:dyDescent="0.35">
      <c r="A3" s="49" t="s">
        <v>191</v>
      </c>
      <c r="B3" s="195">
        <v>23</v>
      </c>
      <c r="C3" s="50">
        <v>2010</v>
      </c>
      <c r="D3" s="49" t="s">
        <v>32</v>
      </c>
      <c r="E3" s="49" t="s">
        <v>220</v>
      </c>
      <c r="F3" s="49"/>
      <c r="G3" s="49" t="s">
        <v>33</v>
      </c>
      <c r="H3" s="49" t="s">
        <v>481</v>
      </c>
      <c r="I3" s="57">
        <v>18626</v>
      </c>
      <c r="J3" s="40"/>
      <c r="K3" s="60">
        <f>IF(E3="Friendly",'US CBAs'!$J$82,IF(E3="World Cup",'US CBAs'!$J$84,0))</f>
        <v>3600</v>
      </c>
      <c r="L3" s="40">
        <v>20</v>
      </c>
      <c r="M3" s="59">
        <f t="shared" ref="M3:M16" si="0">K3*L3</f>
        <v>72000</v>
      </c>
      <c r="N3" s="45"/>
      <c r="O3" s="59">
        <f t="shared" ref="O3:O16" si="1">M3+N3</f>
        <v>72000</v>
      </c>
      <c r="P3" s="61"/>
      <c r="Q3" s="56" t="s">
        <v>380</v>
      </c>
    </row>
    <row r="4" spans="1:21" x14ac:dyDescent="0.35">
      <c r="A4" s="49" t="s">
        <v>192</v>
      </c>
      <c r="B4" s="195">
        <v>24</v>
      </c>
      <c r="C4" s="50">
        <v>2010</v>
      </c>
      <c r="D4" s="49" t="s">
        <v>46</v>
      </c>
      <c r="E4" s="49" t="s">
        <v>220</v>
      </c>
      <c r="F4" s="49"/>
      <c r="G4" s="49" t="s">
        <v>20</v>
      </c>
      <c r="H4" s="49" t="s">
        <v>482</v>
      </c>
      <c r="I4" s="57">
        <v>21737</v>
      </c>
      <c r="J4" s="40"/>
      <c r="K4" s="60">
        <f>IF(E4="Friendly",'US CBAs'!$J$82,IF(E4="World Cup",'US CBAs'!$J$84,0))</f>
        <v>3600</v>
      </c>
      <c r="L4" s="40">
        <v>20</v>
      </c>
      <c r="M4" s="59">
        <f t="shared" si="0"/>
        <v>72000</v>
      </c>
      <c r="N4" s="45"/>
      <c r="O4" s="59">
        <f t="shared" si="1"/>
        <v>72000</v>
      </c>
      <c r="Q4" s="66"/>
    </row>
    <row r="5" spans="1:21" x14ac:dyDescent="0.35">
      <c r="A5" s="49" t="s">
        <v>221</v>
      </c>
      <c r="B5" s="195">
        <v>3</v>
      </c>
      <c r="C5" s="50">
        <v>2010</v>
      </c>
      <c r="D5" s="49" t="s">
        <v>30</v>
      </c>
      <c r="E5" s="49" t="s">
        <v>220</v>
      </c>
      <c r="F5" s="49"/>
      <c r="G5" s="49" t="s">
        <v>33</v>
      </c>
      <c r="H5" s="49" t="s">
        <v>30</v>
      </c>
      <c r="I5" s="57">
        <v>46630</v>
      </c>
      <c r="J5" s="40" t="s">
        <v>218</v>
      </c>
      <c r="K5" s="60">
        <f>IF(E5="Friendly",'US CBAs'!$J$82,IF(E5="World Cup",'US CBAs'!$J$84,0))</f>
        <v>3600</v>
      </c>
      <c r="L5" s="40">
        <v>20</v>
      </c>
      <c r="M5" s="59">
        <f t="shared" si="0"/>
        <v>72000</v>
      </c>
      <c r="N5" s="45"/>
      <c r="O5" s="59">
        <f t="shared" si="1"/>
        <v>72000</v>
      </c>
    </row>
    <row r="6" spans="1:21" x14ac:dyDescent="0.35">
      <c r="A6" s="49" t="s">
        <v>186</v>
      </c>
      <c r="B6" s="195">
        <v>25</v>
      </c>
      <c r="C6" s="50">
        <v>2010</v>
      </c>
      <c r="D6" s="49" t="s">
        <v>250</v>
      </c>
      <c r="E6" s="49" t="s">
        <v>220</v>
      </c>
      <c r="F6" s="49"/>
      <c r="G6" s="49" t="s">
        <v>33</v>
      </c>
      <c r="H6" s="49" t="s">
        <v>483</v>
      </c>
      <c r="I6" s="57">
        <v>36218</v>
      </c>
      <c r="J6" s="40"/>
      <c r="K6" s="60">
        <f>IF(E6="Friendly",'US CBAs'!$J$82,IF(E6="World Cup",'US CBAs'!$J$84,0))</f>
        <v>3600</v>
      </c>
      <c r="L6" s="40">
        <v>20</v>
      </c>
      <c r="M6" s="59">
        <f t="shared" si="0"/>
        <v>72000</v>
      </c>
      <c r="N6" s="45"/>
      <c r="O6" s="59">
        <f t="shared" si="1"/>
        <v>72000</v>
      </c>
      <c r="P6" s="67"/>
    </row>
    <row r="7" spans="1:21" x14ac:dyDescent="0.35">
      <c r="A7" s="49" t="s">
        <v>186</v>
      </c>
      <c r="B7" s="195">
        <v>29</v>
      </c>
      <c r="C7" s="50">
        <v>2010</v>
      </c>
      <c r="D7" s="49" t="s">
        <v>57</v>
      </c>
      <c r="E7" s="49" t="s">
        <v>220</v>
      </c>
      <c r="F7" s="49"/>
      <c r="G7" s="49" t="s">
        <v>20</v>
      </c>
      <c r="H7" s="49" t="s">
        <v>484</v>
      </c>
      <c r="I7" s="57">
        <v>55407</v>
      </c>
      <c r="J7" s="40"/>
      <c r="K7" s="60">
        <f>IF(E7="Friendly",'US CBAs'!$J$82,IF(E7="World Cup",'US CBAs'!$J$84,0))</f>
        <v>3600</v>
      </c>
      <c r="L7" s="40">
        <v>20</v>
      </c>
      <c r="M7" s="59">
        <f t="shared" si="0"/>
        <v>72000</v>
      </c>
      <c r="N7" s="45"/>
      <c r="O7" s="59">
        <f t="shared" si="1"/>
        <v>72000</v>
      </c>
      <c r="Q7" s="47"/>
    </row>
    <row r="8" spans="1:21" x14ac:dyDescent="0.35">
      <c r="A8" s="49" t="s">
        <v>223</v>
      </c>
      <c r="B8" s="195">
        <v>5</v>
      </c>
      <c r="C8" s="50">
        <v>2010</v>
      </c>
      <c r="D8" s="49" t="s">
        <v>37</v>
      </c>
      <c r="E8" s="49" t="s">
        <v>220</v>
      </c>
      <c r="F8" s="49" t="s">
        <v>31</v>
      </c>
      <c r="G8" s="49" t="s">
        <v>20</v>
      </c>
      <c r="H8" s="49" t="s">
        <v>74</v>
      </c>
      <c r="I8" s="57">
        <v>6000</v>
      </c>
      <c r="J8" s="40" t="s">
        <v>218</v>
      </c>
      <c r="K8" s="60">
        <f>IF(E8="Friendly",'US CBAs'!$J$82,IF(E8="World Cup",'US CBAs'!$J$84,0))</f>
        <v>3600</v>
      </c>
      <c r="L8" s="40">
        <v>20</v>
      </c>
      <c r="M8" s="59">
        <f t="shared" si="0"/>
        <v>72000</v>
      </c>
      <c r="N8" s="45"/>
      <c r="O8" s="59">
        <f t="shared" si="1"/>
        <v>72000</v>
      </c>
      <c r="P8" s="61"/>
      <c r="Q8" s="79"/>
      <c r="R8" s="45"/>
      <c r="S8" s="45"/>
    </row>
    <row r="9" spans="1:21" x14ac:dyDescent="0.35">
      <c r="A9" s="49" t="s">
        <v>223</v>
      </c>
      <c r="B9" s="195">
        <v>12</v>
      </c>
      <c r="C9" s="50">
        <v>2010</v>
      </c>
      <c r="D9" s="49" t="s">
        <v>61</v>
      </c>
      <c r="E9" s="49" t="s">
        <v>1</v>
      </c>
      <c r="F9" s="49"/>
      <c r="G9" s="49" t="s">
        <v>83</v>
      </c>
      <c r="H9" s="49" t="s">
        <v>74</v>
      </c>
      <c r="I9" s="57">
        <v>38646</v>
      </c>
      <c r="J9" s="40" t="s">
        <v>218</v>
      </c>
      <c r="K9" s="60">
        <f>IF(E9="Friendly",'US CBAs'!$J$82,IF(E9="World Cup",'US CBAs'!$J$84,0))</f>
        <v>4500</v>
      </c>
      <c r="L9" s="40">
        <v>23</v>
      </c>
      <c r="M9" s="59">
        <f t="shared" si="0"/>
        <v>103500</v>
      </c>
      <c r="N9" s="45"/>
      <c r="O9" s="59">
        <f t="shared" si="1"/>
        <v>103500</v>
      </c>
      <c r="P9" s="61"/>
      <c r="R9" s="45"/>
      <c r="S9" s="45"/>
    </row>
    <row r="10" spans="1:21" x14ac:dyDescent="0.35">
      <c r="A10" s="49" t="s">
        <v>223</v>
      </c>
      <c r="B10" s="195">
        <v>18</v>
      </c>
      <c r="C10" s="50">
        <v>2010</v>
      </c>
      <c r="D10" s="49" t="s">
        <v>254</v>
      </c>
      <c r="E10" s="49" t="s">
        <v>1</v>
      </c>
      <c r="F10" s="49"/>
      <c r="G10" s="49" t="s">
        <v>83</v>
      </c>
      <c r="H10" s="49" t="s">
        <v>74</v>
      </c>
      <c r="I10" s="57">
        <v>45573</v>
      </c>
      <c r="J10" s="40" t="s">
        <v>218</v>
      </c>
      <c r="K10" s="60">
        <f>IF(E10="Friendly",'US CBAs'!$J$82,IF(E10="World Cup",'US CBAs'!$J$84,0))</f>
        <v>4500</v>
      </c>
      <c r="L10" s="40">
        <v>23</v>
      </c>
      <c r="M10" s="59">
        <f t="shared" si="0"/>
        <v>103500</v>
      </c>
      <c r="N10" s="45"/>
      <c r="O10" s="59">
        <f t="shared" si="1"/>
        <v>103500</v>
      </c>
      <c r="P10" s="61"/>
      <c r="Q10" s="250"/>
      <c r="R10" s="251"/>
      <c r="S10" s="251"/>
      <c r="T10" s="252"/>
    </row>
    <row r="11" spans="1:21" x14ac:dyDescent="0.35">
      <c r="A11" s="49" t="s">
        <v>223</v>
      </c>
      <c r="B11" s="195">
        <v>23</v>
      </c>
      <c r="C11" s="50">
        <v>2010</v>
      </c>
      <c r="D11" s="49" t="s">
        <v>258</v>
      </c>
      <c r="E11" s="49" t="s">
        <v>1</v>
      </c>
      <c r="F11" s="49"/>
      <c r="G11" s="49" t="s">
        <v>20</v>
      </c>
      <c r="H11" s="49" t="s">
        <v>74</v>
      </c>
      <c r="I11" s="57">
        <v>35827</v>
      </c>
      <c r="J11" s="40" t="s">
        <v>218</v>
      </c>
      <c r="K11" s="60">
        <f>IF(E11="Friendly",'US CBAs'!$J$82,IF(E11="World Cup",'US CBAs'!$J$84,0))</f>
        <v>4500</v>
      </c>
      <c r="L11" s="40">
        <v>23</v>
      </c>
      <c r="M11" s="59">
        <f t="shared" si="0"/>
        <v>103500</v>
      </c>
      <c r="N11" s="45"/>
      <c r="O11" s="59">
        <f t="shared" si="1"/>
        <v>103500</v>
      </c>
      <c r="P11" s="61"/>
    </row>
    <row r="12" spans="1:21" x14ac:dyDescent="0.35">
      <c r="A12" s="49" t="s">
        <v>223</v>
      </c>
      <c r="B12" s="195">
        <v>26</v>
      </c>
      <c r="C12" s="50">
        <v>2010</v>
      </c>
      <c r="D12" s="49" t="s">
        <v>77</v>
      </c>
      <c r="E12" s="49" t="s">
        <v>1</v>
      </c>
      <c r="F12" s="49"/>
      <c r="G12" s="49" t="s">
        <v>33</v>
      </c>
      <c r="H12" s="49" t="s">
        <v>74</v>
      </c>
      <c r="I12" s="57">
        <v>34976</v>
      </c>
      <c r="J12" s="40" t="s">
        <v>218</v>
      </c>
      <c r="K12" s="60">
        <f>IF(E12="Friendly",'US CBAs'!$J$82,IF(E12="World Cup",'US CBAs'!$J$84,0))</f>
        <v>4500</v>
      </c>
      <c r="L12" s="40">
        <v>23</v>
      </c>
      <c r="M12" s="59">
        <f t="shared" si="0"/>
        <v>103500</v>
      </c>
      <c r="N12" s="45"/>
      <c r="O12" s="59">
        <f t="shared" si="1"/>
        <v>103500</v>
      </c>
      <c r="P12" s="61"/>
    </row>
    <row r="13" spans="1:21" x14ac:dyDescent="0.35">
      <c r="A13" s="49" t="s">
        <v>203</v>
      </c>
      <c r="B13" s="195">
        <v>10</v>
      </c>
      <c r="C13" s="50">
        <v>2010</v>
      </c>
      <c r="D13" s="49" t="s">
        <v>41</v>
      </c>
      <c r="E13" s="49" t="s">
        <v>220</v>
      </c>
      <c r="F13" s="49"/>
      <c r="G13" s="49" t="s">
        <v>33</v>
      </c>
      <c r="H13" s="49" t="s">
        <v>485</v>
      </c>
      <c r="I13" s="57">
        <v>77223</v>
      </c>
      <c r="J13" s="40"/>
      <c r="K13" s="60">
        <f>IF(E13="Friendly",'US CBAs'!$J$82,IF(E13="World Cup",'US CBAs'!$J$84,0))</f>
        <v>3600</v>
      </c>
      <c r="L13" s="40">
        <v>20</v>
      </c>
      <c r="M13" s="59">
        <f t="shared" si="0"/>
        <v>72000</v>
      </c>
      <c r="N13" s="45"/>
      <c r="O13" s="59">
        <f t="shared" si="1"/>
        <v>72000</v>
      </c>
      <c r="P13" s="61"/>
    </row>
    <row r="14" spans="1:21" x14ac:dyDescent="0.35">
      <c r="A14" s="49" t="s">
        <v>189</v>
      </c>
      <c r="B14" s="195">
        <v>9</v>
      </c>
      <c r="C14" s="50">
        <v>2010</v>
      </c>
      <c r="D14" s="49" t="s">
        <v>257</v>
      </c>
      <c r="E14" s="49" t="s">
        <v>220</v>
      </c>
      <c r="F14" s="49"/>
      <c r="G14" s="49" t="s">
        <v>83</v>
      </c>
      <c r="H14" s="49" t="s">
        <v>487</v>
      </c>
      <c r="I14" s="57">
        <v>31696</v>
      </c>
      <c r="J14" s="40"/>
      <c r="K14" s="60">
        <f>IF(E14="Friendly",'US CBAs'!$J$82,IF(E14="World Cup",'US CBAs'!$J$84,0))</f>
        <v>3600</v>
      </c>
      <c r="L14" s="40">
        <v>20</v>
      </c>
      <c r="M14" s="59">
        <f t="shared" si="0"/>
        <v>72000</v>
      </c>
      <c r="N14" s="45"/>
      <c r="O14" s="59">
        <f t="shared" si="1"/>
        <v>72000</v>
      </c>
      <c r="P14" s="61"/>
      <c r="Q14" s="253" t="s">
        <v>397</v>
      </c>
      <c r="R14" s="254" t="s">
        <v>6</v>
      </c>
      <c r="S14" s="254" t="s">
        <v>18</v>
      </c>
      <c r="T14" s="255" t="s">
        <v>91</v>
      </c>
    </row>
    <row r="15" spans="1:21" x14ac:dyDescent="0.35">
      <c r="A15" s="49" t="s">
        <v>189</v>
      </c>
      <c r="B15" s="195">
        <v>12</v>
      </c>
      <c r="C15" s="50">
        <v>2010</v>
      </c>
      <c r="D15" s="49" t="s">
        <v>64</v>
      </c>
      <c r="E15" s="49" t="s">
        <v>220</v>
      </c>
      <c r="F15" s="49"/>
      <c r="G15" s="49" t="s">
        <v>83</v>
      </c>
      <c r="H15" s="49" t="s">
        <v>484</v>
      </c>
      <c r="I15" s="57">
        <v>8823</v>
      </c>
      <c r="J15" s="40"/>
      <c r="K15" s="60">
        <f>IF(E15="Friendly",'US CBAs'!$J$82,IF(E15="World Cup",'US CBAs'!$J$84,0))</f>
        <v>3600</v>
      </c>
      <c r="L15" s="40">
        <v>20</v>
      </c>
      <c r="M15" s="59">
        <f t="shared" si="0"/>
        <v>72000</v>
      </c>
      <c r="N15" s="45"/>
      <c r="O15" s="59">
        <f t="shared" si="1"/>
        <v>72000</v>
      </c>
      <c r="P15" s="61"/>
      <c r="Q15" s="250" t="s">
        <v>217</v>
      </c>
      <c r="R15" s="251">
        <f>'US CBAs'!$J$83</f>
        <v>45000</v>
      </c>
      <c r="S15" s="256">
        <v>23</v>
      </c>
      <c r="T15" s="252">
        <f>R15*S15</f>
        <v>1035000</v>
      </c>
    </row>
    <row r="16" spans="1:21" x14ac:dyDescent="0.35">
      <c r="A16" s="49" t="s">
        <v>190</v>
      </c>
      <c r="B16" s="195">
        <v>17</v>
      </c>
      <c r="C16" s="50">
        <v>2010</v>
      </c>
      <c r="D16" s="49" t="s">
        <v>74</v>
      </c>
      <c r="E16" s="49" t="s">
        <v>220</v>
      </c>
      <c r="F16" s="49"/>
      <c r="G16" s="49" t="s">
        <v>20</v>
      </c>
      <c r="H16" s="49" t="s">
        <v>74</v>
      </c>
      <c r="I16" s="57">
        <v>52000</v>
      </c>
      <c r="J16" s="40" t="s">
        <v>218</v>
      </c>
      <c r="K16" s="60">
        <f>IF(E16="Friendly",'US CBAs'!$J$82,IF(E16="World Cup",'US CBAs'!$J$84,0))</f>
        <v>3600</v>
      </c>
      <c r="L16" s="40">
        <v>20</v>
      </c>
      <c r="M16" s="59">
        <f t="shared" si="0"/>
        <v>72000</v>
      </c>
      <c r="N16" s="45"/>
      <c r="O16" s="59">
        <f t="shared" si="1"/>
        <v>72000</v>
      </c>
      <c r="P16" s="61"/>
      <c r="Q16" s="250" t="s">
        <v>232</v>
      </c>
      <c r="R16" s="251"/>
      <c r="S16" s="256"/>
      <c r="T16" s="252">
        <f>'US CBAs'!$K$72</f>
        <v>2800000</v>
      </c>
    </row>
    <row r="17" spans="1:21" ht="13.15" x14ac:dyDescent="0.4">
      <c r="A17" s="289" t="s">
        <v>24</v>
      </c>
      <c r="B17" s="290"/>
      <c r="C17" s="290"/>
      <c r="D17" s="289"/>
      <c r="E17" s="289"/>
      <c r="F17" s="289"/>
      <c r="G17" s="289"/>
      <c r="H17" s="289"/>
      <c r="I17" s="291"/>
      <c r="J17" s="289"/>
      <c r="K17" s="289"/>
      <c r="L17" s="289"/>
      <c r="M17" s="292">
        <f>SUBTOTAL(109,Table2[Game pay])</f>
        <v>1134000</v>
      </c>
      <c r="N17" s="291"/>
      <c r="O17" s="292">
        <f>SUBTOTAL(109,Table2[TEAM PAY])</f>
        <v>1134000</v>
      </c>
      <c r="P17" s="61"/>
      <c r="Q17" s="47" t="s">
        <v>90</v>
      </c>
      <c r="R17" s="299"/>
      <c r="S17" s="300"/>
      <c r="T17" s="257">
        <f>SUM(T15+T16)</f>
        <v>3835000</v>
      </c>
      <c r="U17" s="80"/>
    </row>
    <row r="18" spans="1:21" x14ac:dyDescent="0.35">
      <c r="A18" s="289"/>
      <c r="B18" s="290"/>
      <c r="C18" s="290"/>
      <c r="D18" s="289"/>
      <c r="E18" s="289"/>
      <c r="F18" s="289"/>
      <c r="G18" s="289"/>
      <c r="I18" s="291"/>
      <c r="J18" s="289"/>
      <c r="K18" s="289"/>
      <c r="L18" s="289"/>
      <c r="M18" s="292"/>
      <c r="N18" s="293" t="s">
        <v>398</v>
      </c>
      <c r="O18" s="294">
        <f>$T17</f>
        <v>3835000</v>
      </c>
      <c r="P18" s="61"/>
      <c r="Q18" s="39"/>
      <c r="R18" s="39"/>
      <c r="S18" s="256"/>
      <c r="T18" s="252"/>
      <c r="U18" s="80"/>
    </row>
    <row r="19" spans="1:21" x14ac:dyDescent="0.35">
      <c r="A19" s="289"/>
      <c r="B19" s="290"/>
      <c r="C19" s="290"/>
      <c r="D19" s="289"/>
      <c r="E19" s="289"/>
      <c r="F19" s="289"/>
      <c r="G19" s="289"/>
      <c r="H19" s="289"/>
      <c r="I19" s="291"/>
      <c r="J19" s="289"/>
      <c r="K19" s="289"/>
      <c r="L19" s="289"/>
      <c r="M19" s="292"/>
      <c r="N19" s="295" t="s">
        <v>90</v>
      </c>
      <c r="O19" s="296">
        <f>O17+O18</f>
        <v>4969000</v>
      </c>
      <c r="P19" s="61"/>
      <c r="Q19" s="39"/>
      <c r="R19" s="39"/>
      <c r="S19" s="256"/>
      <c r="T19" s="252"/>
      <c r="U19" s="80"/>
    </row>
    <row r="20" spans="1:21" x14ac:dyDescent="0.35">
      <c r="A20" s="289"/>
      <c r="B20" s="290"/>
      <c r="C20" s="290"/>
      <c r="D20" s="289"/>
      <c r="E20" s="289"/>
      <c r="F20" s="289"/>
      <c r="G20" s="289"/>
      <c r="H20" s="289"/>
      <c r="I20" s="291"/>
      <c r="J20" s="289"/>
      <c r="K20" s="289"/>
      <c r="L20" s="289"/>
      <c r="M20" s="292"/>
      <c r="N20" s="295"/>
      <c r="O20" s="296"/>
      <c r="P20" s="61"/>
      <c r="Q20" s="39"/>
      <c r="R20" s="39"/>
      <c r="S20" s="256"/>
      <c r="T20" s="252"/>
      <c r="U20" s="80"/>
    </row>
    <row r="21" spans="1:21" x14ac:dyDescent="0.35">
      <c r="A21" s="53" t="s">
        <v>249</v>
      </c>
      <c r="B21" s="194" t="s">
        <v>248</v>
      </c>
      <c r="C21" s="65" t="s">
        <v>247</v>
      </c>
      <c r="D21" s="53" t="s">
        <v>15</v>
      </c>
      <c r="E21" s="53" t="s">
        <v>194</v>
      </c>
      <c r="F21" s="53" t="s">
        <v>246</v>
      </c>
      <c r="G21" s="53" t="s">
        <v>16</v>
      </c>
      <c r="H21" s="53" t="s">
        <v>245</v>
      </c>
      <c r="I21" s="64" t="s">
        <v>14</v>
      </c>
      <c r="J21" s="47" t="s">
        <v>244</v>
      </c>
      <c r="K21" s="47" t="s">
        <v>243</v>
      </c>
      <c r="L21" s="47" t="s">
        <v>17</v>
      </c>
      <c r="M21" s="47" t="s">
        <v>219</v>
      </c>
      <c r="N21" s="63" t="s">
        <v>242</v>
      </c>
      <c r="O21" s="47" t="s">
        <v>241</v>
      </c>
      <c r="P21" s="61"/>
      <c r="Q21" s="280" t="s">
        <v>393</v>
      </c>
      <c r="R21" s="281"/>
      <c r="S21" s="259"/>
      <c r="T21" s="349"/>
      <c r="U21" s="348"/>
    </row>
    <row r="22" spans="1:21" x14ac:dyDescent="0.35">
      <c r="A22" s="49" t="s">
        <v>191</v>
      </c>
      <c r="B22" s="195">
        <v>22</v>
      </c>
      <c r="C22" s="50">
        <v>2011</v>
      </c>
      <c r="D22" s="49" t="s">
        <v>66</v>
      </c>
      <c r="E22" s="49" t="s">
        <v>220</v>
      </c>
      <c r="F22" s="49"/>
      <c r="G22" s="49" t="s">
        <v>83</v>
      </c>
      <c r="H22" s="49" t="s">
        <v>481</v>
      </c>
      <c r="I22" s="57">
        <v>18580</v>
      </c>
      <c r="J22" s="40"/>
      <c r="K22" s="59">
        <f>IF(G22="L",'US CBAs'!$B$73,
IF(AND(E22="Friendly",F22="T1",G22="W"),'US CBAs'!$B$68,
IF(AND(E22="Friendly",F22="T2",G22="W"),'US CBAs'!$B$69,
IF(AND(E22="Friendly",F22="",G22="W"),'US CBAs'!$B$70,
IF(AND(E22="Friendly",F22="T1",G22="D"),'US CBAs'!$B$71,
IF(AND(E22="Friendly",F22="",G22="D"),'US CBAs'!$B$72,
IF(AND(E22="Gold Cup",F22="T1",G22="W"),'US CBAs'!$B$78,
IF(AND(E22="Gold Cup",F22="",G22="W"),'US CBAs'!$B$79,
IF(AND(E22="Gold Cup",G22="D"),'US CBAs'!$B$80,
IF(AND(E22="Copa America",F22="",G22="W"),'US CBAs'!$B$85,
IF(AND(E22="Copa America",G22="D"),'US CBAs'!$B$86,
IF(AND(E22="WCQ SF",G22="W"),'US CBAs'!$B$94,
IF(AND(E22="WCQ SF",G22="D"),'US CBAs'!$B$95,
IF(AND(E22="WCQ Hex",G22="W"),'US CBAs'!$B$98,
IF(AND(E22="WCQ Hex",G22="D"),'US CBAs'!$B$99,
IF(E22="World Cup",'US CBAs'!$B$104,
0))))))))))))))))</f>
        <v>5000</v>
      </c>
      <c r="L22" s="40">
        <v>20</v>
      </c>
      <c r="M22" s="59">
        <f t="shared" ref="M22:M64" si="2">K22*L22</f>
        <v>100000</v>
      </c>
      <c r="N22" s="45">
        <f>IF(J22="",I22*'US CBAs'!$C$118,0)</f>
        <v>22296</v>
      </c>
      <c r="O22" s="59">
        <f t="shared" ref="O22:O64" si="3">M22+N22</f>
        <v>122296</v>
      </c>
      <c r="P22" s="61"/>
      <c r="Q22" s="282" t="s">
        <v>219</v>
      </c>
      <c r="R22" s="283">
        <f>SUM(M6:M16)+SUM(M22:M24)</f>
        <v>1228000</v>
      </c>
      <c r="S22" s="259"/>
      <c r="T22" s="349"/>
    </row>
    <row r="23" spans="1:21" x14ac:dyDescent="0.35">
      <c r="A23" s="49" t="s">
        <v>221</v>
      </c>
      <c r="B23" s="195">
        <v>26</v>
      </c>
      <c r="C23" s="50">
        <v>2011</v>
      </c>
      <c r="D23" s="49" t="s">
        <v>60</v>
      </c>
      <c r="E23" s="49" t="s">
        <v>220</v>
      </c>
      <c r="F23" s="49" t="s">
        <v>28</v>
      </c>
      <c r="G23" s="49" t="s">
        <v>83</v>
      </c>
      <c r="H23" s="49" t="s">
        <v>485</v>
      </c>
      <c r="I23" s="57">
        <v>78936</v>
      </c>
      <c r="J23" s="40"/>
      <c r="K23" s="59">
        <f>IF(G23="L",'US CBAs'!$B$73,
IF(AND(E23="Friendly",F23="T1",G23="W"),'US CBAs'!$B$68,
IF(AND(E23="Friendly",F23="T2",G23="W"),'US CBAs'!$B$69,
IF(AND(E23="Friendly",F23="",G23="W"),'US CBAs'!$B$70,
IF(AND(E23="Friendly",F23="T1",G23="D"),'US CBAs'!$B$71,
IF(AND(E23="Friendly",F23="",G23="D"),'US CBAs'!$B$72,
IF(AND(E23="Gold Cup",F23="T1",G23="W"),'US CBAs'!$B$78,
IF(AND(E23="Gold Cup",F23="",G23="W"),'US CBAs'!$B$79,
IF(AND(E23="Gold Cup",G23="D"),'US CBAs'!$B$80,
IF(AND(E23="Copa America",F23="",G23="W"),'US CBAs'!$B$85,
IF(AND(E23="Copa America",G23="D"),'US CBAs'!$B$86,
IF(AND(E23="WCQ SF",G23="W"),'US CBAs'!$B$94,
IF(AND(E23="WCQ SF",G23="D"),'US CBAs'!$B$95,
IF(AND(E23="WCQ Hex",G23="W"),'US CBAs'!$B$98,
IF(AND(E23="WCQ Hex",G23="D"),'US CBAs'!$B$99,
IF(E23="World Cup",'US CBAs'!$B$104,
0))))))))))))))))</f>
        <v>6500</v>
      </c>
      <c r="L23" s="40">
        <v>20</v>
      </c>
      <c r="M23" s="59">
        <f t="shared" si="2"/>
        <v>130000</v>
      </c>
      <c r="N23" s="45">
        <f>IF(J23="",I23*'US CBAs'!$C$118,0)</f>
        <v>94723.199999999997</v>
      </c>
      <c r="O23" s="59">
        <f t="shared" si="3"/>
        <v>224723.20000000001</v>
      </c>
      <c r="P23" s="61"/>
      <c r="Q23" s="284" t="s">
        <v>394</v>
      </c>
      <c r="R23" s="283">
        <f>SUM(N6:N16)+SUM(N22:N24)</f>
        <v>151890</v>
      </c>
      <c r="S23" s="259"/>
      <c r="T23" s="349"/>
    </row>
    <row r="24" spans="1:21" x14ac:dyDescent="0.35">
      <c r="A24" s="49" t="s">
        <v>221</v>
      </c>
      <c r="B24" s="195">
        <v>29</v>
      </c>
      <c r="C24" s="50">
        <v>2011</v>
      </c>
      <c r="D24" s="49" t="s">
        <v>73</v>
      </c>
      <c r="E24" s="49" t="s">
        <v>220</v>
      </c>
      <c r="F24" s="49"/>
      <c r="G24" s="49" t="s">
        <v>33</v>
      </c>
      <c r="H24" s="49" t="s">
        <v>486</v>
      </c>
      <c r="I24" s="57">
        <v>29059</v>
      </c>
      <c r="J24" s="40"/>
      <c r="K24" s="59">
        <f>IF(G24="L",'US CBAs'!$B$73,
IF(AND(E24="Friendly",F24="T1",G24="W"),'US CBAs'!$B$68,
IF(AND(E24="Friendly",F24="T2",G24="W"),'US CBAs'!$B$69,
IF(AND(E24="Friendly",F24="",G24="W"),'US CBAs'!$B$70,
IF(AND(E24="Friendly",F24="T1",G24="D"),'US CBAs'!$B$71,
IF(AND(E24="Friendly",F24="",G24="D"),'US CBAs'!$B$72,
IF(AND(E24="Gold Cup",F24="T1",G24="W"),'US CBAs'!$B$78,
IF(AND(E24="Gold Cup",F24="",G24="W"),'US CBAs'!$B$79,
IF(AND(E24="Gold Cup",G24="D"),'US CBAs'!$B$80,
IF(AND(E24="Copa America",F24="",G24="W"),'US CBAs'!$B$85,
IF(AND(E24="Copa America",G24="D"),'US CBAs'!$B$86,
IF(AND(E24="WCQ SF",G24="W"),'US CBAs'!$B$94,
IF(AND(E24="WCQ SF",G24="D"),'US CBAs'!$B$95,
IF(AND(E24="WCQ Hex",G24="W"),'US CBAs'!$B$98,
IF(AND(E24="WCQ Hex",G24="D"),'US CBAs'!$B$99,
IF(E24="World Cup",'US CBAs'!$B$104,
0))))))))))))))))</f>
        <v>4000</v>
      </c>
      <c r="L24" s="40">
        <v>20</v>
      </c>
      <c r="M24" s="59">
        <f t="shared" si="2"/>
        <v>80000</v>
      </c>
      <c r="N24" s="45">
        <f>IF(J24="",I24*'US CBAs'!$C$118,0)</f>
        <v>34870.799999999996</v>
      </c>
      <c r="O24" s="59">
        <f t="shared" si="3"/>
        <v>114870.79999999999</v>
      </c>
      <c r="P24" s="61"/>
      <c r="Q24" s="285" t="s">
        <v>395</v>
      </c>
      <c r="R24" s="286">
        <f>R22+R23</f>
        <v>1379890</v>
      </c>
      <c r="S24" s="259"/>
      <c r="T24" s="349"/>
    </row>
    <row r="25" spans="1:21" x14ac:dyDescent="0.35">
      <c r="A25" s="49" t="s">
        <v>223</v>
      </c>
      <c r="B25" s="195">
        <v>4</v>
      </c>
      <c r="C25" s="50">
        <v>2011</v>
      </c>
      <c r="D25" s="49" t="s">
        <v>256</v>
      </c>
      <c r="E25" s="49" t="s">
        <v>220</v>
      </c>
      <c r="F25" s="49"/>
      <c r="G25" s="49" t="s">
        <v>33</v>
      </c>
      <c r="H25" s="49" t="s">
        <v>488</v>
      </c>
      <c r="I25" s="57">
        <v>64121</v>
      </c>
      <c r="J25" s="40"/>
      <c r="K25" s="59">
        <f>IF(G25="L",'US CBAs'!$B$73,
IF(AND(E25="Friendly",F25="T1",G25="W"),'US CBAs'!$B$68,
IF(AND(E25="Friendly",F25="T2",G25="W"),'US CBAs'!$B$69,
IF(AND(E25="Friendly",F25="",G25="W"),'US CBAs'!$B$70,
IF(AND(E25="Friendly",F25="T1",G25="D"),'US CBAs'!$B$71,
IF(AND(E25="Friendly",F25="",G25="D"),'US CBAs'!$B$72,
IF(AND(E25="Gold Cup",F25="T1",G25="W"),'US CBAs'!$B$78,
IF(AND(E25="Gold Cup",F25="",G25="W"),'US CBAs'!$B$79,
IF(AND(E25="Gold Cup",G25="D"),'US CBAs'!$B$80,
IF(AND(E25="Copa America",F25="",G25="W"),'US CBAs'!$B$85,
IF(AND(E25="Copa America",G25="D"),'US CBAs'!$B$86,
IF(AND(E25="WCQ SF",G25="W"),'US CBAs'!$B$94,
IF(AND(E25="WCQ SF",G25="D"),'US CBAs'!$B$95,
IF(AND(E25="WCQ Hex",G25="W"),'US CBAs'!$B$98,
IF(AND(E25="WCQ Hex",G25="D"),'US CBAs'!$B$99,
IF(E25="World Cup",'US CBAs'!$B$104,
0))))))))))))))))</f>
        <v>4000</v>
      </c>
      <c r="L25" s="40">
        <v>20</v>
      </c>
      <c r="M25" s="59">
        <f t="shared" si="2"/>
        <v>80000</v>
      </c>
      <c r="N25" s="45">
        <f>IF(J25="",I25*'US CBAs'!$C$118,0)</f>
        <v>76945.2</v>
      </c>
      <c r="O25" s="59">
        <f t="shared" si="3"/>
        <v>156945.20000000001</v>
      </c>
      <c r="P25" s="61"/>
      <c r="Q25" s="285" t="s">
        <v>183</v>
      </c>
      <c r="R25" s="286">
        <f>$T17</f>
        <v>3835000</v>
      </c>
      <c r="S25" s="259"/>
      <c r="T25" s="349"/>
    </row>
    <row r="26" spans="1:21" x14ac:dyDescent="0.35">
      <c r="A26" s="49" t="s">
        <v>223</v>
      </c>
      <c r="B26" s="195">
        <v>7</v>
      </c>
      <c r="C26" s="50">
        <v>2011</v>
      </c>
      <c r="D26" s="49" t="s">
        <v>29</v>
      </c>
      <c r="E26" s="49" t="s">
        <v>229</v>
      </c>
      <c r="F26" s="49"/>
      <c r="G26" s="49" t="s">
        <v>20</v>
      </c>
      <c r="H26" s="49" t="s">
        <v>489</v>
      </c>
      <c r="I26" s="57">
        <v>28209</v>
      </c>
      <c r="J26" s="40" t="s">
        <v>218</v>
      </c>
      <c r="K26" s="59">
        <f>IF(G26="L",'US CBAs'!$B$73,
IF(AND(E26="Friendly",F26="T1",G26="W"),'US CBAs'!$B$68,
IF(AND(E26="Friendly",F26="T2",G26="W"),'US CBAs'!$B$69,
IF(AND(E26="Friendly",F26="",G26="W"),'US CBAs'!$B$70,
IF(AND(E26="Friendly",F26="T1",G26="D"),'US CBAs'!$B$71,
IF(AND(E26="Friendly",F26="",G26="D"),'US CBAs'!$B$72,
IF(AND(E26="Gold Cup",F26="T1",G26="W"),'US CBAs'!$B$78,
IF(AND(E26="Gold Cup",F26="",G26="W"),'US CBAs'!$B$79,
IF(AND(E26="Gold Cup",G26="D"),'US CBAs'!$B$80,
IF(AND(E26="Copa America",F26="",G26="W"),'US CBAs'!$B$85,
IF(AND(E26="Copa America",G26="D"),'US CBAs'!$B$86,
IF(AND(E26="WCQ SF",G26="W"),'US CBAs'!$B$94,
IF(AND(E26="WCQ SF",G26="D"),'US CBAs'!$B$95,
IF(AND(E26="WCQ Hex",G26="W"),'US CBAs'!$B$98,
IF(AND(E26="WCQ Hex",G26="D"),'US CBAs'!$B$99,
IF(E26="World Cup",'US CBAs'!$B$104,
0))))))))))))))))</f>
        <v>7500</v>
      </c>
      <c r="L26" s="40">
        <v>23</v>
      </c>
      <c r="M26" s="59">
        <f t="shared" si="2"/>
        <v>172500</v>
      </c>
      <c r="N26" s="45">
        <f>IF(J26="",I26*'US CBAs'!$C$118,0)</f>
        <v>0</v>
      </c>
      <c r="O26" s="59">
        <f t="shared" si="3"/>
        <v>172500</v>
      </c>
      <c r="P26" s="61"/>
      <c r="Q26" s="287" t="s">
        <v>396</v>
      </c>
      <c r="R26" s="288">
        <f>R24+R25</f>
        <v>5214890</v>
      </c>
      <c r="S26" s="259"/>
      <c r="T26" s="349"/>
    </row>
    <row r="27" spans="1:21" x14ac:dyDescent="0.35">
      <c r="A27" s="49" t="s">
        <v>223</v>
      </c>
      <c r="B27" s="195">
        <v>11</v>
      </c>
      <c r="C27" s="50">
        <v>2011</v>
      </c>
      <c r="D27" s="49" t="s">
        <v>42</v>
      </c>
      <c r="E27" s="49" t="s">
        <v>229</v>
      </c>
      <c r="F27" s="49"/>
      <c r="G27" s="49" t="s">
        <v>33</v>
      </c>
      <c r="H27" s="49" t="s">
        <v>482</v>
      </c>
      <c r="I27" s="57">
        <v>27731</v>
      </c>
      <c r="J27" s="40" t="s">
        <v>218</v>
      </c>
      <c r="K27" s="59">
        <f>IF(G27="L",'US CBAs'!$B$73,
IF(AND(E27="Friendly",F27="T1",G27="W"),'US CBAs'!$B$68,
IF(AND(E27="Friendly",F27="T2",G27="W"),'US CBAs'!$B$69,
IF(AND(E27="Friendly",F27="",G27="W"),'US CBAs'!$B$70,
IF(AND(E27="Friendly",F27="T1",G27="D"),'US CBAs'!$B$71,
IF(AND(E27="Friendly",F27="",G27="D"),'US CBAs'!$B$72,
IF(AND(E27="Gold Cup",F27="T1",G27="W"),'US CBAs'!$B$78,
IF(AND(E27="Gold Cup",F27="",G27="W"),'US CBAs'!$B$79,
IF(AND(E27="Gold Cup",G27="D"),'US CBAs'!$B$80,
IF(AND(E27="Copa America",F27="",G27="W"),'US CBAs'!$B$85,
IF(AND(E27="Copa America",G27="D"),'US CBAs'!$B$86,
IF(AND(E27="WCQ SF",G27="W"),'US CBAs'!$B$94,
IF(AND(E27="WCQ SF",G27="D"),'US CBAs'!$B$95,
IF(AND(E27="WCQ Hex",G27="W"),'US CBAs'!$B$98,
IF(AND(E27="WCQ Hex",G27="D"),'US CBAs'!$B$99,
IF(E27="World Cup",'US CBAs'!$B$104,
0))))))))))))))))</f>
        <v>4000</v>
      </c>
      <c r="L27" s="40">
        <v>23</v>
      </c>
      <c r="M27" s="59">
        <f t="shared" si="2"/>
        <v>92000</v>
      </c>
      <c r="N27" s="45">
        <f>IF(J27="",I27*'US CBAs'!$C$118,0)</f>
        <v>0</v>
      </c>
      <c r="O27" s="59">
        <f t="shared" si="3"/>
        <v>92000</v>
      </c>
      <c r="P27" s="61"/>
      <c r="Q27" s="275"/>
      <c r="R27" s="261"/>
      <c r="S27" s="259"/>
      <c r="T27" s="349"/>
    </row>
    <row r="28" spans="1:21" x14ac:dyDescent="0.35">
      <c r="A28" s="49" t="s">
        <v>223</v>
      </c>
      <c r="B28" s="195">
        <v>14</v>
      </c>
      <c r="C28" s="50">
        <v>2011</v>
      </c>
      <c r="D28" s="49" t="s">
        <v>255</v>
      </c>
      <c r="E28" s="49" t="s">
        <v>229</v>
      </c>
      <c r="F28" s="49"/>
      <c r="G28" s="49" t="s">
        <v>20</v>
      </c>
      <c r="H28" s="49" t="s">
        <v>490</v>
      </c>
      <c r="I28" s="57">
        <v>21109</v>
      </c>
      <c r="J28" s="40" t="s">
        <v>218</v>
      </c>
      <c r="K28" s="59">
        <f>IF(G28="L",'US CBAs'!$B$73,
IF(AND(E28="Friendly",F28="T1",G28="W"),'US CBAs'!$B$68,
IF(AND(E28="Friendly",F28="T2",G28="W"),'US CBAs'!$B$69,
IF(AND(E28="Friendly",F28="",G28="W"),'US CBAs'!$B$70,
IF(AND(E28="Friendly",F28="T1",G28="D"),'US CBAs'!$B$71,
IF(AND(E28="Friendly",F28="",G28="D"),'US CBAs'!$B$72,
IF(AND(E28="Gold Cup",F28="T1",G28="W"),'US CBAs'!$B$78,
IF(AND(E28="Gold Cup",F28="",G28="W"),'US CBAs'!$B$79,
IF(AND(E28="Gold Cup",G28="D"),'US CBAs'!$B$80,
IF(AND(E28="Copa America",F28="",G28="W"),'US CBAs'!$B$85,
IF(AND(E28="Copa America",G28="D"),'US CBAs'!$B$86,
IF(AND(E28="WCQ SF",G28="W"),'US CBAs'!$B$94,
IF(AND(E28="WCQ SF",G28="D"),'US CBAs'!$B$95,
IF(AND(E28="WCQ Hex",G28="W"),'US CBAs'!$B$98,
IF(AND(E28="WCQ Hex",G28="D"),'US CBAs'!$B$99,
IF(E28="World Cup",'US CBAs'!$B$104,
0))))))))))))))))</f>
        <v>7500</v>
      </c>
      <c r="L28" s="40">
        <v>23</v>
      </c>
      <c r="M28" s="59">
        <f t="shared" si="2"/>
        <v>172500</v>
      </c>
      <c r="N28" s="45">
        <f>IF(J28="",I28*'US CBAs'!$C$118,0)</f>
        <v>0</v>
      </c>
      <c r="O28" s="59">
        <f t="shared" si="3"/>
        <v>172500</v>
      </c>
      <c r="P28" s="61"/>
      <c r="Q28" s="275"/>
      <c r="R28" s="261"/>
      <c r="S28" s="259"/>
      <c r="T28" s="349"/>
    </row>
    <row r="29" spans="1:21" x14ac:dyDescent="0.35">
      <c r="A29" s="49" t="s">
        <v>223</v>
      </c>
      <c r="B29" s="195">
        <v>19</v>
      </c>
      <c r="C29" s="50">
        <v>2011</v>
      </c>
      <c r="D29" s="49" t="s">
        <v>40</v>
      </c>
      <c r="E29" s="49" t="s">
        <v>229</v>
      </c>
      <c r="F29" s="49"/>
      <c r="G29" s="49" t="s">
        <v>20</v>
      </c>
      <c r="H29" s="49" t="s">
        <v>491</v>
      </c>
      <c r="I29" s="57">
        <v>45423</v>
      </c>
      <c r="J29" s="40" t="s">
        <v>218</v>
      </c>
      <c r="K29" s="59">
        <f>IF(G29="L",'US CBAs'!$B$73,
IF(AND(E29="Friendly",F29="T1",G29="W"),'US CBAs'!$B$68,
IF(AND(E29="Friendly",F29="T2",G29="W"),'US CBAs'!$B$69,
IF(AND(E29="Friendly",F29="",G29="W"),'US CBAs'!$B$70,
IF(AND(E29="Friendly",F29="T1",G29="D"),'US CBAs'!$B$71,
IF(AND(E29="Friendly",F29="",G29="D"),'US CBAs'!$B$72,
IF(AND(E29="Gold Cup",F29="T1",G29="W"),'US CBAs'!$B$78,
IF(AND(E29="Gold Cup",F29="",G29="W"),'US CBAs'!$B$79,
IF(AND(E29="Gold Cup",G29="D"),'US CBAs'!$B$80,
IF(AND(E29="Copa America",F29="",G29="W"),'US CBAs'!$B$85,
IF(AND(E29="Copa America",G29="D"),'US CBAs'!$B$86,
IF(AND(E29="WCQ SF",G29="W"),'US CBAs'!$B$94,
IF(AND(E29="WCQ SF",G29="D"),'US CBAs'!$B$95,
IF(AND(E29="WCQ Hex",G29="W"),'US CBAs'!$B$98,
IF(AND(E29="WCQ Hex",G29="D"),'US CBAs'!$B$99,
IF(E29="World Cup",'US CBAs'!$B$104,
0))))))))))))))))</f>
        <v>7500</v>
      </c>
      <c r="L29" s="40">
        <v>23</v>
      </c>
      <c r="M29" s="59">
        <f t="shared" si="2"/>
        <v>172500</v>
      </c>
      <c r="N29" s="45">
        <f>IF(J29="",I29*'US CBAs'!$C$118,0)</f>
        <v>0</v>
      </c>
      <c r="O29" s="59">
        <f t="shared" si="3"/>
        <v>172500</v>
      </c>
      <c r="P29" s="61"/>
      <c r="Q29" s="39"/>
      <c r="R29" s="39"/>
      <c r="S29" s="39"/>
      <c r="T29" s="349"/>
    </row>
    <row r="30" spans="1:21" x14ac:dyDescent="0.35">
      <c r="A30" s="49" t="s">
        <v>223</v>
      </c>
      <c r="B30" s="195">
        <v>22</v>
      </c>
      <c r="C30" s="50">
        <v>2011</v>
      </c>
      <c r="D30" s="49" t="s">
        <v>42</v>
      </c>
      <c r="E30" s="49" t="s">
        <v>229</v>
      </c>
      <c r="F30" s="49"/>
      <c r="G30" s="49" t="s">
        <v>20</v>
      </c>
      <c r="H30" s="49" t="s">
        <v>492</v>
      </c>
      <c r="I30" s="57">
        <v>70267</v>
      </c>
      <c r="J30" s="40" t="s">
        <v>218</v>
      </c>
      <c r="K30" s="59">
        <f>IF(G30="L",'US CBAs'!$B$73,
IF(AND(E30="Friendly",F30="T1",G30="W"),'US CBAs'!$B$68,
IF(AND(E30="Friendly",F30="T2",G30="W"),'US CBAs'!$B$69,
IF(AND(E30="Friendly",F30="",G30="W"),'US CBAs'!$B$70,
IF(AND(E30="Friendly",F30="T1",G30="D"),'US CBAs'!$B$71,
IF(AND(E30="Friendly",F30="",G30="D"),'US CBAs'!$B$72,
IF(AND(E30="Gold Cup",F30="T1",G30="W"),'US CBAs'!$B$78,
IF(AND(E30="Gold Cup",F30="",G30="W"),'US CBAs'!$B$79,
IF(AND(E30="Gold Cup",G30="D"),'US CBAs'!$B$80,
IF(AND(E30="Copa America",F30="",G30="W"),'US CBAs'!$B$85,
IF(AND(E30="Copa America",G30="D"),'US CBAs'!$B$86,
IF(AND(E30="WCQ SF",G30="W"),'US CBAs'!$B$94,
IF(AND(E30="WCQ SF",G30="D"),'US CBAs'!$B$95,
IF(AND(E30="WCQ Hex",G30="W"),'US CBAs'!$B$98,
IF(AND(E30="WCQ Hex",G30="D"),'US CBAs'!$B$99,
IF(E30="World Cup",'US CBAs'!$B$104,
0))))))))))))))))</f>
        <v>7500</v>
      </c>
      <c r="L30" s="40">
        <v>23</v>
      </c>
      <c r="M30" s="59">
        <f t="shared" si="2"/>
        <v>172500</v>
      </c>
      <c r="N30" s="45">
        <f>IF(J30="",I30*'US CBAs'!$C$118,0)</f>
        <v>0</v>
      </c>
      <c r="O30" s="59">
        <f t="shared" si="3"/>
        <v>172500</v>
      </c>
      <c r="P30" s="61"/>
      <c r="Q30" s="39"/>
      <c r="R30" s="39"/>
      <c r="S30" s="39"/>
      <c r="T30" s="349"/>
    </row>
    <row r="31" spans="1:21" x14ac:dyDescent="0.35">
      <c r="A31" s="49" t="s">
        <v>223</v>
      </c>
      <c r="B31" s="195">
        <v>25</v>
      </c>
      <c r="C31" s="50">
        <v>2011</v>
      </c>
      <c r="D31" s="49" t="s">
        <v>35</v>
      </c>
      <c r="E31" s="49" t="s">
        <v>229</v>
      </c>
      <c r="F31" s="49"/>
      <c r="G31" s="49" t="s">
        <v>33</v>
      </c>
      <c r="H31" s="49" t="s">
        <v>481</v>
      </c>
      <c r="I31" s="57">
        <v>93420</v>
      </c>
      <c r="J31" s="40" t="s">
        <v>218</v>
      </c>
      <c r="K31" s="59">
        <f>IF(G31="L",'US CBAs'!$B$73,
IF(AND(E31="Friendly",F31="T1",G31="W"),'US CBAs'!$B$68,
IF(AND(E31="Friendly",F31="T2",G31="W"),'US CBAs'!$B$69,
IF(AND(E31="Friendly",F31="",G31="W"),'US CBAs'!$B$70,
IF(AND(E31="Friendly",F31="T1",G31="D"),'US CBAs'!$B$71,
IF(AND(E31="Friendly",F31="",G31="D"),'US CBAs'!$B$72,
IF(AND(E31="Gold Cup",F31="T1",G31="W"),'US CBAs'!$B$78,
IF(AND(E31="Gold Cup",F31="",G31="W"),'US CBAs'!$B$79,
IF(AND(E31="Gold Cup",G31="D"),'US CBAs'!$B$80,
IF(AND(E31="Copa America",F31="",G31="W"),'US CBAs'!$B$85,
IF(AND(E31="Copa America",G31="D"),'US CBAs'!$B$86,
IF(AND(E31="WCQ SF",G31="W"),'US CBAs'!$B$94,
IF(AND(E31="WCQ SF",G31="D"),'US CBAs'!$B$95,
IF(AND(E31="WCQ Hex",G31="W"),'US CBAs'!$B$98,
IF(AND(E31="WCQ Hex",G31="D"),'US CBAs'!$B$99,
IF(E31="World Cup",'US CBAs'!$B$104,
0))))))))))))))))</f>
        <v>4000</v>
      </c>
      <c r="L31" s="40">
        <v>23</v>
      </c>
      <c r="M31" s="59">
        <f t="shared" si="2"/>
        <v>92000</v>
      </c>
      <c r="N31" s="45">
        <f>IF(J31="",I31*'US CBAs'!$C$118,0)</f>
        <v>0</v>
      </c>
      <c r="O31" s="59">
        <f t="shared" si="3"/>
        <v>92000</v>
      </c>
      <c r="P31" s="61"/>
      <c r="Q31" s="275"/>
      <c r="R31" s="264"/>
      <c r="S31" s="259"/>
      <c r="T31" s="349"/>
    </row>
    <row r="32" spans="1:21" x14ac:dyDescent="0.35">
      <c r="A32" s="49" t="s">
        <v>203</v>
      </c>
      <c r="B32" s="195">
        <v>10</v>
      </c>
      <c r="C32" s="50">
        <v>2011</v>
      </c>
      <c r="D32" s="49" t="s">
        <v>35</v>
      </c>
      <c r="E32" s="49" t="s">
        <v>220</v>
      </c>
      <c r="F32" s="49" t="s">
        <v>28</v>
      </c>
      <c r="G32" s="49" t="s">
        <v>83</v>
      </c>
      <c r="H32" s="49" t="s">
        <v>484</v>
      </c>
      <c r="I32" s="57">
        <v>30138</v>
      </c>
      <c r="J32" s="40"/>
      <c r="K32" s="59">
        <f>IF(G32="L",'US CBAs'!$B$73,
IF(AND(E32="Friendly",F32="T1",G32="W"),'US CBAs'!$B$68,
IF(AND(E32="Friendly",F32="T2",G32="W"),'US CBAs'!$B$69,
IF(AND(E32="Friendly",F32="",G32="W"),'US CBAs'!$B$70,
IF(AND(E32="Friendly",F32="T1",G32="D"),'US CBAs'!$B$71,
IF(AND(E32="Friendly",F32="",G32="D"),'US CBAs'!$B$72,
IF(AND(E32="Gold Cup",F32="T1",G32="W"),'US CBAs'!$B$78,
IF(AND(E32="Gold Cup",F32="",G32="W"),'US CBAs'!$B$79,
IF(AND(E32="Gold Cup",G32="D"),'US CBAs'!$B$80,
IF(AND(E32="Copa America",F32="",G32="W"),'US CBAs'!$B$85,
IF(AND(E32="Copa America",G32="D"),'US CBAs'!$B$86,
IF(AND(E32="WCQ SF",G32="W"),'US CBAs'!$B$94,
IF(AND(E32="WCQ SF",G32="D"),'US CBAs'!$B$95,
IF(AND(E32="WCQ Hex",G32="W"),'US CBAs'!$B$98,
IF(AND(E32="WCQ Hex",G32="D"),'US CBAs'!$B$99,
IF(E32="World Cup",'US CBAs'!$B$104,
0))))))))))))))))</f>
        <v>6500</v>
      </c>
      <c r="L32" s="40">
        <v>20</v>
      </c>
      <c r="M32" s="59">
        <f t="shared" si="2"/>
        <v>130000</v>
      </c>
      <c r="N32" s="45">
        <f>IF(J32="",I32*'US CBAs'!$C$118,0)</f>
        <v>36165.599999999999</v>
      </c>
      <c r="O32" s="59">
        <f t="shared" si="3"/>
        <v>166165.6</v>
      </c>
      <c r="P32" s="61"/>
      <c r="Q32" s="279"/>
      <c r="R32" s="265"/>
      <c r="S32" s="259"/>
      <c r="T32" s="349"/>
    </row>
    <row r="33" spans="1:21" x14ac:dyDescent="0.35">
      <c r="A33" s="49" t="s">
        <v>222</v>
      </c>
      <c r="B33" s="195">
        <v>2</v>
      </c>
      <c r="C33" s="50">
        <v>2011</v>
      </c>
      <c r="D33" s="49" t="s">
        <v>36</v>
      </c>
      <c r="E33" s="49" t="s">
        <v>220</v>
      </c>
      <c r="F33" s="49"/>
      <c r="G33" s="49" t="s">
        <v>33</v>
      </c>
      <c r="H33" s="49" t="s">
        <v>481</v>
      </c>
      <c r="I33" s="57">
        <v>15798</v>
      </c>
      <c r="J33" s="40"/>
      <c r="K33" s="59">
        <f>IF(G33="L",'US CBAs'!$B$73,
IF(AND(E33="Friendly",F33="T1",G33="W"),'US CBAs'!$B$68,
IF(AND(E33="Friendly",F33="T2",G33="W"),'US CBAs'!$B$69,
IF(AND(E33="Friendly",F33="",G33="W"),'US CBAs'!$B$70,
IF(AND(E33="Friendly",F33="T1",G33="D"),'US CBAs'!$B$71,
IF(AND(E33="Friendly",F33="",G33="D"),'US CBAs'!$B$72,
IF(AND(E33="Gold Cup",F33="T1",G33="W"),'US CBAs'!$B$78,
IF(AND(E33="Gold Cup",F33="",G33="W"),'US CBAs'!$B$79,
IF(AND(E33="Gold Cup",G33="D"),'US CBAs'!$B$80,
IF(AND(E33="Copa America",F33="",G33="W"),'US CBAs'!$B$85,
IF(AND(E33="Copa America",G33="D"),'US CBAs'!$B$86,
IF(AND(E33="WCQ SF",G33="W"),'US CBAs'!$B$94,
IF(AND(E33="WCQ SF",G33="D"),'US CBAs'!$B$95,
IF(AND(E33="WCQ Hex",G33="W"),'US CBAs'!$B$98,
IF(AND(E33="WCQ Hex",G33="D"),'US CBAs'!$B$99,
IF(E33="World Cup",'US CBAs'!$B$104,
0))))))))))))))))</f>
        <v>4000</v>
      </c>
      <c r="L33" s="40">
        <v>20</v>
      </c>
      <c r="M33" s="59">
        <f t="shared" si="2"/>
        <v>80000</v>
      </c>
      <c r="N33" s="45">
        <f>IF(J33="",I33*'US CBAs'!$C$118,0)</f>
        <v>18957.599999999999</v>
      </c>
      <c r="O33" s="59">
        <f t="shared" si="3"/>
        <v>98957.6</v>
      </c>
      <c r="P33" s="61"/>
      <c r="Q33" s="277"/>
      <c r="R33" s="258"/>
      <c r="S33" s="259"/>
      <c r="T33" s="349"/>
    </row>
    <row r="34" spans="1:21" x14ac:dyDescent="0.35">
      <c r="A34" s="49" t="s">
        <v>222</v>
      </c>
      <c r="B34" s="195">
        <v>6</v>
      </c>
      <c r="C34" s="50">
        <v>2011</v>
      </c>
      <c r="D34" s="49" t="s">
        <v>39</v>
      </c>
      <c r="E34" s="49" t="s">
        <v>220</v>
      </c>
      <c r="F34" s="49"/>
      <c r="G34" s="49" t="s">
        <v>33</v>
      </c>
      <c r="H34" s="49" t="s">
        <v>39</v>
      </c>
      <c r="I34" s="57">
        <v>21946</v>
      </c>
      <c r="J34" s="40" t="s">
        <v>218</v>
      </c>
      <c r="K34" s="59">
        <f>IF(G34="L",'US CBAs'!$B$73,
IF(AND(E34="Friendly",F34="T1",G34="W"),'US CBAs'!$B$68,
IF(AND(E34="Friendly",F34="T2",G34="W"),'US CBAs'!$B$69,
IF(AND(E34="Friendly",F34="",G34="W"),'US CBAs'!$B$70,
IF(AND(E34="Friendly",F34="T1",G34="D"),'US CBAs'!$B$71,
IF(AND(E34="Friendly",F34="",G34="D"),'US CBAs'!$B$72,
IF(AND(E34="Gold Cup",F34="T1",G34="W"),'US CBAs'!$B$78,
IF(AND(E34="Gold Cup",F34="",G34="W"),'US CBAs'!$B$79,
IF(AND(E34="Gold Cup",G34="D"),'US CBAs'!$B$80,
IF(AND(E34="Copa America",F34="",G34="W"),'US CBAs'!$B$85,
IF(AND(E34="Copa America",G34="D"),'US CBAs'!$B$86,
IF(AND(E34="WCQ SF",G34="W"),'US CBAs'!$B$94,
IF(AND(E34="WCQ SF",G34="D"),'US CBAs'!$B$95,
IF(AND(E34="WCQ Hex",G34="W"),'US CBAs'!$B$98,
IF(AND(E34="WCQ Hex",G34="D"),'US CBAs'!$B$99,
IF(E34="World Cup",'US CBAs'!$B$104,
0))))))))))))))))</f>
        <v>4000</v>
      </c>
      <c r="L34" s="40">
        <v>20</v>
      </c>
      <c r="M34" s="59">
        <f t="shared" si="2"/>
        <v>80000</v>
      </c>
      <c r="N34" s="45">
        <f>IF(J34="",I34*'US CBAs'!$C$118,0)</f>
        <v>0</v>
      </c>
      <c r="O34" s="59">
        <f t="shared" si="3"/>
        <v>80000</v>
      </c>
      <c r="P34" s="61"/>
      <c r="Q34" s="275"/>
      <c r="R34" s="261"/>
      <c r="S34" s="266"/>
      <c r="T34" s="349"/>
    </row>
    <row r="35" spans="1:21" x14ac:dyDescent="0.35">
      <c r="A35" s="49" t="s">
        <v>189</v>
      </c>
      <c r="B35" s="195">
        <v>8</v>
      </c>
      <c r="C35" s="50">
        <v>2011</v>
      </c>
      <c r="D35" s="49" t="s">
        <v>32</v>
      </c>
      <c r="E35" s="49" t="s">
        <v>220</v>
      </c>
      <c r="F35" s="49"/>
      <c r="G35" s="49" t="s">
        <v>20</v>
      </c>
      <c r="H35" s="49" t="s">
        <v>482</v>
      </c>
      <c r="I35" s="57">
        <v>21170</v>
      </c>
      <c r="J35" s="40"/>
      <c r="K35" s="59">
        <f>IF(G35="L",'US CBAs'!$B$73,
IF(AND(E35="Friendly",F35="T1",G35="W"),'US CBAs'!$B$68,
IF(AND(E35="Friendly",F35="T2",G35="W"),'US CBAs'!$B$69,
IF(AND(E35="Friendly",F35="",G35="W"),'US CBAs'!$B$70,
IF(AND(E35="Friendly",F35="T1",G35="D"),'US CBAs'!$B$71,
IF(AND(E35="Friendly",F35="",G35="D"),'US CBAs'!$B$72,
IF(AND(E35="Gold Cup",F35="T1",G35="W"),'US CBAs'!$B$78,
IF(AND(E35="Gold Cup",F35="",G35="W"),'US CBAs'!$B$79,
IF(AND(E35="Gold Cup",G35="D"),'US CBAs'!$B$80,
IF(AND(E35="Copa America",F35="",G35="W"),'US CBAs'!$B$85,
IF(AND(E35="Copa America",G35="D"),'US CBAs'!$B$86,
IF(AND(E35="WCQ SF",G35="W"),'US CBAs'!$B$94,
IF(AND(E35="WCQ SF",G35="D"),'US CBAs'!$B$95,
IF(AND(E35="WCQ Hex",G35="W"),'US CBAs'!$B$98,
IF(AND(E35="WCQ Hex",G35="D"),'US CBAs'!$B$99,
IF(E35="World Cup",'US CBAs'!$B$104,
0))))))))))))))))</f>
        <v>7500</v>
      </c>
      <c r="L35" s="40">
        <v>20</v>
      </c>
      <c r="M35" s="59">
        <f t="shared" si="2"/>
        <v>150000</v>
      </c>
      <c r="N35" s="45">
        <f>IF(J35="",I35*'US CBAs'!$C$118,0)</f>
        <v>25404</v>
      </c>
      <c r="O35" s="59">
        <f t="shared" si="3"/>
        <v>175404</v>
      </c>
      <c r="P35" s="61"/>
      <c r="Q35" s="275"/>
      <c r="R35" s="261"/>
      <c r="S35" s="267"/>
      <c r="T35" s="268"/>
    </row>
    <row r="36" spans="1:21" x14ac:dyDescent="0.35">
      <c r="A36" s="49" t="s">
        <v>189</v>
      </c>
      <c r="B36" s="195">
        <v>11</v>
      </c>
      <c r="C36" s="50">
        <v>2011</v>
      </c>
      <c r="D36" s="49" t="s">
        <v>63</v>
      </c>
      <c r="E36" s="49" t="s">
        <v>220</v>
      </c>
      <c r="F36" s="49"/>
      <c r="G36" s="49" t="s">
        <v>33</v>
      </c>
      <c r="H36" s="49" t="s">
        <v>485</v>
      </c>
      <c r="I36" s="57">
        <v>20707</v>
      </c>
      <c r="J36" s="40"/>
      <c r="K36" s="59">
        <f>IF(G36="L",'US CBAs'!$B$73,
IF(AND(E36="Friendly",F36="T1",G36="W"),'US CBAs'!$B$68,
IF(AND(E36="Friendly",F36="T2",G36="W"),'US CBAs'!$B$69,
IF(AND(E36="Friendly",F36="",G36="W"),'US CBAs'!$B$70,
IF(AND(E36="Friendly",F36="T1",G36="D"),'US CBAs'!$B$71,
IF(AND(E36="Friendly",F36="",G36="D"),'US CBAs'!$B$72,
IF(AND(E36="Gold Cup",F36="T1",G36="W"),'US CBAs'!$B$78,
IF(AND(E36="Gold Cup",F36="",G36="W"),'US CBAs'!$B$79,
IF(AND(E36="Gold Cup",G36="D"),'US CBAs'!$B$80,
IF(AND(E36="Copa America",F36="",G36="W"),'US CBAs'!$B$85,
IF(AND(E36="Copa America",G36="D"),'US CBAs'!$B$86,
IF(AND(E36="WCQ SF",G36="W"),'US CBAs'!$B$94,
IF(AND(E36="WCQ SF",G36="D"),'US CBAs'!$B$95,
IF(AND(E36="WCQ Hex",G36="W"),'US CBAs'!$B$98,
IF(AND(E36="WCQ Hex",G36="D"),'US CBAs'!$B$99,
IF(E36="World Cup",'US CBAs'!$B$104,
0))))))))))))))))</f>
        <v>4000</v>
      </c>
      <c r="L36" s="40">
        <v>20</v>
      </c>
      <c r="M36" s="59">
        <f t="shared" si="2"/>
        <v>80000</v>
      </c>
      <c r="N36" s="45">
        <f>IF(J36="",I36*'US CBAs'!$C$118,0)</f>
        <v>24848.399999999998</v>
      </c>
      <c r="O36" s="59">
        <f t="shared" si="3"/>
        <v>104848.4</v>
      </c>
      <c r="P36" s="61"/>
      <c r="Q36" s="275"/>
      <c r="R36" s="261"/>
      <c r="S36" s="267"/>
      <c r="T36" s="268"/>
    </row>
    <row r="37" spans="1:21" x14ac:dyDescent="0.35">
      <c r="A37" s="49" t="s">
        <v>190</v>
      </c>
      <c r="B37" s="195">
        <v>11</v>
      </c>
      <c r="C37" s="50">
        <v>2011</v>
      </c>
      <c r="D37" s="49" t="s">
        <v>53</v>
      </c>
      <c r="E37" s="49" t="s">
        <v>220</v>
      </c>
      <c r="F37" s="49"/>
      <c r="G37" s="49" t="s">
        <v>33</v>
      </c>
      <c r="H37" s="49" t="s">
        <v>53</v>
      </c>
      <c r="I37" s="57">
        <v>70018</v>
      </c>
      <c r="J37" s="40" t="s">
        <v>218</v>
      </c>
      <c r="K37" s="59">
        <f>IF(G37="L",'US CBAs'!$B$73,
IF(AND(E37="Friendly",F37="T1",G37="W"),'US CBAs'!$B$68,
IF(AND(E37="Friendly",F37="T2",G37="W"),'US CBAs'!$B$69,
IF(AND(E37="Friendly",F37="",G37="W"),'US CBAs'!$B$70,
IF(AND(E37="Friendly",F37="T1",G37="D"),'US CBAs'!$B$71,
IF(AND(E37="Friendly",F37="",G37="D"),'US CBAs'!$B$72,
IF(AND(E37="Gold Cup",F37="T1",G37="W"),'US CBAs'!$B$78,
IF(AND(E37="Gold Cup",F37="",G37="W"),'US CBAs'!$B$79,
IF(AND(E37="Gold Cup",G37="D"),'US CBAs'!$B$80,
IF(AND(E37="Copa America",F37="",G37="W"),'US CBAs'!$B$85,
IF(AND(E37="Copa America",G37="D"),'US CBAs'!$B$86,
IF(AND(E37="WCQ SF",G37="W"),'US CBAs'!$B$94,
IF(AND(E37="WCQ SF",G37="D"),'US CBAs'!$B$95,
IF(AND(E37="WCQ Hex",G37="W"),'US CBAs'!$B$98,
IF(AND(E37="WCQ Hex",G37="D"),'US CBAs'!$B$99,
IF(E37="World Cup",'US CBAs'!$B$104,
0))))))))))))))))</f>
        <v>4000</v>
      </c>
      <c r="L37" s="40">
        <v>20</v>
      </c>
      <c r="M37" s="59">
        <f t="shared" si="2"/>
        <v>80000</v>
      </c>
      <c r="N37" s="45">
        <f>IF(J37="",I37*'US CBAs'!$C$118,0)</f>
        <v>0</v>
      </c>
      <c r="O37" s="59">
        <f t="shared" si="3"/>
        <v>80000</v>
      </c>
      <c r="P37" s="61"/>
      <c r="Q37" s="39"/>
      <c r="R37" s="39"/>
      <c r="S37" s="39"/>
      <c r="T37" s="39"/>
    </row>
    <row r="38" spans="1:21" x14ac:dyDescent="0.35">
      <c r="A38" s="49" t="s">
        <v>190</v>
      </c>
      <c r="B38" s="195">
        <v>15</v>
      </c>
      <c r="C38" s="50">
        <v>2011</v>
      </c>
      <c r="D38" s="49" t="s">
        <v>254</v>
      </c>
      <c r="E38" s="49" t="s">
        <v>220</v>
      </c>
      <c r="F38" s="49"/>
      <c r="G38" s="49" t="s">
        <v>20</v>
      </c>
      <c r="H38" s="49" t="s">
        <v>254</v>
      </c>
      <c r="I38" s="57">
        <v>8140</v>
      </c>
      <c r="J38" s="40" t="s">
        <v>218</v>
      </c>
      <c r="K38" s="59">
        <f>IF(G38="L",'US CBAs'!$B$73,
IF(AND(E38="Friendly",F38="T1",G38="W"),'US CBAs'!$B$68,
IF(AND(E38="Friendly",F38="T2",G38="W"),'US CBAs'!$B$69,
IF(AND(E38="Friendly",F38="",G38="W"),'US CBAs'!$B$70,
IF(AND(E38="Friendly",F38="T1",G38="D"),'US CBAs'!$B$71,
IF(AND(E38="Friendly",F38="",G38="D"),'US CBAs'!$B$72,
IF(AND(E38="Gold Cup",F38="T1",G38="W"),'US CBAs'!$B$78,
IF(AND(E38="Gold Cup",F38="",G38="W"),'US CBAs'!$B$79,
IF(AND(E38="Gold Cup",G38="D"),'US CBAs'!$B$80,
IF(AND(E38="Copa America",F38="",G38="W"),'US CBAs'!$B$85,
IF(AND(E38="Copa America",G38="D"),'US CBAs'!$B$86,
IF(AND(E38="WCQ SF",G38="W"),'US CBAs'!$B$94,
IF(AND(E38="WCQ SF",G38="D"),'US CBAs'!$B$95,
IF(AND(E38="WCQ Hex",G38="W"),'US CBAs'!$B$98,
IF(AND(E38="WCQ Hex",G38="D"),'US CBAs'!$B$99,
IF(E38="World Cup",'US CBAs'!$B$104,
0))))))))))))))))</f>
        <v>7500</v>
      </c>
      <c r="L38" s="40">
        <v>20</v>
      </c>
      <c r="M38" s="59">
        <f t="shared" si="2"/>
        <v>150000</v>
      </c>
      <c r="N38" s="45">
        <f>IF(J38="",I38*'US CBAs'!$C$118,0)</f>
        <v>0</v>
      </c>
      <c r="O38" s="59">
        <f t="shared" si="3"/>
        <v>150000</v>
      </c>
      <c r="P38" s="61"/>
      <c r="Q38" s="278" t="s">
        <v>381</v>
      </c>
      <c r="R38" s="262" t="s">
        <v>6</v>
      </c>
      <c r="S38" s="262" t="s">
        <v>18</v>
      </c>
      <c r="T38" s="263" t="s">
        <v>91</v>
      </c>
      <c r="U38" s="80"/>
    </row>
    <row r="39" spans="1:21" x14ac:dyDescent="0.35">
      <c r="A39" s="49"/>
      <c r="B39" s="195"/>
      <c r="C39" s="50"/>
      <c r="D39" s="58" t="s">
        <v>392</v>
      </c>
      <c r="E39" s="49"/>
      <c r="F39" s="49"/>
      <c r="G39" s="49"/>
      <c r="H39" s="49"/>
      <c r="I39" s="57"/>
      <c r="J39" s="40"/>
      <c r="K39" s="54">
        <f>'US CBAs'!$B$75</f>
        <v>1500</v>
      </c>
      <c r="L39" s="56">
        <v>10</v>
      </c>
      <c r="M39" s="54">
        <f t="shared" si="2"/>
        <v>15000</v>
      </c>
      <c r="N39" s="55"/>
      <c r="O39" s="54">
        <f t="shared" si="3"/>
        <v>15000</v>
      </c>
      <c r="P39" s="61"/>
      <c r="Q39" s="276" t="s">
        <v>383</v>
      </c>
      <c r="R39" s="261">
        <f>'US CBAs'!$B$83</f>
        <v>4000</v>
      </c>
      <c r="S39" s="259">
        <v>23</v>
      </c>
      <c r="T39" s="252">
        <f>R39*S39</f>
        <v>92000</v>
      </c>
      <c r="U39" s="80"/>
    </row>
    <row r="40" spans="1:21" ht="13.15" x14ac:dyDescent="0.4">
      <c r="A40" s="289" t="s">
        <v>24</v>
      </c>
      <c r="B40" s="290"/>
      <c r="C40" s="290"/>
      <c r="D40" s="289"/>
      <c r="E40" s="289"/>
      <c r="F40" s="289"/>
      <c r="G40" s="289"/>
      <c r="H40" s="289"/>
      <c r="I40" s="291"/>
      <c r="J40" s="289"/>
      <c r="K40" s="289"/>
      <c r="L40" s="289"/>
      <c r="M40" s="292">
        <f>SUBTOTAL(109,Table3[Game pay])</f>
        <v>2029000</v>
      </c>
      <c r="N40" s="292">
        <f>SUBTOTAL(109,Table3[Att bonus])</f>
        <v>334210.8</v>
      </c>
      <c r="O40" s="292">
        <f>SUBTOTAL(109,Table3[TEAM PAY])</f>
        <v>2363210.8000000003</v>
      </c>
      <c r="P40" s="61"/>
      <c r="Q40" s="47" t="s">
        <v>90</v>
      </c>
      <c r="R40" s="299"/>
      <c r="S40" s="300"/>
      <c r="T40" s="252">
        <f>T39</f>
        <v>92000</v>
      </c>
    </row>
    <row r="41" spans="1:21" x14ac:dyDescent="0.35">
      <c r="A41" s="289"/>
      <c r="B41" s="290"/>
      <c r="C41" s="290"/>
      <c r="D41" s="289"/>
      <c r="E41" s="289"/>
      <c r="F41" s="289"/>
      <c r="G41" s="289"/>
      <c r="H41" s="289"/>
      <c r="I41" s="291"/>
      <c r="J41" s="289"/>
      <c r="K41" s="289"/>
      <c r="L41" s="289"/>
      <c r="M41" s="292"/>
      <c r="N41" s="294" t="s">
        <v>398</v>
      </c>
      <c r="O41" s="294">
        <f>$T40</f>
        <v>92000</v>
      </c>
      <c r="P41" s="61"/>
      <c r="Q41" s="239"/>
      <c r="R41" s="239"/>
      <c r="S41" s="247"/>
      <c r="T41" s="248"/>
      <c r="U41" s="80"/>
    </row>
    <row r="42" spans="1:21" x14ac:dyDescent="0.35">
      <c r="A42" s="49"/>
      <c r="B42" s="195"/>
      <c r="C42" s="50"/>
      <c r="D42" s="53"/>
      <c r="E42" s="49"/>
      <c r="F42" s="49"/>
      <c r="G42" s="49"/>
      <c r="H42" s="49"/>
      <c r="I42" s="57"/>
      <c r="J42" s="40"/>
      <c r="K42" s="59"/>
      <c r="L42" s="40"/>
      <c r="M42" s="52"/>
      <c r="N42" s="52" t="s">
        <v>90</v>
      </c>
      <c r="O42" s="52">
        <f>O40+O41</f>
        <v>2455210.8000000003</v>
      </c>
      <c r="P42" s="61"/>
      <c r="Q42" s="242"/>
      <c r="R42" s="242"/>
      <c r="S42" s="247"/>
      <c r="T42" s="248"/>
    </row>
    <row r="43" spans="1:21" x14ac:dyDescent="0.35">
      <c r="A43" s="49"/>
      <c r="B43" s="195"/>
      <c r="C43" s="50"/>
      <c r="D43" s="53"/>
      <c r="E43" s="49"/>
      <c r="F43" s="49"/>
      <c r="G43" s="49"/>
      <c r="H43" s="49"/>
      <c r="I43" s="57"/>
      <c r="J43" s="40"/>
      <c r="K43" s="59"/>
      <c r="L43" s="40"/>
      <c r="M43" s="52"/>
      <c r="N43" s="52"/>
      <c r="O43" s="52"/>
      <c r="P43" s="61"/>
      <c r="Q43" s="242"/>
      <c r="R43" s="242"/>
      <c r="S43" s="247"/>
      <c r="T43" s="248"/>
      <c r="U43" s="80"/>
    </row>
    <row r="44" spans="1:21" x14ac:dyDescent="0.35">
      <c r="A44" s="53" t="s">
        <v>249</v>
      </c>
      <c r="B44" s="194" t="s">
        <v>248</v>
      </c>
      <c r="C44" s="65" t="s">
        <v>247</v>
      </c>
      <c r="D44" s="53" t="s">
        <v>15</v>
      </c>
      <c r="E44" s="53" t="s">
        <v>194</v>
      </c>
      <c r="F44" s="53" t="s">
        <v>246</v>
      </c>
      <c r="G44" s="53" t="s">
        <v>16</v>
      </c>
      <c r="H44" s="53" t="s">
        <v>245</v>
      </c>
      <c r="I44" s="64" t="s">
        <v>14</v>
      </c>
      <c r="J44" s="47" t="s">
        <v>244</v>
      </c>
      <c r="K44" s="47" t="s">
        <v>243</v>
      </c>
      <c r="L44" s="47" t="s">
        <v>17</v>
      </c>
      <c r="M44" s="47" t="s">
        <v>219</v>
      </c>
      <c r="N44" s="63" t="s">
        <v>242</v>
      </c>
      <c r="O44" s="47" t="s">
        <v>241</v>
      </c>
      <c r="P44" s="61"/>
      <c r="Q44" s="280" t="s">
        <v>399</v>
      </c>
      <c r="R44" s="281"/>
      <c r="S44" s="233"/>
      <c r="U44" s="80"/>
    </row>
    <row r="45" spans="1:21" x14ac:dyDescent="0.35">
      <c r="A45" s="49" t="s">
        <v>191</v>
      </c>
      <c r="B45" s="197">
        <v>21</v>
      </c>
      <c r="C45" s="50">
        <v>2012</v>
      </c>
      <c r="D45" s="49" t="s">
        <v>76</v>
      </c>
      <c r="E45" s="49" t="s">
        <v>220</v>
      </c>
      <c r="F45" s="49"/>
      <c r="G45" s="49" t="s">
        <v>20</v>
      </c>
      <c r="H45" s="49" t="s">
        <v>493</v>
      </c>
      <c r="I45" s="57">
        <v>22403</v>
      </c>
      <c r="J45" s="40"/>
      <c r="K45" s="59">
        <f>IF(G45="L",'US CBAs'!$B$73,
IF(AND(E45="Friendly",F45="T1",G45="W"),'US CBAs'!$B$68,
IF(AND(E45="Friendly",F45="T2",G45="W"),'US CBAs'!$B$69,
IF(AND(E45="Friendly",F45="",G45="W"),'US CBAs'!$B$70,
IF(AND(E45="Friendly",F45="T1",G45="D"),'US CBAs'!$B$71,
IF(AND(E45="Friendly",F45="",G45="D"),'US CBAs'!$B$72,
IF(AND(E45="Gold Cup",F45="T1",G45="W"),'US CBAs'!$B$78,
IF(AND(E45="Gold Cup",F45="",G45="W"),'US CBAs'!$B$79,
IF(AND(E45="Gold Cup",G45="D"),'US CBAs'!$B$80,
IF(AND(E45="Copa America",F45="",G45="W"),'US CBAs'!$B$85,
IF(AND(E45="Copa America",G45="D"),'US CBAs'!$B$86,
IF(AND(E45="WCQ SF",G45="W"),'US CBAs'!$B$94,
IF(AND(E45="WCQ SF",G45="D"),'US CBAs'!$B$95,
IF(AND(E45="WCQ Hex",G45="W"),'US CBAs'!$B$98,
IF(AND(E45="WCQ Hex",G45="D"),'US CBAs'!$B$99,
IF(E45="World Cup",'US CBAs'!$B$104,
0))))))))))))))))</f>
        <v>7500</v>
      </c>
      <c r="L45" s="40">
        <v>20</v>
      </c>
      <c r="M45" s="59">
        <f t="shared" si="2"/>
        <v>150000</v>
      </c>
      <c r="N45" s="45">
        <f>IF(J45="",I45*'US CBAs'!$C$118,0)</f>
        <v>26883.599999999999</v>
      </c>
      <c r="O45" s="59">
        <f t="shared" si="3"/>
        <v>176883.6</v>
      </c>
      <c r="P45" s="61"/>
      <c r="Q45" s="282" t="s">
        <v>219</v>
      </c>
      <c r="R45" s="283">
        <f>SUM(M25:M39)+SUM(M45:M47)</f>
        <v>2301000</v>
      </c>
      <c r="S45" s="247"/>
      <c r="T45" s="248"/>
    </row>
    <row r="46" spans="1:21" x14ac:dyDescent="0.35">
      <c r="A46" s="49" t="s">
        <v>191</v>
      </c>
      <c r="B46" s="195">
        <v>25</v>
      </c>
      <c r="C46" s="50">
        <v>2012</v>
      </c>
      <c r="D46" s="49" t="s">
        <v>42</v>
      </c>
      <c r="E46" s="49" t="s">
        <v>220</v>
      </c>
      <c r="F46" s="49"/>
      <c r="G46" s="49" t="s">
        <v>20</v>
      </c>
      <c r="H46" s="49" t="s">
        <v>42</v>
      </c>
      <c r="I46" s="57">
        <v>15000</v>
      </c>
      <c r="J46" s="40" t="s">
        <v>218</v>
      </c>
      <c r="K46" s="59">
        <f>IF(G46="L",'US CBAs'!$B$73,
IF(AND(E46="Friendly",F46="T1",G46="W"),'US CBAs'!$B$68,
IF(AND(E46="Friendly",F46="T2",G46="W"),'US CBAs'!$B$69,
IF(AND(E46="Friendly",F46="",G46="W"),'US CBAs'!$B$70,
IF(AND(E46="Friendly",F46="T1",G46="D"),'US CBAs'!$B$71,
IF(AND(E46="Friendly",F46="",G46="D"),'US CBAs'!$B$72,
IF(AND(E46="Gold Cup",F46="T1",G46="W"),'US CBAs'!$B$78,
IF(AND(E46="Gold Cup",F46="",G46="W"),'US CBAs'!$B$79,
IF(AND(E46="Gold Cup",G46="D"),'US CBAs'!$B$80,
IF(AND(E46="Copa America",F46="",G46="W"),'US CBAs'!$B$85,
IF(AND(E46="Copa America",G46="D"),'US CBAs'!$B$86,
IF(AND(E46="WCQ SF",G46="W"),'US CBAs'!$B$94,
IF(AND(E46="WCQ SF",G46="D"),'US CBAs'!$B$95,
IF(AND(E46="WCQ Hex",G46="W"),'US CBAs'!$B$98,
IF(AND(E46="WCQ Hex",G46="D"),'US CBAs'!$B$99,
IF(E46="World Cup",'US CBAs'!$B$104,
0))))))))))))))))</f>
        <v>7500</v>
      </c>
      <c r="L46" s="40">
        <v>20</v>
      </c>
      <c r="M46" s="59">
        <f t="shared" si="2"/>
        <v>150000</v>
      </c>
      <c r="N46" s="45">
        <f>IF(J46="",I46*'US CBAs'!$C$118,0)</f>
        <v>0</v>
      </c>
      <c r="O46" s="59">
        <f t="shared" si="3"/>
        <v>150000</v>
      </c>
      <c r="P46" s="61"/>
      <c r="Q46" s="284" t="s">
        <v>394</v>
      </c>
      <c r="R46" s="283">
        <f>SUM(N25:N39)+SUM(N45:N47)</f>
        <v>209204.4</v>
      </c>
      <c r="S46" s="247"/>
      <c r="T46" s="248"/>
    </row>
    <row r="47" spans="1:21" x14ac:dyDescent="0.35">
      <c r="A47" s="49" t="s">
        <v>192</v>
      </c>
      <c r="B47" s="195">
        <v>29</v>
      </c>
      <c r="C47" s="50">
        <v>2012</v>
      </c>
      <c r="D47" s="49" t="s">
        <v>84</v>
      </c>
      <c r="E47" s="49" t="s">
        <v>220</v>
      </c>
      <c r="F47" s="49" t="s">
        <v>28</v>
      </c>
      <c r="G47" s="49" t="s">
        <v>20</v>
      </c>
      <c r="H47" s="49" t="s">
        <v>84</v>
      </c>
      <c r="I47" s="57">
        <v>15000</v>
      </c>
      <c r="J47" s="40" t="s">
        <v>218</v>
      </c>
      <c r="K47" s="59">
        <f>IF(G47="L",'US CBAs'!$B$73,
IF(AND(E47="Friendly",F47="T1",G47="W"),'US CBAs'!$B$68,
IF(AND(E47="Friendly",F47="T2",G47="W"),'US CBAs'!$B$69,
IF(AND(E47="Friendly",F47="",G47="W"),'US CBAs'!$B$70,
IF(AND(E47="Friendly",F47="T1",G47="D"),'US CBAs'!$B$71,
IF(AND(E47="Friendly",F47="",G47="D"),'US CBAs'!$B$72,
IF(AND(E47="Gold Cup",F47="T1",G47="W"),'US CBAs'!$B$78,
IF(AND(E47="Gold Cup",F47="",G47="W"),'US CBAs'!$B$79,
IF(AND(E47="Gold Cup",G47="D"),'US CBAs'!$B$80,
IF(AND(E47="Copa America",F47="",G47="W"),'US CBAs'!$B$85,
IF(AND(E47="Copa America",G47="D"),'US CBAs'!$B$86,
IF(AND(E47="WCQ SF",G47="W"),'US CBAs'!$B$94,
IF(AND(E47="WCQ SF",G47="D"),'US CBAs'!$B$95,
IF(AND(E47="WCQ Hex",G47="W"),'US CBAs'!$B$98,
IF(AND(E47="WCQ Hex",G47="D"),'US CBAs'!$B$99,
IF(E47="World Cup",'US CBAs'!$B$104,
0))))))))))))))))</f>
        <v>14100</v>
      </c>
      <c r="L47" s="40">
        <v>20</v>
      </c>
      <c r="M47" s="59">
        <f t="shared" si="2"/>
        <v>282000</v>
      </c>
      <c r="N47" s="45">
        <f>IF(J47="",I47*'US CBAs'!$C$118,0)</f>
        <v>0</v>
      </c>
      <c r="O47" s="59">
        <f t="shared" si="3"/>
        <v>282000</v>
      </c>
      <c r="P47" s="61"/>
      <c r="Q47" s="285" t="s">
        <v>395</v>
      </c>
      <c r="R47" s="286">
        <f>R45+R46</f>
        <v>2510204.4</v>
      </c>
      <c r="S47" s="247"/>
      <c r="T47" s="248"/>
    </row>
    <row r="48" spans="1:21" x14ac:dyDescent="0.35">
      <c r="A48" s="49" t="s">
        <v>186</v>
      </c>
      <c r="B48" s="195">
        <v>26</v>
      </c>
      <c r="C48" s="50">
        <v>2012</v>
      </c>
      <c r="D48" s="49" t="s">
        <v>19</v>
      </c>
      <c r="E48" s="49" t="s">
        <v>220</v>
      </c>
      <c r="F48" s="49"/>
      <c r="G48" s="49" t="s">
        <v>20</v>
      </c>
      <c r="H48" s="49" t="s">
        <v>482</v>
      </c>
      <c r="I48" s="57">
        <v>44438</v>
      </c>
      <c r="J48" s="40"/>
      <c r="K48" s="59">
        <f>IF(G48="L",'US CBAs'!$B$73,
IF(AND(E48="Friendly",F48="T1",G48="W"),'US CBAs'!$B$68,
IF(AND(E48="Friendly",F48="T2",G48="W"),'US CBAs'!$B$69,
IF(AND(E48="Friendly",F48="",G48="W"),'US CBAs'!$B$70,
IF(AND(E48="Friendly",F48="T1",G48="D"),'US CBAs'!$B$71,
IF(AND(E48="Friendly",F48="",G48="D"),'US CBAs'!$B$72,
IF(AND(E48="Gold Cup",F48="T1",G48="W"),'US CBAs'!$B$78,
IF(AND(E48="Gold Cup",F48="",G48="W"),'US CBAs'!$B$79,
IF(AND(E48="Gold Cup",G48="D"),'US CBAs'!$B$80,
IF(AND(E48="Copa America",F48="",G48="W"),'US CBAs'!$B$85,
IF(AND(E48="Copa America",G48="D"),'US CBAs'!$B$86,
IF(AND(E48="WCQ SF",G48="W"),'US CBAs'!$B$94,
IF(AND(E48="WCQ SF",G48="D"),'US CBAs'!$B$95,
IF(AND(E48="WCQ Hex",G48="W"),'US CBAs'!$B$98,
IF(AND(E48="WCQ Hex",G48="D"),'US CBAs'!$B$99,
IF(E48="World Cup",'US CBAs'!$B$104,
0))))))))))))))))</f>
        <v>7500</v>
      </c>
      <c r="L48" s="40">
        <v>20</v>
      </c>
      <c r="M48" s="59">
        <f t="shared" si="2"/>
        <v>150000</v>
      </c>
      <c r="N48" s="45">
        <f>IF(J48="",I48*'US CBAs'!$C$118,0)</f>
        <v>53325.599999999999</v>
      </c>
      <c r="O48" s="59">
        <f t="shared" si="3"/>
        <v>203325.6</v>
      </c>
      <c r="P48" s="61"/>
      <c r="Q48" s="285" t="s">
        <v>183</v>
      </c>
      <c r="R48" s="286">
        <f>$T40</f>
        <v>92000</v>
      </c>
      <c r="S48" s="247"/>
      <c r="T48" s="248"/>
    </row>
    <row r="49" spans="1:21" x14ac:dyDescent="0.35">
      <c r="A49" s="49" t="s">
        <v>186</v>
      </c>
      <c r="B49" s="195">
        <v>30</v>
      </c>
      <c r="C49" s="50">
        <v>2012</v>
      </c>
      <c r="D49" s="49" t="s">
        <v>41</v>
      </c>
      <c r="E49" s="49" t="s">
        <v>220</v>
      </c>
      <c r="F49" s="49"/>
      <c r="G49" s="49" t="s">
        <v>33</v>
      </c>
      <c r="H49" s="49" t="s">
        <v>494</v>
      </c>
      <c r="I49" s="57">
        <v>67619</v>
      </c>
      <c r="J49" s="40"/>
      <c r="K49" s="59">
        <f>IF(G49="L",'US CBAs'!$B$73,
IF(AND(E49="Friendly",F49="T1",G49="W"),'US CBAs'!$B$68,
IF(AND(E49="Friendly",F49="T2",G49="W"),'US CBAs'!$B$69,
IF(AND(E49="Friendly",F49="",G49="W"),'US CBAs'!$B$70,
IF(AND(E49="Friendly",F49="T1",G49="D"),'US CBAs'!$B$71,
IF(AND(E49="Friendly",F49="",G49="D"),'US CBAs'!$B$72,
IF(AND(E49="Gold Cup",F49="T1",G49="W"),'US CBAs'!$B$78,
IF(AND(E49="Gold Cup",F49="",G49="W"),'US CBAs'!$B$79,
IF(AND(E49="Gold Cup",G49="D"),'US CBAs'!$B$80,
IF(AND(E49="Copa America",F49="",G49="W"),'US CBAs'!$B$85,
IF(AND(E49="Copa America",G49="D"),'US CBAs'!$B$86,
IF(AND(E49="WCQ SF",G49="W"),'US CBAs'!$B$94,
IF(AND(E49="WCQ SF",G49="D"),'US CBAs'!$B$95,
IF(AND(E49="WCQ Hex",G49="W"),'US CBAs'!$B$98,
IF(AND(E49="WCQ Hex",G49="D"),'US CBAs'!$B$99,
IF(E49="World Cup",'US CBAs'!$B$104,
0))))))))))))))))</f>
        <v>4000</v>
      </c>
      <c r="L49" s="40">
        <v>20</v>
      </c>
      <c r="M49" s="59">
        <f t="shared" si="2"/>
        <v>80000</v>
      </c>
      <c r="N49" s="45">
        <f>IF(J49="",I49*'US CBAs'!$C$118,0)</f>
        <v>81142.8</v>
      </c>
      <c r="O49" s="59">
        <f t="shared" si="3"/>
        <v>161142.79999999999</v>
      </c>
      <c r="P49" s="61"/>
      <c r="Q49" s="287" t="s">
        <v>400</v>
      </c>
      <c r="R49" s="288">
        <f>R47+R48</f>
        <v>2602204.4</v>
      </c>
      <c r="S49" s="246"/>
      <c r="T49" s="241"/>
    </row>
    <row r="50" spans="1:21" x14ac:dyDescent="0.35">
      <c r="A50" s="49" t="s">
        <v>223</v>
      </c>
      <c r="B50" s="195">
        <v>3</v>
      </c>
      <c r="C50" s="50">
        <v>2012</v>
      </c>
      <c r="D50" s="49" t="s">
        <v>29</v>
      </c>
      <c r="E50" s="49" t="s">
        <v>220</v>
      </c>
      <c r="F50" s="49"/>
      <c r="G50" s="49" t="s">
        <v>83</v>
      </c>
      <c r="H50" s="49" t="s">
        <v>29</v>
      </c>
      <c r="I50" s="57">
        <v>15247</v>
      </c>
      <c r="J50" s="40" t="s">
        <v>218</v>
      </c>
      <c r="K50" s="59">
        <f>IF(G50="L",'US CBAs'!$B$73,
IF(AND(E50="Friendly",F50="T1",G50="W"),'US CBAs'!$B$68,
IF(AND(E50="Friendly",F50="T2",G50="W"),'US CBAs'!$B$69,
IF(AND(E50="Friendly",F50="",G50="W"),'US CBAs'!$B$70,
IF(AND(E50="Friendly",F50="T1",G50="D"),'US CBAs'!$B$71,
IF(AND(E50="Friendly",F50="",G50="D"),'US CBAs'!$B$72,
IF(AND(E50="Gold Cup",F50="T1",G50="W"),'US CBAs'!$B$78,
IF(AND(E50="Gold Cup",F50="",G50="W"),'US CBAs'!$B$79,
IF(AND(E50="Gold Cup",G50="D"),'US CBAs'!$B$80,
IF(AND(E50="Copa America",F50="",G50="W"),'US CBAs'!$B$85,
IF(AND(E50="Copa America",G50="D"),'US CBAs'!$B$86,
IF(AND(E50="WCQ SF",G50="W"),'US CBAs'!$B$94,
IF(AND(E50="WCQ SF",G50="D"),'US CBAs'!$B$95,
IF(AND(E50="WCQ Hex",G50="W"),'US CBAs'!$B$98,
IF(AND(E50="WCQ Hex",G50="D"),'US CBAs'!$B$99,
IF(E50="World Cup",'US CBAs'!$B$104,
0))))))))))))))))</f>
        <v>5000</v>
      </c>
      <c r="L50" s="40">
        <v>20</v>
      </c>
      <c r="M50" s="59">
        <f t="shared" si="2"/>
        <v>100000</v>
      </c>
      <c r="N50" s="45">
        <f>IF(J50="",I50*'US CBAs'!$C$118,0)</f>
        <v>0</v>
      </c>
      <c r="O50" s="59">
        <f t="shared" si="3"/>
        <v>100000</v>
      </c>
      <c r="P50" s="61"/>
      <c r="Q50" s="39"/>
      <c r="R50" s="39"/>
      <c r="S50" s="240"/>
      <c r="T50" s="241"/>
    </row>
    <row r="51" spans="1:21" x14ac:dyDescent="0.35">
      <c r="A51" s="49" t="s">
        <v>223</v>
      </c>
      <c r="B51" s="195">
        <v>8</v>
      </c>
      <c r="C51" s="50">
        <v>2012</v>
      </c>
      <c r="D51" s="49" t="s">
        <v>253</v>
      </c>
      <c r="E51" s="49" t="s">
        <v>234</v>
      </c>
      <c r="F51" s="49"/>
      <c r="G51" s="49" t="s">
        <v>20</v>
      </c>
      <c r="H51" s="49" t="s">
        <v>482</v>
      </c>
      <c r="I51" s="57">
        <v>23971</v>
      </c>
      <c r="J51" s="40"/>
      <c r="K51" s="59">
        <f>IF(G51="L",'US CBAs'!$B$73,
IF(AND(E51="Friendly",F51="T1",G51="W"),'US CBAs'!$B$68,
IF(AND(E51="Friendly",F51="T2",G51="W"),'US CBAs'!$B$69,
IF(AND(E51="Friendly",F51="",G51="W"),'US CBAs'!$B$70,
IF(AND(E51="Friendly",F51="T1",G51="D"),'US CBAs'!$B$71,
IF(AND(E51="Friendly",F51="",G51="D"),'US CBAs'!$B$72,
IF(AND(E51="Gold Cup",F51="T1",G51="W"),'US CBAs'!$B$78,
IF(AND(E51="Gold Cup",F51="",G51="W"),'US CBAs'!$B$79,
IF(AND(E51="Gold Cup",G51="D"),'US CBAs'!$B$80,
IF(AND(E51="Copa America",F51="",G51="W"),'US CBAs'!$B$85,
IF(AND(E51="Copa America",G51="D"),'US CBAs'!$B$86,
IF(AND(E51="WCQ SF",G51="W"),'US CBAs'!$B$94,
IF(AND(E51="WCQ SF",G51="D"),'US CBAs'!$B$95,
IF(AND(E51="WCQ Hex",G51="W"),'US CBAs'!$B$98,
IF(AND(E51="WCQ Hex",G51="D"),'US CBAs'!$B$99,
IF(E51="World Cup",'US CBAs'!$B$104,
0))))))))))))))))</f>
        <v>12500</v>
      </c>
      <c r="L51" s="40">
        <v>23</v>
      </c>
      <c r="M51" s="59">
        <f t="shared" si="2"/>
        <v>287500</v>
      </c>
      <c r="N51" s="45">
        <f>IF(J51="",I51*'US CBAs'!$C$118,0)</f>
        <v>28765.200000000001</v>
      </c>
      <c r="O51" s="59">
        <f t="shared" si="3"/>
        <v>316265.2</v>
      </c>
      <c r="P51" s="61"/>
      <c r="Q51" s="243"/>
      <c r="R51" s="243"/>
      <c r="S51" s="240"/>
      <c r="T51" s="241"/>
    </row>
    <row r="52" spans="1:21" x14ac:dyDescent="0.35">
      <c r="A52" s="49" t="s">
        <v>223</v>
      </c>
      <c r="B52" s="195">
        <v>12</v>
      </c>
      <c r="C52" s="50">
        <v>2012</v>
      </c>
      <c r="D52" s="49" t="s">
        <v>43</v>
      </c>
      <c r="E52" s="49" t="s">
        <v>234</v>
      </c>
      <c r="F52" s="49"/>
      <c r="G52" s="49" t="s">
        <v>83</v>
      </c>
      <c r="H52" s="49" t="s">
        <v>43</v>
      </c>
      <c r="I52" s="57">
        <v>18000</v>
      </c>
      <c r="J52" s="40" t="s">
        <v>218</v>
      </c>
      <c r="K52" s="59">
        <f>IF(G52="L",'US CBAs'!$B$73,
IF(AND(E52="Friendly",F52="T1",G52="W"),'US CBAs'!$B$68,
IF(AND(E52="Friendly",F52="T2",G52="W"),'US CBAs'!$B$69,
IF(AND(E52="Friendly",F52="",G52="W"),'US CBAs'!$B$70,
IF(AND(E52="Friendly",F52="T1",G52="D"),'US CBAs'!$B$71,
IF(AND(E52="Friendly",F52="",G52="D"),'US CBAs'!$B$72,
IF(AND(E52="Gold Cup",F52="T1",G52="W"),'US CBAs'!$B$78,
IF(AND(E52="Gold Cup",F52="",G52="W"),'US CBAs'!$B$79,
IF(AND(E52="Gold Cup",G52="D"),'US CBAs'!$B$80,
IF(AND(E52="Copa America",F52="",G52="W"),'US CBAs'!$B$85,
IF(AND(E52="Copa America",G52="D"),'US CBAs'!$B$86,
IF(AND(E52="WCQ SF",G52="W"),'US CBAs'!$B$94,
IF(AND(E52="WCQ SF",G52="D"),'US CBAs'!$B$95,
IF(AND(E52="WCQ Hex",G52="W"),'US CBAs'!$B$98,
IF(AND(E52="WCQ Hex",G52="D"),'US CBAs'!$B$99,
IF(E52="World Cup",'US CBAs'!$B$104,
0))))))))))))))))</f>
        <v>6000</v>
      </c>
      <c r="L52" s="40">
        <v>23</v>
      </c>
      <c r="M52" s="59">
        <f t="shared" si="2"/>
        <v>138000</v>
      </c>
      <c r="N52" s="45">
        <f>IF(J52="",I52*'US CBAs'!$C$118,0)</f>
        <v>0</v>
      </c>
      <c r="O52" s="59">
        <f t="shared" si="3"/>
        <v>138000</v>
      </c>
      <c r="P52" s="61"/>
      <c r="Q52" s="232"/>
      <c r="R52" s="239"/>
      <c r="S52" s="240"/>
      <c r="T52" s="241"/>
    </row>
    <row r="53" spans="1:21" x14ac:dyDescent="0.35">
      <c r="A53" s="49" t="s">
        <v>203</v>
      </c>
      <c r="B53" s="195">
        <v>15</v>
      </c>
      <c r="C53" s="50">
        <v>2012</v>
      </c>
      <c r="D53" s="49" t="s">
        <v>35</v>
      </c>
      <c r="E53" s="49" t="s">
        <v>220</v>
      </c>
      <c r="F53" s="49" t="s">
        <v>28</v>
      </c>
      <c r="G53" s="49" t="s">
        <v>20</v>
      </c>
      <c r="H53" s="49" t="s">
        <v>35</v>
      </c>
      <c r="I53" s="57">
        <v>56000</v>
      </c>
      <c r="J53" s="49" t="s">
        <v>218</v>
      </c>
      <c r="K53" s="59">
        <f>IF(G53="L",'US CBAs'!$B$73,
IF(AND(E53="Friendly",F53="T1",G53="W"),'US CBAs'!$B$68,
IF(AND(E53="Friendly",F53="T2",G53="W"),'US CBAs'!$B$69,
IF(AND(E53="Friendly",F53="",G53="W"),'US CBAs'!$B$70,
IF(AND(E53="Friendly",F53="T1",G53="D"),'US CBAs'!$B$71,
IF(AND(E53="Friendly",F53="",G53="D"),'US CBAs'!$B$72,
IF(AND(E53="Gold Cup",F53="T1",G53="W"),'US CBAs'!$B$78,
IF(AND(E53="Gold Cup",F53="",G53="W"),'US CBAs'!$B$79,
IF(AND(E53="Gold Cup",G53="D"),'US CBAs'!$B$80,
IF(AND(E53="Copa America",F53="",G53="W"),'US CBAs'!$B$85,
IF(AND(E53="Copa America",G53="D"),'US CBAs'!$B$86,
IF(AND(E53="WCQ SF",G53="W"),'US CBAs'!$B$94,
IF(AND(E53="WCQ SF",G53="D"),'US CBAs'!$B$95,
IF(AND(E53="WCQ Hex",G53="W"),'US CBAs'!$B$98,
IF(AND(E53="WCQ Hex",G53="D"),'US CBAs'!$B$99,
IF(E53="World Cup",'US CBAs'!$B$104,
0))))))))))))))))</f>
        <v>14100</v>
      </c>
      <c r="L53" s="40">
        <v>20</v>
      </c>
      <c r="M53" s="59">
        <f t="shared" si="2"/>
        <v>282000</v>
      </c>
      <c r="N53" s="45">
        <f>IF(J53="",I53*'US CBAs'!$C$118,0)</f>
        <v>0</v>
      </c>
      <c r="O53" s="59">
        <f t="shared" si="3"/>
        <v>282000</v>
      </c>
      <c r="P53" s="61"/>
      <c r="Q53" s="233"/>
      <c r="R53" s="239"/>
      <c r="S53" s="240"/>
      <c r="T53" s="241"/>
    </row>
    <row r="54" spans="1:21" x14ac:dyDescent="0.35">
      <c r="A54" s="49" t="s">
        <v>222</v>
      </c>
      <c r="B54" s="195">
        <v>7</v>
      </c>
      <c r="C54" s="50">
        <v>2012</v>
      </c>
      <c r="D54" s="49" t="s">
        <v>40</v>
      </c>
      <c r="E54" s="49" t="s">
        <v>234</v>
      </c>
      <c r="F54" s="49"/>
      <c r="G54" s="49" t="s">
        <v>33</v>
      </c>
      <c r="H54" s="49" t="s">
        <v>40</v>
      </c>
      <c r="I54" s="57">
        <v>24000</v>
      </c>
      <c r="J54" s="40" t="s">
        <v>218</v>
      </c>
      <c r="K54" s="59">
        <f>IF(G54="L",'US CBAs'!$B$73,
IF(AND(E54="Friendly",F54="T1",G54="W"),'US CBAs'!$B$68,
IF(AND(E54="Friendly",F54="T2",G54="W"),'US CBAs'!$B$69,
IF(AND(E54="Friendly",F54="",G54="W"),'US CBAs'!$B$70,
IF(AND(E54="Friendly",F54="T1",G54="D"),'US CBAs'!$B$71,
IF(AND(E54="Friendly",F54="",G54="D"),'US CBAs'!$B$72,
IF(AND(E54="Gold Cup",F54="T1",G54="W"),'US CBAs'!$B$78,
IF(AND(E54="Gold Cup",F54="",G54="W"),'US CBAs'!$B$79,
IF(AND(E54="Gold Cup",G54="D"),'US CBAs'!$B$80,
IF(AND(E54="Copa America",F54="",G54="W"),'US CBAs'!$B$85,
IF(AND(E54="Copa America",G54="D"),'US CBAs'!$B$86,
IF(AND(E54="WCQ SF",G54="W"),'US CBAs'!$B$94,
IF(AND(E54="WCQ SF",G54="D"),'US CBAs'!$B$95,
IF(AND(E54="WCQ Hex",G54="W"),'US CBAs'!$B$98,
IF(AND(E54="WCQ Hex",G54="D"),'US CBAs'!$B$99,
IF(E54="World Cup",'US CBAs'!$B$104,
0))))))))))))))))</f>
        <v>4000</v>
      </c>
      <c r="L54" s="40">
        <v>23</v>
      </c>
      <c r="M54" s="59">
        <f t="shared" si="2"/>
        <v>92000</v>
      </c>
      <c r="N54" s="45">
        <f>IF(J54="",I54*'US CBAs'!$C$118,0)</f>
        <v>0</v>
      </c>
      <c r="O54" s="59">
        <f t="shared" si="3"/>
        <v>92000</v>
      </c>
      <c r="P54" s="61"/>
      <c r="S54" s="227"/>
    </row>
    <row r="55" spans="1:21" x14ac:dyDescent="0.35">
      <c r="A55" s="49" t="s">
        <v>222</v>
      </c>
      <c r="B55" s="195">
        <v>11</v>
      </c>
      <c r="C55" s="50">
        <v>2012</v>
      </c>
      <c r="D55" s="49" t="s">
        <v>40</v>
      </c>
      <c r="E55" s="49" t="s">
        <v>234</v>
      </c>
      <c r="F55" s="49"/>
      <c r="G55" s="49" t="s">
        <v>20</v>
      </c>
      <c r="H55" s="49" t="s">
        <v>495</v>
      </c>
      <c r="I55" s="57">
        <v>23881</v>
      </c>
      <c r="J55" s="40"/>
      <c r="K55" s="59">
        <f>IF(G55="L",'US CBAs'!$B$73,
IF(AND(E55="Friendly",F55="T1",G55="W"),'US CBAs'!$B$68,
IF(AND(E55="Friendly",F55="T2",G55="W"),'US CBAs'!$B$69,
IF(AND(E55="Friendly",F55="",G55="W"),'US CBAs'!$B$70,
IF(AND(E55="Friendly",F55="T1",G55="D"),'US CBAs'!$B$71,
IF(AND(E55="Friendly",F55="",G55="D"),'US CBAs'!$B$72,
IF(AND(E55="Gold Cup",F55="T1",G55="W"),'US CBAs'!$B$78,
IF(AND(E55="Gold Cup",F55="",G55="W"),'US CBAs'!$B$79,
IF(AND(E55="Gold Cup",G55="D"),'US CBAs'!$B$80,
IF(AND(E55="Copa America",F55="",G55="W"),'US CBAs'!$B$85,
IF(AND(E55="Copa America",G55="D"),'US CBAs'!$B$86,
IF(AND(E55="WCQ SF",G55="W"),'US CBAs'!$B$94,
IF(AND(E55="WCQ SF",G55="D"),'US CBAs'!$B$95,
IF(AND(E55="WCQ Hex",G55="W"),'US CBAs'!$B$98,
IF(AND(E55="WCQ Hex",G55="D"),'US CBAs'!$B$99,
IF(E55="World Cup",'US CBAs'!$B$104,
0))))))))))))))))</f>
        <v>12500</v>
      </c>
      <c r="L55" s="40">
        <v>23</v>
      </c>
      <c r="M55" s="59">
        <f t="shared" si="2"/>
        <v>287500</v>
      </c>
      <c r="N55" s="45">
        <f>IF(J55="",I55*'US CBAs'!$C$118,0)</f>
        <v>28657.200000000001</v>
      </c>
      <c r="O55" s="59">
        <f t="shared" si="3"/>
        <v>316157.2</v>
      </c>
      <c r="P55" s="61"/>
      <c r="S55" s="227"/>
    </row>
    <row r="56" spans="1:21" x14ac:dyDescent="0.35">
      <c r="A56" s="49" t="s">
        <v>189</v>
      </c>
      <c r="B56" s="195">
        <v>12</v>
      </c>
      <c r="C56" s="50">
        <v>2012</v>
      </c>
      <c r="D56" s="49" t="s">
        <v>253</v>
      </c>
      <c r="E56" s="49" t="s">
        <v>234</v>
      </c>
      <c r="F56" s="49"/>
      <c r="G56" s="49" t="s">
        <v>20</v>
      </c>
      <c r="H56" s="49" t="s">
        <v>252</v>
      </c>
      <c r="I56" s="57">
        <v>7000</v>
      </c>
      <c r="J56" s="40" t="s">
        <v>218</v>
      </c>
      <c r="K56" s="59">
        <f>IF(G56="L",'US CBAs'!$B$73,
IF(AND(E56="Friendly",F56="T1",G56="W"),'US CBAs'!$B$68,
IF(AND(E56="Friendly",F56="T2",G56="W"),'US CBAs'!$B$69,
IF(AND(E56="Friendly",F56="",G56="W"),'US CBAs'!$B$70,
IF(AND(E56="Friendly",F56="T1",G56="D"),'US CBAs'!$B$71,
IF(AND(E56="Friendly",F56="",G56="D"),'US CBAs'!$B$72,
IF(AND(E56="Gold Cup",F56="T1",G56="W"),'US CBAs'!$B$78,
IF(AND(E56="Gold Cup",F56="",G56="W"),'US CBAs'!$B$79,
IF(AND(E56="Gold Cup",G56="D"),'US CBAs'!$B$80,
IF(AND(E56="Copa America",F56="",G56="W"),'US CBAs'!$B$85,
IF(AND(E56="Copa America",G56="D"),'US CBAs'!$B$86,
IF(AND(E56="WCQ SF",G56="W"),'US CBAs'!$B$94,
IF(AND(E56="WCQ SF",G56="D"),'US CBAs'!$B$95,
IF(AND(E56="WCQ Hex",G56="W"),'US CBAs'!$B$98,
IF(AND(E56="WCQ Hex",G56="D"),'US CBAs'!$B$99,
IF(E56="World Cup",'US CBAs'!$B$104,
0))))))))))))))))</f>
        <v>12500</v>
      </c>
      <c r="L56" s="40">
        <v>23</v>
      </c>
      <c r="M56" s="59">
        <f t="shared" si="2"/>
        <v>287500</v>
      </c>
      <c r="N56" s="45">
        <f>IF(J56="",I56*'US CBAs'!$C$118,0)</f>
        <v>0</v>
      </c>
      <c r="O56" s="59">
        <f t="shared" si="3"/>
        <v>287500</v>
      </c>
      <c r="P56" s="61"/>
      <c r="S56" s="227"/>
    </row>
    <row r="57" spans="1:21" x14ac:dyDescent="0.35">
      <c r="A57" s="49" t="s">
        <v>189</v>
      </c>
      <c r="B57" s="195">
        <v>16</v>
      </c>
      <c r="C57" s="50">
        <v>2012</v>
      </c>
      <c r="D57" s="49" t="s">
        <v>43</v>
      </c>
      <c r="E57" s="49" t="s">
        <v>234</v>
      </c>
      <c r="F57" s="49"/>
      <c r="G57" s="49" t="s">
        <v>20</v>
      </c>
      <c r="H57" s="49" t="s">
        <v>490</v>
      </c>
      <c r="I57" s="57">
        <v>16947</v>
      </c>
      <c r="J57" s="40"/>
      <c r="K57" s="59">
        <f>IF(G57="L",'US CBAs'!$B$73,
IF(AND(E57="Friendly",F57="T1",G57="W"),'US CBAs'!$B$68,
IF(AND(E57="Friendly",F57="T2",G57="W"),'US CBAs'!$B$69,
IF(AND(E57="Friendly",F57="",G57="W"),'US CBAs'!$B$70,
IF(AND(E57="Friendly",F57="T1",G57="D"),'US CBAs'!$B$71,
IF(AND(E57="Friendly",F57="",G57="D"),'US CBAs'!$B$72,
IF(AND(E57="Gold Cup",F57="T1",G57="W"),'US CBAs'!$B$78,
IF(AND(E57="Gold Cup",F57="",G57="W"),'US CBAs'!$B$79,
IF(AND(E57="Gold Cup",G57="D"),'US CBAs'!$B$80,
IF(AND(E57="Copa America",F57="",G57="W"),'US CBAs'!$B$85,
IF(AND(E57="Copa America",G57="D"),'US CBAs'!$B$86,
IF(AND(E57="WCQ SF",G57="W"),'US CBAs'!$B$94,
IF(AND(E57="WCQ SF",G57="D"),'US CBAs'!$B$95,
IF(AND(E57="WCQ Hex",G57="W"),'US CBAs'!$B$98,
IF(AND(E57="WCQ Hex",G57="D"),'US CBAs'!$B$99,
IF(E57="World Cup",'US CBAs'!$B$104,
0))))))))))))))))</f>
        <v>12500</v>
      </c>
      <c r="L57" s="40">
        <v>23</v>
      </c>
      <c r="M57" s="59">
        <f t="shared" si="2"/>
        <v>287500</v>
      </c>
      <c r="N57" s="45">
        <f>IF(J57="",I57*'US CBAs'!$C$118,0)</f>
        <v>20336.399999999998</v>
      </c>
      <c r="O57" s="59">
        <f t="shared" si="3"/>
        <v>307836.40000000002</v>
      </c>
      <c r="P57" s="61"/>
      <c r="S57" s="227"/>
    </row>
    <row r="58" spans="1:21" x14ac:dyDescent="0.35">
      <c r="A58" s="49" t="s">
        <v>190</v>
      </c>
      <c r="B58" s="195">
        <v>14</v>
      </c>
      <c r="C58" s="50">
        <v>2012</v>
      </c>
      <c r="D58" s="49" t="s">
        <v>49</v>
      </c>
      <c r="E58" s="49" t="s">
        <v>220</v>
      </c>
      <c r="F58" s="49"/>
      <c r="G58" s="49" t="s">
        <v>83</v>
      </c>
      <c r="H58" s="49" t="s">
        <v>49</v>
      </c>
      <c r="I58" s="57">
        <v>28200</v>
      </c>
      <c r="J58" s="40" t="s">
        <v>218</v>
      </c>
      <c r="K58" s="59">
        <f>IF(G58="L",'US CBAs'!$B$73,
IF(AND(E58="Friendly",F58="T1",G58="W"),'US CBAs'!$B$68,
IF(AND(E58="Friendly",F58="T2",G58="W"),'US CBAs'!$B$69,
IF(AND(E58="Friendly",F58="",G58="W"),'US CBAs'!$B$70,
IF(AND(E58="Friendly",F58="T1",G58="D"),'US CBAs'!$B$71,
IF(AND(E58="Friendly",F58="",G58="D"),'US CBAs'!$B$72,
IF(AND(E58="Gold Cup",F58="T1",G58="W"),'US CBAs'!$B$78,
IF(AND(E58="Gold Cup",F58="",G58="W"),'US CBAs'!$B$79,
IF(AND(E58="Gold Cup",G58="D"),'US CBAs'!$B$80,
IF(AND(E58="Copa America",F58="",G58="W"),'US CBAs'!$B$85,
IF(AND(E58="Copa America",G58="D"),'US CBAs'!$B$86,
IF(AND(E58="WCQ SF",G58="W"),'US CBAs'!$B$94,
IF(AND(E58="WCQ SF",G58="D"),'US CBAs'!$B$95,
IF(AND(E58="WCQ Hex",G58="W"),'US CBAs'!$B$98,
IF(AND(E58="WCQ Hex",G58="D"),'US CBAs'!$B$99,
IF(E58="World Cup",'US CBAs'!$B$104,
0))))))))))))))))</f>
        <v>5000</v>
      </c>
      <c r="L58" s="40">
        <v>20</v>
      </c>
      <c r="M58" s="59">
        <f t="shared" si="2"/>
        <v>100000</v>
      </c>
      <c r="N58" s="45">
        <f>IF(J58="",I58*'US CBAs'!$C$118,0)</f>
        <v>0</v>
      </c>
      <c r="O58" s="59">
        <f t="shared" si="3"/>
        <v>100000</v>
      </c>
      <c r="P58" s="61"/>
      <c r="S58" s="227"/>
    </row>
    <row r="59" spans="1:21" x14ac:dyDescent="0.35">
      <c r="A59" s="49"/>
      <c r="B59" s="195"/>
      <c r="C59" s="50"/>
      <c r="D59" s="58" t="s">
        <v>392</v>
      </c>
      <c r="E59" s="49"/>
      <c r="F59" s="49"/>
      <c r="G59" s="49"/>
      <c r="H59" s="49"/>
      <c r="I59" s="57"/>
      <c r="J59" s="40"/>
      <c r="K59" s="54">
        <f>'US CBAs'!$B$75</f>
        <v>1500</v>
      </c>
      <c r="L59" s="56">
        <v>10</v>
      </c>
      <c r="M59" s="54">
        <f t="shared" si="2"/>
        <v>15000</v>
      </c>
      <c r="N59" s="55"/>
      <c r="O59" s="54">
        <f t="shared" si="3"/>
        <v>15000</v>
      </c>
      <c r="P59" s="61"/>
      <c r="U59" s="80"/>
    </row>
    <row r="60" spans="1:21" x14ac:dyDescent="0.35">
      <c r="A60" s="49"/>
      <c r="B60" s="195"/>
      <c r="C60" s="50"/>
      <c r="D60" s="58" t="s">
        <v>401</v>
      </c>
      <c r="E60" s="49"/>
      <c r="F60" s="49"/>
      <c r="G60" s="49"/>
      <c r="H60" s="49"/>
      <c r="I60" s="57"/>
      <c r="J60" s="40"/>
      <c r="K60" s="54">
        <f>'US CBAs'!$B$76</f>
        <v>2000</v>
      </c>
      <c r="L60" s="56">
        <v>10</v>
      </c>
      <c r="M60" s="54">
        <f t="shared" si="2"/>
        <v>20000</v>
      </c>
      <c r="N60" s="55"/>
      <c r="O60" s="54">
        <f t="shared" si="3"/>
        <v>20000</v>
      </c>
      <c r="P60" s="61"/>
      <c r="U60" s="80"/>
    </row>
    <row r="61" spans="1:21" x14ac:dyDescent="0.35">
      <c r="A61" s="289" t="s">
        <v>24</v>
      </c>
      <c r="B61" s="290"/>
      <c r="C61" s="290"/>
      <c r="D61" s="289"/>
      <c r="E61" s="289"/>
      <c r="F61" s="289"/>
      <c r="G61" s="289"/>
      <c r="H61" s="289"/>
      <c r="I61" s="291"/>
      <c r="J61" s="289"/>
      <c r="K61" s="289"/>
      <c r="L61" s="289"/>
      <c r="M61" s="292">
        <f>SUBTOTAL(109,Table4[Game pay])</f>
        <v>2709000</v>
      </c>
      <c r="N61" s="204">
        <f>SUBTOTAL(109,Table4[Att bonus])</f>
        <v>239110.80000000002</v>
      </c>
      <c r="O61" s="292">
        <f>SUBTOTAL(109,Table4[TEAM PAY])</f>
        <v>2948110.8</v>
      </c>
      <c r="P61" s="61"/>
      <c r="S61" s="227"/>
      <c r="U61" s="80"/>
    </row>
    <row r="62" spans="1:21" x14ac:dyDescent="0.35">
      <c r="A62" s="49"/>
      <c r="B62" s="195"/>
      <c r="C62" s="50"/>
      <c r="D62" s="49"/>
      <c r="E62" s="49"/>
      <c r="F62" s="49"/>
      <c r="G62" s="49"/>
      <c r="H62" s="49"/>
      <c r="I62" s="57"/>
      <c r="J62" s="40"/>
      <c r="K62" s="59"/>
      <c r="L62" s="40"/>
      <c r="M62" s="59"/>
      <c r="N62" s="45"/>
      <c r="O62" s="59"/>
      <c r="P62" s="61"/>
      <c r="Q62" s="242"/>
      <c r="R62" s="242"/>
      <c r="S62" s="233"/>
      <c r="U62" s="80"/>
    </row>
    <row r="63" spans="1:21" x14ac:dyDescent="0.35">
      <c r="A63" s="53" t="s">
        <v>249</v>
      </c>
      <c r="B63" s="194" t="s">
        <v>248</v>
      </c>
      <c r="C63" s="65" t="s">
        <v>247</v>
      </c>
      <c r="D63" s="53" t="s">
        <v>15</v>
      </c>
      <c r="E63" s="53" t="s">
        <v>194</v>
      </c>
      <c r="F63" s="53" t="s">
        <v>246</v>
      </c>
      <c r="G63" s="53" t="s">
        <v>16</v>
      </c>
      <c r="H63" s="53" t="s">
        <v>245</v>
      </c>
      <c r="I63" s="64" t="s">
        <v>14</v>
      </c>
      <c r="J63" s="47" t="s">
        <v>244</v>
      </c>
      <c r="K63" s="47" t="s">
        <v>243</v>
      </c>
      <c r="L63" s="47" t="s">
        <v>17</v>
      </c>
      <c r="M63" s="47" t="s">
        <v>219</v>
      </c>
      <c r="N63" s="63" t="s">
        <v>242</v>
      </c>
      <c r="O63" s="47" t="s">
        <v>241</v>
      </c>
      <c r="P63" s="61"/>
      <c r="Q63" s="280" t="s">
        <v>403</v>
      </c>
      <c r="R63" s="281"/>
      <c r="S63" s="227"/>
    </row>
    <row r="64" spans="1:21" x14ac:dyDescent="0.35">
      <c r="A64" s="49" t="s">
        <v>191</v>
      </c>
      <c r="B64" s="195">
        <v>29</v>
      </c>
      <c r="C64" s="50">
        <v>2013</v>
      </c>
      <c r="D64" s="49" t="s">
        <v>29</v>
      </c>
      <c r="E64" s="49" t="s">
        <v>220</v>
      </c>
      <c r="F64" s="49"/>
      <c r="G64" s="49" t="s">
        <v>83</v>
      </c>
      <c r="H64" s="49" t="s">
        <v>492</v>
      </c>
      <c r="I64" s="57">
        <v>11737</v>
      </c>
      <c r="J64" s="40"/>
      <c r="K64" s="59">
        <f>IF(G64="L",'US CBAs'!$B$73,
IF(AND(E64="Friendly",F64="T1",G64="W"),'US CBAs'!$B$68,
IF(AND(E64="Friendly",F64="T2",G64="W"),'US CBAs'!$B$69,
IF(AND(E64="Friendly",F64="",G64="W"),'US CBAs'!$B$70,
IF(AND(E64="Friendly",F64="T1",G64="D"),'US CBAs'!$B$71,
IF(AND(E64="Friendly",F64="",G64="D"),'US CBAs'!$B$72,
IF(AND(E64="Gold Cup",F64="T1",G64="W"),'US CBAs'!$B$78,
IF(AND(E64="Gold Cup",F64="",G64="W"),'US CBAs'!$B$79,
IF(AND(E64="Gold Cup",G64="D"),'US CBAs'!$B$80,
IF(AND(E64="Copa America",F64="",G64="W"),'US CBAs'!$B$85,
IF(AND(E64="Copa America",G64="D"),'US CBAs'!$B$86,
IF(AND(E64="WCQ SF",G64="W"),'US CBAs'!$B$94,
IF(AND(E64="WCQ SF",G64="D"),'US CBAs'!$B$95,
IF(AND(E64="WCQ Hex",G64="W"),'US CBAs'!$B$98,
IF(AND(E64="WCQ Hex",G64="D"),'US CBAs'!$B$99,
IF(E64="World Cup",'US CBAs'!$B$104,
0))))))))))))))))</f>
        <v>5000</v>
      </c>
      <c r="L64" s="40">
        <v>20</v>
      </c>
      <c r="M64" s="59">
        <f t="shared" si="2"/>
        <v>100000</v>
      </c>
      <c r="N64" s="45">
        <f>IF(J64="",I64*'US CBAs'!$C$118,0)</f>
        <v>14084.4</v>
      </c>
      <c r="O64" s="59">
        <f t="shared" si="3"/>
        <v>114084.4</v>
      </c>
      <c r="P64" s="61"/>
      <c r="Q64" s="282" t="s">
        <v>219</v>
      </c>
      <c r="R64" s="283">
        <f>SUM(M48:M60)+SUM(M64:M67)</f>
        <v>2836500</v>
      </c>
      <c r="S64" s="227"/>
    </row>
    <row r="65" spans="1:20" x14ac:dyDescent="0.35">
      <c r="A65" s="49" t="s">
        <v>192</v>
      </c>
      <c r="B65" s="195">
        <v>6</v>
      </c>
      <c r="C65" s="50">
        <v>2013</v>
      </c>
      <c r="D65" s="49" t="s">
        <v>32</v>
      </c>
      <c r="E65" s="49" t="s">
        <v>227</v>
      </c>
      <c r="F65" s="49"/>
      <c r="G65" s="49" t="s">
        <v>33</v>
      </c>
      <c r="H65" s="49" t="s">
        <v>32</v>
      </c>
      <c r="I65" s="57">
        <v>37000</v>
      </c>
      <c r="J65" s="40" t="s">
        <v>218</v>
      </c>
      <c r="K65" s="59">
        <f>IF(G65="L",'US CBAs'!$B$73,
IF(AND(E65="Friendly",F65="T1",G65="W"),'US CBAs'!$B$68,
IF(AND(E65="Friendly",F65="T2",G65="W"),'US CBAs'!$B$69,
IF(AND(E65="Friendly",F65="",G65="W"),'US CBAs'!$B$70,
IF(AND(E65="Friendly",F65="T1",G65="D"),'US CBAs'!$B$71,
IF(AND(E65="Friendly",F65="",G65="D"),'US CBAs'!$B$72,
IF(AND(E65="Gold Cup",F65="T1",G65="W"),'US CBAs'!$B$78,
IF(AND(E65="Gold Cup",F65="",G65="W"),'US CBAs'!$B$79,
IF(AND(E65="Gold Cup",G65="D"),'US CBAs'!$B$80,
IF(AND(E65="Copa America",F65="",G65="W"),'US CBAs'!$B$85,
IF(AND(E65="Copa America",G65="D"),'US CBAs'!$B$86,
IF(AND(E65="WCQ SF",G65="W"),'US CBAs'!$B$94,
IF(AND(E65="WCQ SF",G65="D"),'US CBAs'!$B$95,
IF(AND(E65="WCQ Hex",G65="W"),'US CBAs'!$B$98,
IF(AND(E65="WCQ Hex",G65="D"),'US CBAs'!$B$99,
IF(E65="World Cup",'US CBAs'!$B$104,
0))))))))))))))))</f>
        <v>4000</v>
      </c>
      <c r="L65" s="40">
        <v>23</v>
      </c>
      <c r="M65" s="59">
        <f t="shared" ref="M65:M103" si="4">K65*L65</f>
        <v>92000</v>
      </c>
      <c r="N65" s="45">
        <f>IF(J65="",I65*'US CBAs'!$C$118,0)</f>
        <v>0</v>
      </c>
      <c r="O65" s="59">
        <f t="shared" ref="O65:O103" si="5">M65+N65</f>
        <v>92000</v>
      </c>
      <c r="P65" s="61"/>
      <c r="Q65" s="284" t="s">
        <v>394</v>
      </c>
      <c r="R65" s="283">
        <f>SUM(N48:N60)+SUM(N64:N67)</f>
        <v>249560.40000000002</v>
      </c>
      <c r="S65" s="227"/>
    </row>
    <row r="66" spans="1:20" x14ac:dyDescent="0.35">
      <c r="A66" s="49" t="s">
        <v>221</v>
      </c>
      <c r="B66" s="195">
        <v>22</v>
      </c>
      <c r="C66" s="50">
        <v>2013</v>
      </c>
      <c r="D66" s="49" t="s">
        <v>36</v>
      </c>
      <c r="E66" s="49" t="s">
        <v>227</v>
      </c>
      <c r="F66" s="49"/>
      <c r="G66" s="49" t="s">
        <v>20</v>
      </c>
      <c r="H66" s="49" t="s">
        <v>496</v>
      </c>
      <c r="I66" s="57">
        <v>19374</v>
      </c>
      <c r="J66" s="40"/>
      <c r="K66" s="59">
        <f>IF(G66="L",'US CBAs'!$B$73,
IF(AND(E66="Friendly",F66="T1",G66="W"),'US CBAs'!$B$68,
IF(AND(E66="Friendly",F66="T2",G66="W"),'US CBAs'!$B$69,
IF(AND(E66="Friendly",F66="",G66="W"),'US CBAs'!$B$70,
IF(AND(E66="Friendly",F66="T1",G66="D"),'US CBAs'!$B$71,
IF(AND(E66="Friendly",F66="",G66="D"),'US CBAs'!$B$72,
IF(AND(E66="Gold Cup",F66="T1",G66="W"),'US CBAs'!$B$78,
IF(AND(E66="Gold Cup",F66="",G66="W"),'US CBAs'!$B$79,
IF(AND(E66="Gold Cup",G66="D"),'US CBAs'!$B$80,
IF(AND(E66="Copa America",F66="",G66="W"),'US CBAs'!$B$85,
IF(AND(E66="Copa America",G66="D"),'US CBAs'!$B$86,
IF(AND(E66="WCQ SF",G66="W"),'US CBAs'!$B$94,
IF(AND(E66="WCQ SF",G66="D"),'US CBAs'!$B$95,
IF(AND(E66="WCQ Hex",G66="W"),'US CBAs'!$B$98,
IF(AND(E66="WCQ Hex",G66="D"),'US CBAs'!$B$99,
IF(E66="World Cup",'US CBAs'!$B$104,
0))))))))))))))))</f>
        <v>14500</v>
      </c>
      <c r="L66" s="40">
        <v>23</v>
      </c>
      <c r="M66" s="59">
        <f t="shared" si="4"/>
        <v>333500</v>
      </c>
      <c r="N66" s="45">
        <f>IF(J66="",I66*'US CBAs'!$C$118,0)</f>
        <v>23248.799999999999</v>
      </c>
      <c r="O66" s="59">
        <f t="shared" si="5"/>
        <v>356748.79999999999</v>
      </c>
      <c r="P66" s="61"/>
      <c r="Q66" s="285" t="s">
        <v>395</v>
      </c>
      <c r="R66" s="286">
        <f>R64+R65</f>
        <v>3086060.4</v>
      </c>
      <c r="S66" s="227"/>
    </row>
    <row r="67" spans="1:20" x14ac:dyDescent="0.35">
      <c r="A67" s="49" t="s">
        <v>221</v>
      </c>
      <c r="B67" s="195">
        <v>26</v>
      </c>
      <c r="C67" s="50">
        <v>2013</v>
      </c>
      <c r="D67" s="49" t="s">
        <v>35</v>
      </c>
      <c r="E67" s="49" t="s">
        <v>227</v>
      </c>
      <c r="F67" s="49"/>
      <c r="G67" s="49" t="s">
        <v>83</v>
      </c>
      <c r="H67" s="49" t="s">
        <v>35</v>
      </c>
      <c r="I67" s="57">
        <v>85500</v>
      </c>
      <c r="J67" s="40" t="s">
        <v>218</v>
      </c>
      <c r="K67" s="59">
        <f>IF(G67="L",'US CBAs'!$B$73,
IF(AND(E67="Friendly",F67="T1",G67="W"),'US CBAs'!$B$68,
IF(AND(E67="Friendly",F67="T2",G67="W"),'US CBAs'!$B$69,
IF(AND(E67="Friendly",F67="",G67="W"),'US CBAs'!$B$70,
IF(AND(E67="Friendly",F67="T1",G67="D"),'US CBAs'!$B$71,
IF(AND(E67="Friendly",F67="",G67="D"),'US CBAs'!$B$72,
IF(AND(E67="Gold Cup",F67="T1",G67="W"),'US CBAs'!$B$78,
IF(AND(E67="Gold Cup",F67="",G67="W"),'US CBAs'!$B$79,
IF(AND(E67="Gold Cup",G67="D"),'US CBAs'!$B$80,
IF(AND(E67="Copa America",F67="",G67="W"),'US CBAs'!$B$85,
IF(AND(E67="Copa America",G67="D"),'US CBAs'!$B$86,
IF(AND(E67="WCQ SF",G67="W"),'US CBAs'!$B$94,
IF(AND(E67="WCQ SF",G67="D"),'US CBAs'!$B$95,
IF(AND(E67="WCQ Hex",G67="W"),'US CBAs'!$B$98,
IF(AND(E67="WCQ Hex",G67="D"),'US CBAs'!$B$99,
IF(E67="World Cup",'US CBAs'!$B$104,
0))))))))))))))))</f>
        <v>8000</v>
      </c>
      <c r="L67" s="40">
        <v>23</v>
      </c>
      <c r="M67" s="59">
        <f t="shared" si="4"/>
        <v>184000</v>
      </c>
      <c r="N67" s="45">
        <f>IF(J67="",I67*'US CBAs'!$C$118,0)</f>
        <v>0</v>
      </c>
      <c r="O67" s="59">
        <f t="shared" si="5"/>
        <v>184000</v>
      </c>
      <c r="P67" s="61"/>
      <c r="Q67" s="285" t="s">
        <v>183</v>
      </c>
      <c r="R67" s="286">
        <f>$T59</f>
        <v>0</v>
      </c>
      <c r="S67" s="227"/>
    </row>
    <row r="68" spans="1:20" x14ac:dyDescent="0.35">
      <c r="A68" s="49" t="s">
        <v>186</v>
      </c>
      <c r="B68" s="195">
        <v>29</v>
      </c>
      <c r="C68" s="50">
        <v>2013</v>
      </c>
      <c r="D68" s="49" t="s">
        <v>39</v>
      </c>
      <c r="E68" s="49" t="s">
        <v>220</v>
      </c>
      <c r="F68" s="49"/>
      <c r="G68" s="49" t="s">
        <v>33</v>
      </c>
      <c r="H68" s="49" t="s">
        <v>495</v>
      </c>
      <c r="I68" s="57">
        <v>27720</v>
      </c>
      <c r="J68" s="40"/>
      <c r="K68" s="59">
        <f>IF(G68="L",'US CBAs'!$B$73,
IF(AND(E68="Friendly",F68="T1",G68="W"),'US CBAs'!$B$68,
IF(AND(E68="Friendly",F68="T2",G68="W"),'US CBAs'!$B$69,
IF(AND(E68="Friendly",F68="",G68="W"),'US CBAs'!$B$70,
IF(AND(E68="Friendly",F68="T1",G68="D"),'US CBAs'!$B$71,
IF(AND(E68="Friendly",F68="",G68="D"),'US CBAs'!$B$72,
IF(AND(E68="Gold Cup",F68="T1",G68="W"),'US CBAs'!$B$78,
IF(AND(E68="Gold Cup",F68="",G68="W"),'US CBAs'!$B$79,
IF(AND(E68="Gold Cup",G68="D"),'US CBAs'!$B$80,
IF(AND(E68="Copa America",F68="",G68="W"),'US CBAs'!$B$85,
IF(AND(E68="Copa America",G68="D"),'US CBAs'!$B$86,
IF(AND(E68="WCQ SF",G68="W"),'US CBAs'!$B$94,
IF(AND(E68="WCQ SF",G68="D"),'US CBAs'!$B$95,
IF(AND(E68="WCQ Hex",G68="W"),'US CBAs'!$B$98,
IF(AND(E68="WCQ Hex",G68="D"),'US CBAs'!$B$99,
IF(E68="World Cup",'US CBAs'!$B$104,
0))))))))))))))))</f>
        <v>4000</v>
      </c>
      <c r="L68" s="40">
        <v>20</v>
      </c>
      <c r="M68" s="59">
        <f t="shared" si="4"/>
        <v>80000</v>
      </c>
      <c r="N68" s="45">
        <f>IF(J68="",I68*'US CBAs'!$C$118,0)</f>
        <v>33264</v>
      </c>
      <c r="O68" s="59">
        <f t="shared" si="5"/>
        <v>113264</v>
      </c>
      <c r="P68" s="61"/>
      <c r="Q68" s="287" t="s">
        <v>404</v>
      </c>
      <c r="R68" s="288">
        <f>R66+R67</f>
        <v>3086060.4</v>
      </c>
    </row>
    <row r="69" spans="1:20" x14ac:dyDescent="0.35">
      <c r="A69" s="49" t="s">
        <v>223</v>
      </c>
      <c r="B69" s="195">
        <v>2</v>
      </c>
      <c r="C69" s="50">
        <v>2013</v>
      </c>
      <c r="D69" s="49" t="s">
        <v>27</v>
      </c>
      <c r="E69" s="49" t="s">
        <v>220</v>
      </c>
      <c r="F69" s="49" t="s">
        <v>28</v>
      </c>
      <c r="G69" s="49" t="s">
        <v>20</v>
      </c>
      <c r="H69" s="49" t="s">
        <v>491</v>
      </c>
      <c r="I69" s="57">
        <v>47359</v>
      </c>
      <c r="J69" s="40"/>
      <c r="K69" s="59">
        <f>IF(G69="L",'US CBAs'!$B$73,
IF(AND(E69="Friendly",F69="T1",G69="W"),'US CBAs'!$B$68,
IF(AND(E69="Friendly",F69="T2",G69="W"),'US CBAs'!$B$69,
IF(AND(E69="Friendly",F69="",G69="W"),'US CBAs'!$B$70,
IF(AND(E69="Friendly",F69="T1",G69="D"),'US CBAs'!$B$71,
IF(AND(E69="Friendly",F69="",G69="D"),'US CBAs'!$B$72,
IF(AND(E69="Gold Cup",F69="T1",G69="W"),'US CBAs'!$B$78,
IF(AND(E69="Gold Cup",F69="",G69="W"),'US CBAs'!$B$79,
IF(AND(E69="Gold Cup",G69="D"),'US CBAs'!$B$80,
IF(AND(E69="Copa America",F69="",G69="W"),'US CBAs'!$B$85,
IF(AND(E69="Copa America",G69="D"),'US CBAs'!$B$86,
IF(AND(E69="WCQ SF",G69="W"),'US CBAs'!$B$94,
IF(AND(E69="WCQ SF",G69="D"),'US CBAs'!$B$95,
IF(AND(E69="WCQ Hex",G69="W"),'US CBAs'!$B$98,
IF(AND(E69="WCQ Hex",G69="D"),'US CBAs'!$B$99,
IF(E69="World Cup",'US CBAs'!$B$104,
0))))))))))))))))</f>
        <v>14100</v>
      </c>
      <c r="L69" s="40">
        <v>20</v>
      </c>
      <c r="M69" s="59">
        <f t="shared" si="4"/>
        <v>282000</v>
      </c>
      <c r="N69" s="45">
        <f>IF(J69="",I69*'US CBAs'!$C$118,0)</f>
        <v>56830.799999999996</v>
      </c>
      <c r="O69" s="59">
        <f t="shared" si="5"/>
        <v>338830.8</v>
      </c>
      <c r="P69" s="61"/>
    </row>
    <row r="70" spans="1:20" x14ac:dyDescent="0.35">
      <c r="A70" s="49" t="s">
        <v>223</v>
      </c>
      <c r="B70" s="195">
        <v>7</v>
      </c>
      <c r="C70" s="50">
        <v>2013</v>
      </c>
      <c r="D70" s="49" t="s">
        <v>40</v>
      </c>
      <c r="E70" s="49" t="s">
        <v>227</v>
      </c>
      <c r="F70" s="49"/>
      <c r="G70" s="49" t="s">
        <v>20</v>
      </c>
      <c r="H70" s="49" t="s">
        <v>40</v>
      </c>
      <c r="I70" s="57">
        <v>12130</v>
      </c>
      <c r="J70" s="40" t="s">
        <v>218</v>
      </c>
      <c r="K70" s="59">
        <f>IF(G70="L",'US CBAs'!$B$73,
IF(AND(E70="Friendly",F70="T1",G70="W"),'US CBAs'!$B$68,
IF(AND(E70="Friendly",F70="T2",G70="W"),'US CBAs'!$B$69,
IF(AND(E70="Friendly",F70="",G70="W"),'US CBAs'!$B$70,
IF(AND(E70="Friendly",F70="T1",G70="D"),'US CBAs'!$B$71,
IF(AND(E70="Friendly",F70="",G70="D"),'US CBAs'!$B$72,
IF(AND(E70="Gold Cup",F70="T1",G70="W"),'US CBAs'!$B$78,
IF(AND(E70="Gold Cup",F70="",G70="W"),'US CBAs'!$B$79,
IF(AND(E70="Gold Cup",G70="D"),'US CBAs'!$B$80,
IF(AND(E70="Copa America",F70="",G70="W"),'US CBAs'!$B$85,
IF(AND(E70="Copa America",G70="D"),'US CBAs'!$B$86,
IF(AND(E70="WCQ SF",G70="W"),'US CBAs'!$B$94,
IF(AND(E70="WCQ SF",G70="D"),'US CBAs'!$B$95,
IF(AND(E70="WCQ Hex",G70="W"),'US CBAs'!$B$98,
IF(AND(E70="WCQ Hex",G70="D"),'US CBAs'!$B$99,
IF(E70="World Cup",'US CBAs'!$B$104,
0))))))))))))))))</f>
        <v>14500</v>
      </c>
      <c r="L70" s="40">
        <v>23</v>
      </c>
      <c r="M70" s="59">
        <f t="shared" si="4"/>
        <v>333500</v>
      </c>
      <c r="N70" s="45">
        <f>IF(J70="",I70*'US CBAs'!$C$118,0)</f>
        <v>0</v>
      </c>
      <c r="O70" s="59">
        <f t="shared" si="5"/>
        <v>333500</v>
      </c>
      <c r="P70" s="61"/>
      <c r="Q70" s="242"/>
      <c r="R70" s="242"/>
      <c r="S70" s="247"/>
    </row>
    <row r="71" spans="1:20" x14ac:dyDescent="0.35">
      <c r="A71" s="49" t="s">
        <v>223</v>
      </c>
      <c r="B71" s="195">
        <v>11</v>
      </c>
      <c r="C71" s="50">
        <v>2013</v>
      </c>
      <c r="D71" s="49" t="s">
        <v>42</v>
      </c>
      <c r="E71" s="49" t="s">
        <v>227</v>
      </c>
      <c r="F71" s="49"/>
      <c r="G71" s="49" t="s">
        <v>20</v>
      </c>
      <c r="H71" s="49" t="s">
        <v>497</v>
      </c>
      <c r="I71" s="57">
        <v>40847</v>
      </c>
      <c r="J71" s="40"/>
      <c r="K71" s="59">
        <f>IF(G71="L",'US CBAs'!$B$73,
IF(AND(E71="Friendly",F71="T1",G71="W"),'US CBAs'!$B$68,
IF(AND(E71="Friendly",F71="T2",G71="W"),'US CBAs'!$B$69,
IF(AND(E71="Friendly",F71="",G71="W"),'US CBAs'!$B$70,
IF(AND(E71="Friendly",F71="T1",G71="D"),'US CBAs'!$B$71,
IF(AND(E71="Friendly",F71="",G71="D"),'US CBAs'!$B$72,
IF(AND(E71="Gold Cup",F71="T1",G71="W"),'US CBAs'!$B$78,
IF(AND(E71="Gold Cup",F71="",G71="W"),'US CBAs'!$B$79,
IF(AND(E71="Gold Cup",G71="D"),'US CBAs'!$B$80,
IF(AND(E71="Copa America",F71="",G71="W"),'US CBAs'!$B$85,
IF(AND(E71="Copa America",G71="D"),'US CBAs'!$B$86,
IF(AND(E71="WCQ SF",G71="W"),'US CBAs'!$B$94,
IF(AND(E71="WCQ SF",G71="D"),'US CBAs'!$B$95,
IF(AND(E71="WCQ Hex",G71="W"),'US CBAs'!$B$98,
IF(AND(E71="WCQ Hex",G71="D"),'US CBAs'!$B$99,
IF(E71="World Cup",'US CBAs'!$B$104,
0))))))))))))))))</f>
        <v>14500</v>
      </c>
      <c r="L71" s="40">
        <v>23</v>
      </c>
      <c r="M71" s="59">
        <f t="shared" si="4"/>
        <v>333500</v>
      </c>
      <c r="N71" s="45">
        <f>IF(J71="",I71*'US CBAs'!$C$118,0)</f>
        <v>49016.4</v>
      </c>
      <c r="O71" s="59">
        <f t="shared" si="5"/>
        <v>382516.4</v>
      </c>
      <c r="P71" s="61"/>
      <c r="Q71" s="242"/>
      <c r="R71" s="239"/>
      <c r="S71" s="246"/>
    </row>
    <row r="72" spans="1:20" x14ac:dyDescent="0.35">
      <c r="A72" s="49" t="s">
        <v>223</v>
      </c>
      <c r="B72" s="195">
        <v>18</v>
      </c>
      <c r="C72" s="50">
        <v>2013</v>
      </c>
      <c r="D72" s="49" t="s">
        <v>32</v>
      </c>
      <c r="E72" s="49" t="s">
        <v>227</v>
      </c>
      <c r="F72" s="49"/>
      <c r="G72" s="49" t="s">
        <v>20</v>
      </c>
      <c r="H72" s="49" t="s">
        <v>498</v>
      </c>
      <c r="I72" s="57">
        <v>20250</v>
      </c>
      <c r="J72" s="40"/>
      <c r="K72" s="59">
        <f>IF(G72="L",'US CBAs'!$B$73,
IF(AND(E72="Friendly",F72="T1",G72="W"),'US CBAs'!$B$68,
IF(AND(E72="Friendly",F72="T2",G72="W"),'US CBAs'!$B$69,
IF(AND(E72="Friendly",F72="",G72="W"),'US CBAs'!$B$70,
IF(AND(E72="Friendly",F72="T1",G72="D"),'US CBAs'!$B$71,
IF(AND(E72="Friendly",F72="",G72="D"),'US CBAs'!$B$72,
IF(AND(E72="Gold Cup",F72="T1",G72="W"),'US CBAs'!$B$78,
IF(AND(E72="Gold Cup",F72="",G72="W"),'US CBAs'!$B$79,
IF(AND(E72="Gold Cup",G72="D"),'US CBAs'!$B$80,
IF(AND(E72="Copa America",F72="",G72="W"),'US CBAs'!$B$85,
IF(AND(E72="Copa America",G72="D"),'US CBAs'!$B$86,
IF(AND(E72="WCQ SF",G72="W"),'US CBAs'!$B$94,
IF(AND(E72="WCQ SF",G72="D"),'US CBAs'!$B$95,
IF(AND(E72="WCQ Hex",G72="W"),'US CBAs'!$B$98,
IF(AND(E72="WCQ Hex",G72="D"),'US CBAs'!$B$99,
IF(E72="World Cup",'US CBAs'!$B$104,
0))))))))))))))))</f>
        <v>14500</v>
      </c>
      <c r="L72" s="40">
        <v>23</v>
      </c>
      <c r="M72" s="59">
        <f t="shared" si="4"/>
        <v>333500</v>
      </c>
      <c r="N72" s="45">
        <f>IF(J72="",I72*'US CBAs'!$C$118,0)</f>
        <v>24300</v>
      </c>
      <c r="O72" s="59">
        <f t="shared" si="5"/>
        <v>357800</v>
      </c>
      <c r="P72" s="61"/>
      <c r="Q72" s="232"/>
      <c r="R72" s="233"/>
      <c r="S72" s="233"/>
    </row>
    <row r="73" spans="1:20" x14ac:dyDescent="0.35">
      <c r="A73" s="49" t="s">
        <v>230</v>
      </c>
      <c r="B73" s="195">
        <v>5</v>
      </c>
      <c r="C73" s="50">
        <v>2013</v>
      </c>
      <c r="D73" s="49" t="s">
        <v>43</v>
      </c>
      <c r="E73" s="49" t="s">
        <v>220</v>
      </c>
      <c r="F73" s="49"/>
      <c r="G73" s="49" t="s">
        <v>20</v>
      </c>
      <c r="H73" s="49" t="s">
        <v>481</v>
      </c>
      <c r="I73" s="57">
        <v>25080</v>
      </c>
      <c r="J73" s="40"/>
      <c r="K73" s="59">
        <f>IF(G73="L",'US CBAs'!$B$73,
IF(AND(E73="Friendly",F73="T1",G73="W"),'US CBAs'!$B$68,
IF(AND(E73="Friendly",F73="T2",G73="W"),'US CBAs'!$B$69,
IF(AND(E73="Friendly",F73="",G73="W"),'US CBAs'!$B$70,
IF(AND(E73="Friendly",F73="T1",G73="D"),'US CBAs'!$B$71,
IF(AND(E73="Friendly",F73="",G73="D"),'US CBAs'!$B$72,
IF(AND(E73="Gold Cup",F73="T1",G73="W"),'US CBAs'!$B$78,
IF(AND(E73="Gold Cup",F73="",G73="W"),'US CBAs'!$B$79,
IF(AND(E73="Gold Cup",G73="D"),'US CBAs'!$B$80,
IF(AND(E73="Copa America",F73="",G73="W"),'US CBAs'!$B$85,
IF(AND(E73="Copa America",G73="D"),'US CBAs'!$B$86,
IF(AND(E73="WCQ SF",G73="W"),'US CBAs'!$B$94,
IF(AND(E73="WCQ SF",G73="D"),'US CBAs'!$B$95,
IF(AND(E73="WCQ Hex",G73="W"),'US CBAs'!$B$98,
IF(AND(E73="WCQ Hex",G73="D"),'US CBAs'!$B$99,
IF(E73="World Cup",'US CBAs'!$B$104,
0))))))))))))))))</f>
        <v>7500</v>
      </c>
      <c r="L73" s="40">
        <v>20</v>
      </c>
      <c r="M73" s="59">
        <f t="shared" si="4"/>
        <v>150000</v>
      </c>
      <c r="N73" s="45">
        <f>IF(J73="",I73*'US CBAs'!$C$118,0)</f>
        <v>30096</v>
      </c>
      <c r="O73" s="59">
        <f t="shared" si="5"/>
        <v>180096</v>
      </c>
      <c r="P73" s="61"/>
      <c r="Q73" s="239"/>
      <c r="R73" s="239"/>
      <c r="S73" s="239"/>
    </row>
    <row r="74" spans="1:20" x14ac:dyDescent="0.35">
      <c r="A74" s="49" t="s">
        <v>230</v>
      </c>
      <c r="B74" s="195">
        <v>9</v>
      </c>
      <c r="C74" s="50">
        <v>2013</v>
      </c>
      <c r="D74" s="49" t="s">
        <v>44</v>
      </c>
      <c r="E74" s="49" t="s">
        <v>229</v>
      </c>
      <c r="F74" s="49"/>
      <c r="G74" s="49" t="s">
        <v>20</v>
      </c>
      <c r="H74" s="49" t="s">
        <v>499</v>
      </c>
      <c r="I74" s="57">
        <v>18724</v>
      </c>
      <c r="J74" s="40" t="s">
        <v>218</v>
      </c>
      <c r="K74" s="59">
        <f>IF(G74="L",'US CBAs'!$B$73,
IF(AND(E74="Friendly",F74="T1",G74="W"),'US CBAs'!$B$68,
IF(AND(E74="Friendly",F74="T2",G74="W"),'US CBAs'!$B$69,
IF(AND(E74="Friendly",F74="",G74="W"),'US CBAs'!$B$70,
IF(AND(E74="Friendly",F74="T1",G74="D"),'US CBAs'!$B$71,
IF(AND(E74="Friendly",F74="",G74="D"),'US CBAs'!$B$72,
IF(AND(E74="Gold Cup",F74="T1",G74="W"),'US CBAs'!$B$78,
IF(AND(E74="Gold Cup",F74="",G74="W"),'US CBAs'!$B$79,
IF(AND(E74="Gold Cup",G74="D"),'US CBAs'!$B$80,
IF(AND(E74="Copa America",F74="",G74="W"),'US CBAs'!$B$85,
IF(AND(E74="Copa America",G74="D"),'US CBAs'!$B$86,
IF(AND(E74="WCQ SF",G74="W"),'US CBAs'!$B$94,
IF(AND(E74="WCQ SF",G74="D"),'US CBAs'!$B$95,
IF(AND(E74="WCQ Hex",G74="W"),'US CBAs'!$B$98,
IF(AND(E74="WCQ Hex",G74="D"),'US CBAs'!$B$99,
IF(E74="World Cup",'US CBAs'!$B$104,
0))))))))))))))))</f>
        <v>7500</v>
      </c>
      <c r="L74" s="40">
        <v>23</v>
      </c>
      <c r="M74" s="59">
        <f t="shared" si="4"/>
        <v>172500</v>
      </c>
      <c r="N74" s="45">
        <f>IF(J74="",I74*'US CBAs'!$C$118,0)</f>
        <v>0</v>
      </c>
      <c r="O74" s="59">
        <f t="shared" si="5"/>
        <v>172500</v>
      </c>
      <c r="P74" s="61"/>
      <c r="Q74" s="242"/>
      <c r="R74" s="242"/>
      <c r="S74" s="234"/>
    </row>
    <row r="75" spans="1:20" x14ac:dyDescent="0.35">
      <c r="A75" s="49" t="s">
        <v>230</v>
      </c>
      <c r="B75" s="195">
        <v>13</v>
      </c>
      <c r="C75" s="50">
        <v>2013</v>
      </c>
      <c r="D75" s="49" t="s">
        <v>45</v>
      </c>
      <c r="E75" s="49" t="s">
        <v>229</v>
      </c>
      <c r="F75" s="49"/>
      <c r="G75" s="49" t="s">
        <v>20</v>
      </c>
      <c r="H75" s="49" t="s">
        <v>498</v>
      </c>
      <c r="I75" s="57">
        <v>17597</v>
      </c>
      <c r="J75" s="40" t="s">
        <v>218</v>
      </c>
      <c r="K75" s="59">
        <f>IF(G75="L",'US CBAs'!$B$73,
IF(AND(E75="Friendly",F75="T1",G75="W"),'US CBAs'!$B$68,
IF(AND(E75="Friendly",F75="T2",G75="W"),'US CBAs'!$B$69,
IF(AND(E75="Friendly",F75="",G75="W"),'US CBAs'!$B$70,
IF(AND(E75="Friendly",F75="T1",G75="D"),'US CBAs'!$B$71,
IF(AND(E75="Friendly",F75="",G75="D"),'US CBAs'!$B$72,
IF(AND(E75="Gold Cup",F75="T1",G75="W"),'US CBAs'!$B$78,
IF(AND(E75="Gold Cup",F75="",G75="W"),'US CBAs'!$B$79,
IF(AND(E75="Gold Cup",G75="D"),'US CBAs'!$B$80,
IF(AND(E75="Copa America",F75="",G75="W"),'US CBAs'!$B$85,
IF(AND(E75="Copa America",G75="D"),'US CBAs'!$B$86,
IF(AND(E75="WCQ SF",G75="W"),'US CBAs'!$B$94,
IF(AND(E75="WCQ SF",G75="D"),'US CBAs'!$B$95,
IF(AND(E75="WCQ Hex",G75="W"),'US CBAs'!$B$98,
IF(AND(E75="WCQ Hex",G75="D"),'US CBAs'!$B$99,
IF(E75="World Cup",'US CBAs'!$B$104,
0))))))))))))))))</f>
        <v>7500</v>
      </c>
      <c r="L75" s="40">
        <v>23</v>
      </c>
      <c r="M75" s="59">
        <f t="shared" si="4"/>
        <v>172500</v>
      </c>
      <c r="N75" s="45">
        <f>IF(J75="",I75*'US CBAs'!$C$118,0)</f>
        <v>0</v>
      </c>
      <c r="O75" s="59">
        <f t="shared" si="5"/>
        <v>172500</v>
      </c>
      <c r="P75" s="61"/>
      <c r="Q75" s="239"/>
      <c r="R75" s="233"/>
      <c r="S75" s="242"/>
    </row>
    <row r="76" spans="1:20" x14ac:dyDescent="0.35">
      <c r="A76" s="49" t="s">
        <v>230</v>
      </c>
      <c r="B76" s="195">
        <v>16</v>
      </c>
      <c r="C76" s="50">
        <v>2013</v>
      </c>
      <c r="D76" s="49" t="s">
        <v>36</v>
      </c>
      <c r="E76" s="49" t="s">
        <v>229</v>
      </c>
      <c r="F76" s="49"/>
      <c r="G76" s="49" t="s">
        <v>20</v>
      </c>
      <c r="H76" s="49" t="s">
        <v>483</v>
      </c>
      <c r="I76" s="57">
        <v>25432</v>
      </c>
      <c r="J76" s="40" t="s">
        <v>218</v>
      </c>
      <c r="K76" s="59">
        <f>IF(G76="L",'US CBAs'!$B$73,
IF(AND(E76="Friendly",F76="T1",G76="W"),'US CBAs'!$B$68,
IF(AND(E76="Friendly",F76="T2",G76="W"),'US CBAs'!$B$69,
IF(AND(E76="Friendly",F76="",G76="W"),'US CBAs'!$B$70,
IF(AND(E76="Friendly",F76="T1",G76="D"),'US CBAs'!$B$71,
IF(AND(E76="Friendly",F76="",G76="D"),'US CBAs'!$B$72,
IF(AND(E76="Gold Cup",F76="T1",G76="W"),'US CBAs'!$B$78,
IF(AND(E76="Gold Cup",F76="",G76="W"),'US CBAs'!$B$79,
IF(AND(E76="Gold Cup",G76="D"),'US CBAs'!$B$80,
IF(AND(E76="Copa America",F76="",G76="W"),'US CBAs'!$B$85,
IF(AND(E76="Copa America",G76="D"),'US CBAs'!$B$86,
IF(AND(E76="WCQ SF",G76="W"),'US CBAs'!$B$94,
IF(AND(E76="WCQ SF",G76="D"),'US CBAs'!$B$95,
IF(AND(E76="WCQ Hex",G76="W"),'US CBAs'!$B$98,
IF(AND(E76="WCQ Hex",G76="D"),'US CBAs'!$B$99,
IF(E76="World Cup",'US CBAs'!$B$104,
0))))))))))))))))</f>
        <v>7500</v>
      </c>
      <c r="L76" s="40">
        <v>23</v>
      </c>
      <c r="M76" s="59">
        <f t="shared" si="4"/>
        <v>172500</v>
      </c>
      <c r="N76" s="45">
        <f>IF(J76="",I76*'US CBAs'!$C$118,0)</f>
        <v>0</v>
      </c>
      <c r="O76" s="59">
        <f t="shared" si="5"/>
        <v>172500</v>
      </c>
      <c r="P76" s="61"/>
      <c r="Q76" s="239"/>
      <c r="R76" s="233"/>
      <c r="S76" s="233"/>
    </row>
    <row r="77" spans="1:20" x14ac:dyDescent="0.35">
      <c r="A77" s="49" t="s">
        <v>230</v>
      </c>
      <c r="B77" s="195">
        <v>21</v>
      </c>
      <c r="C77" s="50">
        <v>2013</v>
      </c>
      <c r="D77" s="49" t="s">
        <v>46</v>
      </c>
      <c r="E77" s="49" t="s">
        <v>229</v>
      </c>
      <c r="F77" s="49"/>
      <c r="G77" s="49" t="s">
        <v>20</v>
      </c>
      <c r="H77" s="49" t="s">
        <v>494</v>
      </c>
      <c r="I77" s="57">
        <v>70540</v>
      </c>
      <c r="J77" s="40" t="s">
        <v>218</v>
      </c>
      <c r="K77" s="59">
        <f>IF(G77="L",'US CBAs'!$B$73,
IF(AND(E77="Friendly",F77="T1",G77="W"),'US CBAs'!$B$68,
IF(AND(E77="Friendly",F77="T2",G77="W"),'US CBAs'!$B$69,
IF(AND(E77="Friendly",F77="",G77="W"),'US CBAs'!$B$70,
IF(AND(E77="Friendly",F77="T1",G77="D"),'US CBAs'!$B$71,
IF(AND(E77="Friendly",F77="",G77="D"),'US CBAs'!$B$72,
IF(AND(E77="Gold Cup",F77="T1",G77="W"),'US CBAs'!$B$78,
IF(AND(E77="Gold Cup",F77="",G77="W"),'US CBAs'!$B$79,
IF(AND(E77="Gold Cup",G77="D"),'US CBAs'!$B$80,
IF(AND(E77="Copa America",F77="",G77="W"),'US CBAs'!$B$85,
IF(AND(E77="Copa America",G77="D"),'US CBAs'!$B$86,
IF(AND(E77="WCQ SF",G77="W"),'US CBAs'!$B$94,
IF(AND(E77="WCQ SF",G77="D"),'US CBAs'!$B$95,
IF(AND(E77="WCQ Hex",G77="W"),'US CBAs'!$B$98,
IF(AND(E77="WCQ Hex",G77="D"),'US CBAs'!$B$99,
IF(E77="World Cup",'US CBAs'!$B$104,
0))))))))))))))))</f>
        <v>7500</v>
      </c>
      <c r="L77" s="40">
        <v>23</v>
      </c>
      <c r="M77" s="59">
        <f t="shared" si="4"/>
        <v>172500</v>
      </c>
      <c r="N77" s="45">
        <f>IF(J77="",I77*'US CBAs'!$C$118,0)</f>
        <v>0</v>
      </c>
      <c r="O77" s="59">
        <f t="shared" si="5"/>
        <v>172500</v>
      </c>
      <c r="P77" s="61"/>
      <c r="Q77" s="242"/>
      <c r="R77" s="239"/>
      <c r="S77" s="242"/>
    </row>
    <row r="78" spans="1:20" x14ac:dyDescent="0.35">
      <c r="A78" s="49" t="s">
        <v>230</v>
      </c>
      <c r="B78" s="195">
        <v>24</v>
      </c>
      <c r="C78" s="50">
        <v>2013</v>
      </c>
      <c r="D78" s="49" t="s">
        <v>32</v>
      </c>
      <c r="E78" s="49" t="s">
        <v>229</v>
      </c>
      <c r="F78" s="49"/>
      <c r="G78" s="49" t="s">
        <v>20</v>
      </c>
      <c r="H78" s="49" t="s">
        <v>492</v>
      </c>
      <c r="I78" s="57">
        <v>81410</v>
      </c>
      <c r="J78" s="40" t="s">
        <v>218</v>
      </c>
      <c r="K78" s="59">
        <f>IF(G78="L",'US CBAs'!$B$73,
IF(AND(E78="Friendly",F78="T1",G78="W"),'US CBAs'!$B$68,
IF(AND(E78="Friendly",F78="T2",G78="W"),'US CBAs'!$B$69,
IF(AND(E78="Friendly",F78="",G78="W"),'US CBAs'!$B$70,
IF(AND(E78="Friendly",F78="T1",G78="D"),'US CBAs'!$B$71,
IF(AND(E78="Friendly",F78="",G78="D"),'US CBAs'!$B$72,
IF(AND(E78="Gold Cup",F78="T1",G78="W"),'US CBAs'!$B$78,
IF(AND(E78="Gold Cup",F78="",G78="W"),'US CBAs'!$B$79,
IF(AND(E78="Gold Cup",G78="D"),'US CBAs'!$B$80,
IF(AND(E78="Copa America",F78="",G78="W"),'US CBAs'!$B$85,
IF(AND(E78="Copa America",G78="D"),'US CBAs'!$B$86,
IF(AND(E78="WCQ SF",G78="W"),'US CBAs'!$B$94,
IF(AND(E78="WCQ SF",G78="D"),'US CBAs'!$B$95,
IF(AND(E78="WCQ Hex",G78="W"),'US CBAs'!$B$98,
IF(AND(E78="WCQ Hex",G78="D"),'US CBAs'!$B$99,
IF(E78="World Cup",'US CBAs'!$B$104,
0))))))))))))))))</f>
        <v>7500</v>
      </c>
      <c r="L78" s="40">
        <v>23</v>
      </c>
      <c r="M78" s="59">
        <f t="shared" si="4"/>
        <v>172500</v>
      </c>
      <c r="N78" s="45">
        <f>IF(J78="",I78*'US CBAs'!$C$118,0)</f>
        <v>0</v>
      </c>
      <c r="O78" s="59">
        <f t="shared" si="5"/>
        <v>172500</v>
      </c>
      <c r="P78" s="61"/>
      <c r="Q78" s="242"/>
      <c r="R78" s="242"/>
      <c r="S78" s="242"/>
    </row>
    <row r="79" spans="1:20" x14ac:dyDescent="0.35">
      <c r="A79" s="49" t="s">
        <v>230</v>
      </c>
      <c r="B79" s="195">
        <v>28</v>
      </c>
      <c r="C79" s="50">
        <v>2013</v>
      </c>
      <c r="D79" s="49" t="s">
        <v>42</v>
      </c>
      <c r="E79" s="49" t="s">
        <v>229</v>
      </c>
      <c r="F79" s="49"/>
      <c r="G79" s="49" t="s">
        <v>20</v>
      </c>
      <c r="H79" s="49" t="s">
        <v>487</v>
      </c>
      <c r="I79" s="57">
        <v>57920</v>
      </c>
      <c r="J79" s="40" t="s">
        <v>218</v>
      </c>
      <c r="K79" s="59">
        <f>IF(G79="L",'US CBAs'!$B$73,
IF(AND(E79="Friendly",F79="T1",G79="W"),'US CBAs'!$B$68,
IF(AND(E79="Friendly",F79="T2",G79="W"),'US CBAs'!$B$69,
IF(AND(E79="Friendly",F79="",G79="W"),'US CBAs'!$B$70,
IF(AND(E79="Friendly",F79="T1",G79="D"),'US CBAs'!$B$71,
IF(AND(E79="Friendly",F79="",G79="D"),'US CBAs'!$B$72,
IF(AND(E79="Gold Cup",F79="T1",G79="W"),'US CBAs'!$B$78,
IF(AND(E79="Gold Cup",F79="",G79="W"),'US CBAs'!$B$79,
IF(AND(E79="Gold Cup",G79="D"),'US CBAs'!$B$80,
IF(AND(E79="Copa America",F79="",G79="W"),'US CBAs'!$B$85,
IF(AND(E79="Copa America",G79="D"),'US CBAs'!$B$86,
IF(AND(E79="WCQ SF",G79="W"),'US CBAs'!$B$94,
IF(AND(E79="WCQ SF",G79="D"),'US CBAs'!$B$95,
IF(AND(E79="WCQ Hex",G79="W"),'US CBAs'!$B$98,
IF(AND(E79="WCQ Hex",G79="D"),'US CBAs'!$B$99,
IF(E79="World Cup",'US CBAs'!$B$104,
0))))))))))))))))</f>
        <v>7500</v>
      </c>
      <c r="L79" s="40">
        <v>23</v>
      </c>
      <c r="M79" s="59">
        <f t="shared" si="4"/>
        <v>172500</v>
      </c>
      <c r="N79" s="45">
        <f>IF(J79="",I79*'US CBAs'!$C$118,0)</f>
        <v>0</v>
      </c>
      <c r="O79" s="59">
        <f t="shared" si="5"/>
        <v>172500</v>
      </c>
      <c r="P79" s="61"/>
      <c r="Q79" s="39"/>
      <c r="R79" s="39"/>
      <c r="S79" s="39"/>
      <c r="T79" s="39"/>
    </row>
    <row r="80" spans="1:20" x14ac:dyDescent="0.35">
      <c r="A80" s="49" t="s">
        <v>203</v>
      </c>
      <c r="B80" s="195">
        <v>14</v>
      </c>
      <c r="C80" s="50">
        <v>2013</v>
      </c>
      <c r="D80" s="49" t="s">
        <v>225</v>
      </c>
      <c r="E80" s="49" t="s">
        <v>220</v>
      </c>
      <c r="F80" s="49" t="s">
        <v>31</v>
      </c>
      <c r="G80" s="49" t="s">
        <v>20</v>
      </c>
      <c r="H80" s="49" t="s">
        <v>47</v>
      </c>
      <c r="I80" s="57">
        <v>24000</v>
      </c>
      <c r="J80" s="40" t="s">
        <v>218</v>
      </c>
      <c r="K80" s="59">
        <f>IF(G80="L",'US CBAs'!$B$73,
IF(AND(E80="Friendly",F80="T1",G80="W"),'US CBAs'!$B$68,
IF(AND(E80="Friendly",F80="T2",G80="W"),'US CBAs'!$B$69,
IF(AND(E80="Friendly",F80="",G80="W"),'US CBAs'!$B$70,
IF(AND(E80="Friendly",F80="T1",G80="D"),'US CBAs'!$B$71,
IF(AND(E80="Friendly",F80="",G80="D"),'US CBAs'!$B$72,
IF(AND(E80="Gold Cup",F80="T1",G80="W"),'US CBAs'!$B$78,
IF(AND(E80="Gold Cup",F80="",G80="W"),'US CBAs'!$B$79,
IF(AND(E80="Gold Cup",G80="D"),'US CBAs'!$B$80,
IF(AND(E80="Copa America",F80="",G80="W"),'US CBAs'!$B$85,
IF(AND(E80="Copa America",G80="D"),'US CBAs'!$B$86,
IF(AND(E80="WCQ SF",G80="W"),'US CBAs'!$B$94,
IF(AND(E80="WCQ SF",G80="D"),'US CBAs'!$B$95,
IF(AND(E80="WCQ Hex",G80="W"),'US CBAs'!$B$98,
IF(AND(E80="WCQ Hex",G80="D"),'US CBAs'!$B$99,
IF(E80="World Cup",'US CBAs'!$B$104,
0))))))))))))))))</f>
        <v>10000</v>
      </c>
      <c r="L80" s="40">
        <v>20</v>
      </c>
      <c r="M80" s="59">
        <f t="shared" si="4"/>
        <v>200000</v>
      </c>
      <c r="N80" s="45">
        <f>IF(J80="",I80*'US CBAs'!$C$118,0)</f>
        <v>0</v>
      </c>
      <c r="O80" s="59">
        <f t="shared" si="5"/>
        <v>200000</v>
      </c>
      <c r="P80" s="61"/>
      <c r="Q80" s="39"/>
      <c r="R80" s="39"/>
      <c r="S80" s="39"/>
      <c r="T80" s="39"/>
    </row>
    <row r="81" spans="1:21" x14ac:dyDescent="0.35">
      <c r="A81" s="49" t="s">
        <v>222</v>
      </c>
      <c r="B81" s="195">
        <v>6</v>
      </c>
      <c r="C81" s="50">
        <v>2013</v>
      </c>
      <c r="D81" s="49" t="s">
        <v>36</v>
      </c>
      <c r="E81" s="49" t="s">
        <v>227</v>
      </c>
      <c r="F81" s="49"/>
      <c r="G81" s="49" t="s">
        <v>33</v>
      </c>
      <c r="H81" s="49" t="s">
        <v>36</v>
      </c>
      <c r="I81" s="57">
        <v>35000</v>
      </c>
      <c r="J81" s="40" t="s">
        <v>218</v>
      </c>
      <c r="K81" s="59">
        <f>IF(G81="L",'US CBAs'!$B$73,
IF(AND(E81="Friendly",F81="T1",G81="W"),'US CBAs'!$B$68,
IF(AND(E81="Friendly",F81="T2",G81="W"),'US CBAs'!$B$69,
IF(AND(E81="Friendly",F81="",G81="W"),'US CBAs'!$B$70,
IF(AND(E81="Friendly",F81="T1",G81="D"),'US CBAs'!$B$71,
IF(AND(E81="Friendly",F81="",G81="D"),'US CBAs'!$B$72,
IF(AND(E81="Gold Cup",F81="T1",G81="W"),'US CBAs'!$B$78,
IF(AND(E81="Gold Cup",F81="",G81="W"),'US CBAs'!$B$79,
IF(AND(E81="Gold Cup",G81="D"),'US CBAs'!$B$80,
IF(AND(E81="Copa America",F81="",G81="W"),'US CBAs'!$B$85,
IF(AND(E81="Copa America",G81="D"),'US CBAs'!$B$86,
IF(AND(E81="WCQ SF",G81="W"),'US CBAs'!$B$94,
IF(AND(E81="WCQ SF",G81="D"),'US CBAs'!$B$95,
IF(AND(E81="WCQ Hex",G81="W"),'US CBAs'!$B$98,
IF(AND(E81="WCQ Hex",G81="D"),'US CBAs'!$B$99,
IF(E81="World Cup",'US CBAs'!$B$104,
0))))))))))))))))</f>
        <v>4000</v>
      </c>
      <c r="L81" s="40">
        <v>23</v>
      </c>
      <c r="M81" s="59">
        <f t="shared" si="4"/>
        <v>92000</v>
      </c>
      <c r="N81" s="45">
        <f>IF(J81="",I81*'US CBAs'!$C$118,0)</f>
        <v>0</v>
      </c>
      <c r="O81" s="59">
        <f t="shared" si="5"/>
        <v>92000</v>
      </c>
      <c r="P81" s="61"/>
      <c r="Q81" s="39"/>
      <c r="R81" s="39"/>
      <c r="S81" s="39"/>
      <c r="T81" s="39"/>
    </row>
    <row r="82" spans="1:21" x14ac:dyDescent="0.35">
      <c r="A82" s="49" t="s">
        <v>222</v>
      </c>
      <c r="B82" s="195">
        <v>10</v>
      </c>
      <c r="C82" s="50">
        <v>2013</v>
      </c>
      <c r="D82" s="49" t="s">
        <v>35</v>
      </c>
      <c r="E82" s="49" t="s">
        <v>227</v>
      </c>
      <c r="F82" s="49"/>
      <c r="G82" s="49" t="s">
        <v>20</v>
      </c>
      <c r="H82" s="49" t="s">
        <v>495</v>
      </c>
      <c r="I82" s="57">
        <v>24584</v>
      </c>
      <c r="J82" s="40"/>
      <c r="K82" s="59">
        <f>IF(G82="L",'US CBAs'!$B$73,
IF(AND(E82="Friendly",F82="T1",G82="W"),'US CBAs'!$B$68,
IF(AND(E82="Friendly",F82="T2",G82="W"),'US CBAs'!$B$69,
IF(AND(E82="Friendly",F82="",G82="W"),'US CBAs'!$B$70,
IF(AND(E82="Friendly",F82="T1",G82="D"),'US CBAs'!$B$71,
IF(AND(E82="Friendly",F82="",G82="D"),'US CBAs'!$B$72,
IF(AND(E82="Gold Cup",F82="T1",G82="W"),'US CBAs'!$B$78,
IF(AND(E82="Gold Cup",F82="",G82="W"),'US CBAs'!$B$79,
IF(AND(E82="Gold Cup",G82="D"),'US CBAs'!$B$80,
IF(AND(E82="Copa America",F82="",G82="W"),'US CBAs'!$B$85,
IF(AND(E82="Copa America",G82="D"),'US CBAs'!$B$86,
IF(AND(E82="WCQ SF",G82="W"),'US CBAs'!$B$94,
IF(AND(E82="WCQ SF",G82="D"),'US CBAs'!$B$95,
IF(AND(E82="WCQ Hex",G82="W"),'US CBAs'!$B$98,
IF(AND(E82="WCQ Hex",G82="D"),'US CBAs'!$B$99,
IF(E82="World Cup",'US CBAs'!$B$104,
0))))))))))))))))</f>
        <v>14500</v>
      </c>
      <c r="L82" s="40">
        <v>23</v>
      </c>
      <c r="M82" s="59">
        <f t="shared" si="4"/>
        <v>333500</v>
      </c>
      <c r="N82" s="45">
        <f>IF(J82="",I82*'US CBAs'!$C$118,0)</f>
        <v>29500.799999999999</v>
      </c>
      <c r="O82" s="59">
        <f t="shared" si="5"/>
        <v>363000.8</v>
      </c>
      <c r="P82" s="61"/>
      <c r="Q82" s="232"/>
      <c r="R82" s="233"/>
      <c r="S82" s="233"/>
    </row>
    <row r="83" spans="1:21" x14ac:dyDescent="0.35">
      <c r="A83" s="49" t="s">
        <v>189</v>
      </c>
      <c r="B83" s="195">
        <v>11</v>
      </c>
      <c r="C83" s="50">
        <v>2013</v>
      </c>
      <c r="D83" s="49" t="s">
        <v>40</v>
      </c>
      <c r="E83" s="49" t="s">
        <v>227</v>
      </c>
      <c r="F83" s="49"/>
      <c r="G83" s="49" t="s">
        <v>20</v>
      </c>
      <c r="H83" s="49" t="s">
        <v>490</v>
      </c>
      <c r="I83" s="57">
        <v>18467</v>
      </c>
      <c r="J83" s="40"/>
      <c r="K83" s="59">
        <f>IF(G83="L",'US CBAs'!$B$73,
IF(AND(E83="Friendly",F83="T1",G83="W"),'US CBAs'!$B$68,
IF(AND(E83="Friendly",F83="T2",G83="W"),'US CBAs'!$B$69,
IF(AND(E83="Friendly",F83="",G83="W"),'US CBAs'!$B$70,
IF(AND(E83="Friendly",F83="T1",G83="D"),'US CBAs'!$B$71,
IF(AND(E83="Friendly",F83="",G83="D"),'US CBAs'!$B$72,
IF(AND(E83="Gold Cup",F83="T1",G83="W"),'US CBAs'!$B$78,
IF(AND(E83="Gold Cup",F83="",G83="W"),'US CBAs'!$B$79,
IF(AND(E83="Gold Cup",G83="D"),'US CBAs'!$B$80,
IF(AND(E83="Copa America",F83="",G83="W"),'US CBAs'!$B$85,
IF(AND(E83="Copa America",G83="D"),'US CBAs'!$B$86,
IF(AND(E83="WCQ SF",G83="W"),'US CBAs'!$B$94,
IF(AND(E83="WCQ SF",G83="D"),'US CBAs'!$B$95,
IF(AND(E83="WCQ Hex",G83="W"),'US CBAs'!$B$98,
IF(AND(E83="WCQ Hex",G83="D"),'US CBAs'!$B$99,
IF(E83="World Cup",'US CBAs'!$B$104,
0))))))))))))))))</f>
        <v>14500</v>
      </c>
      <c r="L83" s="40">
        <v>23</v>
      </c>
      <c r="M83" s="59">
        <f t="shared" si="4"/>
        <v>333500</v>
      </c>
      <c r="N83" s="45">
        <f>IF(J83="",I83*'US CBAs'!$C$118,0)</f>
        <v>22160.399999999998</v>
      </c>
      <c r="O83" s="59">
        <f t="shared" si="5"/>
        <v>355660.4</v>
      </c>
      <c r="P83" s="61"/>
      <c r="Q83" s="233"/>
      <c r="R83" s="234"/>
      <c r="S83" s="233"/>
    </row>
    <row r="84" spans="1:21" x14ac:dyDescent="0.35">
      <c r="A84" s="49" t="s">
        <v>189</v>
      </c>
      <c r="B84" s="195">
        <v>15</v>
      </c>
      <c r="C84" s="50">
        <v>2013</v>
      </c>
      <c r="D84" s="49" t="s">
        <v>42</v>
      </c>
      <c r="E84" s="49" t="s">
        <v>227</v>
      </c>
      <c r="F84" s="49"/>
      <c r="G84" s="49" t="s">
        <v>20</v>
      </c>
      <c r="H84" s="49" t="s">
        <v>42</v>
      </c>
      <c r="I84" s="57">
        <v>18254</v>
      </c>
      <c r="J84" s="40" t="s">
        <v>218</v>
      </c>
      <c r="K84" s="59">
        <f>IF(G84="L",'US CBAs'!$B$73,
IF(AND(E84="Friendly",F84="T1",G84="W"),'US CBAs'!$B$68,
IF(AND(E84="Friendly",F84="T2",G84="W"),'US CBAs'!$B$69,
IF(AND(E84="Friendly",F84="",G84="W"),'US CBAs'!$B$70,
IF(AND(E84="Friendly",F84="T1",G84="D"),'US CBAs'!$B$71,
IF(AND(E84="Friendly",F84="",G84="D"),'US CBAs'!$B$72,
IF(AND(E84="Gold Cup",F84="T1",G84="W"),'US CBAs'!$B$78,
IF(AND(E84="Gold Cup",F84="",G84="W"),'US CBAs'!$B$79,
IF(AND(E84="Gold Cup",G84="D"),'US CBAs'!$B$80,
IF(AND(E84="Copa America",F84="",G84="W"),'US CBAs'!$B$85,
IF(AND(E84="Copa America",G84="D"),'US CBAs'!$B$86,
IF(AND(E84="WCQ SF",G84="W"),'US CBAs'!$B$94,
IF(AND(E84="WCQ SF",G84="D"),'US CBAs'!$B$95,
IF(AND(E84="WCQ Hex",G84="W"),'US CBAs'!$B$98,
IF(AND(E84="WCQ Hex",G84="D"),'US CBAs'!$B$99,
IF(E84="World Cup",'US CBAs'!$B$104,
0))))))))))))))))</f>
        <v>14500</v>
      </c>
      <c r="L84" s="40">
        <v>23</v>
      </c>
      <c r="M84" s="59">
        <f t="shared" si="4"/>
        <v>333500</v>
      </c>
      <c r="N84" s="45">
        <f>IF(J84="",I84*'US CBAs'!$C$118,0)</f>
        <v>0</v>
      </c>
      <c r="O84" s="59">
        <f t="shared" si="5"/>
        <v>333500</v>
      </c>
      <c r="P84" s="61"/>
      <c r="Q84" s="233"/>
      <c r="R84" s="234"/>
      <c r="S84" s="233"/>
    </row>
    <row r="85" spans="1:21" x14ac:dyDescent="0.35">
      <c r="A85" s="49" t="s">
        <v>190</v>
      </c>
      <c r="B85" s="195">
        <v>15</v>
      </c>
      <c r="C85" s="50">
        <v>2013</v>
      </c>
      <c r="D85" s="49" t="s">
        <v>19</v>
      </c>
      <c r="E85" s="49" t="s">
        <v>220</v>
      </c>
      <c r="F85" s="49"/>
      <c r="G85" s="49" t="s">
        <v>83</v>
      </c>
      <c r="H85" s="49" t="s">
        <v>19</v>
      </c>
      <c r="I85" s="57">
        <v>21079</v>
      </c>
      <c r="J85" s="40" t="s">
        <v>218</v>
      </c>
      <c r="K85" s="59">
        <f>IF(G85="L",'US CBAs'!$B$73,
IF(AND(E85="Friendly",F85="T1",G85="W"),'US CBAs'!$B$68,
IF(AND(E85="Friendly",F85="T2",G85="W"),'US CBAs'!$B$69,
IF(AND(E85="Friendly",F85="",G85="W"),'US CBAs'!$B$70,
IF(AND(E85="Friendly",F85="T1",G85="D"),'US CBAs'!$B$71,
IF(AND(E85="Friendly",F85="",G85="D"),'US CBAs'!$B$72,
IF(AND(E85="Gold Cup",F85="T1",G85="W"),'US CBAs'!$B$78,
IF(AND(E85="Gold Cup",F85="",G85="W"),'US CBAs'!$B$79,
IF(AND(E85="Gold Cup",G85="D"),'US CBAs'!$B$80,
IF(AND(E85="Copa America",F85="",G85="W"),'US CBAs'!$B$85,
IF(AND(E85="Copa America",G85="D"),'US CBAs'!$B$86,
IF(AND(E85="WCQ SF",G85="W"),'US CBAs'!$B$94,
IF(AND(E85="WCQ SF",G85="D"),'US CBAs'!$B$95,
IF(AND(E85="WCQ Hex",G85="W"),'US CBAs'!$B$98,
IF(AND(E85="WCQ Hex",G85="D"),'US CBAs'!$B$99,
IF(E85="World Cup",'US CBAs'!$B$104,
0))))))))))))))))</f>
        <v>5000</v>
      </c>
      <c r="L85" s="40">
        <v>20</v>
      </c>
      <c r="M85" s="59">
        <f t="shared" si="4"/>
        <v>100000</v>
      </c>
      <c r="N85" s="45">
        <f>IF(J85="",I85*'US CBAs'!$C$118,0)</f>
        <v>0</v>
      </c>
      <c r="O85" s="59">
        <f t="shared" si="5"/>
        <v>100000</v>
      </c>
      <c r="P85" s="61"/>
      <c r="Q85" s="232"/>
      <c r="R85" s="235"/>
      <c r="S85" s="233"/>
    </row>
    <row r="86" spans="1:21" x14ac:dyDescent="0.35">
      <c r="A86" s="49" t="s">
        <v>190</v>
      </c>
      <c r="B86" s="195">
        <v>19</v>
      </c>
      <c r="C86" s="50">
        <v>2013</v>
      </c>
      <c r="D86" s="49" t="s">
        <v>48</v>
      </c>
      <c r="E86" s="49" t="s">
        <v>220</v>
      </c>
      <c r="F86" s="49"/>
      <c r="G86" s="49" t="s">
        <v>33</v>
      </c>
      <c r="H86" s="49" t="s">
        <v>48</v>
      </c>
      <c r="I86" s="57">
        <v>20200</v>
      </c>
      <c r="J86" s="40" t="s">
        <v>218</v>
      </c>
      <c r="K86" s="59">
        <f>IF(G86="L",'US CBAs'!$B$73,
IF(AND(E86="Friendly",F86="T1",G86="W"),'US CBAs'!$B$68,
IF(AND(E86="Friendly",F86="T2",G86="W"),'US CBAs'!$B$69,
IF(AND(E86="Friendly",F86="",G86="W"),'US CBAs'!$B$70,
IF(AND(E86="Friendly",F86="T1",G86="D"),'US CBAs'!$B$71,
IF(AND(E86="Friendly",F86="",G86="D"),'US CBAs'!$B$72,
IF(AND(E86="Gold Cup",F86="T1",G86="W"),'US CBAs'!$B$78,
IF(AND(E86="Gold Cup",F86="",G86="W"),'US CBAs'!$B$79,
IF(AND(E86="Gold Cup",G86="D"),'US CBAs'!$B$80,
IF(AND(E86="Copa America",F86="",G86="W"),'US CBAs'!$B$85,
IF(AND(E86="Copa America",G86="D"),'US CBAs'!$B$86,
IF(AND(E86="WCQ SF",G86="W"),'US CBAs'!$B$94,
IF(AND(E86="WCQ SF",G86="D"),'US CBAs'!$B$95,
IF(AND(E86="WCQ Hex",G86="W"),'US CBAs'!$B$98,
IF(AND(E86="WCQ Hex",G86="D"),'US CBAs'!$B$99,
IF(E86="World Cup",'US CBAs'!$B$104,
0))))))))))))))))</f>
        <v>4000</v>
      </c>
      <c r="L86" s="40">
        <v>20</v>
      </c>
      <c r="M86" s="59">
        <f t="shared" si="4"/>
        <v>80000</v>
      </c>
      <c r="N86" s="45">
        <f>IF(J86="",I86*'US CBAs'!$C$118,0)</f>
        <v>0</v>
      </c>
      <c r="O86" s="59">
        <f t="shared" si="5"/>
        <v>80000</v>
      </c>
      <c r="P86" s="61"/>
      <c r="Q86" s="253" t="s">
        <v>402</v>
      </c>
      <c r="R86" s="262" t="s">
        <v>6</v>
      </c>
      <c r="S86" s="262" t="s">
        <v>18</v>
      </c>
      <c r="T86" s="263" t="s">
        <v>91</v>
      </c>
      <c r="U86" s="80"/>
    </row>
    <row r="87" spans="1:21" x14ac:dyDescent="0.35">
      <c r="A87" s="49"/>
      <c r="B87" s="195"/>
      <c r="C87" s="50"/>
      <c r="D87" s="58" t="s">
        <v>392</v>
      </c>
      <c r="E87" s="49"/>
      <c r="F87" s="49"/>
      <c r="G87" s="49"/>
      <c r="H87" s="49"/>
      <c r="I87" s="57"/>
      <c r="J87" s="40"/>
      <c r="K87" s="54">
        <f>'US CBAs'!$B$75</f>
        <v>1500</v>
      </c>
      <c r="L87" s="56">
        <v>10</v>
      </c>
      <c r="M87" s="54">
        <f t="shared" si="4"/>
        <v>15000</v>
      </c>
      <c r="N87" s="55"/>
      <c r="O87" s="54">
        <f t="shared" si="5"/>
        <v>15000</v>
      </c>
      <c r="P87" s="61"/>
      <c r="Q87" s="275" t="s">
        <v>382</v>
      </c>
      <c r="R87" s="261">
        <f>'US CBAs'!$B$82</f>
        <v>9000</v>
      </c>
      <c r="S87" s="259">
        <v>23</v>
      </c>
      <c r="T87" s="252">
        <f>R87*S87</f>
        <v>207000</v>
      </c>
      <c r="U87" s="80"/>
    </row>
    <row r="88" spans="1:21" x14ac:dyDescent="0.35">
      <c r="A88" s="49"/>
      <c r="B88" s="195"/>
      <c r="C88" s="50"/>
      <c r="D88" s="58" t="s">
        <v>401</v>
      </c>
      <c r="E88" s="49"/>
      <c r="F88" s="49"/>
      <c r="G88" s="49"/>
      <c r="H88" s="49"/>
      <c r="I88" s="57"/>
      <c r="J88" s="40"/>
      <c r="K88" s="54">
        <f>'US CBAs'!$B$76</f>
        <v>2000</v>
      </c>
      <c r="L88" s="56">
        <v>10</v>
      </c>
      <c r="M88" s="54">
        <f t="shared" si="4"/>
        <v>20000</v>
      </c>
      <c r="N88" s="55"/>
      <c r="O88" s="54">
        <f t="shared" si="5"/>
        <v>20000</v>
      </c>
      <c r="P88" s="61"/>
      <c r="Q88" s="275" t="s">
        <v>233</v>
      </c>
      <c r="R88" s="261"/>
      <c r="S88" s="259"/>
      <c r="T88" s="261">
        <f>'US CBAs'!$C$102</f>
        <v>2000000</v>
      </c>
      <c r="U88" s="80"/>
    </row>
    <row r="89" spans="1:21" ht="13.15" x14ac:dyDescent="0.4">
      <c r="A89" s="289" t="s">
        <v>24</v>
      </c>
      <c r="B89" s="290"/>
      <c r="C89" s="290"/>
      <c r="D89" s="289"/>
      <c r="E89" s="289"/>
      <c r="F89" s="289"/>
      <c r="G89" s="289"/>
      <c r="H89" s="289"/>
      <c r="I89" s="291"/>
      <c r="J89" s="289"/>
      <c r="K89" s="289"/>
      <c r="L89" s="289"/>
      <c r="M89" s="292">
        <f>SUBTOTAL(109,Table5[Game pay])</f>
        <v>4764500</v>
      </c>
      <c r="N89" s="204">
        <f>SUBTOTAL(109,Table5[Att bonus])</f>
        <v>282501.59999999998</v>
      </c>
      <c r="O89" s="292">
        <f>SUBTOTAL(109,Table5[TEAM PAY])</f>
        <v>5047001.5999999996</v>
      </c>
      <c r="P89" s="61"/>
      <c r="Q89" s="47" t="s">
        <v>90</v>
      </c>
      <c r="R89" s="299"/>
      <c r="S89" s="300"/>
      <c r="T89" s="257">
        <f>SUM(T87+T88)</f>
        <v>2207000</v>
      </c>
      <c r="U89" s="80"/>
    </row>
    <row r="90" spans="1:21" x14ac:dyDescent="0.35">
      <c r="A90" s="289"/>
      <c r="B90" s="290"/>
      <c r="C90" s="290"/>
      <c r="D90" s="289"/>
      <c r="E90" s="289"/>
      <c r="F90" s="289"/>
      <c r="G90" s="289"/>
      <c r="H90" s="289"/>
      <c r="I90" s="291"/>
      <c r="J90" s="289"/>
      <c r="K90" s="289"/>
      <c r="L90" s="289"/>
      <c r="M90" s="292"/>
      <c r="N90" s="294" t="s">
        <v>398</v>
      </c>
      <c r="O90" s="294">
        <f>$T89</f>
        <v>2207000</v>
      </c>
      <c r="P90" s="61"/>
      <c r="Q90" s="239"/>
      <c r="R90" s="239"/>
      <c r="S90" s="247"/>
      <c r="T90" s="248"/>
      <c r="U90" s="80"/>
    </row>
    <row r="91" spans="1:21" x14ac:dyDescent="0.35">
      <c r="A91" s="49"/>
      <c r="B91" s="195"/>
      <c r="C91" s="50"/>
      <c r="D91" s="53"/>
      <c r="E91" s="49"/>
      <c r="F91" s="49"/>
      <c r="G91" s="49"/>
      <c r="H91" s="49"/>
      <c r="I91" s="57"/>
      <c r="J91" s="40"/>
      <c r="K91" s="59"/>
      <c r="L91" s="40"/>
      <c r="M91" s="52"/>
      <c r="N91" s="52" t="s">
        <v>90</v>
      </c>
      <c r="O91" s="52">
        <f>O89+O90</f>
        <v>7254001.5999999996</v>
      </c>
      <c r="P91" s="61"/>
      <c r="Q91" s="242"/>
      <c r="R91" s="242"/>
      <c r="S91" s="247"/>
      <c r="T91" s="248"/>
      <c r="U91" s="80"/>
    </row>
    <row r="92" spans="1:21" x14ac:dyDescent="0.35">
      <c r="A92" s="49"/>
      <c r="B92" s="195"/>
      <c r="C92" s="50"/>
      <c r="D92" s="49"/>
      <c r="E92" s="49"/>
      <c r="F92" s="49"/>
      <c r="G92" s="49"/>
      <c r="H92" s="49"/>
      <c r="I92" s="57"/>
      <c r="J92" s="40"/>
      <c r="K92" s="59"/>
      <c r="L92" s="40"/>
      <c r="M92" s="59"/>
      <c r="N92" s="45"/>
      <c r="O92" s="59"/>
      <c r="P92" s="61"/>
      <c r="Q92" s="233"/>
      <c r="R92" s="236"/>
      <c r="S92" s="233"/>
    </row>
    <row r="93" spans="1:21" x14ac:dyDescent="0.35">
      <c r="A93" s="53" t="s">
        <v>249</v>
      </c>
      <c r="B93" s="194" t="s">
        <v>248</v>
      </c>
      <c r="C93" s="65" t="s">
        <v>247</v>
      </c>
      <c r="D93" s="53" t="s">
        <v>15</v>
      </c>
      <c r="E93" s="53" t="s">
        <v>194</v>
      </c>
      <c r="F93" s="53" t="s">
        <v>246</v>
      </c>
      <c r="G93" s="53" t="s">
        <v>16</v>
      </c>
      <c r="H93" s="53" t="s">
        <v>245</v>
      </c>
      <c r="I93" s="64" t="s">
        <v>14</v>
      </c>
      <c r="J93" s="47" t="s">
        <v>244</v>
      </c>
      <c r="K93" s="47" t="s">
        <v>243</v>
      </c>
      <c r="L93" s="47" t="s">
        <v>17</v>
      </c>
      <c r="M93" s="47" t="s">
        <v>219</v>
      </c>
      <c r="N93" s="63" t="s">
        <v>242</v>
      </c>
      <c r="O93" s="47" t="s">
        <v>241</v>
      </c>
      <c r="P93" s="61"/>
      <c r="Q93" s="280" t="s">
        <v>405</v>
      </c>
      <c r="R93" s="281"/>
    </row>
    <row r="94" spans="1:21" x14ac:dyDescent="0.35">
      <c r="A94" s="49" t="s">
        <v>192</v>
      </c>
      <c r="B94" s="195">
        <v>1</v>
      </c>
      <c r="C94" s="50">
        <v>2014</v>
      </c>
      <c r="D94" s="49" t="s">
        <v>34</v>
      </c>
      <c r="E94" s="49" t="s">
        <v>220</v>
      </c>
      <c r="F94" s="49"/>
      <c r="G94" s="49" t="s">
        <v>20</v>
      </c>
      <c r="H94" s="49" t="s">
        <v>481</v>
      </c>
      <c r="I94" s="57">
        <v>27000</v>
      </c>
      <c r="J94" s="40"/>
      <c r="K94" s="59">
        <f>IF(G94="L",'US CBAs'!$B$73,
IF(AND(E94="Friendly",F94="T1",G94="W"),'US CBAs'!$B$68,
IF(AND(E94="Friendly",F94="T2",G94="W"),'US CBAs'!$B$69,
IF(AND(E94="Friendly",F94="",G94="W"),'US CBAs'!$B$70,
IF(AND(E94="Friendly",F94="T1",G94="D"),'US CBAs'!$B$71,
IF(AND(E94="Friendly",F94="",G94="D"),'US CBAs'!$B$72,
IF(AND(E94="Gold Cup",F94="T1",G94="W"),'US CBAs'!$B$78,
IF(AND(E94="Gold Cup",F94="",G94="W"),'US CBAs'!$B$79,
IF(AND(E94="Gold Cup",G94="D"),'US CBAs'!$B$80,
IF(AND(E94="Copa America",F94="",G94="W"),'US CBAs'!$B$85,
IF(AND(E94="Copa America",G94="D"),'US CBAs'!$B$86,
IF(AND(E94="WCQ SF",G94="W"),'US CBAs'!$B$94,
IF(AND(E94="WCQ SF",G94="D"),'US CBAs'!$B$95,
IF(AND(E94="WCQ Hex",G94="W"),'US CBAs'!$B$98,
IF(AND(E94="WCQ Hex",G94="D"),'US CBAs'!$B$99,
IF(E94="World Cup",'US CBAs'!$B$104,
0))))))))))))))))</f>
        <v>7500</v>
      </c>
      <c r="L94" s="40">
        <v>20</v>
      </c>
      <c r="M94" s="59">
        <f t="shared" si="4"/>
        <v>150000</v>
      </c>
      <c r="N94" s="45">
        <f>IF(J94="",I94*'US CBAs'!$C$118,0)</f>
        <v>32400</v>
      </c>
      <c r="O94" s="59">
        <f t="shared" si="5"/>
        <v>182400</v>
      </c>
      <c r="P94" s="61"/>
      <c r="Q94" s="282" t="s">
        <v>219</v>
      </c>
      <c r="R94" s="283">
        <f>SUM(M68:M88)+SUM(M94:M95)</f>
        <v>4285000</v>
      </c>
    </row>
    <row r="95" spans="1:21" x14ac:dyDescent="0.35">
      <c r="A95" s="49" t="s">
        <v>221</v>
      </c>
      <c r="B95" s="195">
        <v>5</v>
      </c>
      <c r="C95" s="50">
        <v>2014</v>
      </c>
      <c r="D95" s="49" t="s">
        <v>54</v>
      </c>
      <c r="E95" s="49" t="s">
        <v>220</v>
      </c>
      <c r="F95" s="49"/>
      <c r="G95" s="49" t="s">
        <v>33</v>
      </c>
      <c r="H95" s="49" t="s">
        <v>251</v>
      </c>
      <c r="I95" s="57">
        <v>1573</v>
      </c>
      <c r="J95" s="40" t="s">
        <v>218</v>
      </c>
      <c r="K95" s="59">
        <f>IF(G95="L",'US CBAs'!$B$73,
IF(AND(E95="Friendly",F95="T1",G95="W"),'US CBAs'!$B$68,
IF(AND(E95="Friendly",F95="T2",G95="W"),'US CBAs'!$B$69,
IF(AND(E95="Friendly",F95="",G95="W"),'US CBAs'!$B$70,
IF(AND(E95="Friendly",F95="T1",G95="D"),'US CBAs'!$B$71,
IF(AND(E95="Friendly",F95="",G95="D"),'US CBAs'!$B$72,
IF(AND(E95="Gold Cup",F95="T1",G95="W"),'US CBAs'!$B$78,
IF(AND(E95="Gold Cup",F95="",G95="W"),'US CBAs'!$B$79,
IF(AND(E95="Gold Cup",G95="D"),'US CBAs'!$B$80,
IF(AND(E95="Copa America",F95="",G95="W"),'US CBAs'!$B$85,
IF(AND(E95="Copa America",G95="D"),'US CBAs'!$B$86,
IF(AND(E95="WCQ SF",G95="W"),'US CBAs'!$B$94,
IF(AND(E95="WCQ SF",G95="D"),'US CBAs'!$B$95,
IF(AND(E95="WCQ Hex",G95="W"),'US CBAs'!$B$98,
IF(AND(E95="WCQ Hex",G95="D"),'US CBAs'!$B$99,
IF(E95="World Cup",'US CBAs'!$B$104,
0))))))))))))))))</f>
        <v>4000</v>
      </c>
      <c r="L95" s="40">
        <v>20</v>
      </c>
      <c r="M95" s="59">
        <f t="shared" si="4"/>
        <v>80000</v>
      </c>
      <c r="N95" s="45">
        <f>IF(J95="",I95*'US CBAs'!$C$118,0)</f>
        <v>0</v>
      </c>
      <c r="O95" s="59">
        <f t="shared" si="5"/>
        <v>80000</v>
      </c>
      <c r="P95" s="61"/>
      <c r="Q95" s="284" t="s">
        <v>394</v>
      </c>
      <c r="R95" s="283">
        <f>SUM(N68:N88)+SUM(N94:N95)</f>
        <v>277568.39999999997</v>
      </c>
    </row>
    <row r="96" spans="1:21" x14ac:dyDescent="0.35">
      <c r="A96" s="49" t="s">
        <v>240</v>
      </c>
      <c r="B96" s="195">
        <v>2</v>
      </c>
      <c r="C96" s="50">
        <v>2014</v>
      </c>
      <c r="D96" s="49" t="s">
        <v>35</v>
      </c>
      <c r="E96" s="49" t="s">
        <v>220</v>
      </c>
      <c r="F96" s="49" t="s">
        <v>28</v>
      </c>
      <c r="G96" s="49" t="s">
        <v>83</v>
      </c>
      <c r="H96" s="49" t="s">
        <v>493</v>
      </c>
      <c r="I96" s="57">
        <v>59066</v>
      </c>
      <c r="K96" s="59">
        <f>IF(G96="L",'US CBAs'!$B$73,
IF(AND(E96="Friendly",F96="T1",G96="W"),'US CBAs'!$B$68,
IF(AND(E96="Friendly",F96="T2",G96="W"),'US CBAs'!$B$69,
IF(AND(E96="Friendly",F96="",G96="W"),'US CBAs'!$B$70,
IF(AND(E96="Friendly",F96="T1",G96="D"),'US CBAs'!$B$71,
IF(AND(E96="Friendly",F96="",G96="D"),'US CBAs'!$B$72,
IF(AND(E96="Gold Cup",F96="T1",G96="W"),'US CBAs'!$B$78,
IF(AND(E96="Gold Cup",F96="",G96="W"),'US CBAs'!$B$79,
IF(AND(E96="Gold Cup",G96="D"),'US CBAs'!$B$80,
IF(AND(E96="Copa America",F96="",G96="W"),'US CBAs'!$B$85,
IF(AND(E96="Copa America",G96="D"),'US CBAs'!$B$86,
IF(AND(E96="WCQ SF",G96="W"),'US CBAs'!$B$94,
IF(AND(E96="WCQ SF",G96="D"),'US CBAs'!$B$95,
IF(AND(E96="WCQ Hex",G96="W"),'US CBAs'!$B$98,
IF(AND(E96="WCQ Hex",G96="D"),'US CBAs'!$B$99,
IF(E96="World Cup",'US CBAs'!$B$104,
0))))))))))))))))</f>
        <v>6500</v>
      </c>
      <c r="L96" s="40">
        <v>20</v>
      </c>
      <c r="M96" s="59">
        <f t="shared" si="4"/>
        <v>130000</v>
      </c>
      <c r="N96" s="45">
        <f>IF(J96="",I96*'US CBAs'!$C$118,0)</f>
        <v>70879.199999999997</v>
      </c>
      <c r="O96" s="59">
        <f t="shared" si="5"/>
        <v>200879.2</v>
      </c>
      <c r="P96" s="61"/>
      <c r="Q96" s="285" t="s">
        <v>395</v>
      </c>
      <c r="R96" s="286">
        <f>R94+R95</f>
        <v>4562568.4000000004</v>
      </c>
      <c r="S96" s="39"/>
      <c r="T96" s="39"/>
    </row>
    <row r="97" spans="1:21" x14ac:dyDescent="0.35">
      <c r="A97" s="49" t="s">
        <v>186</v>
      </c>
      <c r="B97" s="195">
        <v>27</v>
      </c>
      <c r="C97" s="50">
        <v>2014</v>
      </c>
      <c r="D97" s="49" t="s">
        <v>56</v>
      </c>
      <c r="E97" s="49" t="s">
        <v>220</v>
      </c>
      <c r="F97" s="49"/>
      <c r="G97" s="49" t="s">
        <v>20</v>
      </c>
      <c r="H97" s="49" t="s">
        <v>481</v>
      </c>
      <c r="I97" s="57">
        <v>24688</v>
      </c>
      <c r="K97" s="59">
        <f>IF(G97="L",'US CBAs'!$B$73,
IF(AND(E97="Friendly",F97="T1",G97="W"),'US CBAs'!$B$68,
IF(AND(E97="Friendly",F97="T2",G97="W"),'US CBAs'!$B$69,
IF(AND(E97="Friendly",F97="",G97="W"),'US CBAs'!$B$70,
IF(AND(E97="Friendly",F97="T1",G97="D"),'US CBAs'!$B$71,
IF(AND(E97="Friendly",F97="",G97="D"),'US CBAs'!$B$72,
IF(AND(E97="Gold Cup",F97="T1",G97="W"),'US CBAs'!$B$78,
IF(AND(E97="Gold Cup",F97="",G97="W"),'US CBAs'!$B$79,
IF(AND(E97="Gold Cup",G97="D"),'US CBAs'!$B$80,
IF(AND(E97="Copa America",F97="",G97="W"),'US CBAs'!$B$85,
IF(AND(E97="Copa America",G97="D"),'US CBAs'!$B$86,
IF(AND(E97="WCQ SF",G97="W"),'US CBAs'!$B$94,
IF(AND(E97="WCQ SF",G97="D"),'US CBAs'!$B$95,
IF(AND(E97="WCQ Hex",G97="W"),'US CBAs'!$B$98,
IF(AND(E97="WCQ Hex",G97="D"),'US CBAs'!$B$99,
IF(E97="World Cup",'US CBAs'!$B$104,
0))))))))))))))))</f>
        <v>7500</v>
      </c>
      <c r="L97" s="40">
        <v>20</v>
      </c>
      <c r="M97" s="59">
        <f t="shared" si="4"/>
        <v>150000</v>
      </c>
      <c r="N97" s="45">
        <f>IF(J97="",I97*'US CBAs'!$C$118,0)</f>
        <v>29625.599999999999</v>
      </c>
      <c r="O97" s="59">
        <f t="shared" si="5"/>
        <v>179625.60000000001</v>
      </c>
      <c r="P97" s="61"/>
      <c r="Q97" s="285" t="s">
        <v>183</v>
      </c>
      <c r="R97" s="286">
        <f>$T89</f>
        <v>2207000</v>
      </c>
      <c r="S97" s="39"/>
      <c r="T97" s="39"/>
    </row>
    <row r="98" spans="1:21" x14ac:dyDescent="0.35">
      <c r="A98" s="49" t="s">
        <v>223</v>
      </c>
      <c r="B98" s="195">
        <v>1</v>
      </c>
      <c r="C98" s="50">
        <v>2014</v>
      </c>
      <c r="D98" s="49" t="s">
        <v>57</v>
      </c>
      <c r="E98" s="49" t="s">
        <v>220</v>
      </c>
      <c r="F98" s="49"/>
      <c r="G98" s="49" t="s">
        <v>20</v>
      </c>
      <c r="H98" s="49" t="s">
        <v>485</v>
      </c>
      <c r="I98" s="57">
        <v>26762</v>
      </c>
      <c r="J98" s="40"/>
      <c r="K98" s="59">
        <f>IF(G98="L",'US CBAs'!$B$73,
IF(AND(E98="Friendly",F98="T1",G98="W"),'US CBAs'!$B$68,
IF(AND(E98="Friendly",F98="T2",G98="W"),'US CBAs'!$B$69,
IF(AND(E98="Friendly",F98="",G98="W"),'US CBAs'!$B$70,
IF(AND(E98="Friendly",F98="T1",G98="D"),'US CBAs'!$B$71,
IF(AND(E98="Friendly",F98="",G98="D"),'US CBAs'!$B$72,
IF(AND(E98="Gold Cup",F98="T1",G98="W"),'US CBAs'!$B$78,
IF(AND(E98="Gold Cup",F98="",G98="W"),'US CBAs'!$B$79,
IF(AND(E98="Gold Cup",G98="D"),'US CBAs'!$B$80,
IF(AND(E98="Copa America",F98="",G98="W"),'US CBAs'!$B$85,
IF(AND(E98="Copa America",G98="D"),'US CBAs'!$B$86,
IF(AND(E98="WCQ SF",G98="W"),'US CBAs'!$B$94,
IF(AND(E98="WCQ SF",G98="D"),'US CBAs'!$B$95,
IF(AND(E98="WCQ Hex",G98="W"),'US CBAs'!$B$98,
IF(AND(E98="WCQ Hex",G98="D"),'US CBAs'!$B$99,
IF(E98="World Cup",'US CBAs'!$B$104,
0))))))))))))))))</f>
        <v>7500</v>
      </c>
      <c r="L98" s="40">
        <v>20</v>
      </c>
      <c r="M98" s="59">
        <f t="shared" si="4"/>
        <v>150000</v>
      </c>
      <c r="N98" s="45">
        <f>IF(J98="",I98*'US CBAs'!$C$118,0)</f>
        <v>32114.399999999998</v>
      </c>
      <c r="O98" s="59">
        <f t="shared" si="5"/>
        <v>182114.4</v>
      </c>
      <c r="P98" s="61"/>
      <c r="Q98" s="287" t="s">
        <v>406</v>
      </c>
      <c r="R98" s="288">
        <f>R96+R97</f>
        <v>6769568.4000000004</v>
      </c>
      <c r="S98" s="39"/>
      <c r="T98" s="39"/>
    </row>
    <row r="99" spans="1:21" x14ac:dyDescent="0.35">
      <c r="A99" s="49" t="s">
        <v>223</v>
      </c>
      <c r="B99" s="195">
        <v>7</v>
      </c>
      <c r="C99" s="50">
        <v>2014</v>
      </c>
      <c r="D99" s="49" t="s">
        <v>58</v>
      </c>
      <c r="E99" s="49" t="s">
        <v>220</v>
      </c>
      <c r="F99" s="49"/>
      <c r="G99" s="49" t="s">
        <v>20</v>
      </c>
      <c r="H99" s="49" t="s">
        <v>482</v>
      </c>
      <c r="I99" s="57">
        <v>52033</v>
      </c>
      <c r="J99" s="40"/>
      <c r="K99" s="59">
        <f>IF(G99="L",'US CBAs'!$B$73,
IF(AND(E99="Friendly",F99="T1",G99="W"),'US CBAs'!$B$68,
IF(AND(E99="Friendly",F99="T2",G99="W"),'US CBAs'!$B$69,
IF(AND(E99="Friendly",F99="",G99="W"),'US CBAs'!$B$70,
IF(AND(E99="Friendly",F99="T1",G99="D"),'US CBAs'!$B$71,
IF(AND(E99="Friendly",F99="",G99="D"),'US CBAs'!$B$72,
IF(AND(E99="Gold Cup",F99="T1",G99="W"),'US CBAs'!$B$78,
IF(AND(E99="Gold Cup",F99="",G99="W"),'US CBAs'!$B$79,
IF(AND(E99="Gold Cup",G99="D"),'US CBAs'!$B$80,
IF(AND(E99="Copa America",F99="",G99="W"),'US CBAs'!$B$85,
IF(AND(E99="Copa America",G99="D"),'US CBAs'!$B$86,
IF(AND(E99="WCQ SF",G99="W"),'US CBAs'!$B$94,
IF(AND(E99="WCQ SF",G99="D"),'US CBAs'!$B$95,
IF(AND(E99="WCQ Hex",G99="W"),'US CBAs'!$B$98,
IF(AND(E99="WCQ Hex",G99="D"),'US CBAs'!$B$99,
IF(E99="World Cup",'US CBAs'!$B$104,
0))))))))))))))))</f>
        <v>7500</v>
      </c>
      <c r="L99" s="40">
        <v>20</v>
      </c>
      <c r="M99" s="59">
        <f t="shared" si="4"/>
        <v>150000</v>
      </c>
      <c r="N99" s="45">
        <f>IF(J99="",I99*'US CBAs'!$C$118,0)</f>
        <v>62439.6</v>
      </c>
      <c r="O99" s="59">
        <f t="shared" si="5"/>
        <v>212439.6</v>
      </c>
      <c r="P99" s="61"/>
      <c r="Q99" s="39"/>
      <c r="R99" s="39"/>
      <c r="S99" s="39"/>
      <c r="T99" s="39"/>
    </row>
    <row r="100" spans="1:21" x14ac:dyDescent="0.35">
      <c r="A100" s="49" t="s">
        <v>223</v>
      </c>
      <c r="B100" s="195">
        <v>16</v>
      </c>
      <c r="C100" s="50">
        <v>2014</v>
      </c>
      <c r="D100" s="49" t="s">
        <v>77</v>
      </c>
      <c r="E100" s="49" t="s">
        <v>1</v>
      </c>
      <c r="F100" s="49"/>
      <c r="G100" s="49" t="s">
        <v>20</v>
      </c>
      <c r="H100" s="49" t="s">
        <v>41</v>
      </c>
      <c r="I100" s="57">
        <v>39760</v>
      </c>
      <c r="J100" s="40" t="s">
        <v>218</v>
      </c>
      <c r="K100" s="59">
        <f>'US CBAs'!$B$104</f>
        <v>5500</v>
      </c>
      <c r="L100" s="40">
        <v>23</v>
      </c>
      <c r="M100" s="59">
        <f t="shared" si="4"/>
        <v>126500</v>
      </c>
      <c r="N100" s="45">
        <f>IF(J100="",I100*'US CBAs'!$C$118,0)</f>
        <v>0</v>
      </c>
      <c r="O100" s="59">
        <f t="shared" si="5"/>
        <v>126500</v>
      </c>
      <c r="P100" s="61"/>
      <c r="Q100" s="39"/>
      <c r="R100" s="39"/>
      <c r="S100" s="39"/>
      <c r="T100" s="39"/>
    </row>
    <row r="101" spans="1:21" x14ac:dyDescent="0.35">
      <c r="A101" s="49" t="s">
        <v>223</v>
      </c>
      <c r="B101" s="195">
        <v>22</v>
      </c>
      <c r="C101" s="50">
        <v>2014</v>
      </c>
      <c r="D101" s="49" t="s">
        <v>82</v>
      </c>
      <c r="E101" s="49" t="s">
        <v>1</v>
      </c>
      <c r="F101" s="49"/>
      <c r="G101" s="49" t="s">
        <v>83</v>
      </c>
      <c r="H101" s="49" t="s">
        <v>41</v>
      </c>
      <c r="I101" s="57">
        <v>40123</v>
      </c>
      <c r="J101" s="40" t="s">
        <v>218</v>
      </c>
      <c r="K101" s="59">
        <f>'US CBAs'!$B$104</f>
        <v>5500</v>
      </c>
      <c r="L101" s="40">
        <v>23</v>
      </c>
      <c r="M101" s="59">
        <f t="shared" si="4"/>
        <v>126500</v>
      </c>
      <c r="N101" s="45">
        <f>IF(J101="",I101*'US CBAs'!$C$118,0)</f>
        <v>0</v>
      </c>
      <c r="O101" s="59">
        <f t="shared" si="5"/>
        <v>126500</v>
      </c>
      <c r="P101" s="61"/>
      <c r="Q101" s="39"/>
      <c r="R101" s="39"/>
      <c r="S101" s="39"/>
      <c r="T101" s="39"/>
    </row>
    <row r="102" spans="1:21" x14ac:dyDescent="0.35">
      <c r="A102" s="49" t="s">
        <v>223</v>
      </c>
      <c r="B102" s="195">
        <v>26</v>
      </c>
      <c r="C102" s="50">
        <v>2014</v>
      </c>
      <c r="D102" s="49" t="s">
        <v>27</v>
      </c>
      <c r="E102" s="49" t="s">
        <v>1</v>
      </c>
      <c r="F102" s="49"/>
      <c r="G102" s="49" t="s">
        <v>33</v>
      </c>
      <c r="H102" s="49" t="s">
        <v>41</v>
      </c>
      <c r="I102" s="57">
        <v>41876</v>
      </c>
      <c r="J102" s="40" t="s">
        <v>218</v>
      </c>
      <c r="K102" s="59">
        <f>'US CBAs'!$B$104</f>
        <v>5500</v>
      </c>
      <c r="L102" s="40">
        <v>23</v>
      </c>
      <c r="M102" s="59">
        <f t="shared" si="4"/>
        <v>126500</v>
      </c>
      <c r="N102" s="45">
        <f>IF(J102="",I102*'US CBAs'!$C$118,0)</f>
        <v>0</v>
      </c>
      <c r="O102" s="59">
        <f t="shared" si="5"/>
        <v>126500</v>
      </c>
      <c r="P102" s="61"/>
    </row>
    <row r="103" spans="1:21" x14ac:dyDescent="0.35">
      <c r="A103" s="49" t="s">
        <v>230</v>
      </c>
      <c r="B103" s="195">
        <v>1</v>
      </c>
      <c r="C103" s="50">
        <v>2014</v>
      </c>
      <c r="D103" s="49" t="s">
        <v>39</v>
      </c>
      <c r="E103" s="49" t="s">
        <v>1</v>
      </c>
      <c r="F103" s="49"/>
      <c r="G103" s="49" t="s">
        <v>33</v>
      </c>
      <c r="H103" s="49" t="s">
        <v>41</v>
      </c>
      <c r="I103" s="57">
        <v>51227</v>
      </c>
      <c r="J103" s="40" t="s">
        <v>218</v>
      </c>
      <c r="K103" s="59">
        <f>'US CBAs'!$B$104</f>
        <v>5500</v>
      </c>
      <c r="L103" s="40">
        <v>23</v>
      </c>
      <c r="M103" s="59">
        <f t="shared" si="4"/>
        <v>126500</v>
      </c>
      <c r="N103" s="45">
        <f>IF(J103="",I103*'US CBAs'!$C$118,0)</f>
        <v>0</v>
      </c>
      <c r="O103" s="59">
        <f t="shared" si="5"/>
        <v>126500</v>
      </c>
      <c r="P103" s="61"/>
    </row>
    <row r="104" spans="1:21" x14ac:dyDescent="0.35">
      <c r="A104" s="49" t="s">
        <v>222</v>
      </c>
      <c r="B104" s="195">
        <v>3</v>
      </c>
      <c r="C104" s="50">
        <v>2014</v>
      </c>
      <c r="D104" s="49" t="s">
        <v>250</v>
      </c>
      <c r="E104" s="49" t="s">
        <v>220</v>
      </c>
      <c r="F104" s="49"/>
      <c r="G104" s="49" t="s">
        <v>20</v>
      </c>
      <c r="H104" s="49" t="s">
        <v>250</v>
      </c>
      <c r="I104" s="57">
        <v>12642</v>
      </c>
      <c r="J104" s="40" t="s">
        <v>218</v>
      </c>
      <c r="K104" s="59">
        <f>IF(G104="L",'US CBAs'!$B$73,
IF(AND(E104="Friendly",F104="T1",G104="W"),'US CBAs'!$B$68,
IF(AND(E104="Friendly",F104="T2",G104="W"),'US CBAs'!$B$69,
IF(AND(E104="Friendly",F104="",G104="W"),'US CBAs'!$B$70,
IF(AND(E104="Friendly",F104="T1",G104="D"),'US CBAs'!$B$71,
IF(AND(E104="Friendly",F104="",G104="D"),'US CBAs'!$B$72,
IF(AND(E104="Gold Cup",F104="T1",G104="W"),'US CBAs'!$B$78,
IF(AND(E104="Gold Cup",F104="",G104="W"),'US CBAs'!$B$79,
IF(AND(E104="Gold Cup",G104="D"),'US CBAs'!$B$80,
IF(AND(E104="Copa America",F104="",G104="W"),'US CBAs'!$B$85,
IF(AND(E104="Copa America",G104="D"),'US CBAs'!$B$86,
IF(AND(E104="WCQ SF",G104="W"),'US CBAs'!$B$94,
IF(AND(E104="WCQ SF",G104="D"),'US CBAs'!$B$95,
IF(AND(E104="WCQ Hex",G104="W"),'US CBAs'!$B$98,
IF(AND(E104="WCQ Hex",G104="D"),'US CBAs'!$B$99,
IF(E104="World Cup",'US CBAs'!$B$104,
0))))))))))))))))</f>
        <v>7500</v>
      </c>
      <c r="L104" s="40">
        <v>20</v>
      </c>
      <c r="M104" s="59">
        <f t="shared" ref="M104:M109" si="6">K104*L104</f>
        <v>150000</v>
      </c>
      <c r="N104" s="45">
        <f>IF(J104="",I104*'US CBAs'!$C$118,0)</f>
        <v>0</v>
      </c>
      <c r="O104" s="59">
        <f t="shared" ref="O104:O109" si="7">M104+N104</f>
        <v>150000</v>
      </c>
      <c r="P104" s="61"/>
      <c r="Q104" s="39"/>
      <c r="R104" s="39"/>
      <c r="S104" s="39"/>
      <c r="T104" s="39"/>
    </row>
    <row r="105" spans="1:21" x14ac:dyDescent="0.35">
      <c r="A105" s="49" t="s">
        <v>189</v>
      </c>
      <c r="B105" s="195">
        <v>10</v>
      </c>
      <c r="C105" s="50">
        <v>2014</v>
      </c>
      <c r="D105" s="49" t="s">
        <v>63</v>
      </c>
      <c r="E105" s="49" t="s">
        <v>220</v>
      </c>
      <c r="F105" s="49"/>
      <c r="G105" s="49" t="s">
        <v>83</v>
      </c>
      <c r="H105" s="49" t="s">
        <v>483</v>
      </c>
      <c r="I105" s="57">
        <v>36265</v>
      </c>
      <c r="J105" s="40"/>
      <c r="K105" s="59">
        <f>IF(G105="L",'US CBAs'!$B$73,
IF(AND(E105="Friendly",F105="T1",G105="W"),'US CBAs'!$B$68,
IF(AND(E105="Friendly",F105="T2",G105="W"),'US CBAs'!$B$69,
IF(AND(E105="Friendly",F105="",G105="W"),'US CBAs'!$B$70,
IF(AND(E105="Friendly",F105="T1",G105="D"),'US CBAs'!$B$71,
IF(AND(E105="Friendly",F105="",G105="D"),'US CBAs'!$B$72,
IF(AND(E105="Gold Cup",F105="T1",G105="W"),'US CBAs'!$B$78,
IF(AND(E105="Gold Cup",F105="",G105="W"),'US CBAs'!$B$79,
IF(AND(E105="Gold Cup",G105="D"),'US CBAs'!$B$80,
IF(AND(E105="Copa America",F105="",G105="W"),'US CBAs'!$B$85,
IF(AND(E105="Copa America",G105="D"),'US CBAs'!$B$86,
IF(AND(E105="WCQ SF",G105="W"),'US CBAs'!$B$94,
IF(AND(E105="WCQ SF",G105="D"),'US CBAs'!$B$95,
IF(AND(E105="WCQ Hex",G105="W"),'US CBAs'!$B$98,
IF(AND(E105="WCQ Hex",G105="D"),'US CBAs'!$B$99,
IF(E105="World Cup",'US CBAs'!$B$104,
0))))))))))))))))</f>
        <v>5000</v>
      </c>
      <c r="L105" s="40">
        <v>20</v>
      </c>
      <c r="M105" s="59">
        <f t="shared" si="6"/>
        <v>100000</v>
      </c>
      <c r="N105" s="45">
        <f>IF(J105="",I105*'US CBAs'!$C$118,0)</f>
        <v>43518</v>
      </c>
      <c r="O105" s="59">
        <f t="shared" si="7"/>
        <v>143518</v>
      </c>
      <c r="P105" s="61"/>
      <c r="Q105" s="253" t="s">
        <v>384</v>
      </c>
      <c r="R105" s="262" t="s">
        <v>6</v>
      </c>
      <c r="S105" s="262" t="s">
        <v>18</v>
      </c>
      <c r="T105" s="263" t="s">
        <v>91</v>
      </c>
    </row>
    <row r="106" spans="1:21" x14ac:dyDescent="0.35">
      <c r="A106" s="49" t="s">
        <v>189</v>
      </c>
      <c r="B106" s="195">
        <v>14</v>
      </c>
      <c r="C106" s="50">
        <v>2014</v>
      </c>
      <c r="D106" s="49" t="s">
        <v>32</v>
      </c>
      <c r="E106" s="49" t="s">
        <v>220</v>
      </c>
      <c r="F106" s="49"/>
      <c r="G106" s="49" t="s">
        <v>83</v>
      </c>
      <c r="H106" s="49" t="s">
        <v>482</v>
      </c>
      <c r="I106" s="57">
        <v>14805</v>
      </c>
      <c r="J106" s="40"/>
      <c r="K106" s="59">
        <f>IF(G106="L",'US CBAs'!$B$73,
IF(AND(E106="Friendly",F106="T1",G106="W"),'US CBAs'!$B$68,
IF(AND(E106="Friendly",F106="T2",G106="W"),'US CBAs'!$B$69,
IF(AND(E106="Friendly",F106="",G106="W"),'US CBAs'!$B$70,
IF(AND(E106="Friendly",F106="T1",G106="D"),'US CBAs'!$B$71,
IF(AND(E106="Friendly",F106="",G106="D"),'US CBAs'!$B$72,
IF(AND(E106="Gold Cup",F106="T1",G106="W"),'US CBAs'!$B$78,
IF(AND(E106="Gold Cup",F106="",G106="W"),'US CBAs'!$B$79,
IF(AND(E106="Gold Cup",G106="D"),'US CBAs'!$B$80,
IF(AND(E106="Copa America",F106="",G106="W"),'US CBAs'!$B$85,
IF(AND(E106="Copa America",G106="D"),'US CBAs'!$B$86,
IF(AND(E106="WCQ SF",G106="W"),'US CBAs'!$B$94,
IF(AND(E106="WCQ SF",G106="D"),'US CBAs'!$B$95,
IF(AND(E106="WCQ Hex",G106="W"),'US CBAs'!$B$98,
IF(AND(E106="WCQ Hex",G106="D"),'US CBAs'!$B$99,
IF(E106="World Cup",'US CBAs'!$B$104,
0))))))))))))))))</f>
        <v>5000</v>
      </c>
      <c r="L106" s="40">
        <v>20</v>
      </c>
      <c r="M106" s="59">
        <f t="shared" si="6"/>
        <v>100000</v>
      </c>
      <c r="N106" s="45">
        <f>IF(J106="",I106*'US CBAs'!$C$118,0)</f>
        <v>17766</v>
      </c>
      <c r="O106" s="59">
        <f t="shared" si="7"/>
        <v>117766</v>
      </c>
      <c r="P106" s="61"/>
      <c r="Q106" s="250" t="s">
        <v>217</v>
      </c>
      <c r="R106" s="251">
        <f>'US CBAs'!$B$103</f>
        <v>55000</v>
      </c>
      <c r="S106" s="256">
        <v>23</v>
      </c>
      <c r="T106" s="252">
        <f>R106*S106</f>
        <v>1265000</v>
      </c>
    </row>
    <row r="107" spans="1:21" x14ac:dyDescent="0.35">
      <c r="A107" s="49" t="s">
        <v>190</v>
      </c>
      <c r="B107" s="195">
        <v>14</v>
      </c>
      <c r="C107" s="50">
        <v>2014</v>
      </c>
      <c r="D107" s="49" t="s">
        <v>64</v>
      </c>
      <c r="E107" s="49" t="s">
        <v>220</v>
      </c>
      <c r="F107" s="49"/>
      <c r="G107" s="49" t="s">
        <v>33</v>
      </c>
      <c r="H107" s="49" t="s">
        <v>61</v>
      </c>
      <c r="I107" s="57">
        <v>24235</v>
      </c>
      <c r="J107" s="40" t="s">
        <v>218</v>
      </c>
      <c r="K107" s="59">
        <f>IF(G107="L",'US CBAs'!$B$73,
IF(AND(E107="Friendly",F107="T1",G107="W"),'US CBAs'!$B$68,
IF(AND(E107="Friendly",F107="T2",G107="W"),'US CBAs'!$B$69,
IF(AND(E107="Friendly",F107="",G107="W"),'US CBAs'!$B$70,
IF(AND(E107="Friendly",F107="T1",G107="D"),'US CBAs'!$B$71,
IF(AND(E107="Friendly",F107="",G107="D"),'US CBAs'!$B$72,
IF(AND(E107="Gold Cup",F107="T1",G107="W"),'US CBAs'!$B$78,
IF(AND(E107="Gold Cup",F107="",G107="W"),'US CBAs'!$B$79,
IF(AND(E107="Gold Cup",G107="D"),'US CBAs'!$B$80,
IF(AND(E107="Copa America",F107="",G107="W"),'US CBAs'!$B$85,
IF(AND(E107="Copa America",G107="D"),'US CBAs'!$B$86,
IF(AND(E107="WCQ SF",G107="W"),'US CBAs'!$B$94,
IF(AND(E107="WCQ SF",G107="D"),'US CBAs'!$B$95,
IF(AND(E107="WCQ Hex",G107="W"),'US CBAs'!$B$98,
IF(AND(E107="WCQ Hex",G107="D"),'US CBAs'!$B$99,
IF(E107="World Cup",'US CBAs'!$B$104,
0))))))))))))))))</f>
        <v>4000</v>
      </c>
      <c r="L107" s="40">
        <v>20</v>
      </c>
      <c r="M107" s="59">
        <f t="shared" si="6"/>
        <v>80000</v>
      </c>
      <c r="N107" s="45">
        <f>IF(J107="",I107*'US CBAs'!$C$118,0)</f>
        <v>0</v>
      </c>
      <c r="O107" s="59">
        <f t="shared" si="7"/>
        <v>80000</v>
      </c>
      <c r="P107" s="61"/>
      <c r="Q107" s="250" t="s">
        <v>232</v>
      </c>
      <c r="R107" s="251"/>
      <c r="S107" s="256"/>
      <c r="T107" s="252">
        <f>'US CBAs'!$C$107</f>
        <v>3600000</v>
      </c>
    </row>
    <row r="108" spans="1:21" x14ac:dyDescent="0.35">
      <c r="A108" s="49" t="s">
        <v>190</v>
      </c>
      <c r="B108" s="195">
        <v>18</v>
      </c>
      <c r="C108" s="50">
        <v>2014</v>
      </c>
      <c r="D108" s="49" t="s">
        <v>65</v>
      </c>
      <c r="E108" s="49" t="s">
        <v>220</v>
      </c>
      <c r="F108" s="49"/>
      <c r="G108" s="49" t="s">
        <v>33</v>
      </c>
      <c r="H108" s="49" t="s">
        <v>65</v>
      </c>
      <c r="I108" s="57">
        <v>33332</v>
      </c>
      <c r="J108" s="40" t="s">
        <v>218</v>
      </c>
      <c r="K108" s="59">
        <f>IF(G108="L",'US CBAs'!$B$73,
IF(AND(E108="Friendly",F108="T1",G108="W"),'US CBAs'!$B$68,
IF(AND(E108="Friendly",F108="T2",G108="W"),'US CBAs'!$B$69,
IF(AND(E108="Friendly",F108="",G108="W"),'US CBAs'!$B$70,
IF(AND(E108="Friendly",F108="T1",G108="D"),'US CBAs'!$B$71,
IF(AND(E108="Friendly",F108="",G108="D"),'US CBAs'!$B$72,
IF(AND(E108="Gold Cup",F108="T1",G108="W"),'US CBAs'!$B$78,
IF(AND(E108="Gold Cup",F108="",G108="W"),'US CBAs'!$B$79,
IF(AND(E108="Gold Cup",G108="D"),'US CBAs'!$B$80,
IF(AND(E108="Copa America",F108="",G108="W"),'US CBAs'!$B$85,
IF(AND(E108="Copa America",G108="D"),'US CBAs'!$B$86,
IF(AND(E108="WCQ SF",G108="W"),'US CBAs'!$B$94,
IF(AND(E108="WCQ SF",G108="D"),'US CBAs'!$B$95,
IF(AND(E108="WCQ Hex",G108="W"),'US CBAs'!$B$98,
IF(AND(E108="WCQ Hex",G108="D"),'US CBAs'!$B$99,
IF(E108="World Cup",'US CBAs'!$B$104,
0))))))))))))))))</f>
        <v>4000</v>
      </c>
      <c r="L108" s="40">
        <v>20</v>
      </c>
      <c r="M108" s="59">
        <f t="shared" si="6"/>
        <v>80000</v>
      </c>
      <c r="N108" s="45">
        <f>IF(J108="",I108*'US CBAs'!$C$118,0)</f>
        <v>0</v>
      </c>
      <c r="O108" s="59">
        <f t="shared" si="7"/>
        <v>80000</v>
      </c>
      <c r="P108" s="61"/>
      <c r="R108" s="269" t="s">
        <v>387</v>
      </c>
      <c r="S108" s="269" t="s">
        <v>386</v>
      </c>
    </row>
    <row r="109" spans="1:21" x14ac:dyDescent="0.35">
      <c r="A109" s="49"/>
      <c r="B109" s="195"/>
      <c r="C109" s="50"/>
      <c r="D109" s="58" t="s">
        <v>392</v>
      </c>
      <c r="E109" s="49"/>
      <c r="F109" s="49"/>
      <c r="G109" s="49"/>
      <c r="H109" s="49"/>
      <c r="I109" s="57"/>
      <c r="J109" s="40"/>
      <c r="K109" s="54">
        <f>'US CBAs'!$B$75</f>
        <v>1500</v>
      </c>
      <c r="L109" s="56">
        <v>10</v>
      </c>
      <c r="M109" s="54">
        <f t="shared" si="6"/>
        <v>15000</v>
      </c>
      <c r="N109" s="55"/>
      <c r="O109" s="54">
        <f t="shared" si="7"/>
        <v>15000</v>
      </c>
      <c r="P109" s="61"/>
      <c r="Q109" s="79" t="s">
        <v>385</v>
      </c>
      <c r="R109" s="270">
        <f>'US CBAs'!$C$106</f>
        <v>175000</v>
      </c>
      <c r="S109" s="40">
        <v>4</v>
      </c>
      <c r="T109" s="252">
        <f>R109*S109</f>
        <v>700000</v>
      </c>
    </row>
    <row r="110" spans="1:21" x14ac:dyDescent="0.35">
      <c r="A110" s="289" t="s">
        <v>24</v>
      </c>
      <c r="B110" s="290"/>
      <c r="C110" s="290"/>
      <c r="D110" s="289"/>
      <c r="E110" s="289"/>
      <c r="F110" s="289"/>
      <c r="G110" s="289"/>
      <c r="H110" s="289"/>
      <c r="I110" s="291"/>
      <c r="J110" s="289"/>
      <c r="K110" s="289"/>
      <c r="L110" s="289"/>
      <c r="M110" s="292">
        <f>SUBTOTAL(109,Table6[Game pay])</f>
        <v>1841000</v>
      </c>
      <c r="N110" s="204">
        <f>SUBTOTAL(109,Table6[Att bonus])</f>
        <v>288742.8</v>
      </c>
      <c r="O110" s="292">
        <f>SUBTOTAL(109,Table6[TEAM PAY])</f>
        <v>2129742.7999999998</v>
      </c>
      <c r="P110" s="61"/>
      <c r="Q110" s="253" t="s">
        <v>90</v>
      </c>
      <c r="R110" s="251"/>
      <c r="S110" s="256"/>
      <c r="T110" s="257">
        <f>T106+T107</f>
        <v>4865000</v>
      </c>
    </row>
    <row r="111" spans="1:21" x14ac:dyDescent="0.35">
      <c r="A111" s="289"/>
      <c r="B111" s="290"/>
      <c r="C111" s="290"/>
      <c r="D111" s="289"/>
      <c r="E111" s="289"/>
      <c r="F111" s="289"/>
      <c r="G111" s="289"/>
      <c r="H111" s="289"/>
      <c r="I111" s="291"/>
      <c r="J111" s="289"/>
      <c r="K111" s="289"/>
      <c r="L111" s="289"/>
      <c r="M111" s="292"/>
      <c r="N111" s="294" t="s">
        <v>398</v>
      </c>
      <c r="O111" s="294">
        <f>$T110</f>
        <v>4865000</v>
      </c>
      <c r="P111" s="61"/>
      <c r="Q111" s="239"/>
      <c r="R111" s="239"/>
      <c r="S111" s="247"/>
      <c r="T111" s="248"/>
      <c r="U111" s="80"/>
    </row>
    <row r="112" spans="1:21" x14ac:dyDescent="0.35">
      <c r="A112" s="49"/>
      <c r="B112" s="195"/>
      <c r="C112" s="50"/>
      <c r="D112" s="53"/>
      <c r="E112" s="49"/>
      <c r="F112" s="49"/>
      <c r="G112" s="49"/>
      <c r="H112" s="49"/>
      <c r="I112" s="57"/>
      <c r="J112" s="40"/>
      <c r="K112" s="59"/>
      <c r="L112" s="40"/>
      <c r="M112" s="52"/>
      <c r="N112" s="52" t="s">
        <v>90</v>
      </c>
      <c r="O112" s="52">
        <f>O110+O111</f>
        <v>6994742.7999999998</v>
      </c>
      <c r="P112" s="61"/>
      <c r="Q112" s="242"/>
      <c r="R112" s="242"/>
      <c r="S112" s="247"/>
      <c r="T112" s="248"/>
      <c r="U112" s="80"/>
    </row>
    <row r="113" spans="1:20" x14ac:dyDescent="0.35">
      <c r="A113" s="49"/>
      <c r="B113" s="195"/>
      <c r="C113" s="50"/>
      <c r="D113" s="49"/>
      <c r="E113" s="49"/>
      <c r="F113" s="49"/>
      <c r="G113" s="49"/>
      <c r="H113" s="49"/>
      <c r="I113" s="57"/>
      <c r="J113" s="40"/>
      <c r="L113" s="40"/>
      <c r="M113" s="40"/>
      <c r="N113" s="45"/>
      <c r="O113" s="40"/>
      <c r="P113" s="61"/>
      <c r="Q113" s="39"/>
      <c r="R113" s="39"/>
      <c r="S113" s="39"/>
      <c r="T113" s="39"/>
    </row>
    <row r="114" spans="1:20" x14ac:dyDescent="0.35">
      <c r="A114" s="53" t="s">
        <v>249</v>
      </c>
      <c r="B114" s="194" t="s">
        <v>248</v>
      </c>
      <c r="C114" s="65" t="s">
        <v>247</v>
      </c>
      <c r="D114" s="53" t="s">
        <v>15</v>
      </c>
      <c r="E114" s="53" t="s">
        <v>194</v>
      </c>
      <c r="F114" s="53" t="s">
        <v>246</v>
      </c>
      <c r="G114" s="53" t="s">
        <v>16</v>
      </c>
      <c r="H114" s="53" t="s">
        <v>245</v>
      </c>
      <c r="I114" s="64" t="s">
        <v>14</v>
      </c>
      <c r="J114" s="47" t="s">
        <v>244</v>
      </c>
      <c r="K114" s="47" t="s">
        <v>243</v>
      </c>
      <c r="L114" s="47" t="s">
        <v>17</v>
      </c>
      <c r="M114" s="47" t="s">
        <v>219</v>
      </c>
      <c r="N114" s="63" t="s">
        <v>242</v>
      </c>
      <c r="O114" s="47" t="s">
        <v>241</v>
      </c>
      <c r="P114" s="61"/>
      <c r="Q114" s="280" t="s">
        <v>407</v>
      </c>
      <c r="R114" s="281"/>
      <c r="S114" s="233"/>
    </row>
    <row r="115" spans="1:20" x14ac:dyDescent="0.35">
      <c r="A115" s="49" t="s">
        <v>191</v>
      </c>
      <c r="B115" s="195">
        <v>28</v>
      </c>
      <c r="C115" s="50">
        <v>2015</v>
      </c>
      <c r="D115" s="49" t="s">
        <v>66</v>
      </c>
      <c r="E115" s="49" t="s">
        <v>220</v>
      </c>
      <c r="F115" s="49"/>
      <c r="G115" s="49" t="s">
        <v>33</v>
      </c>
      <c r="H115" s="49" t="s">
        <v>66</v>
      </c>
      <c r="I115" s="57">
        <v>12420</v>
      </c>
      <c r="J115" s="40" t="s">
        <v>218</v>
      </c>
      <c r="K115" s="45">
        <f>IF(G115="L",'US CBAs'!$F$73,
IF(AND(E115="Friendly",F115="T1",G115="W"),'US CBAs'!$F$68,
IF(AND(E115="Friendly",F115="T2",G115="W"),'US CBAs'!$F$69,
IF(AND(E115="Friendly",F115="",G115="W"),'US CBAs'!$F$70,
IF(AND(E115="Friendly",F115="T1",G115="D"),'US CBAs'!$F$71,
IF(AND(E115="Friendly",F115="",G115="D"),'US CBAs'!$F$72,
IF(AND(E115="Gold Cup",F115="T1",G115="W"),'US CBAs'!$F$78,
IF(AND(E115="Gold Cup",F115="",G115="W"),'US CBAs'!$F$79,
IF(AND(E115="Gold Cup",G115="D"),'US CBAs'!$F$80,
IF(AND(E115="Copa America",F115="",G115="W"),'US CBAs'!$F$85,
IF(AND(E115="Copa America",G115="D"),'US CBAs'!$F$86,
IF(AND(E115="WCQ SF",G115="W"),'US CBAs'!$F$94,
IF(AND(E115="WCQ SF",G115="D"),'US CBAs'!$F$95,
IF(AND(E115="WCQ Hex",G115="W"),'US CBAs'!$F$98,
IF(AND(E115="WCQ Hex",G115="D"),'US CBAs'!$F$99,
IF(E115="World Cup",'US CBAs'!$F$104,
0))))))))))))))))</f>
        <v>5000</v>
      </c>
      <c r="L115" s="40">
        <v>20</v>
      </c>
      <c r="M115" s="60">
        <f t="shared" ref="M115:M150" si="8">K115*L115</f>
        <v>100000</v>
      </c>
      <c r="N115" s="45">
        <f>IF(J115="",I115*'US CBAs'!$G$118,0)</f>
        <v>0</v>
      </c>
      <c r="O115" s="59">
        <f t="shared" ref="O115:O150" si="9">M115+N115</f>
        <v>100000</v>
      </c>
      <c r="P115" s="61"/>
      <c r="Q115" s="282" t="s">
        <v>219</v>
      </c>
      <c r="R115" s="283">
        <f>SUM(M96:M109)+SUM(M115:M118)</f>
        <v>2123500</v>
      </c>
      <c r="S115" s="233"/>
    </row>
    <row r="116" spans="1:20" x14ac:dyDescent="0.35">
      <c r="A116" s="49" t="s">
        <v>192</v>
      </c>
      <c r="B116" s="195">
        <v>8</v>
      </c>
      <c r="C116" s="50">
        <v>2015</v>
      </c>
      <c r="D116" s="49" t="s">
        <v>42</v>
      </c>
      <c r="E116" s="49" t="s">
        <v>220</v>
      </c>
      <c r="F116" s="49"/>
      <c r="G116" s="49" t="s">
        <v>20</v>
      </c>
      <c r="H116" s="49" t="s">
        <v>481</v>
      </c>
      <c r="I116" s="57">
        <v>20271</v>
      </c>
      <c r="J116" s="40"/>
      <c r="K116" s="45">
        <f>IF(G116="L",'US CBAs'!$F$73,
IF(AND(E116="Friendly",F116="T1",G116="W"),'US CBAs'!$F$68,
IF(AND(E116="Friendly",F116="T2",G116="W"),'US CBAs'!$F$69,
IF(AND(E116="Friendly",F116="",G116="W"),'US CBAs'!$F$70,
IF(AND(E116="Friendly",F116="T1",G116="D"),'US CBAs'!$F$71,
IF(AND(E116="Friendly",F116="",G116="D"),'US CBAs'!$F$72,
IF(AND(E116="Gold Cup",F116="T1",G116="W"),'US CBAs'!$F$78,
IF(AND(E116="Gold Cup",F116="",G116="W"),'US CBAs'!$F$79,
IF(AND(E116="Gold Cup",G116="D"),'US CBAs'!$F$80,
IF(AND(E116="Copa America",F116="",G116="W"),'US CBAs'!$F$85,
IF(AND(E116="Copa America",G116="D"),'US CBAs'!$F$86,
IF(AND(E116="WCQ SF",G116="W"),'US CBAs'!$F$94,
IF(AND(E116="WCQ SF",G116="D"),'US CBAs'!$F$95,
IF(AND(E116="WCQ Hex",G116="W"),'US CBAs'!$F$98,
IF(AND(E116="WCQ Hex",G116="D"),'US CBAs'!$F$99,
IF(E116="World Cup",'US CBAs'!$F$104,
0))))))))))))))))</f>
        <v>9375</v>
      </c>
      <c r="L116" s="40">
        <v>20</v>
      </c>
      <c r="M116" s="60">
        <f t="shared" si="8"/>
        <v>187500</v>
      </c>
      <c r="N116" s="45">
        <f>IF(J116="",I116*'US CBAs'!$G$118,0)</f>
        <v>30406.5</v>
      </c>
      <c r="O116" s="59">
        <f t="shared" si="9"/>
        <v>217906.5</v>
      </c>
      <c r="P116" s="61"/>
      <c r="Q116" s="284" t="s">
        <v>394</v>
      </c>
      <c r="R116" s="283">
        <f>SUM(N96:N109)+SUM(N115:N118)</f>
        <v>286749.3</v>
      </c>
      <c r="S116" s="233"/>
    </row>
    <row r="117" spans="1:20" x14ac:dyDescent="0.35">
      <c r="A117" s="49" t="s">
        <v>221</v>
      </c>
      <c r="B117" s="195">
        <v>25</v>
      </c>
      <c r="C117" s="50">
        <v>2015</v>
      </c>
      <c r="D117" s="49" t="s">
        <v>51</v>
      </c>
      <c r="E117" s="49" t="s">
        <v>220</v>
      </c>
      <c r="F117" s="49"/>
      <c r="G117" s="49" t="s">
        <v>33</v>
      </c>
      <c r="H117" s="49" t="s">
        <v>51</v>
      </c>
      <c r="I117" s="57">
        <v>10505</v>
      </c>
      <c r="J117" s="40" t="s">
        <v>218</v>
      </c>
      <c r="K117" s="45">
        <f>IF(G117="L",'US CBAs'!$F$73,
IF(AND(E117="Friendly",F117="T1",G117="W"),'US CBAs'!$F$68,
IF(AND(E117="Friendly",F117="T2",G117="W"),'US CBAs'!$F$69,
IF(AND(E117="Friendly",F117="",G117="W"),'US CBAs'!$F$70,
IF(AND(E117="Friendly",F117="T1",G117="D"),'US CBAs'!$F$71,
IF(AND(E117="Friendly",F117="",G117="D"),'US CBAs'!$F$72,
IF(AND(E117="Gold Cup",F117="T1",G117="W"),'US CBAs'!$F$78,
IF(AND(E117="Gold Cup",F117="",G117="W"),'US CBAs'!$F$79,
IF(AND(E117="Gold Cup",G117="D"),'US CBAs'!$F$80,
IF(AND(E117="Copa America",F117="",G117="W"),'US CBAs'!$F$85,
IF(AND(E117="Copa America",G117="D"),'US CBAs'!$F$86,
IF(AND(E117="WCQ SF",G117="W"),'US CBAs'!$F$94,
IF(AND(E117="WCQ SF",G117="D"),'US CBAs'!$F$95,
IF(AND(E117="WCQ Hex",G117="W"),'US CBAs'!$F$98,
IF(AND(E117="WCQ Hex",G117="D"),'US CBAs'!$F$99,
IF(E117="World Cup",'US CBAs'!$F$104,
0))))))))))))))))</f>
        <v>5000</v>
      </c>
      <c r="L117" s="40">
        <v>20</v>
      </c>
      <c r="M117" s="60">
        <f t="shared" si="8"/>
        <v>100000</v>
      </c>
      <c r="N117" s="45">
        <f>IF(J117="",I117*'US CBAs'!$G$118,0)</f>
        <v>0</v>
      </c>
      <c r="O117" s="59">
        <f t="shared" si="9"/>
        <v>100000</v>
      </c>
      <c r="P117" s="61"/>
      <c r="Q117" s="285" t="s">
        <v>395</v>
      </c>
      <c r="R117" s="286">
        <f>R115+R116</f>
        <v>2410249.2999999998</v>
      </c>
      <c r="S117" s="233"/>
    </row>
    <row r="118" spans="1:20" x14ac:dyDescent="0.35">
      <c r="A118" s="49" t="s">
        <v>221</v>
      </c>
      <c r="B118" s="195">
        <v>31</v>
      </c>
      <c r="C118" s="50">
        <v>2015</v>
      </c>
      <c r="D118" s="49" t="s">
        <v>55</v>
      </c>
      <c r="E118" s="49" t="s">
        <v>220</v>
      </c>
      <c r="F118" s="49"/>
      <c r="G118" s="49" t="s">
        <v>83</v>
      </c>
      <c r="H118" s="49" t="s">
        <v>55</v>
      </c>
      <c r="I118" s="57">
        <v>16100</v>
      </c>
      <c r="J118" s="40" t="s">
        <v>218</v>
      </c>
      <c r="K118" s="45">
        <f>IF(G118="L",'US CBAs'!$F$73,
IF(AND(E118="Friendly",F118="T1",G118="W"),'US CBAs'!$F$68,
IF(AND(E118="Friendly",F118="T2",G118="W"),'US CBAs'!$F$69,
IF(AND(E118="Friendly",F118="",G118="W"),'US CBAs'!$F$70,
IF(AND(E118="Friendly",F118="T1",G118="D"),'US CBAs'!$F$71,
IF(AND(E118="Friendly",F118="",G118="D"),'US CBAs'!$F$72,
IF(AND(E118="Gold Cup",F118="T1",G118="W"),'US CBAs'!$F$78,
IF(AND(E118="Gold Cup",F118="",G118="W"),'US CBAs'!$F$79,
IF(AND(E118="Gold Cup",G118="D"),'US CBAs'!$F$80,
IF(AND(E118="Copa America",F118="",G118="W"),'US CBAs'!$F$85,
IF(AND(E118="Copa America",G118="D"),'US CBAs'!$F$86,
IF(AND(E118="WCQ SF",G118="W"),'US CBAs'!$F$94,
IF(AND(E118="WCQ SF",G118="D"),'US CBAs'!$F$95,
IF(AND(E118="WCQ Hex",G118="W"),'US CBAs'!$F$98,
IF(AND(E118="WCQ Hex",G118="D"),'US CBAs'!$F$99,
IF(E118="World Cup",'US CBAs'!$F$104,
0))))))))))))))))</f>
        <v>6250</v>
      </c>
      <c r="L118" s="40">
        <v>20</v>
      </c>
      <c r="M118" s="60">
        <f t="shared" si="8"/>
        <v>125000</v>
      </c>
      <c r="N118" s="45">
        <f>IF(J118="",I118*'US CBAs'!$G$118,0)</f>
        <v>0</v>
      </c>
      <c r="O118" s="59">
        <f t="shared" si="9"/>
        <v>125000</v>
      </c>
      <c r="P118" s="61"/>
      <c r="Q118" s="285" t="s">
        <v>183</v>
      </c>
      <c r="R118" s="286">
        <f>$T110</f>
        <v>4865000</v>
      </c>
      <c r="S118" s="233"/>
    </row>
    <row r="119" spans="1:20" x14ac:dyDescent="0.35">
      <c r="A119" s="49" t="s">
        <v>240</v>
      </c>
      <c r="B119" s="195">
        <v>15</v>
      </c>
      <c r="C119" s="50">
        <v>2015</v>
      </c>
      <c r="D119" s="49" t="s">
        <v>35</v>
      </c>
      <c r="E119" s="49" t="s">
        <v>220</v>
      </c>
      <c r="F119" s="49" t="s">
        <v>28</v>
      </c>
      <c r="G119" s="49" t="s">
        <v>20</v>
      </c>
      <c r="H119" s="49" t="s">
        <v>492</v>
      </c>
      <c r="I119" s="57">
        <v>64369</v>
      </c>
      <c r="J119" s="40"/>
      <c r="K119" s="45">
        <f>IF(G119="L",'US CBAs'!$F$73,
IF(AND(E119="Friendly",F119="T1",G119="W"),'US CBAs'!$F$68,
IF(AND(E119="Friendly",F119="T2",G119="W"),'US CBAs'!$F$69,
IF(AND(E119="Friendly",F119="",G119="W"),'US CBAs'!$F$70,
IF(AND(E119="Friendly",F119="T1",G119="D"),'US CBAs'!$F$71,
IF(AND(E119="Friendly",F119="",G119="D"),'US CBAs'!$F$72,
IF(AND(E119="Gold Cup",F119="T1",G119="W"),'US CBAs'!$F$78,
IF(AND(E119="Gold Cup",F119="",G119="W"),'US CBAs'!$F$79,
IF(AND(E119="Gold Cup",G119="D"),'US CBAs'!$F$80,
IF(AND(E119="Copa America",F119="",G119="W"),'US CBAs'!$F$85,
IF(AND(E119="Copa America",G119="D"),'US CBAs'!$F$86,
IF(AND(E119="WCQ SF",G119="W"),'US CBAs'!$F$94,
IF(AND(E119="WCQ SF",G119="D"),'US CBAs'!$F$95,
IF(AND(E119="WCQ Hex",G119="W"),'US CBAs'!$F$98,
IF(AND(E119="WCQ Hex",G119="D"),'US CBAs'!$F$99,
IF(E119="World Cup",'US CBAs'!$F$104,
0))))))))))))))))</f>
        <v>17625</v>
      </c>
      <c r="L119" s="40">
        <v>20</v>
      </c>
      <c r="M119" s="60">
        <f t="shared" si="8"/>
        <v>352500</v>
      </c>
      <c r="N119" s="45">
        <f>IF(J119="",I119*'US CBAs'!$G$118,0)</f>
        <v>96553.5</v>
      </c>
      <c r="O119" s="59">
        <f t="shared" si="9"/>
        <v>449053.5</v>
      </c>
      <c r="P119" s="61"/>
      <c r="Q119" s="287" t="s">
        <v>408</v>
      </c>
      <c r="R119" s="288">
        <f>R117+R118</f>
        <v>7275249.2999999998</v>
      </c>
      <c r="S119" s="233"/>
    </row>
    <row r="120" spans="1:20" x14ac:dyDescent="0.35">
      <c r="A120" s="49" t="s">
        <v>223</v>
      </c>
      <c r="B120" s="195">
        <v>5</v>
      </c>
      <c r="C120" s="50">
        <v>2015</v>
      </c>
      <c r="D120" s="49" t="s">
        <v>30</v>
      </c>
      <c r="E120" s="49" t="s">
        <v>220</v>
      </c>
      <c r="F120" s="49" t="s">
        <v>28</v>
      </c>
      <c r="G120" s="49" t="s">
        <v>20</v>
      </c>
      <c r="H120" s="49" t="s">
        <v>30</v>
      </c>
      <c r="I120" s="57">
        <v>46000</v>
      </c>
      <c r="J120" s="40" t="s">
        <v>218</v>
      </c>
      <c r="K120" s="45">
        <f>IF(G120="L",'US CBAs'!$F$73,
IF(AND(E120="Friendly",F120="T1",G120="W"),'US CBAs'!$F$68,
IF(AND(E120="Friendly",F120="T2",G120="W"),'US CBAs'!$F$69,
IF(AND(E120="Friendly",F120="",G120="W"),'US CBAs'!$F$70,
IF(AND(E120="Friendly",F120="T1",G120="D"),'US CBAs'!$F$71,
IF(AND(E120="Friendly",F120="",G120="D"),'US CBAs'!$F$72,
IF(AND(E120="Gold Cup",F120="T1",G120="W"),'US CBAs'!$F$78,
IF(AND(E120="Gold Cup",F120="",G120="W"),'US CBAs'!$F$79,
IF(AND(E120="Gold Cup",G120="D"),'US CBAs'!$F$80,
IF(AND(E120="Copa America",F120="",G120="W"),'US CBAs'!$F$85,
IF(AND(E120="Copa America",G120="D"),'US CBAs'!$F$86,
IF(AND(E120="WCQ SF",G120="W"),'US CBAs'!$F$94,
IF(AND(E120="WCQ SF",G120="D"),'US CBAs'!$F$95,
IF(AND(E120="WCQ Hex",G120="W"),'US CBAs'!$F$98,
IF(AND(E120="WCQ Hex",G120="D"),'US CBAs'!$F$99,
IF(E120="World Cup",'US CBAs'!$F$104,
0))))))))))))))))</f>
        <v>17625</v>
      </c>
      <c r="L120" s="40">
        <v>20</v>
      </c>
      <c r="M120" s="60">
        <f t="shared" si="8"/>
        <v>352500</v>
      </c>
      <c r="N120" s="45">
        <f>IF(J120="",I120*'US CBAs'!$G$118,0)</f>
        <v>0</v>
      </c>
      <c r="O120" s="59">
        <f t="shared" si="9"/>
        <v>352500</v>
      </c>
      <c r="P120" s="61"/>
      <c r="Q120" s="242"/>
      <c r="R120" s="244"/>
      <c r="S120" s="233"/>
    </row>
    <row r="121" spans="1:20" x14ac:dyDescent="0.35">
      <c r="A121" s="49" t="s">
        <v>223</v>
      </c>
      <c r="B121" s="195">
        <v>10</v>
      </c>
      <c r="C121" s="50">
        <v>2015</v>
      </c>
      <c r="D121" s="49" t="s">
        <v>27</v>
      </c>
      <c r="E121" s="49" t="s">
        <v>220</v>
      </c>
      <c r="F121" s="49" t="s">
        <v>28</v>
      </c>
      <c r="G121" s="49" t="s">
        <v>20</v>
      </c>
      <c r="H121" s="49" t="s">
        <v>27</v>
      </c>
      <c r="I121" s="57">
        <v>40348</v>
      </c>
      <c r="J121" s="40" t="s">
        <v>218</v>
      </c>
      <c r="K121" s="45">
        <f>IF(G121="L",'US CBAs'!$F$73,
IF(AND(E121="Friendly",F121="T1",G121="W"),'US CBAs'!$F$68,
IF(AND(E121="Friendly",F121="T2",G121="W"),'US CBAs'!$F$69,
IF(AND(E121="Friendly",F121="",G121="W"),'US CBAs'!$F$70,
IF(AND(E121="Friendly",F121="T1",G121="D"),'US CBAs'!$F$71,
IF(AND(E121="Friendly",F121="",G121="D"),'US CBAs'!$F$72,
IF(AND(E121="Gold Cup",F121="T1",G121="W"),'US CBAs'!$F$78,
IF(AND(E121="Gold Cup",F121="",G121="W"),'US CBAs'!$F$79,
IF(AND(E121="Gold Cup",G121="D"),'US CBAs'!$F$80,
IF(AND(E121="Copa America",F121="",G121="W"),'US CBAs'!$F$85,
IF(AND(E121="Copa America",G121="D"),'US CBAs'!$F$86,
IF(AND(E121="WCQ SF",G121="W"),'US CBAs'!$F$94,
IF(AND(E121="WCQ SF",G121="D"),'US CBAs'!$F$95,
IF(AND(E121="WCQ Hex",G121="W"),'US CBAs'!$F$98,
IF(AND(E121="WCQ Hex",G121="D"),'US CBAs'!$F$99,
IF(E121="World Cup",'US CBAs'!$F$104,
0))))))))))))))))</f>
        <v>17625</v>
      </c>
      <c r="L121" s="40">
        <v>20</v>
      </c>
      <c r="M121" s="60">
        <f t="shared" si="8"/>
        <v>352500</v>
      </c>
      <c r="N121" s="45">
        <f>IF(J121="",I121*'US CBAs'!$G$118,0)</f>
        <v>0</v>
      </c>
      <c r="O121" s="59">
        <f t="shared" si="9"/>
        <v>352500</v>
      </c>
      <c r="P121" s="61"/>
      <c r="Q121" s="243"/>
      <c r="R121" s="245"/>
      <c r="S121" s="233"/>
    </row>
    <row r="122" spans="1:20" x14ac:dyDescent="0.35">
      <c r="A122" s="49" t="s">
        <v>230</v>
      </c>
      <c r="B122" s="195">
        <v>3</v>
      </c>
      <c r="C122" s="50">
        <v>2015</v>
      </c>
      <c r="D122" s="49" t="s">
        <v>43</v>
      </c>
      <c r="E122" s="49" t="s">
        <v>220</v>
      </c>
      <c r="F122" s="49"/>
      <c r="G122" s="49" t="s">
        <v>20</v>
      </c>
      <c r="H122" s="49" t="s">
        <v>486</v>
      </c>
      <c r="I122" s="57">
        <v>44835</v>
      </c>
      <c r="J122" s="40"/>
      <c r="K122" s="45">
        <f>IF(G122="L",'US CBAs'!$F$73,
IF(AND(E122="Friendly",F122="T1",G122="W"),'US CBAs'!$F$68,
IF(AND(E122="Friendly",F122="T2",G122="W"),'US CBAs'!$F$69,
IF(AND(E122="Friendly",F122="",G122="W"),'US CBAs'!$F$70,
IF(AND(E122="Friendly",F122="T1",G122="D"),'US CBAs'!$F$71,
IF(AND(E122="Friendly",F122="",G122="D"),'US CBAs'!$F$72,
IF(AND(E122="Gold Cup",F122="T1",G122="W"),'US CBAs'!$F$78,
IF(AND(E122="Gold Cup",F122="",G122="W"),'US CBAs'!$F$79,
IF(AND(E122="Gold Cup",G122="D"),'US CBAs'!$F$80,
IF(AND(E122="Copa America",F122="",G122="W"),'US CBAs'!$F$85,
IF(AND(E122="Copa America",G122="D"),'US CBAs'!$F$86,
IF(AND(E122="WCQ SF",G122="W"),'US CBAs'!$F$94,
IF(AND(E122="WCQ SF",G122="D"),'US CBAs'!$F$95,
IF(AND(E122="WCQ Hex",G122="W"),'US CBAs'!$F$98,
IF(AND(E122="WCQ Hex",G122="D"),'US CBAs'!$F$99,
IF(E122="World Cup",'US CBAs'!$F$104,
0))))))))))))))))</f>
        <v>9375</v>
      </c>
      <c r="L122" s="40">
        <v>20</v>
      </c>
      <c r="M122" s="60">
        <f t="shared" si="8"/>
        <v>187500</v>
      </c>
      <c r="N122" s="45">
        <f>IF(J122="",I122*'US CBAs'!$G$118,0)</f>
        <v>67252.5</v>
      </c>
      <c r="O122" s="59">
        <f t="shared" si="9"/>
        <v>254752.5</v>
      </c>
      <c r="P122" s="61"/>
      <c r="Q122" s="239"/>
      <c r="R122" s="239"/>
      <c r="S122" s="233"/>
    </row>
    <row r="123" spans="1:20" x14ac:dyDescent="0.35">
      <c r="A123" s="49" t="s">
        <v>230</v>
      </c>
      <c r="B123" s="195">
        <v>7</v>
      </c>
      <c r="C123" s="50">
        <v>2015</v>
      </c>
      <c r="D123" s="49" t="s">
        <v>32</v>
      </c>
      <c r="E123" s="49" t="s">
        <v>229</v>
      </c>
      <c r="F123" s="49"/>
      <c r="G123" s="49" t="s">
        <v>20</v>
      </c>
      <c r="H123" s="49" t="s">
        <v>492</v>
      </c>
      <c r="I123" s="57">
        <v>22357</v>
      </c>
      <c r="J123" s="40" t="s">
        <v>218</v>
      </c>
      <c r="K123" s="45">
        <f>IF(G123="L",'US CBAs'!$F$73,
IF(AND(E123="Friendly",F123="T1",G123="W"),'US CBAs'!$F$68,
IF(AND(E123="Friendly",F123="T2",G123="W"),'US CBAs'!$F$69,
IF(AND(E123="Friendly",F123="",G123="W"),'US CBAs'!$F$70,
IF(AND(E123="Friendly",F123="T1",G123="D"),'US CBAs'!$F$71,
IF(AND(E123="Friendly",F123="",G123="D"),'US CBAs'!$F$72,
IF(AND(E123="Gold Cup",F123="T1",G123="W"),'US CBAs'!$F$78,
IF(AND(E123="Gold Cup",F123="",G123="W"),'US CBAs'!$F$79,
IF(AND(E123="Gold Cup",G123="D"),'US CBAs'!$F$80,
IF(AND(E123="Copa America",F123="",G123="W"),'US CBAs'!$F$85,
IF(AND(E123="Copa America",G123="D"),'US CBAs'!$F$86,
IF(AND(E123="WCQ SF",G123="W"),'US CBAs'!$F$94,
IF(AND(E123="WCQ SF",G123="D"),'US CBAs'!$F$95,
IF(AND(E123="WCQ Hex",G123="W"),'US CBAs'!$F$98,
IF(AND(E123="WCQ Hex",G123="D"),'US CBAs'!$F$99,
IF(E123="World Cup",'US CBAs'!$F$104,
0))))))))))))))))</f>
        <v>9375</v>
      </c>
      <c r="L123" s="40">
        <v>23</v>
      </c>
      <c r="M123" s="60">
        <f t="shared" si="8"/>
        <v>215625</v>
      </c>
      <c r="N123" s="45">
        <f>IF(J123="",I123*'US CBAs'!$G$118,0)</f>
        <v>0</v>
      </c>
      <c r="O123" s="59">
        <f t="shared" si="9"/>
        <v>215625</v>
      </c>
      <c r="P123" s="61"/>
      <c r="Q123" s="242"/>
      <c r="R123" s="242"/>
      <c r="S123" s="239"/>
      <c r="T123" s="229"/>
    </row>
    <row r="124" spans="1:20" x14ac:dyDescent="0.35">
      <c r="A124" s="49" t="s">
        <v>230</v>
      </c>
      <c r="B124" s="195">
        <v>10</v>
      </c>
      <c r="C124" s="50">
        <v>2015</v>
      </c>
      <c r="D124" s="49" t="s">
        <v>59</v>
      </c>
      <c r="E124" s="49" t="s">
        <v>229</v>
      </c>
      <c r="F124" s="49"/>
      <c r="G124" s="49" t="s">
        <v>20</v>
      </c>
      <c r="H124" s="49" t="s">
        <v>488</v>
      </c>
      <c r="I124" s="57">
        <v>46720</v>
      </c>
      <c r="J124" s="40" t="s">
        <v>218</v>
      </c>
      <c r="K124" s="45">
        <f>IF(G124="L",'US CBAs'!$F$73,
IF(AND(E124="Friendly",F124="T1",G124="W"),'US CBAs'!$F$68,
IF(AND(E124="Friendly",F124="T2",G124="W"),'US CBAs'!$F$69,
IF(AND(E124="Friendly",F124="",G124="W"),'US CBAs'!$F$70,
IF(AND(E124="Friendly",F124="T1",G124="D"),'US CBAs'!$F$71,
IF(AND(E124="Friendly",F124="",G124="D"),'US CBAs'!$F$72,
IF(AND(E124="Gold Cup",F124="T1",G124="W"),'US CBAs'!$F$78,
IF(AND(E124="Gold Cup",F124="",G124="W"),'US CBAs'!$F$79,
IF(AND(E124="Gold Cup",G124="D"),'US CBAs'!$F$80,
IF(AND(E124="Copa America",F124="",G124="W"),'US CBAs'!$F$85,
IF(AND(E124="Copa America",G124="D"),'US CBAs'!$F$86,
IF(AND(E124="WCQ SF",G124="W"),'US CBAs'!$F$94,
IF(AND(E124="WCQ SF",G124="D"),'US CBAs'!$F$95,
IF(AND(E124="WCQ Hex",G124="W"),'US CBAs'!$F$98,
IF(AND(E124="WCQ Hex",G124="D"),'US CBAs'!$F$99,
IF(E124="World Cup",'US CBAs'!$F$104,
0))))))))))))))))</f>
        <v>9375</v>
      </c>
      <c r="L124" s="40">
        <v>23</v>
      </c>
      <c r="M124" s="60">
        <f t="shared" si="8"/>
        <v>215625</v>
      </c>
      <c r="N124" s="45">
        <f>IF(J124="",I124*'US CBAs'!$G$118,0)</f>
        <v>0</v>
      </c>
      <c r="O124" s="59">
        <f t="shared" si="9"/>
        <v>215625</v>
      </c>
      <c r="P124" s="61"/>
      <c r="Q124" s="242"/>
      <c r="R124" s="242"/>
      <c r="S124" s="242"/>
      <c r="T124" s="230"/>
    </row>
    <row r="125" spans="1:20" x14ac:dyDescent="0.35">
      <c r="A125" s="49" t="s">
        <v>230</v>
      </c>
      <c r="B125" s="195">
        <v>13</v>
      </c>
      <c r="C125" s="50">
        <v>2015</v>
      </c>
      <c r="D125" s="49" t="s">
        <v>42</v>
      </c>
      <c r="E125" s="49" t="s">
        <v>229</v>
      </c>
      <c r="F125" s="49"/>
      <c r="G125" s="49" t="s">
        <v>83</v>
      </c>
      <c r="H125" s="49" t="s">
        <v>490</v>
      </c>
      <c r="I125" s="57">
        <v>18467</v>
      </c>
      <c r="J125" s="40" t="s">
        <v>218</v>
      </c>
      <c r="K125" s="45">
        <f>IF(G125="L",'US CBAs'!$F$73,
IF(AND(E125="Friendly",F125="T1",G125="W"),'US CBAs'!$F$68,
IF(AND(E125="Friendly",F125="T2",G125="W"),'US CBAs'!$F$69,
IF(AND(E125="Friendly",F125="",G125="W"),'US CBAs'!$F$70,
IF(AND(E125="Friendly",F125="T1",G125="D"),'US CBAs'!$F$71,
IF(AND(E125="Friendly",F125="",G125="D"),'US CBAs'!$F$72,
IF(AND(E125="Gold Cup",F125="T1",G125="W"),'US CBAs'!$F$78,
IF(AND(E125="Gold Cup",F125="",G125="W"),'US CBAs'!$F$79,
IF(AND(E125="Gold Cup",G125="D"),'US CBAs'!$F$80,
IF(AND(E125="Copa America",F125="",G125="W"),'US CBAs'!$F$85,
IF(AND(E125="Copa America",G125="D"),'US CBAs'!$F$86,
IF(AND(E125="WCQ SF",G125="W"),'US CBAs'!$F$94,
IF(AND(E125="WCQ SF",G125="D"),'US CBAs'!$F$95,
IF(AND(E125="WCQ Hex",G125="W"),'US CBAs'!$F$98,
IF(AND(E125="WCQ Hex",G125="D"),'US CBAs'!$F$99,
IF(E125="World Cup",'US CBAs'!$F$104,
0))))))))))))))))</f>
        <v>6563</v>
      </c>
      <c r="L125" s="40">
        <v>23</v>
      </c>
      <c r="M125" s="60">
        <f t="shared" si="8"/>
        <v>150949</v>
      </c>
      <c r="N125" s="45">
        <f>IF(J125="",I125*'US CBAs'!$G$118,0)</f>
        <v>0</v>
      </c>
      <c r="O125" s="59">
        <f t="shared" si="9"/>
        <v>150949</v>
      </c>
      <c r="P125" s="61"/>
      <c r="Q125" s="242"/>
      <c r="R125" s="242"/>
      <c r="S125" s="242"/>
      <c r="T125" s="230"/>
    </row>
    <row r="126" spans="1:20" x14ac:dyDescent="0.35">
      <c r="A126" s="49" t="s">
        <v>230</v>
      </c>
      <c r="B126" s="195">
        <v>18</v>
      </c>
      <c r="C126" s="50">
        <v>2015</v>
      </c>
      <c r="D126" s="49" t="s">
        <v>45</v>
      </c>
      <c r="E126" s="49" t="s">
        <v>229</v>
      </c>
      <c r="F126" s="49"/>
      <c r="G126" s="49" t="s">
        <v>20</v>
      </c>
      <c r="H126" s="49" t="s">
        <v>494</v>
      </c>
      <c r="I126" s="57">
        <v>37994</v>
      </c>
      <c r="J126" s="40" t="s">
        <v>218</v>
      </c>
      <c r="K126" s="45">
        <f>IF(G126="L",'US CBAs'!$F$73,
IF(AND(E126="Friendly",F126="T1",G126="W"),'US CBAs'!$F$68,
IF(AND(E126="Friendly",F126="T2",G126="W"),'US CBAs'!$F$69,
IF(AND(E126="Friendly",F126="",G126="W"),'US CBAs'!$F$70,
IF(AND(E126="Friendly",F126="T1",G126="D"),'US CBAs'!$F$71,
IF(AND(E126="Friendly",F126="",G126="D"),'US CBAs'!$F$72,
IF(AND(E126="Gold Cup",F126="T1",G126="W"),'US CBAs'!$F$78,
IF(AND(E126="Gold Cup",F126="",G126="W"),'US CBAs'!$F$79,
IF(AND(E126="Gold Cup",G126="D"),'US CBAs'!$F$80,
IF(AND(E126="Copa America",F126="",G126="W"),'US CBAs'!$F$85,
IF(AND(E126="Copa America",G126="D"),'US CBAs'!$F$86,
IF(AND(E126="WCQ SF",G126="W"),'US CBAs'!$F$94,
IF(AND(E126="WCQ SF",G126="D"),'US CBAs'!$F$95,
IF(AND(E126="WCQ Hex",G126="W"),'US CBAs'!$F$98,
IF(AND(E126="WCQ Hex",G126="D"),'US CBAs'!$F$99,
IF(E126="World Cup",'US CBAs'!$F$104,
0))))))))))))))))</f>
        <v>9375</v>
      </c>
      <c r="L126" s="40">
        <v>23</v>
      </c>
      <c r="M126" s="60">
        <f t="shared" si="8"/>
        <v>215625</v>
      </c>
      <c r="N126" s="45">
        <f>IF(J126="",I126*'US CBAs'!$G$118,0)</f>
        <v>0</v>
      </c>
      <c r="O126" s="59">
        <f t="shared" si="9"/>
        <v>215625</v>
      </c>
      <c r="P126" s="61"/>
      <c r="Q126" s="242"/>
      <c r="R126" s="242"/>
      <c r="S126" s="242"/>
      <c r="T126" s="230"/>
    </row>
    <row r="127" spans="1:20" x14ac:dyDescent="0.35">
      <c r="A127" s="49" t="s">
        <v>230</v>
      </c>
      <c r="B127" s="195">
        <v>22</v>
      </c>
      <c r="C127" s="50">
        <v>2015</v>
      </c>
      <c r="D127" s="49" t="s">
        <v>40</v>
      </c>
      <c r="E127" s="49" t="s">
        <v>229</v>
      </c>
      <c r="F127" s="49"/>
      <c r="G127" s="49" t="s">
        <v>33</v>
      </c>
      <c r="H127" s="49" t="s">
        <v>500</v>
      </c>
      <c r="I127" s="57">
        <v>70511</v>
      </c>
      <c r="J127" s="40" t="s">
        <v>218</v>
      </c>
      <c r="K127" s="45">
        <f>IF(G127="L",'US CBAs'!$F$73,
IF(AND(E127="Friendly",F127="T1",G127="W"),'US CBAs'!$F$68,
IF(AND(E127="Friendly",F127="T2",G127="W"),'US CBAs'!$F$69,
IF(AND(E127="Friendly",F127="",G127="W"),'US CBAs'!$F$70,
IF(AND(E127="Friendly",F127="T1",G127="D"),'US CBAs'!$F$71,
IF(AND(E127="Friendly",F127="",G127="D"),'US CBAs'!$F$72,
IF(AND(E127="Gold Cup",F127="T1",G127="W"),'US CBAs'!$F$78,
IF(AND(E127="Gold Cup",F127="",G127="W"),'US CBAs'!$F$79,
IF(AND(E127="Gold Cup",G127="D"),'US CBAs'!$F$80,
IF(AND(E127="Copa America",F127="",G127="W"),'US CBAs'!$F$85,
IF(AND(E127="Copa America",G127="D"),'US CBAs'!$F$86,
IF(AND(E127="WCQ SF",G127="W"),'US CBAs'!$F$94,
IF(AND(E127="WCQ SF",G127="D"),'US CBAs'!$F$95,
IF(AND(E127="WCQ Hex",G127="W"),'US CBAs'!$F$98,
IF(AND(E127="WCQ Hex",G127="D"),'US CBAs'!$F$99,
IF(E127="World Cup",'US CBAs'!$F$104,
0))))))))))))))))</f>
        <v>5000</v>
      </c>
      <c r="L127" s="40">
        <v>23</v>
      </c>
      <c r="M127" s="60">
        <f t="shared" si="8"/>
        <v>115000</v>
      </c>
      <c r="N127" s="45">
        <f>IF(J127="",I127*'US CBAs'!$G$118,0)</f>
        <v>0</v>
      </c>
      <c r="O127" s="59">
        <f t="shared" si="9"/>
        <v>115000</v>
      </c>
      <c r="P127" s="61"/>
      <c r="Q127" s="239"/>
      <c r="R127" s="239"/>
      <c r="S127" s="242"/>
      <c r="T127" s="230"/>
    </row>
    <row r="128" spans="1:20" x14ac:dyDescent="0.35">
      <c r="A128" s="49" t="s">
        <v>230</v>
      </c>
      <c r="B128" s="195">
        <v>25</v>
      </c>
      <c r="C128" s="50">
        <v>2015</v>
      </c>
      <c r="D128" s="49" t="s">
        <v>42</v>
      </c>
      <c r="E128" s="49" t="s">
        <v>229</v>
      </c>
      <c r="F128" s="49"/>
      <c r="G128" s="49" t="s">
        <v>83</v>
      </c>
      <c r="H128" s="49" t="s">
        <v>484</v>
      </c>
      <c r="I128" s="57">
        <v>12598</v>
      </c>
      <c r="J128" s="40" t="s">
        <v>218</v>
      </c>
      <c r="K128" s="45">
        <f>IF(G128="L",'US CBAs'!$F$73,
IF(AND(E128="Friendly",F128="T1",G128="W"),'US CBAs'!$F$68,
IF(AND(E128="Friendly",F128="T2",G128="W"),'US CBAs'!$F$69,
IF(AND(E128="Friendly",F128="",G128="W"),'US CBAs'!$F$70,
IF(AND(E128="Friendly",F128="T1",G128="D"),'US CBAs'!$F$71,
IF(AND(E128="Friendly",F128="",G128="D"),'US CBAs'!$F$72,
IF(AND(E128="Gold Cup",F128="T1",G128="W"),'US CBAs'!$F$78,
IF(AND(E128="Gold Cup",F128="",G128="W"),'US CBAs'!$F$79,
IF(AND(E128="Gold Cup",G128="D"),'US CBAs'!$F$80,
IF(AND(E128="Copa America",F128="",G128="W"),'US CBAs'!$F$85,
IF(AND(E128="Copa America",G128="D"),'US CBAs'!$F$86,
IF(AND(E128="WCQ SF",G128="W"),'US CBAs'!$F$94,
IF(AND(E128="WCQ SF",G128="D"),'US CBAs'!$F$95,
IF(AND(E128="WCQ Hex",G128="W"),'US CBAs'!$F$98,
IF(AND(E128="WCQ Hex",G128="D"),'US CBAs'!$F$99,
IF(E128="World Cup",'US CBAs'!$F$104,
0))))))))))))))))</f>
        <v>6563</v>
      </c>
      <c r="L128" s="40">
        <v>23</v>
      </c>
      <c r="M128" s="60">
        <f t="shared" si="8"/>
        <v>150949</v>
      </c>
      <c r="N128" s="45">
        <f>IF(J128="",I128*'US CBAs'!$G$118,0)</f>
        <v>0</v>
      </c>
      <c r="O128" s="59">
        <f t="shared" si="9"/>
        <v>150949</v>
      </c>
      <c r="P128" s="61"/>
      <c r="Q128" s="242"/>
      <c r="R128" s="242"/>
      <c r="S128" s="242"/>
      <c r="T128" s="230"/>
    </row>
    <row r="129" spans="1:21" x14ac:dyDescent="0.35">
      <c r="A129" s="49" t="s">
        <v>222</v>
      </c>
      <c r="B129" s="195">
        <v>4</v>
      </c>
      <c r="C129" s="50">
        <v>2015</v>
      </c>
      <c r="D129" s="49" t="s">
        <v>67</v>
      </c>
      <c r="E129" s="49" t="s">
        <v>220</v>
      </c>
      <c r="F129" s="49"/>
      <c r="G129" s="49" t="s">
        <v>20</v>
      </c>
      <c r="H129" s="49" t="s">
        <v>491</v>
      </c>
      <c r="I129" s="57">
        <v>28896</v>
      </c>
      <c r="J129" s="40"/>
      <c r="K129" s="45">
        <f>IF(G129="L",'US CBAs'!$F$73,
IF(AND(E129="Friendly",F129="T1",G129="W"),'US CBAs'!$F$68,
IF(AND(E129="Friendly",F129="T2",G129="W"),'US CBAs'!$F$69,
IF(AND(E129="Friendly",F129="",G129="W"),'US CBAs'!$F$70,
IF(AND(E129="Friendly",F129="T1",G129="D"),'US CBAs'!$F$71,
IF(AND(E129="Friendly",F129="",G129="D"),'US CBAs'!$F$72,
IF(AND(E129="Gold Cup",F129="T1",G129="W"),'US CBAs'!$F$78,
IF(AND(E129="Gold Cup",F129="",G129="W"),'US CBAs'!$F$79,
IF(AND(E129="Gold Cup",G129="D"),'US CBAs'!$F$80,
IF(AND(E129="Copa America",F129="",G129="W"),'US CBAs'!$F$85,
IF(AND(E129="Copa America",G129="D"),'US CBAs'!$F$86,
IF(AND(E129="WCQ SF",G129="W"),'US CBAs'!$F$94,
IF(AND(E129="WCQ SF",G129="D"),'US CBAs'!$F$95,
IF(AND(E129="WCQ Hex",G129="W"),'US CBAs'!$F$98,
IF(AND(E129="WCQ Hex",G129="D"),'US CBAs'!$F$99,
IF(E129="World Cup",'US CBAs'!$F$104,
0))))))))))))))))</f>
        <v>9375</v>
      </c>
      <c r="L129" s="40">
        <v>20</v>
      </c>
      <c r="M129" s="60">
        <f t="shared" si="8"/>
        <v>187500</v>
      </c>
      <c r="N129" s="45">
        <f>IF(J129="",I129*'US CBAs'!$G$118,0)</f>
        <v>43344</v>
      </c>
      <c r="O129" s="59">
        <f t="shared" si="9"/>
        <v>230844</v>
      </c>
      <c r="P129" s="61"/>
      <c r="Q129" s="242"/>
      <c r="R129" s="242"/>
      <c r="S129" s="242"/>
      <c r="T129" s="230"/>
    </row>
    <row r="130" spans="1:21" x14ac:dyDescent="0.35">
      <c r="A130" s="49" t="s">
        <v>222</v>
      </c>
      <c r="B130" s="195">
        <v>8</v>
      </c>
      <c r="C130" s="50">
        <v>2015</v>
      </c>
      <c r="D130" s="49" t="s">
        <v>41</v>
      </c>
      <c r="E130" s="49" t="s">
        <v>220</v>
      </c>
      <c r="F130" s="49"/>
      <c r="G130" s="49" t="s">
        <v>33</v>
      </c>
      <c r="H130" s="49" t="s">
        <v>488</v>
      </c>
      <c r="I130" s="57">
        <v>29308</v>
      </c>
      <c r="J130" s="40"/>
      <c r="K130" s="45">
        <f>IF(G130="L",'US CBAs'!$F$73,
IF(AND(E130="Friendly",F130="T1",G130="W"),'US CBAs'!$F$68,
IF(AND(E130="Friendly",F130="T2",G130="W"),'US CBAs'!$F$69,
IF(AND(E130="Friendly",F130="",G130="W"),'US CBAs'!$F$70,
IF(AND(E130="Friendly",F130="T1",G130="D"),'US CBAs'!$F$71,
IF(AND(E130="Friendly",F130="",G130="D"),'US CBAs'!$F$72,
IF(AND(E130="Gold Cup",F130="T1",G130="W"),'US CBAs'!$F$78,
IF(AND(E130="Gold Cup",F130="",G130="W"),'US CBAs'!$F$79,
IF(AND(E130="Gold Cup",G130="D"),'US CBAs'!$F$80,
IF(AND(E130="Copa America",F130="",G130="W"),'US CBAs'!$F$85,
IF(AND(E130="Copa America",G130="D"),'US CBAs'!$F$86,
IF(AND(E130="WCQ SF",G130="W"),'US CBAs'!$F$94,
IF(AND(E130="WCQ SF",G130="D"),'US CBAs'!$F$95,
IF(AND(E130="WCQ Hex",G130="W"),'US CBAs'!$F$98,
IF(AND(E130="WCQ Hex",G130="D"),'US CBAs'!$F$99,
IF(E130="World Cup",'US CBAs'!$F$104,
0))))))))))))))))</f>
        <v>5000</v>
      </c>
      <c r="L130" s="40">
        <v>20</v>
      </c>
      <c r="M130" s="60">
        <f t="shared" si="8"/>
        <v>100000</v>
      </c>
      <c r="N130" s="45">
        <f>IF(J130="",I130*'US CBAs'!$G$118,0)</f>
        <v>43962</v>
      </c>
      <c r="O130" s="59">
        <f t="shared" si="9"/>
        <v>143962</v>
      </c>
      <c r="P130" s="61"/>
      <c r="Q130" s="242"/>
      <c r="R130" s="242"/>
      <c r="S130" s="242"/>
      <c r="T130" s="230"/>
    </row>
    <row r="131" spans="1:21" x14ac:dyDescent="0.35">
      <c r="A131" s="49" t="s">
        <v>189</v>
      </c>
      <c r="B131" s="195">
        <v>10</v>
      </c>
      <c r="C131" s="50">
        <v>2015</v>
      </c>
      <c r="D131" s="49" t="s">
        <v>35</v>
      </c>
      <c r="E131" s="49" t="s">
        <v>220</v>
      </c>
      <c r="F131" s="49" t="s">
        <v>28</v>
      </c>
      <c r="G131" s="49" t="s">
        <v>83</v>
      </c>
      <c r="H131" s="49" t="s">
        <v>481</v>
      </c>
      <c r="I131" s="57">
        <v>93723</v>
      </c>
      <c r="J131" s="40"/>
      <c r="K131" s="45">
        <f>IF(G131="L",'US CBAs'!$F$73,
IF(AND(E131="Friendly",F131="T1",G131="W"),'US CBAs'!$F$68,
IF(AND(E131="Friendly",F131="T2",G131="W"),'US CBAs'!$F$69,
IF(AND(E131="Friendly",F131="",G131="W"),'US CBAs'!$F$70,
IF(AND(E131="Friendly",F131="T1",G131="D"),'US CBAs'!$F$71,
IF(AND(E131="Friendly",F131="",G131="D"),'US CBAs'!$F$72,
IF(AND(E131="Gold Cup",F131="T1",G131="W"),'US CBAs'!$F$78,
IF(AND(E131="Gold Cup",F131="",G131="W"),'US CBAs'!$F$79,
IF(AND(E131="Gold Cup",G131="D"),'US CBAs'!$F$80,
IF(AND(E131="Copa America",F131="",G131="W"),'US CBAs'!$F$85,
IF(AND(E131="Copa America",G131="D"),'US CBAs'!$F$86,
IF(AND(E131="WCQ SF",G131="W"),'US CBAs'!$F$94,
IF(AND(E131="WCQ SF",G131="D"),'US CBAs'!$F$95,
IF(AND(E131="WCQ Hex",G131="W"),'US CBAs'!$F$98,
IF(AND(E131="WCQ Hex",G131="D"),'US CBAs'!$F$99,
IF(E131="World Cup",'US CBAs'!$F$104,
0))))))))))))))))</f>
        <v>8125</v>
      </c>
      <c r="L131" s="40">
        <v>20</v>
      </c>
      <c r="M131" s="60">
        <f t="shared" si="8"/>
        <v>162500</v>
      </c>
      <c r="N131" s="45">
        <f>IF(J131="",I131*'US CBAs'!$G$118,0)</f>
        <v>140584.5</v>
      </c>
      <c r="O131" s="59">
        <f t="shared" si="9"/>
        <v>303084.5</v>
      </c>
      <c r="P131" s="61"/>
      <c r="Q131" s="242"/>
      <c r="R131" s="242"/>
      <c r="S131" s="242"/>
      <c r="T131" s="230"/>
    </row>
    <row r="132" spans="1:21" x14ac:dyDescent="0.35">
      <c r="A132" s="49" t="s">
        <v>189</v>
      </c>
      <c r="B132" s="195">
        <v>13</v>
      </c>
      <c r="C132" s="50">
        <v>2015</v>
      </c>
      <c r="D132" s="49" t="s">
        <v>36</v>
      </c>
      <c r="E132" s="49" t="s">
        <v>220</v>
      </c>
      <c r="F132" s="49"/>
      <c r="G132" s="49" t="s">
        <v>33</v>
      </c>
      <c r="H132" s="49" t="s">
        <v>485</v>
      </c>
      <c r="I132" s="57">
        <v>9214</v>
      </c>
      <c r="J132" s="40"/>
      <c r="K132" s="45">
        <f>IF(G132="L",'US CBAs'!$F$73,
IF(AND(E132="Friendly",F132="T1",G132="W"),'US CBAs'!$F$68,
IF(AND(E132="Friendly",F132="T2",G132="W"),'US CBAs'!$F$69,
IF(AND(E132="Friendly",F132="",G132="W"),'US CBAs'!$F$70,
IF(AND(E132="Friendly",F132="T1",G132="D"),'US CBAs'!$F$71,
IF(AND(E132="Friendly",F132="",G132="D"),'US CBAs'!$F$72,
IF(AND(E132="Gold Cup",F132="T1",G132="W"),'US CBAs'!$F$78,
IF(AND(E132="Gold Cup",F132="",G132="W"),'US CBAs'!$F$79,
IF(AND(E132="Gold Cup",G132="D"),'US CBAs'!$F$80,
IF(AND(E132="Copa America",F132="",G132="W"),'US CBAs'!$F$85,
IF(AND(E132="Copa America",G132="D"),'US CBAs'!$F$86,
IF(AND(E132="WCQ SF",G132="W"),'US CBAs'!$F$94,
IF(AND(E132="WCQ SF",G132="D"),'US CBAs'!$F$95,
IF(AND(E132="WCQ Hex",G132="W"),'US CBAs'!$F$98,
IF(AND(E132="WCQ Hex",G132="D"),'US CBAs'!$F$99,
IF(E132="World Cup",'US CBAs'!$F$104,
0))))))))))))))))</f>
        <v>5000</v>
      </c>
      <c r="L132" s="40">
        <v>20</v>
      </c>
      <c r="M132" s="60">
        <f t="shared" si="8"/>
        <v>100000</v>
      </c>
      <c r="N132" s="45">
        <f>IF(J132="",I132*'US CBAs'!$G$118,0)</f>
        <v>13821</v>
      </c>
      <c r="O132" s="59">
        <f t="shared" si="9"/>
        <v>113821</v>
      </c>
      <c r="P132" s="61"/>
      <c r="U132" s="80"/>
    </row>
    <row r="133" spans="1:21" x14ac:dyDescent="0.35">
      <c r="A133" s="49" t="s">
        <v>190</v>
      </c>
      <c r="B133" s="195">
        <v>13</v>
      </c>
      <c r="C133" s="50">
        <v>2015</v>
      </c>
      <c r="D133" s="49" t="s">
        <v>237</v>
      </c>
      <c r="E133" s="49" t="s">
        <v>234</v>
      </c>
      <c r="F133" s="49"/>
      <c r="G133" s="49" t="s">
        <v>20</v>
      </c>
      <c r="H133" s="40" t="s">
        <v>501</v>
      </c>
      <c r="I133" s="57">
        <v>43433</v>
      </c>
      <c r="J133" s="40"/>
      <c r="K133" s="45">
        <f>IF(G133="L",'US CBAs'!$F$73,
IF(AND(E133="Friendly",F133="T1",G133="W"),'US CBAs'!$F$68,
IF(AND(E133="Friendly",F133="T2",G133="W"),'US CBAs'!$F$69,
IF(AND(E133="Friendly",F133="",G133="W"),'US CBAs'!$F$70,
IF(AND(E133="Friendly",F133="T1",G133="D"),'US CBAs'!$F$71,
IF(AND(E133="Friendly",F133="",G133="D"),'US CBAs'!$F$72,
IF(AND(E133="Gold Cup",F133="T1",G133="W"),'US CBAs'!$F$78,
IF(AND(E133="Gold Cup",F133="",G133="W"),'US CBAs'!$F$79,
IF(AND(E133="Gold Cup",G133="D"),'US CBAs'!$F$80,
IF(AND(E133="Copa America",F133="",G133="W"),'US CBAs'!$F$85,
IF(AND(E133="Copa America",G133="D"),'US CBAs'!$F$86,
IF(AND(E133="WCQ SF",G133="W"),'US CBAs'!$F$94,
IF(AND(E133="WCQ SF",G133="D"),'US CBAs'!$F$95,
IF(AND(E133="WCQ Hex",G133="W"),'US CBAs'!$F$98,
IF(AND(E133="WCQ Hex",G133="D"),'US CBAs'!$F$99,
IF(E133="World Cup",'US CBAs'!$F$104,
0))))))))))))))))</f>
        <v>15625</v>
      </c>
      <c r="L133" s="40">
        <v>23</v>
      </c>
      <c r="M133" s="60">
        <f t="shared" si="8"/>
        <v>359375</v>
      </c>
      <c r="N133" s="45">
        <f>IF(J133="",I133*'US CBAs'!$G$118,0)</f>
        <v>65149.5</v>
      </c>
      <c r="O133" s="59">
        <f t="shared" si="9"/>
        <v>424524.5</v>
      </c>
      <c r="P133" s="61"/>
      <c r="Q133" s="242"/>
      <c r="R133" s="242"/>
      <c r="S133" s="242"/>
      <c r="T133" s="230"/>
      <c r="U133" s="80"/>
    </row>
    <row r="134" spans="1:21" x14ac:dyDescent="0.35">
      <c r="A134" s="49" t="s">
        <v>190</v>
      </c>
      <c r="B134" s="195">
        <v>17</v>
      </c>
      <c r="C134" s="50">
        <v>2015</v>
      </c>
      <c r="D134" s="49" t="s">
        <v>228</v>
      </c>
      <c r="E134" s="49" t="s">
        <v>234</v>
      </c>
      <c r="F134" s="49"/>
      <c r="G134" s="49" t="s">
        <v>83</v>
      </c>
      <c r="H134" s="49" t="s">
        <v>226</v>
      </c>
      <c r="I134" s="57">
        <v>22809</v>
      </c>
      <c r="J134" s="40" t="s">
        <v>218</v>
      </c>
      <c r="K134" s="45">
        <f>IF(G134="L",'US CBAs'!$F$73,
IF(AND(E134="Friendly",F134="T1",G134="W"),'US CBAs'!$F$68,
IF(AND(E134="Friendly",F134="T2",G134="W"),'US CBAs'!$F$69,
IF(AND(E134="Friendly",F134="",G134="W"),'US CBAs'!$F$70,
IF(AND(E134="Friendly",F134="T1",G134="D"),'US CBAs'!$F$71,
IF(AND(E134="Friendly",F134="",G134="D"),'US CBAs'!$F$72,
IF(AND(E134="Gold Cup",F134="T1",G134="W"),'US CBAs'!$F$78,
IF(AND(E134="Gold Cup",F134="",G134="W"),'US CBAs'!$F$79,
IF(AND(E134="Gold Cup",G134="D"),'US CBAs'!$F$80,
IF(AND(E134="Copa America",F134="",G134="W"),'US CBAs'!$F$85,
IF(AND(E134="Copa America",G134="D"),'US CBAs'!$F$86,
IF(AND(E134="WCQ SF",G134="W"),'US CBAs'!$F$94,
IF(AND(E134="WCQ SF",G134="D"),'US CBAs'!$F$95,
IF(AND(E134="WCQ Hex",G134="W"),'US CBAs'!$F$98,
IF(AND(E134="WCQ Hex",G134="D"),'US CBAs'!$F$99,
IF(E134="World Cup",'US CBAs'!$F$104,
0))))))))))))))))</f>
        <v>7500</v>
      </c>
      <c r="L134" s="40">
        <v>23</v>
      </c>
      <c r="M134" s="60">
        <f t="shared" si="8"/>
        <v>172500</v>
      </c>
      <c r="N134" s="45">
        <f>IF(J134="",I134*'US CBAs'!$G$118,0)</f>
        <v>0</v>
      </c>
      <c r="O134" s="59">
        <f t="shared" si="9"/>
        <v>172500</v>
      </c>
      <c r="P134" s="61"/>
      <c r="Q134" s="242"/>
      <c r="R134" s="242"/>
      <c r="S134" s="233"/>
      <c r="U134" s="80"/>
    </row>
    <row r="135" spans="1:21" x14ac:dyDescent="0.35">
      <c r="A135" s="49"/>
      <c r="B135" s="195"/>
      <c r="C135" s="50"/>
      <c r="D135" s="58" t="s">
        <v>392</v>
      </c>
      <c r="E135" s="49"/>
      <c r="F135" s="49"/>
      <c r="G135" s="49"/>
      <c r="H135" s="49"/>
      <c r="I135" s="57"/>
      <c r="J135" s="40"/>
      <c r="K135" s="54">
        <f>'US CBAs'!$F$75</f>
        <v>1875</v>
      </c>
      <c r="L135" s="56">
        <v>10</v>
      </c>
      <c r="M135" s="54">
        <f t="shared" si="8"/>
        <v>18750</v>
      </c>
      <c r="N135" s="55"/>
      <c r="O135" s="54">
        <f t="shared" si="9"/>
        <v>18750</v>
      </c>
      <c r="P135" s="61"/>
      <c r="Q135" s="239"/>
      <c r="R135" s="239"/>
      <c r="S135" s="242"/>
      <c r="T135" s="230"/>
    </row>
    <row r="136" spans="1:21" x14ac:dyDescent="0.35">
      <c r="A136" s="289" t="s">
        <v>24</v>
      </c>
      <c r="B136" s="290"/>
      <c r="C136" s="290"/>
      <c r="D136" s="289"/>
      <c r="E136" s="289"/>
      <c r="F136" s="289"/>
      <c r="G136" s="289"/>
      <c r="H136" s="289"/>
      <c r="I136" s="291"/>
      <c r="J136" s="289"/>
      <c r="K136" s="291"/>
      <c r="L136" s="289"/>
      <c r="M136" s="298">
        <f>SUBTOTAL(109,Table7[Game pay])</f>
        <v>3921898</v>
      </c>
      <c r="N136" s="204">
        <f>SUBTOTAL(109,Table7[Att bonus])</f>
        <v>501073.5</v>
      </c>
      <c r="O136" s="292">
        <f>SUBTOTAL(109,Table7[TEAM PAY])</f>
        <v>4422971.5</v>
      </c>
      <c r="P136" s="61"/>
      <c r="Q136" s="242"/>
      <c r="R136" s="242"/>
      <c r="S136" s="239"/>
    </row>
    <row r="137" spans="1:21" x14ac:dyDescent="0.35">
      <c r="A137" s="49"/>
      <c r="B137" s="195"/>
      <c r="C137" s="50"/>
      <c r="D137" s="49"/>
      <c r="E137" s="49"/>
      <c r="F137" s="49"/>
      <c r="G137" s="49"/>
      <c r="H137" s="49"/>
      <c r="I137" s="57"/>
      <c r="J137" s="40"/>
      <c r="K137" s="45"/>
      <c r="L137" s="40"/>
      <c r="M137" s="60"/>
      <c r="N137" s="45"/>
      <c r="O137" s="59"/>
      <c r="P137" s="61"/>
      <c r="Q137" s="242"/>
      <c r="R137" s="242"/>
      <c r="S137" s="242"/>
    </row>
    <row r="138" spans="1:21" x14ac:dyDescent="0.35">
      <c r="A138" s="53" t="s">
        <v>249</v>
      </c>
      <c r="B138" s="194" t="s">
        <v>248</v>
      </c>
      <c r="C138" s="65" t="s">
        <v>247</v>
      </c>
      <c r="D138" s="53" t="s">
        <v>15</v>
      </c>
      <c r="E138" s="53" t="s">
        <v>194</v>
      </c>
      <c r="F138" s="53" t="s">
        <v>246</v>
      </c>
      <c r="G138" s="53" t="s">
        <v>16</v>
      </c>
      <c r="H138" s="53" t="s">
        <v>245</v>
      </c>
      <c r="I138" s="64" t="s">
        <v>14</v>
      </c>
      <c r="J138" s="47" t="s">
        <v>244</v>
      </c>
      <c r="K138" s="47" t="s">
        <v>243</v>
      </c>
      <c r="L138" s="47" t="s">
        <v>17</v>
      </c>
      <c r="M138" s="47" t="s">
        <v>219</v>
      </c>
      <c r="N138" s="63" t="s">
        <v>242</v>
      </c>
      <c r="O138" s="47" t="s">
        <v>241</v>
      </c>
      <c r="P138" s="61"/>
      <c r="Q138" s="280" t="s">
        <v>409</v>
      </c>
      <c r="R138" s="281"/>
      <c r="S138" s="242"/>
    </row>
    <row r="139" spans="1:21" x14ac:dyDescent="0.35">
      <c r="A139" s="49" t="s">
        <v>191</v>
      </c>
      <c r="B139" s="195">
        <v>31</v>
      </c>
      <c r="C139" s="50">
        <v>2016</v>
      </c>
      <c r="D139" s="49" t="s">
        <v>23</v>
      </c>
      <c r="E139" s="49" t="s">
        <v>220</v>
      </c>
      <c r="F139" s="49"/>
      <c r="G139" s="49" t="s">
        <v>20</v>
      </c>
      <c r="H139" s="49" t="s">
        <v>481</v>
      </c>
      <c r="I139" s="57">
        <v>8803</v>
      </c>
      <c r="J139" s="40"/>
      <c r="K139" s="45">
        <f>IF(G139="L",'US CBAs'!$F$73,
IF(AND(E139="Friendly",F139="T1",G139="W"),'US CBAs'!$F$68,
IF(AND(E139="Friendly",F139="T2",G139="W"),'US CBAs'!$F$69,
IF(AND(E139="Friendly",F139="",G139="W"),'US CBAs'!$F$70,
IF(AND(E139="Friendly",F139="T1",G139="D"),'US CBAs'!$F$71,
IF(AND(E139="Friendly",F139="",G139="D"),'US CBAs'!$F$72,
IF(AND(E139="Gold Cup",F139="T1",G139="W"),'US CBAs'!$F$78,
IF(AND(E139="Gold Cup",F139="",G139="W"),'US CBAs'!$F$79,
IF(AND(E139="Gold Cup",G139="D"),'US CBAs'!$F$80,
IF(AND(E139="Copa America",F139="",G139="W"),'US CBAs'!$F$85,
IF(AND(E139="Copa America",G139="D"),'US CBAs'!$F$86,
IF(AND(E139="WCQ SF",G139="W"),'US CBAs'!$F$94,
IF(AND(E139="WCQ SF",G139="D"),'US CBAs'!$F$95,
IF(AND(E139="WCQ Hex",G139="W"),'US CBAs'!$F$98,
IF(AND(E139="WCQ Hex",G139="D"),'US CBAs'!$F$99,
IF(E139="World Cup",'US CBAs'!$F$104,
0))))))))))))))))</f>
        <v>9375</v>
      </c>
      <c r="L139" s="40">
        <v>20</v>
      </c>
      <c r="M139" s="60">
        <f t="shared" si="8"/>
        <v>187500</v>
      </c>
      <c r="N139" s="45">
        <f>IF(J139="",I139*'US CBAs'!$G$118,0)</f>
        <v>13204.5</v>
      </c>
      <c r="O139" s="59">
        <f t="shared" si="9"/>
        <v>200704.5</v>
      </c>
      <c r="P139" s="61"/>
      <c r="Q139" s="282" t="s">
        <v>219</v>
      </c>
      <c r="R139" s="283">
        <f>SUM(M119:M135)+SUM(M139:M142)</f>
        <v>4258773</v>
      </c>
      <c r="S139" s="249"/>
    </row>
    <row r="140" spans="1:21" x14ac:dyDescent="0.35">
      <c r="A140" s="49" t="s">
        <v>192</v>
      </c>
      <c r="B140" s="195">
        <v>5</v>
      </c>
      <c r="C140" s="50">
        <v>2016</v>
      </c>
      <c r="D140" s="49" t="s">
        <v>29</v>
      </c>
      <c r="E140" s="49" t="s">
        <v>220</v>
      </c>
      <c r="F140" s="49"/>
      <c r="G140" s="49" t="s">
        <v>20</v>
      </c>
      <c r="H140" s="49" t="s">
        <v>481</v>
      </c>
      <c r="I140" s="57">
        <v>9274</v>
      </c>
      <c r="J140" s="40"/>
      <c r="K140" s="45">
        <f>IF(G140="L",'US CBAs'!$F$73,
IF(AND(E140="Friendly",F140="T1",G140="W"),'US CBAs'!$F$68,
IF(AND(E140="Friendly",F140="T2",G140="W"),'US CBAs'!$F$69,
IF(AND(E140="Friendly",F140="",G140="W"),'US CBAs'!$F$70,
IF(AND(E140="Friendly",F140="T1",G140="D"),'US CBAs'!$F$71,
IF(AND(E140="Friendly",F140="",G140="D"),'US CBAs'!$F$72,
IF(AND(E140="Gold Cup",F140="T1",G140="W"),'US CBAs'!$F$78,
IF(AND(E140="Gold Cup",F140="",G140="W"),'US CBAs'!$F$79,
IF(AND(E140="Gold Cup",G140="D"),'US CBAs'!$F$80,
IF(AND(E140="Copa America",F140="",G140="W"),'US CBAs'!$F$85,
IF(AND(E140="Copa America",G140="D"),'US CBAs'!$F$86,
IF(AND(E140="WCQ SF",G140="W"),'US CBAs'!$F$94,
IF(AND(E140="WCQ SF",G140="D"),'US CBAs'!$F$95,
IF(AND(E140="WCQ Hex",G140="W"),'US CBAs'!$F$98,
IF(AND(E140="WCQ Hex",G140="D"),'US CBAs'!$F$99,
IF(E140="World Cup",'US CBAs'!$F$104,
0))))))))))))))))</f>
        <v>9375</v>
      </c>
      <c r="L140" s="40">
        <v>20</v>
      </c>
      <c r="M140" s="60">
        <f t="shared" si="8"/>
        <v>187500</v>
      </c>
      <c r="N140" s="45">
        <f>IF(J140="",I140*'US CBAs'!$G$118,0)</f>
        <v>13911</v>
      </c>
      <c r="O140" s="59">
        <f t="shared" si="9"/>
        <v>201411</v>
      </c>
      <c r="P140" s="61"/>
      <c r="Q140" s="284" t="s">
        <v>394</v>
      </c>
      <c r="R140" s="283">
        <f>SUM(N119:N135)+SUM(N139:N142)</f>
        <v>528718.5</v>
      </c>
      <c r="S140" s="233"/>
    </row>
    <row r="141" spans="1:21" x14ac:dyDescent="0.35">
      <c r="A141" s="49" t="s">
        <v>221</v>
      </c>
      <c r="B141" s="195">
        <v>25</v>
      </c>
      <c r="C141" s="50">
        <v>2016</v>
      </c>
      <c r="D141" s="49" t="s">
        <v>43</v>
      </c>
      <c r="E141" s="49" t="s">
        <v>234</v>
      </c>
      <c r="F141" s="49"/>
      <c r="G141" s="49" t="s">
        <v>33</v>
      </c>
      <c r="H141" s="49" t="s">
        <v>43</v>
      </c>
      <c r="I141" s="57">
        <v>18313</v>
      </c>
      <c r="J141" s="40" t="s">
        <v>218</v>
      </c>
      <c r="K141" s="45">
        <f>IF(G141="L",'US CBAs'!$F$73,
IF(AND(E141="Friendly",F141="T1",G141="W"),'US CBAs'!$F$68,
IF(AND(E141="Friendly",F141="T2",G141="W"),'US CBAs'!$F$69,
IF(AND(E141="Friendly",F141="",G141="W"),'US CBAs'!$F$70,
IF(AND(E141="Friendly",F141="T1",G141="D"),'US CBAs'!$F$71,
IF(AND(E141="Friendly",F141="",G141="D"),'US CBAs'!$F$72,
IF(AND(E141="Gold Cup",F141="T1",G141="W"),'US CBAs'!$F$78,
IF(AND(E141="Gold Cup",F141="",G141="W"),'US CBAs'!$F$79,
IF(AND(E141="Gold Cup",G141="D"),'US CBAs'!$F$80,
IF(AND(E141="Copa America",F141="",G141="W"),'US CBAs'!$F$85,
IF(AND(E141="Copa America",G141="D"),'US CBAs'!$F$86,
IF(AND(E141="WCQ SF",G141="W"),'US CBAs'!$F$94,
IF(AND(E141="WCQ SF",G141="D"),'US CBAs'!$F$95,
IF(AND(E141="WCQ Hex",G141="W"),'US CBAs'!$F$98,
IF(AND(E141="WCQ Hex",G141="D"),'US CBAs'!$F$99,
IF(E141="World Cup",'US CBAs'!$F$104,
0))))))))))))))))</f>
        <v>5000</v>
      </c>
      <c r="L141" s="40">
        <v>23</v>
      </c>
      <c r="M141" s="60">
        <f t="shared" si="8"/>
        <v>115000</v>
      </c>
      <c r="N141" s="45">
        <f>IF(J141="",I141*'US CBAs'!$G$118,0)</f>
        <v>0</v>
      </c>
      <c r="O141" s="59">
        <f t="shared" si="9"/>
        <v>115000</v>
      </c>
      <c r="P141" s="61"/>
      <c r="Q141" s="285" t="s">
        <v>395</v>
      </c>
      <c r="R141" s="286">
        <f>R139+R140</f>
        <v>4787491.5</v>
      </c>
      <c r="S141" s="233"/>
    </row>
    <row r="142" spans="1:21" x14ac:dyDescent="0.35">
      <c r="A142" s="49" t="s">
        <v>221</v>
      </c>
      <c r="B142" s="195">
        <v>29</v>
      </c>
      <c r="C142" s="50">
        <v>2016</v>
      </c>
      <c r="D142" s="49" t="s">
        <v>43</v>
      </c>
      <c r="E142" s="49" t="s">
        <v>234</v>
      </c>
      <c r="F142" s="49"/>
      <c r="G142" s="49" t="s">
        <v>20</v>
      </c>
      <c r="H142" s="49" t="s">
        <v>495</v>
      </c>
      <c r="I142" s="57">
        <v>20624</v>
      </c>
      <c r="J142" s="40"/>
      <c r="K142" s="45">
        <f>IF(G142="L",'US CBAs'!$F$73,
IF(AND(E142="Friendly",F142="T1",G142="W"),'US CBAs'!$F$68,
IF(AND(E142="Friendly",F142="T2",G142="W"),'US CBAs'!$F$69,
IF(AND(E142="Friendly",F142="",G142="W"),'US CBAs'!$F$70,
IF(AND(E142="Friendly",F142="T1",G142="D"),'US CBAs'!$F$71,
IF(AND(E142="Friendly",F142="",G142="D"),'US CBAs'!$F$72,
IF(AND(E142="Gold Cup",F142="T1",G142="W"),'US CBAs'!$F$78,
IF(AND(E142="Gold Cup",F142="",G142="W"),'US CBAs'!$F$79,
IF(AND(E142="Gold Cup",G142="D"),'US CBAs'!$F$80,
IF(AND(E142="Copa America",F142="",G142="W"),'US CBAs'!$F$85,
IF(AND(E142="Copa America",G142="D"),'US CBAs'!$F$86,
IF(AND(E142="WCQ SF",G142="W"),'US CBAs'!$F$94,
IF(AND(E142="WCQ SF",G142="D"),'US CBAs'!$F$95,
IF(AND(E142="WCQ Hex",G142="W"),'US CBAs'!$F$98,
IF(AND(E142="WCQ Hex",G142="D"),'US CBAs'!$F$99,
IF(E142="World Cup",'US CBAs'!$F$104,
0))))))))))))))))</f>
        <v>15625</v>
      </c>
      <c r="L142" s="40">
        <v>23</v>
      </c>
      <c r="M142" s="60">
        <f t="shared" si="8"/>
        <v>359375</v>
      </c>
      <c r="N142" s="45">
        <f>IF(J142="",I142*'US CBAs'!$G$118,0)</f>
        <v>30936</v>
      </c>
      <c r="O142" s="59">
        <f t="shared" si="9"/>
        <v>390311</v>
      </c>
      <c r="P142" s="61"/>
      <c r="Q142" s="285" t="s">
        <v>183</v>
      </c>
      <c r="R142" s="286">
        <f>$T134</f>
        <v>0</v>
      </c>
      <c r="S142" s="233"/>
    </row>
    <row r="143" spans="1:21" x14ac:dyDescent="0.35">
      <c r="A143" s="49" t="s">
        <v>186</v>
      </c>
      <c r="B143" s="195">
        <v>22</v>
      </c>
      <c r="C143" s="50">
        <v>2016</v>
      </c>
      <c r="D143" s="49" t="s">
        <v>71</v>
      </c>
      <c r="E143" s="49" t="s">
        <v>220</v>
      </c>
      <c r="F143" s="49"/>
      <c r="G143" s="49" t="s">
        <v>20</v>
      </c>
      <c r="H143" s="49" t="s">
        <v>71</v>
      </c>
      <c r="I143" s="57">
        <v>14000</v>
      </c>
      <c r="J143" s="40" t="s">
        <v>218</v>
      </c>
      <c r="K143" s="45">
        <f>IF(G143="L",'US CBAs'!$F$73,
IF(AND(E143="Friendly",F143="T1",G143="W"),'US CBAs'!$F$68,
IF(AND(E143="Friendly",F143="T2",G143="W"),'US CBAs'!$F$69,
IF(AND(E143="Friendly",F143="",G143="W"),'US CBAs'!$F$70,
IF(AND(E143="Friendly",F143="T1",G143="D"),'US CBAs'!$F$71,
IF(AND(E143="Friendly",F143="",G143="D"),'US CBAs'!$F$72,
IF(AND(E143="Gold Cup",F143="T1",G143="W"),'US CBAs'!$F$78,
IF(AND(E143="Gold Cup",F143="",G143="W"),'US CBAs'!$F$79,
IF(AND(E143="Gold Cup",G143="D"),'US CBAs'!$F$80,
IF(AND(E143="Copa America",F143="",G143="W"),'US CBAs'!$F$85,
IF(AND(E143="Copa America",G143="D"),'US CBAs'!$F$86,
IF(AND(E143="WCQ SF",G143="W"),'US CBAs'!$F$94,
IF(AND(E143="WCQ SF",G143="D"),'US CBAs'!$F$95,
IF(AND(E143="WCQ Hex",G143="W"),'US CBAs'!$F$98,
IF(AND(E143="WCQ Hex",G143="D"),'US CBAs'!$F$99,
IF(E143="World Cup",'US CBAs'!$F$104,
0))))))))))))))))</f>
        <v>9375</v>
      </c>
      <c r="L143" s="40">
        <v>20</v>
      </c>
      <c r="M143" s="60">
        <f t="shared" si="8"/>
        <v>187500</v>
      </c>
      <c r="N143" s="45">
        <f>IF(J143="",I143*'US CBAs'!$G$118,0)</f>
        <v>0</v>
      </c>
      <c r="O143" s="59">
        <f t="shared" si="9"/>
        <v>187500</v>
      </c>
      <c r="P143" s="61"/>
      <c r="Q143" s="287" t="s">
        <v>410</v>
      </c>
      <c r="R143" s="288">
        <f>R141+R142</f>
        <v>4787491.5</v>
      </c>
      <c r="S143" s="39"/>
      <c r="T143" s="39"/>
    </row>
    <row r="144" spans="1:21" x14ac:dyDescent="0.35">
      <c r="A144" s="49" t="s">
        <v>186</v>
      </c>
      <c r="B144" s="195">
        <v>25</v>
      </c>
      <c r="C144" s="50">
        <v>2016</v>
      </c>
      <c r="D144" s="49" t="s">
        <v>63</v>
      </c>
      <c r="E144" s="49" t="s">
        <v>220</v>
      </c>
      <c r="F144" s="49" t="s">
        <v>31</v>
      </c>
      <c r="G144" s="49" t="s">
        <v>20</v>
      </c>
      <c r="H144" s="49" t="s">
        <v>492</v>
      </c>
      <c r="I144" s="57">
        <v>9893</v>
      </c>
      <c r="J144" s="40"/>
      <c r="K144" s="45">
        <f>IF(G144="L",'US CBAs'!$F$73,
IF(AND(E144="Friendly",F144="T1",G144="W"),'US CBAs'!$F$68,
IF(AND(E144="Friendly",F144="T2",G144="W"),'US CBAs'!$F$69,
IF(AND(E144="Friendly",F144="",G144="W"),'US CBAs'!$F$70,
IF(AND(E144="Friendly",F144="T1",G144="D"),'US CBAs'!$F$71,
IF(AND(E144="Friendly",F144="",G144="D"),'US CBAs'!$F$72,
IF(AND(E144="Gold Cup",F144="T1",G144="W"),'US CBAs'!$F$78,
IF(AND(E144="Gold Cup",F144="",G144="W"),'US CBAs'!$F$79,
IF(AND(E144="Gold Cup",G144="D"),'US CBAs'!$F$80,
IF(AND(E144="Copa America",F144="",G144="W"),'US CBAs'!$F$85,
IF(AND(E144="Copa America",G144="D"),'US CBAs'!$F$86,
IF(AND(E144="WCQ SF",G144="W"),'US CBAs'!$F$94,
IF(AND(E144="WCQ SF",G144="D"),'US CBAs'!$F$95,
IF(AND(E144="WCQ Hex",G144="W"),'US CBAs'!$F$98,
IF(AND(E144="WCQ Hex",G144="D"),'US CBAs'!$F$99,
IF(E144="World Cup",'US CBAs'!$F$104,
0))))))))))))))))</f>
        <v>12500</v>
      </c>
      <c r="L144" s="40">
        <v>20</v>
      </c>
      <c r="M144" s="60">
        <f t="shared" si="8"/>
        <v>250000</v>
      </c>
      <c r="N144" s="45">
        <f>IF(J144="",I144*'US CBAs'!$G$118,0)</f>
        <v>14839.5</v>
      </c>
      <c r="O144" s="59">
        <f t="shared" si="9"/>
        <v>264839.5</v>
      </c>
      <c r="P144" s="61"/>
      <c r="Q144" s="39"/>
      <c r="R144" s="39"/>
      <c r="S144" s="39"/>
      <c r="T144" s="39"/>
    </row>
    <row r="145" spans="1:21" x14ac:dyDescent="0.35">
      <c r="A145" s="49" t="s">
        <v>186</v>
      </c>
      <c r="B145" s="195">
        <v>28</v>
      </c>
      <c r="C145" s="50">
        <v>2016</v>
      </c>
      <c r="D145" s="49" t="s">
        <v>72</v>
      </c>
      <c r="E145" s="49" t="s">
        <v>220</v>
      </c>
      <c r="F145" s="49"/>
      <c r="G145" s="49" t="s">
        <v>20</v>
      </c>
      <c r="H145" s="49" t="s">
        <v>490</v>
      </c>
      <c r="I145" s="57">
        <v>8894</v>
      </c>
      <c r="J145" s="40"/>
      <c r="K145" s="45">
        <f>IF(G145="L",'US CBAs'!$F$73,
IF(AND(E145="Friendly",F145="T1",G145="W"),'US CBAs'!$F$68,
IF(AND(E145="Friendly",F145="T2",G145="W"),'US CBAs'!$F$69,
IF(AND(E145="Friendly",F145="",G145="W"),'US CBAs'!$F$70,
IF(AND(E145="Friendly",F145="T1",G145="D"),'US CBAs'!$F$71,
IF(AND(E145="Friendly",F145="",G145="D"),'US CBAs'!$F$72,
IF(AND(E145="Gold Cup",F145="T1",G145="W"),'US CBAs'!$F$78,
IF(AND(E145="Gold Cup",F145="",G145="W"),'US CBAs'!$F$79,
IF(AND(E145="Gold Cup",G145="D"),'US CBAs'!$F$80,
IF(AND(E145="Copa America",F145="",G145="W"),'US CBAs'!$F$85,
IF(AND(E145="Copa America",G145="D"),'US CBAs'!$F$86,
IF(AND(E145="WCQ SF",G145="W"),'US CBAs'!$F$94,
IF(AND(E145="WCQ SF",G145="D"),'US CBAs'!$F$95,
IF(AND(E145="WCQ Hex",G145="W"),'US CBAs'!$F$98,
IF(AND(E145="WCQ Hex",G145="D"),'US CBAs'!$F$99,
IF(E145="World Cup",'US CBAs'!$F$104,
0))))))))))))))))</f>
        <v>9375</v>
      </c>
      <c r="L145" s="40">
        <v>20</v>
      </c>
      <c r="M145" s="60">
        <f t="shared" si="8"/>
        <v>187500</v>
      </c>
      <c r="N145" s="45">
        <f>IF(J145="",I145*'US CBAs'!$G$118,0)</f>
        <v>13341</v>
      </c>
      <c r="O145" s="59">
        <f t="shared" si="9"/>
        <v>200841</v>
      </c>
      <c r="P145" s="61"/>
      <c r="Q145" s="39"/>
      <c r="R145" s="39"/>
      <c r="S145" s="39"/>
      <c r="T145" s="39"/>
    </row>
    <row r="146" spans="1:21" x14ac:dyDescent="0.35">
      <c r="A146" s="49" t="s">
        <v>223</v>
      </c>
      <c r="B146" s="195">
        <v>3</v>
      </c>
      <c r="C146" s="50">
        <v>2016</v>
      </c>
      <c r="D146" s="49" t="s">
        <v>64</v>
      </c>
      <c r="E146" s="49" t="s">
        <v>238</v>
      </c>
      <c r="F146" s="49"/>
      <c r="G146" s="49" t="s">
        <v>33</v>
      </c>
      <c r="H146" s="49" t="s">
        <v>481</v>
      </c>
      <c r="I146" s="57">
        <v>67439</v>
      </c>
      <c r="J146" s="40" t="s">
        <v>218</v>
      </c>
      <c r="K146" s="45">
        <f>IF(G146="L",'US CBAs'!$F$73,
IF(AND(E146="Friendly",F146="T1",G146="W"),'US CBAs'!$F$68,
IF(AND(E146="Friendly",F146="T2",G146="W"),'US CBAs'!$F$69,
IF(AND(E146="Friendly",F146="",G146="W"),'US CBAs'!$F$70,
IF(AND(E146="Friendly",F146="T1",G146="D"),'US CBAs'!$F$71,
IF(AND(E146="Friendly",F146="",G146="D"),'US CBAs'!$F$72,
IF(AND(E146="Gold Cup",F146="T1",G146="W"),'US CBAs'!$F$78,
IF(AND(E146="Gold Cup",F146="",G146="W"),'US CBAs'!$F$79,
IF(AND(E146="Gold Cup",G146="D"),'US CBAs'!$F$80,
IF(AND(E146="Copa America",F146="",G146="W"),'US CBAs'!$F$85,
IF(AND(E146="Copa America",G146="D"),'US CBAs'!$F$86,
IF(AND(E146="WCQ SF",G146="W"),'US CBAs'!$F$94,
IF(AND(E146="WCQ SF",G146="D"),'US CBAs'!$F$95,
IF(AND(E146="WCQ Hex",G146="W"),'US CBAs'!$F$98,
IF(AND(E146="WCQ Hex",G146="D"),'US CBAs'!$F$99,
IF(E146="World Cup",'US CBAs'!$F$104,
0))))))))))))))))</f>
        <v>5000</v>
      </c>
      <c r="L146" s="40">
        <v>23</v>
      </c>
      <c r="M146" s="60">
        <f t="shared" si="8"/>
        <v>115000</v>
      </c>
      <c r="N146" s="45">
        <f>IF(J146="",I146*'US CBAs'!$G$118,0)</f>
        <v>0</v>
      </c>
      <c r="O146" s="59">
        <f t="shared" si="9"/>
        <v>115000</v>
      </c>
      <c r="P146" s="61"/>
      <c r="Q146" s="233"/>
      <c r="S146" s="233"/>
      <c r="T146" s="241"/>
    </row>
    <row r="147" spans="1:21" x14ac:dyDescent="0.35">
      <c r="A147" s="49" t="s">
        <v>223</v>
      </c>
      <c r="B147" s="195">
        <v>7</v>
      </c>
      <c r="C147" s="50">
        <v>2016</v>
      </c>
      <c r="D147" s="49" t="s">
        <v>36</v>
      </c>
      <c r="E147" s="49" t="s">
        <v>238</v>
      </c>
      <c r="F147" s="49"/>
      <c r="G147" s="49" t="s">
        <v>20</v>
      </c>
      <c r="H147" s="49" t="s">
        <v>487</v>
      </c>
      <c r="I147" s="57">
        <v>39642</v>
      </c>
      <c r="J147" s="40" t="s">
        <v>218</v>
      </c>
      <c r="K147" s="45">
        <f>IF(G147="L",'US CBAs'!$F$73,
IF(AND(E147="Friendly",F147="T1",G147="W"),'US CBAs'!$F$68,
IF(AND(E147="Friendly",F147="T2",G147="W"),'US CBAs'!$F$69,
IF(AND(E147="Friendly",F147="",G147="W"),'US CBAs'!$F$70,
IF(AND(E147="Friendly",F147="T1",G147="D"),'US CBAs'!$F$71,
IF(AND(E147="Friendly",F147="",G147="D"),'US CBAs'!$F$72,
IF(AND(E147="Gold Cup",F147="T1",G147="W"),'US CBAs'!$F$78,
IF(AND(E147="Gold Cup",F147="",G147="W"),'US CBAs'!$F$79,
IF(AND(E147="Gold Cup",G147="D"),'US CBAs'!$F$80,
IF(AND(E147="Copa America",F147="",G147="W"),'US CBAs'!$F$85,
IF(AND(E147="Copa America",G147="D"),'US CBAs'!$F$86,
IF(AND(E147="WCQ SF",G147="W"),'US CBAs'!$F$94,
IF(AND(E147="WCQ SF",G147="D"),'US CBAs'!$F$95,
IF(AND(E147="WCQ Hex",G147="W"),'US CBAs'!$F$98,
IF(AND(E147="WCQ Hex",G147="D"),'US CBAs'!$F$99,
IF(E147="World Cup",'US CBAs'!$F$104,
0))))))))))))))))</f>
        <v>14125</v>
      </c>
      <c r="L147" s="40">
        <v>23</v>
      </c>
      <c r="M147" s="60">
        <f t="shared" si="8"/>
        <v>324875</v>
      </c>
      <c r="N147" s="45">
        <f>IF(J147="",I147*'US CBAs'!$G$118,0)</f>
        <v>0</v>
      </c>
      <c r="O147" s="59">
        <f t="shared" si="9"/>
        <v>324875</v>
      </c>
      <c r="P147" s="61"/>
      <c r="Q147" s="232"/>
      <c r="R147" s="233"/>
      <c r="S147" s="233"/>
      <c r="T147" s="241"/>
    </row>
    <row r="148" spans="1:21" x14ac:dyDescent="0.35">
      <c r="A148" s="49" t="s">
        <v>223</v>
      </c>
      <c r="B148" s="195">
        <v>11</v>
      </c>
      <c r="C148" s="50">
        <v>2016</v>
      </c>
      <c r="D148" s="49" t="s">
        <v>73</v>
      </c>
      <c r="E148" s="49" t="s">
        <v>238</v>
      </c>
      <c r="F148" s="49"/>
      <c r="G148" s="49" t="s">
        <v>20</v>
      </c>
      <c r="H148" s="49" t="s">
        <v>484</v>
      </c>
      <c r="I148" s="57">
        <v>51041</v>
      </c>
      <c r="J148" s="40" t="s">
        <v>218</v>
      </c>
      <c r="K148" s="45">
        <f>IF(G148="L",'US CBAs'!$F$73,
IF(AND(E148="Friendly",F148="T1",G148="W"),'US CBAs'!$F$68,
IF(AND(E148="Friendly",F148="T2",G148="W"),'US CBAs'!$F$69,
IF(AND(E148="Friendly",F148="",G148="W"),'US CBAs'!$F$70,
IF(AND(E148="Friendly",F148="T1",G148="D"),'US CBAs'!$F$71,
IF(AND(E148="Friendly",F148="",G148="D"),'US CBAs'!$F$72,
IF(AND(E148="Gold Cup",F148="T1",G148="W"),'US CBAs'!$F$78,
IF(AND(E148="Gold Cup",F148="",G148="W"),'US CBAs'!$F$79,
IF(AND(E148="Gold Cup",G148="D"),'US CBAs'!$F$80,
IF(AND(E148="Copa America",F148="",G148="W"),'US CBAs'!$F$85,
IF(AND(E148="Copa America",G148="D"),'US CBAs'!$F$86,
IF(AND(E148="WCQ SF",G148="W"),'US CBAs'!$F$94,
IF(AND(E148="WCQ SF",G148="D"),'US CBAs'!$F$95,
IF(AND(E148="WCQ Hex",G148="W"),'US CBAs'!$F$98,
IF(AND(E148="WCQ Hex",G148="D"),'US CBAs'!$F$99,
IF(E148="World Cup",'US CBAs'!$F$104,
0))))))))))))))))</f>
        <v>14125</v>
      </c>
      <c r="L148" s="40">
        <v>23</v>
      </c>
      <c r="M148" s="60">
        <f t="shared" si="8"/>
        <v>324875</v>
      </c>
      <c r="N148" s="45">
        <f>IF(J148="",I148*'US CBAs'!$G$118,0)</f>
        <v>0</v>
      </c>
      <c r="O148" s="59">
        <f t="shared" si="9"/>
        <v>324875</v>
      </c>
      <c r="P148" s="61"/>
      <c r="Q148" s="233"/>
      <c r="R148" s="234"/>
      <c r="S148" s="233"/>
      <c r="T148" s="241"/>
    </row>
    <row r="149" spans="1:21" x14ac:dyDescent="0.35">
      <c r="A149" s="49" t="s">
        <v>223</v>
      </c>
      <c r="B149" s="195">
        <v>16</v>
      </c>
      <c r="C149" s="50">
        <v>2016</v>
      </c>
      <c r="D149" s="49" t="s">
        <v>63</v>
      </c>
      <c r="E149" s="49" t="s">
        <v>238</v>
      </c>
      <c r="F149" s="49"/>
      <c r="G149" s="49" t="s">
        <v>20</v>
      </c>
      <c r="H149" s="49" t="s">
        <v>497</v>
      </c>
      <c r="I149" s="57">
        <v>47322</v>
      </c>
      <c r="J149" s="40" t="s">
        <v>218</v>
      </c>
      <c r="K149" s="45">
        <f>IF(G149="L",'US CBAs'!$F$73,
IF(AND(E149="Friendly",F149="T1",G149="W"),'US CBAs'!$F$68,
IF(AND(E149="Friendly",F149="T2",G149="W"),'US CBAs'!$F$69,
IF(AND(E149="Friendly",F149="",G149="W"),'US CBAs'!$F$70,
IF(AND(E149="Friendly",F149="T1",G149="D"),'US CBAs'!$F$71,
IF(AND(E149="Friendly",F149="",G149="D"),'US CBAs'!$F$72,
IF(AND(E149="Gold Cup",F149="T1",G149="W"),'US CBAs'!$F$78,
IF(AND(E149="Gold Cup",F149="",G149="W"),'US CBAs'!$F$79,
IF(AND(E149="Gold Cup",G149="D"),'US CBAs'!$F$80,
IF(AND(E149="Copa America",F149="",G149="W"),'US CBAs'!$F$85,
IF(AND(E149="Copa America",G149="D"),'US CBAs'!$F$86,
IF(AND(E149="WCQ SF",G149="W"),'US CBAs'!$F$94,
IF(AND(E149="WCQ SF",G149="D"),'US CBAs'!$F$95,
IF(AND(E149="WCQ Hex",G149="W"),'US CBAs'!$F$98,
IF(AND(E149="WCQ Hex",G149="D"),'US CBAs'!$F$99,
IF(E149="World Cup",'US CBAs'!$F$104,
0))))))))))))))))</f>
        <v>14125</v>
      </c>
      <c r="L149" s="40">
        <v>23</v>
      </c>
      <c r="M149" s="60">
        <f t="shared" si="8"/>
        <v>324875</v>
      </c>
      <c r="N149" s="45">
        <f>IF(J149="",I149*'US CBAs'!$G$118,0)</f>
        <v>0</v>
      </c>
      <c r="O149" s="59">
        <f t="shared" si="9"/>
        <v>324875</v>
      </c>
      <c r="P149" s="61"/>
      <c r="Q149" s="233"/>
      <c r="R149" s="234"/>
      <c r="S149" s="233"/>
      <c r="T149" s="241"/>
    </row>
    <row r="150" spans="1:21" x14ac:dyDescent="0.35">
      <c r="A150" s="49" t="s">
        <v>223</v>
      </c>
      <c r="B150" s="195">
        <v>21</v>
      </c>
      <c r="C150" s="50">
        <v>2016</v>
      </c>
      <c r="D150" s="49" t="s">
        <v>60</v>
      </c>
      <c r="E150" s="49" t="s">
        <v>238</v>
      </c>
      <c r="F150" s="49"/>
      <c r="G150" s="49" t="s">
        <v>33</v>
      </c>
      <c r="H150" s="49" t="s">
        <v>492</v>
      </c>
      <c r="I150" s="57">
        <v>70858</v>
      </c>
      <c r="J150" s="40" t="s">
        <v>218</v>
      </c>
      <c r="K150" s="45">
        <f>IF(G150="L",'US CBAs'!$F$73,
IF(AND(E150="Friendly",F150="T1",G150="W"),'US CBAs'!$F$68,
IF(AND(E150="Friendly",F150="T2",G150="W"),'US CBAs'!$F$69,
IF(AND(E150="Friendly",F150="",G150="W"),'US CBAs'!$F$70,
IF(AND(E150="Friendly",F150="T1",G150="D"),'US CBAs'!$F$71,
IF(AND(E150="Friendly",F150="",G150="D"),'US CBAs'!$F$72,
IF(AND(E150="Gold Cup",F150="T1",G150="W"),'US CBAs'!$F$78,
IF(AND(E150="Gold Cup",F150="",G150="W"),'US CBAs'!$F$79,
IF(AND(E150="Gold Cup",G150="D"),'US CBAs'!$F$80,
IF(AND(E150="Copa America",F150="",G150="W"),'US CBAs'!$F$85,
IF(AND(E150="Copa America",G150="D"),'US CBAs'!$F$86,
IF(AND(E150="WCQ SF",G150="W"),'US CBAs'!$F$94,
IF(AND(E150="WCQ SF",G150="D"),'US CBAs'!$F$95,
IF(AND(E150="WCQ Hex",G150="W"),'US CBAs'!$F$98,
IF(AND(E150="WCQ Hex",G150="D"),'US CBAs'!$F$99,
IF(E150="World Cup",'US CBAs'!$F$104,
0))))))))))))))))</f>
        <v>5000</v>
      </c>
      <c r="L150" s="40">
        <v>23</v>
      </c>
      <c r="M150" s="60">
        <f t="shared" si="8"/>
        <v>115000</v>
      </c>
      <c r="N150" s="45">
        <f>IF(J150="",I150*'US CBAs'!$G$118,0)</f>
        <v>0</v>
      </c>
      <c r="O150" s="59">
        <f t="shared" si="9"/>
        <v>115000</v>
      </c>
      <c r="P150" s="61"/>
      <c r="Q150" s="232"/>
      <c r="R150" s="235"/>
      <c r="S150" s="233"/>
      <c r="T150" s="241"/>
    </row>
    <row r="151" spans="1:21" x14ac:dyDescent="0.35">
      <c r="A151" s="49" t="s">
        <v>223</v>
      </c>
      <c r="B151" s="195">
        <v>25</v>
      </c>
      <c r="C151" s="50">
        <v>2016</v>
      </c>
      <c r="D151" s="49" t="s">
        <v>64</v>
      </c>
      <c r="E151" s="49" t="s">
        <v>238</v>
      </c>
      <c r="F151" s="49"/>
      <c r="G151" s="49" t="s">
        <v>33</v>
      </c>
      <c r="H151" s="49" t="s">
        <v>493</v>
      </c>
      <c r="I151" s="57">
        <v>29041</v>
      </c>
      <c r="J151" s="40" t="s">
        <v>218</v>
      </c>
      <c r="K151" s="45">
        <f>IF(G151="L",'US CBAs'!$F$73,
IF(AND(E151="Friendly",F151="T1",G151="W"),'US CBAs'!$F$68,
IF(AND(E151="Friendly",F151="T2",G151="W"),'US CBAs'!$F$69,
IF(AND(E151="Friendly",F151="",G151="W"),'US CBAs'!$F$70,
IF(AND(E151="Friendly",F151="T1",G151="D"),'US CBAs'!$F$71,
IF(AND(E151="Friendly",F151="",G151="D"),'US CBAs'!$F$72,
IF(AND(E151="Gold Cup",F151="T1",G151="W"),'US CBAs'!$F$78,
IF(AND(E151="Gold Cup",F151="",G151="W"),'US CBAs'!$F$79,
IF(AND(E151="Gold Cup",G151="D"),'US CBAs'!$F$80,
IF(AND(E151="Copa America",F151="",G151="W"),'US CBAs'!$F$85,
IF(AND(E151="Copa America",G151="D"),'US CBAs'!$F$86,
IF(AND(E151="WCQ SF",G151="W"),'US CBAs'!$F$94,
IF(AND(E151="WCQ SF",G151="D"),'US CBAs'!$F$95,
IF(AND(E151="WCQ Hex",G151="W"),'US CBAs'!$F$98,
IF(AND(E151="WCQ Hex",G151="D"),'US CBAs'!$F$99,
IF(E151="World Cup",'US CBAs'!$F$104,
0))))))))))))))))</f>
        <v>5000</v>
      </c>
      <c r="L151" s="40">
        <v>23</v>
      </c>
      <c r="M151" s="60">
        <f t="shared" ref="M151:M196" si="10">K151*L151</f>
        <v>115000</v>
      </c>
      <c r="N151" s="45">
        <f>IF(J151="",I151*'US CBAs'!$G$118,0)</f>
        <v>0</v>
      </c>
      <c r="O151" s="59">
        <f t="shared" ref="O151:O196" si="11">M151+N151</f>
        <v>115000</v>
      </c>
      <c r="P151" s="61"/>
      <c r="Q151" s="233"/>
      <c r="R151" s="236"/>
      <c r="S151" s="233"/>
      <c r="T151" s="241"/>
    </row>
    <row r="152" spans="1:21" x14ac:dyDescent="0.35">
      <c r="A152" s="49" t="s">
        <v>222</v>
      </c>
      <c r="B152" s="195">
        <v>2</v>
      </c>
      <c r="C152" s="50">
        <v>2016</v>
      </c>
      <c r="D152" s="49" t="s">
        <v>237</v>
      </c>
      <c r="E152" s="49" t="s">
        <v>234</v>
      </c>
      <c r="F152" s="49"/>
      <c r="G152" s="49" t="s">
        <v>20</v>
      </c>
      <c r="H152" s="49" t="s">
        <v>236</v>
      </c>
      <c r="I152" s="57" t="s">
        <v>235</v>
      </c>
      <c r="J152" s="40" t="s">
        <v>218</v>
      </c>
      <c r="K152" s="45">
        <f>IF(G152="L",'US CBAs'!$F$73,
IF(AND(E152="Friendly",F152="T1",G152="W"),'US CBAs'!$F$68,
IF(AND(E152="Friendly",F152="T2",G152="W"),'US CBAs'!$F$69,
IF(AND(E152="Friendly",F152="",G152="W"),'US CBAs'!$F$70,
IF(AND(E152="Friendly",F152="T1",G152="D"),'US CBAs'!$F$71,
IF(AND(E152="Friendly",F152="",G152="D"),'US CBAs'!$F$72,
IF(AND(E152="Gold Cup",F152="T1",G152="W"),'US CBAs'!$F$78,
IF(AND(E152="Gold Cup",F152="",G152="W"),'US CBAs'!$F$79,
IF(AND(E152="Gold Cup",G152="D"),'US CBAs'!$F$80,
IF(AND(E152="Copa America",F152="",G152="W"),'US CBAs'!$F$85,
IF(AND(E152="Copa America",G152="D"),'US CBAs'!$F$86,
IF(AND(E152="WCQ SF",G152="W"),'US CBAs'!$F$94,
IF(AND(E152="WCQ SF",G152="D"),'US CBAs'!$F$95,
IF(AND(E152="WCQ Hex",G152="W"),'US CBAs'!$F$98,
IF(AND(E152="WCQ Hex",G152="D"),'US CBAs'!$F$99,
IF(E152="World Cup",'US CBAs'!$F$104,
0))))))))))))))))</f>
        <v>15625</v>
      </c>
      <c r="L152" s="40">
        <v>23</v>
      </c>
      <c r="M152" s="60">
        <f t="shared" si="10"/>
        <v>359375</v>
      </c>
      <c r="N152" s="45">
        <f>IF(J152="",I152*'US CBAs'!$G$118,0)</f>
        <v>0</v>
      </c>
      <c r="O152" s="59">
        <f t="shared" si="11"/>
        <v>359375</v>
      </c>
      <c r="P152" s="61"/>
      <c r="Q152" s="233"/>
      <c r="R152" s="237"/>
      <c r="S152" s="233"/>
      <c r="T152" s="241"/>
    </row>
    <row r="153" spans="1:21" x14ac:dyDescent="0.35">
      <c r="A153" s="49" t="s">
        <v>222</v>
      </c>
      <c r="B153" s="195">
        <v>6</v>
      </c>
      <c r="C153" s="50">
        <v>2016</v>
      </c>
      <c r="D153" s="49" t="s">
        <v>228</v>
      </c>
      <c r="E153" s="49" t="s">
        <v>234</v>
      </c>
      <c r="F153" s="49"/>
      <c r="G153" s="49" t="s">
        <v>20</v>
      </c>
      <c r="H153" s="49" t="s">
        <v>482</v>
      </c>
      <c r="I153" s="57">
        <v>19410</v>
      </c>
      <c r="J153" s="40"/>
      <c r="K153" s="45">
        <f>IF(G153="L",'US CBAs'!$F$73,
IF(AND(E153="Friendly",F153="T1",G153="W"),'US CBAs'!$F$68,
IF(AND(E153="Friendly",F153="T2",G153="W"),'US CBAs'!$F$69,
IF(AND(E153="Friendly",F153="",G153="W"),'US CBAs'!$F$70,
IF(AND(E153="Friendly",F153="T1",G153="D"),'US CBAs'!$F$71,
IF(AND(E153="Friendly",F153="",G153="D"),'US CBAs'!$F$72,
IF(AND(E153="Gold Cup",F153="T1",G153="W"),'US CBAs'!$F$78,
IF(AND(E153="Gold Cup",F153="",G153="W"),'US CBAs'!$F$79,
IF(AND(E153="Gold Cup",G153="D"),'US CBAs'!$F$80,
IF(AND(E153="Copa America",F153="",G153="W"),'US CBAs'!$F$85,
IF(AND(E153="Copa America",G153="D"),'US CBAs'!$F$86,
IF(AND(E153="WCQ SF",G153="W"),'US CBAs'!$F$94,
IF(AND(E153="WCQ SF",G153="D"),'US CBAs'!$F$95,
IF(AND(E153="WCQ Hex",G153="W"),'US CBAs'!$F$98,
IF(AND(E153="WCQ Hex",G153="D"),'US CBAs'!$F$99,
IF(E153="World Cup",'US CBAs'!$F$104,
0))))))))))))))))</f>
        <v>15625</v>
      </c>
      <c r="L153" s="40">
        <v>23</v>
      </c>
      <c r="M153" s="60">
        <f t="shared" si="10"/>
        <v>359375</v>
      </c>
      <c r="N153" s="45">
        <f>IF(J153="",I153*'US CBAs'!$G$118,0)</f>
        <v>29115</v>
      </c>
      <c r="O153" s="59">
        <f t="shared" si="11"/>
        <v>388490</v>
      </c>
      <c r="P153" s="61"/>
      <c r="Q153" s="233"/>
      <c r="R153" s="237"/>
      <c r="S153" s="233"/>
      <c r="T153" s="241"/>
    </row>
    <row r="154" spans="1:21" x14ac:dyDescent="0.35">
      <c r="A154" s="49" t="s">
        <v>189</v>
      </c>
      <c r="B154" s="195">
        <v>7</v>
      </c>
      <c r="C154" s="50">
        <v>2016</v>
      </c>
      <c r="D154" s="49" t="s">
        <v>45</v>
      </c>
      <c r="E154" s="49" t="s">
        <v>220</v>
      </c>
      <c r="F154" s="49"/>
      <c r="G154" s="49" t="s">
        <v>20</v>
      </c>
      <c r="H154" s="49" t="s">
        <v>45</v>
      </c>
      <c r="I154" s="57">
        <v>7000</v>
      </c>
      <c r="J154" s="40" t="s">
        <v>218</v>
      </c>
      <c r="K154" s="45">
        <f>IF(G154="L",'US CBAs'!$F$73,
IF(AND(E154="Friendly",F154="T1",G154="W"),'US CBAs'!$F$68,
IF(AND(E154="Friendly",F154="T2",G154="W"),'US CBAs'!$F$69,
IF(AND(E154="Friendly",F154="",G154="W"),'US CBAs'!$F$70,
IF(AND(E154="Friendly",F154="T1",G154="D"),'US CBAs'!$F$71,
IF(AND(E154="Friendly",F154="",G154="D"),'US CBAs'!$F$72,
IF(AND(E154="Gold Cup",F154="T1",G154="W"),'US CBAs'!$F$78,
IF(AND(E154="Gold Cup",F154="",G154="W"),'US CBAs'!$F$79,
IF(AND(E154="Gold Cup",G154="D"),'US CBAs'!$F$80,
IF(AND(E154="Copa America",F154="",G154="W"),'US CBAs'!$F$85,
IF(AND(E154="Copa America",G154="D"),'US CBAs'!$F$86,
IF(AND(E154="WCQ SF",G154="W"),'US CBAs'!$F$94,
IF(AND(E154="WCQ SF",G154="D"),'US CBAs'!$F$95,
IF(AND(E154="WCQ Hex",G154="W"),'US CBAs'!$F$98,
IF(AND(E154="WCQ Hex",G154="D"),'US CBAs'!$F$99,
IF(E154="World Cup",'US CBAs'!$F$104,
0))))))))))))))))</f>
        <v>9375</v>
      </c>
      <c r="L154" s="40">
        <v>20</v>
      </c>
      <c r="M154" s="60">
        <f t="shared" si="10"/>
        <v>187500</v>
      </c>
      <c r="N154" s="45">
        <f>IF(J154="",I154*'US CBAs'!$G$118,0)</f>
        <v>0</v>
      </c>
      <c r="O154" s="59">
        <f t="shared" si="11"/>
        <v>187500</v>
      </c>
      <c r="P154" s="61"/>
      <c r="U154" s="80"/>
    </row>
    <row r="155" spans="1:21" x14ac:dyDescent="0.35">
      <c r="A155" s="49" t="s">
        <v>189</v>
      </c>
      <c r="B155" s="195">
        <v>11</v>
      </c>
      <c r="C155" s="50">
        <v>2016</v>
      </c>
      <c r="D155" s="49" t="s">
        <v>38</v>
      </c>
      <c r="E155" s="49" t="s">
        <v>220</v>
      </c>
      <c r="F155" s="49"/>
      <c r="G155" s="49" t="s">
        <v>83</v>
      </c>
      <c r="H155" s="49" t="s">
        <v>491</v>
      </c>
      <c r="I155" s="57">
        <v>9012</v>
      </c>
      <c r="J155" s="40"/>
      <c r="K155" s="45">
        <f>IF(G155="L",'US CBAs'!$F$73,
IF(AND(E155="Friendly",F155="T1",G155="W"),'US CBAs'!$F$68,
IF(AND(E155="Friendly",F155="T2",G155="W"),'US CBAs'!$F$69,
IF(AND(E155="Friendly",F155="",G155="W"),'US CBAs'!$F$70,
IF(AND(E155="Friendly",F155="T1",G155="D"),'US CBAs'!$F$71,
IF(AND(E155="Friendly",F155="",G155="D"),'US CBAs'!$F$72,
IF(AND(E155="Gold Cup",F155="T1",G155="W"),'US CBAs'!$F$78,
IF(AND(E155="Gold Cup",F155="",G155="W"),'US CBAs'!$F$79,
IF(AND(E155="Gold Cup",G155="D"),'US CBAs'!$F$80,
IF(AND(E155="Copa America",F155="",G155="W"),'US CBAs'!$F$85,
IF(AND(E155="Copa America",G155="D"),'US CBAs'!$F$86,
IF(AND(E155="WCQ SF",G155="W"),'US CBAs'!$F$94,
IF(AND(E155="WCQ SF",G155="D"),'US CBAs'!$F$95,
IF(AND(E155="WCQ Hex",G155="W"),'US CBAs'!$F$98,
IF(AND(E155="WCQ Hex",G155="D"),'US CBAs'!$F$99,
IF(E155="World Cup",'US CBAs'!$F$104,
0))))))))))))))))</f>
        <v>6250</v>
      </c>
      <c r="L155" s="40">
        <v>20</v>
      </c>
      <c r="M155" s="60">
        <f t="shared" si="10"/>
        <v>125000</v>
      </c>
      <c r="N155" s="45">
        <f>IF(J155="",I155*'US CBAs'!$G$118,0)</f>
        <v>13518</v>
      </c>
      <c r="O155" s="59">
        <f t="shared" si="11"/>
        <v>138518</v>
      </c>
      <c r="P155" s="61"/>
      <c r="U155" s="80"/>
    </row>
    <row r="156" spans="1:21" x14ac:dyDescent="0.35">
      <c r="A156" s="49" t="s">
        <v>190</v>
      </c>
      <c r="B156" s="195">
        <v>11</v>
      </c>
      <c r="C156" s="50">
        <v>2016</v>
      </c>
      <c r="D156" s="49" t="s">
        <v>35</v>
      </c>
      <c r="E156" s="49" t="s">
        <v>227</v>
      </c>
      <c r="F156" s="49"/>
      <c r="G156" s="49" t="s">
        <v>33</v>
      </c>
      <c r="H156" s="49" t="s">
        <v>495</v>
      </c>
      <c r="I156" s="57">
        <v>24650</v>
      </c>
      <c r="J156" s="40"/>
      <c r="K156" s="45">
        <f>IF(G156="L",'US CBAs'!$F$73,
IF(AND(E156="Friendly",F156="T1",G156="W"),'US CBAs'!$F$68,
IF(AND(E156="Friendly",F156="T2",G156="W"),'US CBAs'!$F$69,
IF(AND(E156="Friendly",F156="",G156="W"),'US CBAs'!$F$70,
IF(AND(E156="Friendly",F156="T1",G156="D"),'US CBAs'!$F$71,
IF(AND(E156="Friendly",F156="",G156="D"),'US CBAs'!$F$72,
IF(AND(E156="Gold Cup",F156="T1",G156="W"),'US CBAs'!$F$78,
IF(AND(E156="Gold Cup",F156="",G156="W"),'US CBAs'!$F$79,
IF(AND(E156="Gold Cup",G156="D"),'US CBAs'!$F$80,
IF(AND(E156="Copa America",F156="",G156="W"),'US CBAs'!$F$85,
IF(AND(E156="Copa America",G156="D"),'US CBAs'!$F$86,
IF(AND(E156="WCQ SF",G156="W"),'US CBAs'!$F$94,
IF(AND(E156="WCQ SF",G156="D"),'US CBAs'!$F$95,
IF(AND(E156="WCQ Hex",G156="W"),'US CBAs'!$F$98,
IF(AND(E156="WCQ Hex",G156="D"),'US CBAs'!$F$99,
IF(E156="World Cup",'US CBAs'!$F$104,
0))))))))))))))))</f>
        <v>5000</v>
      </c>
      <c r="L156" s="40">
        <v>23</v>
      </c>
      <c r="M156" s="60">
        <f t="shared" si="10"/>
        <v>115000</v>
      </c>
      <c r="N156" s="45">
        <f>IF(J156="",I156*'US CBAs'!$G$118,0)</f>
        <v>36975</v>
      </c>
      <c r="O156" s="59">
        <f t="shared" si="11"/>
        <v>151975</v>
      </c>
      <c r="P156" s="61"/>
      <c r="Q156" s="233"/>
      <c r="R156" s="237"/>
      <c r="S156" s="233"/>
      <c r="T156" s="241"/>
      <c r="U156" s="80"/>
    </row>
    <row r="157" spans="1:21" x14ac:dyDescent="0.35">
      <c r="A157" s="49" t="s">
        <v>190</v>
      </c>
      <c r="B157" s="195">
        <v>15</v>
      </c>
      <c r="C157" s="50">
        <v>2016</v>
      </c>
      <c r="D157" s="49" t="s">
        <v>36</v>
      </c>
      <c r="E157" s="49" t="s">
        <v>227</v>
      </c>
      <c r="F157" s="49"/>
      <c r="G157" s="49" t="s">
        <v>33</v>
      </c>
      <c r="H157" s="49" t="s">
        <v>36</v>
      </c>
      <c r="I157" s="57">
        <v>35400</v>
      </c>
      <c r="J157" s="40" t="s">
        <v>218</v>
      </c>
      <c r="K157" s="45">
        <f>IF(G157="L",'US CBAs'!$F$73,
IF(AND(E157="Friendly",F157="T1",G157="W"),'US CBAs'!$F$68,
IF(AND(E157="Friendly",F157="T2",G157="W"),'US CBAs'!$F$69,
IF(AND(E157="Friendly",F157="",G157="W"),'US CBAs'!$F$70,
IF(AND(E157="Friendly",F157="T1",G157="D"),'US CBAs'!$F$71,
IF(AND(E157="Friendly",F157="",G157="D"),'US CBAs'!$F$72,
IF(AND(E157="Gold Cup",F157="T1",G157="W"),'US CBAs'!$F$78,
IF(AND(E157="Gold Cup",F157="",G157="W"),'US CBAs'!$F$79,
IF(AND(E157="Gold Cup",G157="D"),'US CBAs'!$F$80,
IF(AND(E157="Copa America",F157="",G157="W"),'US CBAs'!$F$85,
IF(AND(E157="Copa America",G157="D"),'US CBAs'!$F$86,
IF(AND(E157="WCQ SF",G157="W"),'US CBAs'!$F$94,
IF(AND(E157="WCQ SF",G157="D"),'US CBAs'!$F$95,
IF(AND(E157="WCQ Hex",G157="W"),'US CBAs'!$F$98,
IF(AND(E157="WCQ Hex",G157="D"),'US CBAs'!$F$99,
IF(E157="World Cup",'US CBAs'!$F$104,
0))))))))))))))))</f>
        <v>5000</v>
      </c>
      <c r="L157" s="40">
        <v>23</v>
      </c>
      <c r="M157" s="60">
        <f t="shared" si="10"/>
        <v>115000</v>
      </c>
      <c r="N157" s="45">
        <f>IF(J157="",I157*'US CBAs'!$G$118,0)</f>
        <v>0</v>
      </c>
      <c r="O157" s="59">
        <f t="shared" si="11"/>
        <v>115000</v>
      </c>
      <c r="P157" s="61"/>
      <c r="Q157" s="253" t="s">
        <v>389</v>
      </c>
      <c r="R157" s="262" t="s">
        <v>6</v>
      </c>
      <c r="S157" s="262" t="s">
        <v>18</v>
      </c>
      <c r="T157" s="263" t="s">
        <v>91</v>
      </c>
      <c r="U157" s="80"/>
    </row>
    <row r="158" spans="1:21" x14ac:dyDescent="0.35">
      <c r="A158" s="49"/>
      <c r="B158" s="195"/>
      <c r="C158" s="50"/>
      <c r="D158" s="58" t="s">
        <v>392</v>
      </c>
      <c r="E158" s="49"/>
      <c r="F158" s="49"/>
      <c r="G158" s="49"/>
      <c r="H158" s="49"/>
      <c r="I158" s="57"/>
      <c r="J158" s="40"/>
      <c r="K158" s="54">
        <f>'US CBAs'!$F$75</f>
        <v>1875</v>
      </c>
      <c r="L158" s="56">
        <v>10</v>
      </c>
      <c r="M158" s="54">
        <f t="shared" si="10"/>
        <v>18750</v>
      </c>
      <c r="N158" s="55"/>
      <c r="O158" s="54">
        <f t="shared" si="11"/>
        <v>18750</v>
      </c>
      <c r="P158" s="61"/>
      <c r="Q158" s="275" t="s">
        <v>390</v>
      </c>
      <c r="R158" s="261">
        <f>'US CBAs'!$F$92</f>
        <v>12500</v>
      </c>
      <c r="S158" s="259">
        <v>23</v>
      </c>
      <c r="T158" s="252">
        <f>R158*S158</f>
        <v>287500</v>
      </c>
    </row>
    <row r="159" spans="1:21" x14ac:dyDescent="0.35">
      <c r="A159" s="49"/>
      <c r="B159" s="195"/>
      <c r="C159" s="50"/>
      <c r="D159" s="58" t="s">
        <v>401</v>
      </c>
      <c r="E159" s="49"/>
      <c r="F159" s="49"/>
      <c r="G159" s="49"/>
      <c r="H159" s="49"/>
      <c r="I159" s="57"/>
      <c r="J159" s="40"/>
      <c r="K159" s="54">
        <f>'US CBAs'!$F$76</f>
        <v>2500</v>
      </c>
      <c r="L159" s="56">
        <v>10</v>
      </c>
      <c r="M159" s="54">
        <f t="shared" si="10"/>
        <v>25000</v>
      </c>
      <c r="N159" s="55"/>
      <c r="O159" s="54">
        <f t="shared" si="11"/>
        <v>25000</v>
      </c>
      <c r="P159" s="61"/>
      <c r="Q159" s="274" t="s">
        <v>391</v>
      </c>
      <c r="R159" s="261">
        <f>'US CBAs'!$F$91</f>
        <v>6875</v>
      </c>
      <c r="S159" s="259">
        <v>23</v>
      </c>
      <c r="T159" s="252">
        <f>R159*S159</f>
        <v>158125</v>
      </c>
    </row>
    <row r="160" spans="1:21" ht="13.15" x14ac:dyDescent="0.4">
      <c r="A160" s="289" t="s">
        <v>24</v>
      </c>
      <c r="B160" s="290"/>
      <c r="C160" s="290"/>
      <c r="D160" s="289"/>
      <c r="E160" s="289"/>
      <c r="F160" s="289"/>
      <c r="G160" s="289"/>
      <c r="H160" s="289"/>
      <c r="I160" s="291"/>
      <c r="J160" s="289"/>
      <c r="K160" s="291"/>
      <c r="L160" s="289"/>
      <c r="M160" s="298">
        <f>SUBTOTAL(109,Table8[Game pay])</f>
        <v>4099000</v>
      </c>
      <c r="N160" s="204">
        <f>SUBTOTAL(109,Table8[Att bonus])</f>
        <v>165840</v>
      </c>
      <c r="O160" s="292">
        <f>SUBTOTAL(109,Table8[TEAM PAY])</f>
        <v>4264840</v>
      </c>
      <c r="P160" s="61"/>
      <c r="Q160" s="47" t="s">
        <v>90</v>
      </c>
      <c r="R160" s="299"/>
      <c r="S160" s="300"/>
      <c r="T160" s="257">
        <f>SUM(T158+T159)</f>
        <v>445625</v>
      </c>
    </row>
    <row r="161" spans="1:21" x14ac:dyDescent="0.35">
      <c r="A161" s="289"/>
      <c r="B161" s="290"/>
      <c r="C161" s="290"/>
      <c r="D161" s="289"/>
      <c r="E161" s="289"/>
      <c r="F161" s="289"/>
      <c r="G161" s="289"/>
      <c r="H161" s="289"/>
      <c r="I161" s="291"/>
      <c r="J161" s="289"/>
      <c r="K161" s="289"/>
      <c r="L161" s="289"/>
      <c r="M161" s="292"/>
      <c r="N161" s="294" t="s">
        <v>398</v>
      </c>
      <c r="O161" s="294">
        <f>$T160</f>
        <v>445625</v>
      </c>
      <c r="P161" s="61"/>
      <c r="Q161" s="239"/>
      <c r="R161" s="239"/>
      <c r="S161" s="247"/>
      <c r="T161" s="248"/>
      <c r="U161" s="80"/>
    </row>
    <row r="162" spans="1:21" x14ac:dyDescent="0.35">
      <c r="A162" s="49"/>
      <c r="B162" s="195"/>
      <c r="C162" s="50"/>
      <c r="D162" s="53"/>
      <c r="E162" s="49"/>
      <c r="F162" s="49"/>
      <c r="G162" s="49"/>
      <c r="H162" s="49"/>
      <c r="I162" s="57"/>
      <c r="J162" s="40"/>
      <c r="K162" s="59"/>
      <c r="L162" s="40"/>
      <c r="M162" s="52"/>
      <c r="N162" s="52" t="s">
        <v>90</v>
      </c>
      <c r="O162" s="52">
        <f>O160+O161</f>
        <v>4710465</v>
      </c>
      <c r="P162" s="61"/>
      <c r="Q162" s="242"/>
      <c r="R162" s="242"/>
      <c r="S162" s="247"/>
      <c r="T162" s="248"/>
      <c r="U162" s="80"/>
    </row>
    <row r="163" spans="1:21" x14ac:dyDescent="0.35">
      <c r="A163" s="49"/>
      <c r="B163" s="195"/>
      <c r="C163" s="50"/>
      <c r="D163" s="49"/>
      <c r="E163" s="49"/>
      <c r="F163" s="49"/>
      <c r="G163" s="49"/>
      <c r="H163" s="49"/>
      <c r="I163" s="57"/>
      <c r="J163" s="40"/>
      <c r="K163" s="45"/>
      <c r="L163" s="40"/>
      <c r="M163" s="60"/>
      <c r="N163" s="45"/>
      <c r="O163" s="59"/>
      <c r="P163" s="61"/>
      <c r="Q163" s="232"/>
      <c r="R163" s="238"/>
      <c r="S163" s="233"/>
      <c r="T163" s="241"/>
    </row>
    <row r="164" spans="1:21" x14ac:dyDescent="0.35">
      <c r="A164" s="53" t="s">
        <v>249</v>
      </c>
      <c r="B164" s="194" t="s">
        <v>248</v>
      </c>
      <c r="C164" s="65" t="s">
        <v>247</v>
      </c>
      <c r="D164" s="53" t="s">
        <v>15</v>
      </c>
      <c r="E164" s="53" t="s">
        <v>194</v>
      </c>
      <c r="F164" s="53" t="s">
        <v>246</v>
      </c>
      <c r="G164" s="53" t="s">
        <v>16</v>
      </c>
      <c r="H164" s="53" t="s">
        <v>245</v>
      </c>
      <c r="I164" s="64" t="s">
        <v>14</v>
      </c>
      <c r="J164" s="47" t="s">
        <v>244</v>
      </c>
      <c r="K164" s="47" t="s">
        <v>243</v>
      </c>
      <c r="L164" s="47" t="s">
        <v>17</v>
      </c>
      <c r="M164" s="47" t="s">
        <v>219</v>
      </c>
      <c r="N164" s="63" t="s">
        <v>242</v>
      </c>
      <c r="O164" s="47" t="s">
        <v>241</v>
      </c>
      <c r="P164" s="61"/>
      <c r="Q164" s="280" t="s">
        <v>411</v>
      </c>
      <c r="R164" s="281"/>
      <c r="S164" s="233"/>
      <c r="T164" s="241"/>
    </row>
    <row r="165" spans="1:21" x14ac:dyDescent="0.35">
      <c r="A165" s="49" t="s">
        <v>191</v>
      </c>
      <c r="B165" s="195">
        <v>29</v>
      </c>
      <c r="C165" s="50">
        <v>2017</v>
      </c>
      <c r="D165" s="49" t="s">
        <v>75</v>
      </c>
      <c r="E165" s="49" t="s">
        <v>220</v>
      </c>
      <c r="F165" s="49"/>
      <c r="G165" s="49" t="s">
        <v>83</v>
      </c>
      <c r="H165" s="49" t="s">
        <v>481</v>
      </c>
      <c r="I165" s="57">
        <v>20079</v>
      </c>
      <c r="K165" s="45">
        <f>IF(G165="L",'US CBAs'!$F$73,
IF(AND(E165="Friendly",F165="T1",G165="W"),'US CBAs'!$F$68,
IF(AND(E165="Friendly",F165="T2",G165="W"),'US CBAs'!$F$69,
IF(AND(E165="Friendly",F165="",G165="W"),'US CBAs'!$F$70,
IF(AND(E165="Friendly",F165="T1",G165="D"),'US CBAs'!$F$71,
IF(AND(E165="Friendly",F165="",G165="D"),'US CBAs'!$F$72,
IF(AND(E165="Gold Cup",F165="T1",G165="W"),'US CBAs'!$F$78,
IF(AND(E165="Gold Cup",F165="",G165="W"),'US CBAs'!$F$79,
IF(AND(E165="Gold Cup",G165="D"),'US CBAs'!$F$80,
IF(AND(E165="Copa America",F165="",G165="W"),'US CBAs'!$F$85,
IF(AND(E165="Copa America",G165="D"),'US CBAs'!$F$86,
IF(AND(E165="WCQ SF",G165="W"),'US CBAs'!$F$94,
IF(AND(E165="WCQ SF",G165="D"),'US CBAs'!$F$95,
IF(AND(E165="WCQ Hex",G165="W"),'US CBAs'!$F$98,
IF(AND(E165="WCQ Hex",G165="D"),'US CBAs'!$F$99,
IF(E165="World Cup",'US CBAs'!$F$104,
0))))))))))))))))</f>
        <v>6250</v>
      </c>
      <c r="L165" s="40">
        <v>20</v>
      </c>
      <c r="M165" s="60">
        <f t="shared" si="10"/>
        <v>125000</v>
      </c>
      <c r="N165" s="45">
        <f>IF(J165="",I165*'US CBAs'!$G$118,0)</f>
        <v>30118.5</v>
      </c>
      <c r="O165" s="59">
        <f t="shared" si="11"/>
        <v>155118.5</v>
      </c>
      <c r="P165" s="61"/>
      <c r="Q165" s="282" t="s">
        <v>219</v>
      </c>
      <c r="R165" s="283">
        <f>SUM(M143:M159)+SUM(M165:M168)</f>
        <v>4209000</v>
      </c>
      <c r="S165" s="233"/>
      <c r="T165" s="241"/>
    </row>
    <row r="166" spans="1:21" x14ac:dyDescent="0.35">
      <c r="A166" s="49" t="s">
        <v>192</v>
      </c>
      <c r="B166" s="195">
        <v>3</v>
      </c>
      <c r="C166" s="50">
        <v>2017</v>
      </c>
      <c r="D166" s="49" t="s">
        <v>40</v>
      </c>
      <c r="E166" s="49" t="s">
        <v>220</v>
      </c>
      <c r="F166" s="49"/>
      <c r="G166" s="49" t="s">
        <v>20</v>
      </c>
      <c r="H166" s="49" t="s">
        <v>486</v>
      </c>
      <c r="I166" s="57">
        <v>17903</v>
      </c>
      <c r="J166" s="40"/>
      <c r="K166" s="45">
        <f>IF(G166="L",'US CBAs'!$F$73,
IF(AND(E166="Friendly",F166="T1",G166="W"),'US CBAs'!$F$68,
IF(AND(E166="Friendly",F166="T2",G166="W"),'US CBAs'!$F$69,
IF(AND(E166="Friendly",F166="",G166="W"),'US CBAs'!$F$70,
IF(AND(E166="Friendly",F166="T1",G166="D"),'US CBAs'!$F$71,
IF(AND(E166="Friendly",F166="",G166="D"),'US CBAs'!$F$72,
IF(AND(E166="Gold Cup",F166="T1",G166="W"),'US CBAs'!$F$78,
IF(AND(E166="Gold Cup",F166="",G166="W"),'US CBAs'!$F$79,
IF(AND(E166="Gold Cup",G166="D"),'US CBAs'!$F$80,
IF(AND(E166="Copa America",F166="",G166="W"),'US CBAs'!$F$85,
IF(AND(E166="Copa America",G166="D"),'US CBAs'!$F$86,
IF(AND(E166="WCQ SF",G166="W"),'US CBAs'!$F$94,
IF(AND(E166="WCQ SF",G166="D"),'US CBAs'!$F$95,
IF(AND(E166="WCQ Hex",G166="W"),'US CBAs'!$F$98,
IF(AND(E166="WCQ Hex",G166="D"),'US CBAs'!$F$99,
IF(E166="World Cup",'US CBAs'!$F$104,
0))))))))))))))))</f>
        <v>9375</v>
      </c>
      <c r="L166" s="40">
        <v>20</v>
      </c>
      <c r="M166" s="60">
        <f t="shared" si="10"/>
        <v>187500</v>
      </c>
      <c r="N166" s="45">
        <f>IF(J166="",I166*'US CBAs'!$G$118,0)</f>
        <v>26854.5</v>
      </c>
      <c r="O166" s="59">
        <f t="shared" si="11"/>
        <v>214354.5</v>
      </c>
      <c r="P166" s="61"/>
      <c r="Q166" s="284" t="s">
        <v>394</v>
      </c>
      <c r="R166" s="283">
        <f>SUM(N143:N159)+SUM(N165:N168)</f>
        <v>191355</v>
      </c>
      <c r="S166" s="233"/>
      <c r="T166" s="241"/>
    </row>
    <row r="167" spans="1:21" x14ac:dyDescent="0.35">
      <c r="A167" s="49" t="s">
        <v>221</v>
      </c>
      <c r="B167" s="195">
        <v>24</v>
      </c>
      <c r="C167" s="50">
        <v>2017</v>
      </c>
      <c r="D167" s="49" t="s">
        <v>32</v>
      </c>
      <c r="E167" s="49" t="s">
        <v>227</v>
      </c>
      <c r="F167" s="49"/>
      <c r="G167" s="49" t="s">
        <v>20</v>
      </c>
      <c r="H167" s="49" t="s">
        <v>481</v>
      </c>
      <c r="I167" s="57">
        <v>17729</v>
      </c>
      <c r="J167" s="40"/>
      <c r="K167" s="45">
        <f>IF(G167="L",'US CBAs'!$F$73,
IF(AND(E167="Friendly",F167="T1",G167="W"),'US CBAs'!$F$68,
IF(AND(E167="Friendly",F167="T2",G167="W"),'US CBAs'!$F$69,
IF(AND(E167="Friendly",F167="",G167="W"),'US CBAs'!$F$70,
IF(AND(E167="Friendly",F167="T1",G167="D"),'US CBAs'!$F$71,
IF(AND(E167="Friendly",F167="",G167="D"),'US CBAs'!$F$72,
IF(AND(E167="Gold Cup",F167="T1",G167="W"),'US CBAs'!$F$78,
IF(AND(E167="Gold Cup",F167="",G167="W"),'US CBAs'!$F$79,
IF(AND(E167="Gold Cup",G167="D"),'US CBAs'!$F$80,
IF(AND(E167="Copa America",F167="",G167="W"),'US CBAs'!$F$85,
IF(AND(E167="Copa America",G167="D"),'US CBAs'!$F$86,
IF(AND(E167="WCQ SF",G167="W"),'US CBAs'!$F$94,
IF(AND(E167="WCQ SF",G167="D"),'US CBAs'!$F$95,
IF(AND(E167="WCQ Hex",G167="W"),'US CBAs'!$F$98,
IF(AND(E167="WCQ Hex",G167="D"),'US CBAs'!$F$99,
IF(E167="World Cup",'US CBAs'!$F$104,
0))))))))))))))))</f>
        <v>18125</v>
      </c>
      <c r="L167" s="40">
        <v>23</v>
      </c>
      <c r="M167" s="60">
        <f t="shared" si="10"/>
        <v>416875</v>
      </c>
      <c r="N167" s="45">
        <f>IF(J167="",I167*'US CBAs'!$G$118,0)</f>
        <v>26593.5</v>
      </c>
      <c r="O167" s="59">
        <f t="shared" si="11"/>
        <v>443468.5</v>
      </c>
      <c r="P167" s="61"/>
      <c r="Q167" s="285" t="s">
        <v>395</v>
      </c>
      <c r="R167" s="286">
        <f>R165+R166</f>
        <v>4400355</v>
      </c>
      <c r="S167" s="233"/>
      <c r="T167" s="241"/>
    </row>
    <row r="168" spans="1:21" x14ac:dyDescent="0.35">
      <c r="A168" s="49" t="s">
        <v>221</v>
      </c>
      <c r="B168" s="195">
        <v>28</v>
      </c>
      <c r="C168" s="50">
        <v>2017</v>
      </c>
      <c r="D168" s="49" t="s">
        <v>42</v>
      </c>
      <c r="E168" s="49" t="s">
        <v>227</v>
      </c>
      <c r="F168" s="49"/>
      <c r="G168" s="49" t="s">
        <v>83</v>
      </c>
      <c r="H168" s="49" t="s">
        <v>42</v>
      </c>
      <c r="I168" s="57">
        <v>23052</v>
      </c>
      <c r="J168" s="40" t="s">
        <v>218</v>
      </c>
      <c r="K168" s="45">
        <f>IF(G168="L",'US CBAs'!$F$73,
IF(AND(E168="Friendly",F168="T1",G168="W"),'US CBAs'!$F$68,
IF(AND(E168="Friendly",F168="T2",G168="W"),'US CBAs'!$F$69,
IF(AND(E168="Friendly",F168="",G168="W"),'US CBAs'!$F$70,
IF(AND(E168="Friendly",F168="T1",G168="D"),'US CBAs'!$F$71,
IF(AND(E168="Friendly",F168="",G168="D"),'US CBAs'!$F$72,
IF(AND(E168="Gold Cup",F168="T1",G168="W"),'US CBAs'!$F$78,
IF(AND(E168="Gold Cup",F168="",G168="W"),'US CBAs'!$F$79,
IF(AND(E168="Gold Cup",G168="D"),'US CBAs'!$F$80,
IF(AND(E168="Copa America",F168="",G168="W"),'US CBAs'!$F$85,
IF(AND(E168="Copa America",G168="D"),'US CBAs'!$F$86,
IF(AND(E168="WCQ SF",G168="W"),'US CBAs'!$F$94,
IF(AND(E168="WCQ SF",G168="D"),'US CBAs'!$F$95,
IF(AND(E168="WCQ Hex",G168="W"),'US CBAs'!$F$98,
IF(AND(E168="WCQ Hex",G168="D"),'US CBAs'!$F$99,
IF(E168="World Cup",'US CBAs'!$F$104,
0))))))))))))))))</f>
        <v>10000</v>
      </c>
      <c r="L168" s="40">
        <v>23</v>
      </c>
      <c r="M168" s="60">
        <f t="shared" si="10"/>
        <v>230000</v>
      </c>
      <c r="N168" s="45">
        <f>IF(J168="",I168*'US CBAs'!$G$118,0)</f>
        <v>0</v>
      </c>
      <c r="O168" s="59">
        <f t="shared" si="11"/>
        <v>230000</v>
      </c>
      <c r="P168" s="61"/>
      <c r="Q168" s="285" t="s">
        <v>183</v>
      </c>
      <c r="R168" s="286">
        <f>$T160</f>
        <v>445625</v>
      </c>
      <c r="S168" s="233"/>
      <c r="T168" s="241"/>
    </row>
    <row r="169" spans="1:21" x14ac:dyDescent="0.35">
      <c r="A169" s="49" t="s">
        <v>223</v>
      </c>
      <c r="B169" s="195">
        <v>3</v>
      </c>
      <c r="C169" s="50">
        <v>2017</v>
      </c>
      <c r="D169" s="49" t="s">
        <v>76</v>
      </c>
      <c r="E169" s="49" t="s">
        <v>220</v>
      </c>
      <c r="F169" s="49"/>
      <c r="G169" s="49" t="s">
        <v>83</v>
      </c>
      <c r="H169" s="49" t="s">
        <v>498</v>
      </c>
      <c r="I169" s="57">
        <v>17315</v>
      </c>
      <c r="J169" s="40"/>
      <c r="K169" s="45">
        <f>IF(G169="L",'US CBAs'!$F$73,
IF(AND(E169="Friendly",F169="T1",G169="W"),'US CBAs'!$F$68,
IF(AND(E169="Friendly",F169="T2",G169="W"),'US CBAs'!$F$69,
IF(AND(E169="Friendly",F169="",G169="W"),'US CBAs'!$F$70,
IF(AND(E169="Friendly",F169="T1",G169="D"),'US CBAs'!$F$71,
IF(AND(E169="Friendly",F169="",G169="D"),'US CBAs'!$F$72,
IF(AND(E169="Gold Cup",F169="T1",G169="W"),'US CBAs'!$F$78,
IF(AND(E169="Gold Cup",F169="",G169="W"),'US CBAs'!$F$79,
IF(AND(E169="Gold Cup",G169="D"),'US CBAs'!$F$80,
IF(AND(E169="Copa America",F169="",G169="W"),'US CBAs'!$F$85,
IF(AND(E169="Copa America",G169="D"),'US CBAs'!$F$86,
IF(AND(E169="WCQ SF",G169="W"),'US CBAs'!$F$94,
IF(AND(E169="WCQ SF",G169="D"),'US CBAs'!$F$95,
IF(AND(E169="WCQ Hex",G169="W"),'US CBAs'!$F$98,
IF(AND(E169="WCQ Hex",G169="D"),'US CBAs'!$F$99,
IF(E169="World Cup",'US CBAs'!$F$104,
0))))))))))))))))</f>
        <v>6250</v>
      </c>
      <c r="L169" s="40">
        <v>20</v>
      </c>
      <c r="M169" s="60">
        <f t="shared" si="10"/>
        <v>125000</v>
      </c>
      <c r="N169" s="45">
        <f>IF(J169="",I169*'US CBAs'!$G$118,0)</f>
        <v>25972.5</v>
      </c>
      <c r="O169" s="59">
        <f t="shared" si="11"/>
        <v>150972.5</v>
      </c>
      <c r="P169" s="61"/>
      <c r="Q169" s="287" t="s">
        <v>412</v>
      </c>
      <c r="R169" s="288">
        <f>R167+R168</f>
        <v>4845980</v>
      </c>
      <c r="S169" s="233"/>
      <c r="T169" s="241"/>
    </row>
    <row r="170" spans="1:21" x14ac:dyDescent="0.35">
      <c r="A170" s="49" t="s">
        <v>223</v>
      </c>
      <c r="B170" s="195">
        <v>8</v>
      </c>
      <c r="C170" s="50">
        <v>2017</v>
      </c>
      <c r="D170" s="49" t="s">
        <v>228</v>
      </c>
      <c r="E170" s="49" t="s">
        <v>227</v>
      </c>
      <c r="F170" s="49"/>
      <c r="G170" s="49" t="s">
        <v>20</v>
      </c>
      <c r="H170" s="40" t="s">
        <v>496</v>
      </c>
      <c r="I170" s="57">
        <v>19188</v>
      </c>
      <c r="J170" s="40"/>
      <c r="K170" s="45">
        <f>IF(G170="L",'US CBAs'!$F$73,
IF(AND(E170="Friendly",F170="T1",G170="W"),'US CBAs'!$F$68,
IF(AND(E170="Friendly",F170="T2",G170="W"),'US CBAs'!$F$69,
IF(AND(E170="Friendly",F170="",G170="W"),'US CBAs'!$F$70,
IF(AND(E170="Friendly",F170="T1",G170="D"),'US CBAs'!$F$71,
IF(AND(E170="Friendly",F170="",G170="D"),'US CBAs'!$F$72,
IF(AND(E170="Gold Cup",F170="T1",G170="W"),'US CBAs'!$F$78,
IF(AND(E170="Gold Cup",F170="",G170="W"),'US CBAs'!$F$79,
IF(AND(E170="Gold Cup",G170="D"),'US CBAs'!$F$80,
IF(AND(E170="Copa America",F170="",G170="W"),'US CBAs'!$F$85,
IF(AND(E170="Copa America",G170="D"),'US CBAs'!$F$86,
IF(AND(E170="WCQ SF",G170="W"),'US CBAs'!$F$94,
IF(AND(E170="WCQ SF",G170="D"),'US CBAs'!$F$95,
IF(AND(E170="WCQ Hex",G170="W"),'US CBAs'!$F$98,
IF(AND(E170="WCQ Hex",G170="D"),'US CBAs'!$F$99,
IF(E170="World Cup",'US CBAs'!$F$104,
0))))))))))))))))</f>
        <v>18125</v>
      </c>
      <c r="L170" s="40">
        <v>23</v>
      </c>
      <c r="M170" s="60">
        <f t="shared" si="10"/>
        <v>416875</v>
      </c>
      <c r="N170" s="45">
        <f>IF(J170="",I170*'US CBAs'!$G$118,0)</f>
        <v>28782</v>
      </c>
      <c r="O170" s="59">
        <f t="shared" si="11"/>
        <v>445657</v>
      </c>
      <c r="P170" s="61"/>
      <c r="Q170" s="39"/>
      <c r="R170" s="39"/>
      <c r="S170" s="39"/>
      <c r="T170" s="39"/>
    </row>
    <row r="171" spans="1:21" x14ac:dyDescent="0.35">
      <c r="A171" s="49" t="s">
        <v>223</v>
      </c>
      <c r="B171" s="195">
        <v>11</v>
      </c>
      <c r="C171" s="50">
        <v>2017</v>
      </c>
      <c r="D171" s="49" t="s">
        <v>35</v>
      </c>
      <c r="E171" s="49" t="s">
        <v>227</v>
      </c>
      <c r="F171" s="49"/>
      <c r="G171" s="49" t="s">
        <v>83</v>
      </c>
      <c r="H171" s="49" t="s">
        <v>35</v>
      </c>
      <c r="I171" s="57">
        <v>71537</v>
      </c>
      <c r="J171" s="40" t="s">
        <v>218</v>
      </c>
      <c r="K171" s="45">
        <f>IF(G171="L",'US CBAs'!$F$73,
IF(AND(E171="Friendly",F171="T1",G171="W"),'US CBAs'!$F$68,
IF(AND(E171="Friendly",F171="T2",G171="W"),'US CBAs'!$F$69,
IF(AND(E171="Friendly",F171="",G171="W"),'US CBAs'!$F$70,
IF(AND(E171="Friendly",F171="T1",G171="D"),'US CBAs'!$F$71,
IF(AND(E171="Friendly",F171="",G171="D"),'US CBAs'!$F$72,
IF(AND(E171="Gold Cup",F171="T1",G171="W"),'US CBAs'!$F$78,
IF(AND(E171="Gold Cup",F171="",G171="W"),'US CBAs'!$F$79,
IF(AND(E171="Gold Cup",G171="D"),'US CBAs'!$F$80,
IF(AND(E171="Copa America",F171="",G171="W"),'US CBAs'!$F$85,
IF(AND(E171="Copa America",G171="D"),'US CBAs'!$F$86,
IF(AND(E171="WCQ SF",G171="W"),'US CBAs'!$F$94,
IF(AND(E171="WCQ SF",G171="D"),'US CBAs'!$F$95,
IF(AND(E171="WCQ Hex",G171="W"),'US CBAs'!$F$98,
IF(AND(E171="WCQ Hex",G171="D"),'US CBAs'!$F$99,
IF(E171="World Cup",'US CBAs'!$F$104,
0))))))))))))))))</f>
        <v>10000</v>
      </c>
      <c r="L171" s="40">
        <v>23</v>
      </c>
      <c r="M171" s="60">
        <f t="shared" si="10"/>
        <v>230000</v>
      </c>
      <c r="N171" s="45">
        <f>IF(J171="",I171*'US CBAs'!$G$118,0)</f>
        <v>0</v>
      </c>
      <c r="O171" s="59">
        <f t="shared" si="11"/>
        <v>230000</v>
      </c>
      <c r="P171" s="61"/>
      <c r="Q171" s="39"/>
      <c r="R171" s="39"/>
      <c r="S171" s="39"/>
      <c r="T171" s="39"/>
    </row>
    <row r="172" spans="1:21" x14ac:dyDescent="0.35">
      <c r="A172" s="49" t="s">
        <v>230</v>
      </c>
      <c r="B172" s="195">
        <v>1</v>
      </c>
      <c r="C172" s="50">
        <v>2017</v>
      </c>
      <c r="D172" s="49" t="s">
        <v>77</v>
      </c>
      <c r="E172" s="49" t="s">
        <v>220</v>
      </c>
      <c r="F172" s="49"/>
      <c r="G172" s="49" t="s">
        <v>20</v>
      </c>
      <c r="H172" s="49" t="s">
        <v>483</v>
      </c>
      <c r="I172" s="57">
        <v>28754</v>
      </c>
      <c r="J172" s="40"/>
      <c r="K172" s="45">
        <f>IF(G172="L",'US CBAs'!$F$73,
IF(AND(E172="Friendly",F172="T1",G172="W"),'US CBAs'!$F$68,
IF(AND(E172="Friendly",F172="T2",G172="W"),'US CBAs'!$F$69,
IF(AND(E172="Friendly",F172="",G172="W"),'US CBAs'!$F$70,
IF(AND(E172="Friendly",F172="T1",G172="D"),'US CBAs'!$F$71,
IF(AND(E172="Friendly",F172="",G172="D"),'US CBAs'!$F$72,
IF(AND(E172="Gold Cup",F172="T1",G172="W"),'US CBAs'!$F$78,
IF(AND(E172="Gold Cup",F172="",G172="W"),'US CBAs'!$F$79,
IF(AND(E172="Gold Cup",G172="D"),'US CBAs'!$F$80,
IF(AND(E172="Copa America",F172="",G172="W"),'US CBAs'!$F$85,
IF(AND(E172="Copa America",G172="D"),'US CBAs'!$F$86,
IF(AND(E172="WCQ SF",G172="W"),'US CBAs'!$F$94,
IF(AND(E172="WCQ SF",G172="D"),'US CBAs'!$F$95,
IF(AND(E172="WCQ Hex",G172="W"),'US CBAs'!$F$98,
IF(AND(E172="WCQ Hex",G172="D"),'US CBAs'!$F$99,
IF(E172="World Cup",'US CBAs'!$F$104,
0))))))))))))))))</f>
        <v>9375</v>
      </c>
      <c r="L172" s="40">
        <v>20</v>
      </c>
      <c r="M172" s="60">
        <f t="shared" si="10"/>
        <v>187500</v>
      </c>
      <c r="N172" s="45">
        <f>IF(J172="",I172*'US CBAs'!$G$118,0)</f>
        <v>43131</v>
      </c>
      <c r="O172" s="59">
        <f t="shared" si="11"/>
        <v>230631</v>
      </c>
      <c r="P172" s="61"/>
      <c r="Q172" s="233"/>
      <c r="R172" s="236"/>
      <c r="S172" s="233"/>
      <c r="T172" s="241"/>
    </row>
    <row r="173" spans="1:21" x14ac:dyDescent="0.35">
      <c r="A173" s="49" t="s">
        <v>230</v>
      </c>
      <c r="B173" s="195">
        <v>8</v>
      </c>
      <c r="C173" s="50">
        <v>2017</v>
      </c>
      <c r="D173" s="49" t="s">
        <v>42</v>
      </c>
      <c r="E173" s="49" t="s">
        <v>229</v>
      </c>
      <c r="F173" s="49"/>
      <c r="G173" s="49" t="s">
        <v>83</v>
      </c>
      <c r="H173" s="49" t="s">
        <v>486</v>
      </c>
      <c r="I173" s="57">
        <v>47622</v>
      </c>
      <c r="J173" s="40" t="s">
        <v>218</v>
      </c>
      <c r="K173" s="45">
        <f>IF(G173="L",'US CBAs'!$F$73,
IF(AND(E173="Friendly",F173="T1",G173="W"),'US CBAs'!$F$68,
IF(AND(E173="Friendly",F173="T2",G173="W"),'US CBAs'!$F$69,
IF(AND(E173="Friendly",F173="",G173="W"),'US CBAs'!$F$70,
IF(AND(E173="Friendly",F173="T1",G173="D"),'US CBAs'!$F$71,
IF(AND(E173="Friendly",F173="",G173="D"),'US CBAs'!$F$72,
IF(AND(E173="Gold Cup",F173="T1",G173="W"),'US CBAs'!$F$78,
IF(AND(E173="Gold Cup",F173="",G173="W"),'US CBAs'!$F$79,
IF(AND(E173="Gold Cup",G173="D"),'US CBAs'!$F$80,
IF(AND(E173="Copa America",F173="",G173="W"),'US CBAs'!$F$85,
IF(AND(E173="Copa America",G173="D"),'US CBAs'!$F$86,
IF(AND(E173="WCQ SF",G173="W"),'US CBAs'!$F$94,
IF(AND(E173="WCQ SF",G173="D"),'US CBAs'!$F$95,
IF(AND(E173="WCQ Hex",G173="W"),'US CBAs'!$F$98,
IF(AND(E173="WCQ Hex",G173="D"),'US CBAs'!$F$99,
IF(E173="World Cup",'US CBAs'!$F$104,
0))))))))))))))))</f>
        <v>6563</v>
      </c>
      <c r="L173" s="40">
        <v>23</v>
      </c>
      <c r="M173" s="60">
        <f t="shared" si="10"/>
        <v>150949</v>
      </c>
      <c r="N173" s="45">
        <f>IF(J173="",I173*'US CBAs'!$G$118,0)</f>
        <v>0</v>
      </c>
      <c r="O173" s="59">
        <f t="shared" si="11"/>
        <v>150949</v>
      </c>
      <c r="P173" s="61"/>
      <c r="Q173" s="232"/>
      <c r="R173" s="238"/>
      <c r="S173" s="233"/>
      <c r="T173" s="241"/>
    </row>
    <row r="174" spans="1:21" x14ac:dyDescent="0.35">
      <c r="A174" s="49" t="s">
        <v>230</v>
      </c>
      <c r="B174" s="195">
        <v>12</v>
      </c>
      <c r="C174" s="50">
        <v>2017</v>
      </c>
      <c r="D174" s="49" t="s">
        <v>79</v>
      </c>
      <c r="E174" s="49" t="s">
        <v>229</v>
      </c>
      <c r="F174" s="49"/>
      <c r="G174" s="49" t="s">
        <v>20</v>
      </c>
      <c r="H174" s="49" t="s">
        <v>482</v>
      </c>
      <c r="I174" s="57">
        <v>23368</v>
      </c>
      <c r="J174" s="40" t="s">
        <v>218</v>
      </c>
      <c r="K174" s="45">
        <f>IF(G174="L",'US CBAs'!$F$73,
IF(AND(E174="Friendly",F174="T1",G174="W"),'US CBAs'!$F$68,
IF(AND(E174="Friendly",F174="T2",G174="W"),'US CBAs'!$F$69,
IF(AND(E174="Friendly",F174="",G174="W"),'US CBAs'!$F$70,
IF(AND(E174="Friendly",F174="T1",G174="D"),'US CBAs'!$F$71,
IF(AND(E174="Friendly",F174="",G174="D"),'US CBAs'!$F$72,
IF(AND(E174="Gold Cup",F174="T1",G174="W"),'US CBAs'!$F$78,
IF(AND(E174="Gold Cup",F174="",G174="W"),'US CBAs'!$F$79,
IF(AND(E174="Gold Cup",G174="D"),'US CBAs'!$F$80,
IF(AND(E174="Copa America",F174="",G174="W"),'US CBAs'!$F$85,
IF(AND(E174="Copa America",G174="D"),'US CBAs'!$F$86,
IF(AND(E174="WCQ SF",G174="W"),'US CBAs'!$F$94,
IF(AND(E174="WCQ SF",G174="D"),'US CBAs'!$F$95,
IF(AND(E174="WCQ Hex",G174="W"),'US CBAs'!$F$98,
IF(AND(E174="WCQ Hex",G174="D"),'US CBAs'!$F$99,
IF(E174="World Cup",'US CBAs'!$F$104,
0))))))))))))))))</f>
        <v>9375</v>
      </c>
      <c r="L174" s="40">
        <v>23</v>
      </c>
      <c r="M174" s="60">
        <f t="shared" si="10"/>
        <v>215625</v>
      </c>
      <c r="N174" s="45">
        <f>IF(J174="",I174*'US CBAs'!$G$118,0)</f>
        <v>0</v>
      </c>
      <c r="O174" s="59">
        <f t="shared" si="11"/>
        <v>215625</v>
      </c>
      <c r="P174" s="61"/>
      <c r="Q174" s="232"/>
      <c r="R174" s="238"/>
      <c r="S174" s="233"/>
      <c r="T174" s="241"/>
    </row>
    <row r="175" spans="1:21" x14ac:dyDescent="0.35">
      <c r="A175" s="49" t="s">
        <v>230</v>
      </c>
      <c r="B175" s="195">
        <v>15</v>
      </c>
      <c r="C175" s="50">
        <v>2017</v>
      </c>
      <c r="D175" s="49" t="s">
        <v>80</v>
      </c>
      <c r="E175" s="49" t="s">
        <v>229</v>
      </c>
      <c r="F175" s="49"/>
      <c r="G175" s="49" t="s">
        <v>20</v>
      </c>
      <c r="H175" s="49" t="s">
        <v>495</v>
      </c>
      <c r="I175" s="57">
        <v>27934</v>
      </c>
      <c r="J175" s="40" t="s">
        <v>218</v>
      </c>
      <c r="K175" s="45">
        <f>IF(G175="L",'US CBAs'!$F$73,
IF(AND(E175="Friendly",F175="T1",G175="W"),'US CBAs'!$F$68,
IF(AND(E175="Friendly",F175="T2",G175="W"),'US CBAs'!$F$69,
IF(AND(E175="Friendly",F175="",G175="W"),'US CBAs'!$F$70,
IF(AND(E175="Friendly",F175="T1",G175="D"),'US CBAs'!$F$71,
IF(AND(E175="Friendly",F175="",G175="D"),'US CBAs'!$F$72,
IF(AND(E175="Gold Cup",F175="T1",G175="W"),'US CBAs'!$F$78,
IF(AND(E175="Gold Cup",F175="",G175="W"),'US CBAs'!$F$79,
IF(AND(E175="Gold Cup",G175="D"),'US CBAs'!$F$80,
IF(AND(E175="Copa America",F175="",G175="W"),'US CBAs'!$F$85,
IF(AND(E175="Copa America",G175="D"),'US CBAs'!$F$86,
IF(AND(E175="WCQ SF",G175="W"),'US CBAs'!$F$94,
IF(AND(E175="WCQ SF",G175="D"),'US CBAs'!$F$95,
IF(AND(E175="WCQ Hex",G175="W"),'US CBAs'!$F$98,
IF(AND(E175="WCQ Hex",G175="D"),'US CBAs'!$F$99,
IF(E175="World Cup",'US CBAs'!$F$104,
0))))))))))))))))</f>
        <v>9375</v>
      </c>
      <c r="L175" s="40">
        <v>23</v>
      </c>
      <c r="M175" s="60">
        <f t="shared" si="10"/>
        <v>215625</v>
      </c>
      <c r="N175" s="45">
        <f>IF(J175="",I175*'US CBAs'!$G$118,0)</f>
        <v>0</v>
      </c>
      <c r="O175" s="59">
        <f t="shared" si="11"/>
        <v>215625</v>
      </c>
      <c r="P175" s="61"/>
      <c r="Q175" s="233"/>
      <c r="R175" s="233"/>
      <c r="S175" s="233"/>
      <c r="T175" s="241"/>
    </row>
    <row r="176" spans="1:21" x14ac:dyDescent="0.35">
      <c r="A176" s="49" t="s">
        <v>230</v>
      </c>
      <c r="B176" s="195">
        <v>19</v>
      </c>
      <c r="C176" s="50">
        <v>2017</v>
      </c>
      <c r="D176" s="49" t="s">
        <v>46</v>
      </c>
      <c r="E176" s="49" t="s">
        <v>229</v>
      </c>
      <c r="F176" s="49"/>
      <c r="G176" s="49" t="s">
        <v>20</v>
      </c>
      <c r="H176" s="49" t="s">
        <v>484</v>
      </c>
      <c r="I176" s="57">
        <v>31615</v>
      </c>
      <c r="J176" s="40" t="s">
        <v>218</v>
      </c>
      <c r="K176" s="45">
        <f>IF(G176="L",'US CBAs'!$F$73,
IF(AND(E176="Friendly",F176="T1",G176="W"),'US CBAs'!$F$68,
IF(AND(E176="Friendly",F176="T2",G176="W"),'US CBAs'!$F$69,
IF(AND(E176="Friendly",F176="",G176="W"),'US CBAs'!$F$70,
IF(AND(E176="Friendly",F176="T1",G176="D"),'US CBAs'!$F$71,
IF(AND(E176="Friendly",F176="",G176="D"),'US CBAs'!$F$72,
IF(AND(E176="Gold Cup",F176="T1",G176="W"),'US CBAs'!$F$78,
IF(AND(E176="Gold Cup",F176="",G176="W"),'US CBAs'!$F$79,
IF(AND(E176="Gold Cup",G176="D"),'US CBAs'!$F$80,
IF(AND(E176="Copa America",F176="",G176="W"),'US CBAs'!$F$85,
IF(AND(E176="Copa America",G176="D"),'US CBAs'!$F$86,
IF(AND(E176="WCQ SF",G176="W"),'US CBAs'!$F$94,
IF(AND(E176="WCQ SF",G176="D"),'US CBAs'!$F$95,
IF(AND(E176="WCQ Hex",G176="W"),'US CBAs'!$F$98,
IF(AND(E176="WCQ Hex",G176="D"),'US CBAs'!$F$99,
IF(E176="World Cup",'US CBAs'!$F$104,
0))))))))))))))))</f>
        <v>9375</v>
      </c>
      <c r="L176" s="40">
        <v>23</v>
      </c>
      <c r="M176" s="60">
        <f t="shared" si="10"/>
        <v>215625</v>
      </c>
      <c r="N176" s="45">
        <f>IF(J176="",I176*'US CBAs'!$G$118,0)</f>
        <v>0</v>
      </c>
      <c r="O176" s="59">
        <f t="shared" si="11"/>
        <v>215625</v>
      </c>
      <c r="P176" s="61"/>
      <c r="Q176" s="232"/>
      <c r="R176" s="233"/>
      <c r="S176" s="233"/>
      <c r="T176" s="241"/>
    </row>
    <row r="177" spans="1:21" x14ac:dyDescent="0.35">
      <c r="A177" s="49" t="s">
        <v>230</v>
      </c>
      <c r="B177" s="195">
        <v>22</v>
      </c>
      <c r="C177" s="50">
        <v>2017</v>
      </c>
      <c r="D177" s="49" t="s">
        <v>36</v>
      </c>
      <c r="E177" s="49" t="s">
        <v>229</v>
      </c>
      <c r="F177" s="49"/>
      <c r="G177" s="49" t="s">
        <v>20</v>
      </c>
      <c r="H177" s="49" t="s">
        <v>492</v>
      </c>
      <c r="I177" s="57">
        <v>45516</v>
      </c>
      <c r="J177" s="40" t="s">
        <v>218</v>
      </c>
      <c r="K177" s="45">
        <f>IF(G177="L",'US CBAs'!$F$73,
IF(AND(E177="Friendly",F177="T1",G177="W"),'US CBAs'!$F$68,
IF(AND(E177="Friendly",F177="T2",G177="W"),'US CBAs'!$F$69,
IF(AND(E177="Friendly",F177="",G177="W"),'US CBAs'!$F$70,
IF(AND(E177="Friendly",F177="T1",G177="D"),'US CBAs'!$F$71,
IF(AND(E177="Friendly",F177="",G177="D"),'US CBAs'!$F$72,
IF(AND(E177="Gold Cup",F177="T1",G177="W"),'US CBAs'!$F$78,
IF(AND(E177="Gold Cup",F177="",G177="W"),'US CBAs'!$F$79,
IF(AND(E177="Gold Cup",G177="D"),'US CBAs'!$F$80,
IF(AND(E177="Copa America",F177="",G177="W"),'US CBAs'!$F$85,
IF(AND(E177="Copa America",G177="D"),'US CBAs'!$F$86,
IF(AND(E177="WCQ SF",G177="W"),'US CBAs'!$F$94,
IF(AND(E177="WCQ SF",G177="D"),'US CBAs'!$F$95,
IF(AND(E177="WCQ Hex",G177="W"),'US CBAs'!$F$98,
IF(AND(E177="WCQ Hex",G177="D"),'US CBAs'!$F$99,
IF(E177="World Cup",'US CBAs'!$F$104,
0))))))))))))))))</f>
        <v>9375</v>
      </c>
      <c r="L177" s="40">
        <v>23</v>
      </c>
      <c r="M177" s="60">
        <f t="shared" si="10"/>
        <v>215625</v>
      </c>
      <c r="N177" s="45">
        <f>IF(J177="",I177*'US CBAs'!$G$118,0)</f>
        <v>0</v>
      </c>
      <c r="O177" s="59">
        <f t="shared" si="11"/>
        <v>215625</v>
      </c>
      <c r="P177" s="61"/>
      <c r="Q177" s="233"/>
      <c r="R177" s="236"/>
      <c r="S177" s="233"/>
      <c r="T177" s="241"/>
    </row>
    <row r="178" spans="1:21" x14ac:dyDescent="0.35">
      <c r="A178" s="49" t="s">
        <v>230</v>
      </c>
      <c r="B178" s="195">
        <v>26</v>
      </c>
      <c r="C178" s="50">
        <v>2017</v>
      </c>
      <c r="D178" s="49" t="s">
        <v>40</v>
      </c>
      <c r="E178" s="49" t="s">
        <v>229</v>
      </c>
      <c r="F178" s="49"/>
      <c r="G178" s="49" t="s">
        <v>20</v>
      </c>
      <c r="H178" s="49" t="s">
        <v>481</v>
      </c>
      <c r="I178" s="57">
        <v>63032</v>
      </c>
      <c r="J178" s="40" t="s">
        <v>218</v>
      </c>
      <c r="K178" s="45">
        <f>IF(G178="L",'US CBAs'!$F$73,
IF(AND(E178="Friendly",F178="T1",G178="W"),'US CBAs'!$F$68,
IF(AND(E178="Friendly",F178="T2",G178="W"),'US CBAs'!$F$69,
IF(AND(E178="Friendly",F178="",G178="W"),'US CBAs'!$F$70,
IF(AND(E178="Friendly",F178="T1",G178="D"),'US CBAs'!$F$71,
IF(AND(E178="Friendly",F178="",G178="D"),'US CBAs'!$F$72,
IF(AND(E178="Gold Cup",F178="T1",G178="W"),'US CBAs'!$F$78,
IF(AND(E178="Gold Cup",F178="",G178="W"),'US CBAs'!$F$79,
IF(AND(E178="Gold Cup",G178="D"),'US CBAs'!$F$80,
IF(AND(E178="Copa America",F178="",G178="W"),'US CBAs'!$F$85,
IF(AND(E178="Copa America",G178="D"),'US CBAs'!$F$86,
IF(AND(E178="WCQ SF",G178="W"),'US CBAs'!$F$94,
IF(AND(E178="WCQ SF",G178="D"),'US CBAs'!$F$95,
IF(AND(E178="WCQ Hex",G178="W"),'US CBAs'!$F$98,
IF(AND(E178="WCQ Hex",G178="D"),'US CBAs'!$F$99,
IF(E178="World Cup",'US CBAs'!$F$104,
0))))))))))))))))</f>
        <v>9375</v>
      </c>
      <c r="L178" s="40">
        <v>23</v>
      </c>
      <c r="M178" s="60">
        <f t="shared" si="10"/>
        <v>215625</v>
      </c>
      <c r="N178" s="45">
        <f>IF(J178="",I178*'US CBAs'!$G$118,0)</f>
        <v>0</v>
      </c>
      <c r="O178" s="59">
        <f t="shared" si="11"/>
        <v>215625</v>
      </c>
      <c r="P178" s="61"/>
      <c r="Q178" s="233"/>
      <c r="R178" s="271"/>
      <c r="S178" s="233"/>
      <c r="T178" s="241"/>
    </row>
    <row r="179" spans="1:21" x14ac:dyDescent="0.35">
      <c r="A179" s="49" t="s">
        <v>222</v>
      </c>
      <c r="B179" s="195">
        <v>1</v>
      </c>
      <c r="C179" s="50">
        <v>2017</v>
      </c>
      <c r="D179" s="49" t="s">
        <v>36</v>
      </c>
      <c r="E179" s="49" t="s">
        <v>227</v>
      </c>
      <c r="F179" s="49"/>
      <c r="G179" s="49" t="s">
        <v>33</v>
      </c>
      <c r="H179" s="49" t="s">
        <v>485</v>
      </c>
      <c r="I179" s="57">
        <v>26500</v>
      </c>
      <c r="J179" s="40"/>
      <c r="K179" s="45">
        <f>IF(G179="L",'US CBAs'!$F$73,
IF(AND(E179="Friendly",F179="T1",G179="W"),'US CBAs'!$F$68,
IF(AND(E179="Friendly",F179="T2",G179="W"),'US CBAs'!$F$69,
IF(AND(E179="Friendly",F179="",G179="W"),'US CBAs'!$F$70,
IF(AND(E179="Friendly",F179="T1",G179="D"),'US CBAs'!$F$71,
IF(AND(E179="Friendly",F179="",G179="D"),'US CBAs'!$F$72,
IF(AND(E179="Gold Cup",F179="T1",G179="W"),'US CBAs'!$F$78,
IF(AND(E179="Gold Cup",F179="",G179="W"),'US CBAs'!$F$79,
IF(AND(E179="Gold Cup",G179="D"),'US CBAs'!$F$80,
IF(AND(E179="Copa America",F179="",G179="W"),'US CBAs'!$F$85,
IF(AND(E179="Copa America",G179="D"),'US CBAs'!$F$86,
IF(AND(E179="WCQ SF",G179="W"),'US CBAs'!$F$94,
IF(AND(E179="WCQ SF",G179="D"),'US CBAs'!$F$95,
IF(AND(E179="WCQ Hex",G179="W"),'US CBAs'!$F$98,
IF(AND(E179="WCQ Hex",G179="D"),'US CBAs'!$F$99,
IF(E179="World Cup",'US CBAs'!$F$104,
0))))))))))))))))</f>
        <v>5000</v>
      </c>
      <c r="L179" s="40">
        <v>23</v>
      </c>
      <c r="M179" s="60">
        <f t="shared" si="10"/>
        <v>115000</v>
      </c>
      <c r="N179" s="45">
        <f>IF(J179="",I179*'US CBAs'!$G$118,0)</f>
        <v>39750</v>
      </c>
      <c r="O179" s="59">
        <f t="shared" si="11"/>
        <v>154750</v>
      </c>
      <c r="P179" s="61"/>
      <c r="U179" s="80"/>
    </row>
    <row r="180" spans="1:21" x14ac:dyDescent="0.35">
      <c r="A180" s="49" t="s">
        <v>222</v>
      </c>
      <c r="B180" s="195">
        <v>5</v>
      </c>
      <c r="C180" s="50">
        <v>2017</v>
      </c>
      <c r="D180" s="49" t="s">
        <v>32</v>
      </c>
      <c r="E180" s="49" t="s">
        <v>227</v>
      </c>
      <c r="F180" s="49"/>
      <c r="G180" s="49" t="s">
        <v>83</v>
      </c>
      <c r="H180" s="49" t="s">
        <v>32</v>
      </c>
      <c r="I180" s="57">
        <v>37325</v>
      </c>
      <c r="J180" s="40" t="s">
        <v>218</v>
      </c>
      <c r="K180" s="45">
        <f>IF(G180="L",'US CBAs'!$F$73,
IF(AND(E180="Friendly",F180="T1",G180="W"),'US CBAs'!$F$68,
IF(AND(E180="Friendly",F180="T2",G180="W"),'US CBAs'!$F$69,
IF(AND(E180="Friendly",F180="",G180="W"),'US CBAs'!$F$70,
IF(AND(E180="Friendly",F180="T1",G180="D"),'US CBAs'!$F$71,
IF(AND(E180="Friendly",F180="",G180="D"),'US CBAs'!$F$72,
IF(AND(E180="Gold Cup",F180="T1",G180="W"),'US CBAs'!$F$78,
IF(AND(E180="Gold Cup",F180="",G180="W"),'US CBAs'!$F$79,
IF(AND(E180="Gold Cup",G180="D"),'US CBAs'!$F$80,
IF(AND(E180="Copa America",F180="",G180="W"),'US CBAs'!$F$85,
IF(AND(E180="Copa America",G180="D"),'US CBAs'!$F$86,
IF(AND(E180="WCQ SF",G180="W"),'US CBAs'!$F$94,
IF(AND(E180="WCQ SF",G180="D"),'US CBAs'!$F$95,
IF(AND(E180="WCQ Hex",G180="W"),'US CBAs'!$F$98,
IF(AND(E180="WCQ Hex",G180="D"),'US CBAs'!$F$99,
IF(E180="World Cup",'US CBAs'!$F$104,
0))))))))))))))))</f>
        <v>10000</v>
      </c>
      <c r="L180" s="40">
        <v>23</v>
      </c>
      <c r="M180" s="60">
        <f t="shared" si="10"/>
        <v>230000</v>
      </c>
      <c r="N180" s="45">
        <f>IF(J180="",I180*'US CBAs'!$G$118,0)</f>
        <v>0</v>
      </c>
      <c r="O180" s="59">
        <f t="shared" si="11"/>
        <v>230000</v>
      </c>
      <c r="P180" s="61"/>
      <c r="U180" s="80"/>
    </row>
    <row r="181" spans="1:21" x14ac:dyDescent="0.35">
      <c r="A181" s="49" t="s">
        <v>189</v>
      </c>
      <c r="B181" s="195">
        <v>6</v>
      </c>
      <c r="C181" s="50">
        <v>2017</v>
      </c>
      <c r="D181" s="49" t="s">
        <v>42</v>
      </c>
      <c r="E181" s="49" t="s">
        <v>227</v>
      </c>
      <c r="F181" s="49"/>
      <c r="G181" s="49" t="s">
        <v>20</v>
      </c>
      <c r="H181" s="49" t="s">
        <v>482</v>
      </c>
      <c r="I181" s="57">
        <v>25303</v>
      </c>
      <c r="J181" s="40"/>
      <c r="K181" s="45">
        <f>IF(G181="L",'US CBAs'!$F$73,
IF(AND(E181="Friendly",F181="T1",G181="W"),'US CBAs'!$F$68,
IF(AND(E181="Friendly",F181="T2",G181="W"),'US CBAs'!$F$69,
IF(AND(E181="Friendly",F181="",G181="W"),'US CBAs'!$F$70,
IF(AND(E181="Friendly",F181="T1",G181="D"),'US CBAs'!$F$71,
IF(AND(E181="Friendly",F181="",G181="D"),'US CBAs'!$F$72,
IF(AND(E181="Gold Cup",F181="T1",G181="W"),'US CBAs'!$F$78,
IF(AND(E181="Gold Cup",F181="",G181="W"),'US CBAs'!$F$79,
IF(AND(E181="Gold Cup",G181="D"),'US CBAs'!$F$80,
IF(AND(E181="Copa America",F181="",G181="W"),'US CBAs'!$F$85,
IF(AND(E181="Copa America",G181="D"),'US CBAs'!$F$86,
IF(AND(E181="WCQ SF",G181="W"),'US CBAs'!$F$94,
IF(AND(E181="WCQ SF",G181="D"),'US CBAs'!$F$95,
IF(AND(E181="WCQ Hex",G181="W"),'US CBAs'!$F$98,
IF(AND(E181="WCQ Hex",G181="D"),'US CBAs'!$F$99,
IF(E181="World Cup",'US CBAs'!$F$104,
0))))))))))))))))</f>
        <v>18125</v>
      </c>
      <c r="L181" s="40">
        <v>23</v>
      </c>
      <c r="M181" s="60">
        <f t="shared" si="10"/>
        <v>416875</v>
      </c>
      <c r="N181" s="45">
        <f>IF(J181="",I181*'US CBAs'!$G$118,0)</f>
        <v>37954.5</v>
      </c>
      <c r="O181" s="59">
        <f t="shared" si="11"/>
        <v>454829.5</v>
      </c>
      <c r="P181" s="61"/>
      <c r="Q181" s="233"/>
      <c r="R181" s="271"/>
      <c r="S181" s="233"/>
      <c r="T181" s="241"/>
      <c r="U181" s="80"/>
    </row>
    <row r="182" spans="1:21" x14ac:dyDescent="0.35">
      <c r="A182" s="49" t="s">
        <v>189</v>
      </c>
      <c r="B182" s="195">
        <v>10</v>
      </c>
      <c r="C182" s="50">
        <v>2017</v>
      </c>
      <c r="D182" s="49" t="s">
        <v>228</v>
      </c>
      <c r="E182" s="49" t="s">
        <v>227</v>
      </c>
      <c r="F182" s="49"/>
      <c r="G182" s="49" t="s">
        <v>33</v>
      </c>
      <c r="H182" s="49" t="s">
        <v>226</v>
      </c>
      <c r="I182" s="57">
        <v>1500</v>
      </c>
      <c r="J182" s="40" t="s">
        <v>218</v>
      </c>
      <c r="K182" s="45">
        <f>IF(G182="L",'US CBAs'!$F$73,
IF(AND(E182="Friendly",F182="T1",G182="W"),'US CBAs'!$F$68,
IF(AND(E182="Friendly",F182="T2",G182="W"),'US CBAs'!$F$69,
IF(AND(E182="Friendly",F182="",G182="W"),'US CBAs'!$F$70,
IF(AND(E182="Friendly",F182="T1",G182="D"),'US CBAs'!$F$71,
IF(AND(E182="Friendly",F182="",G182="D"),'US CBAs'!$F$72,
IF(AND(E182="Gold Cup",F182="T1",G182="W"),'US CBAs'!$F$78,
IF(AND(E182="Gold Cup",F182="",G182="W"),'US CBAs'!$F$79,
IF(AND(E182="Gold Cup",G182="D"),'US CBAs'!$F$80,
IF(AND(E182="Copa America",F182="",G182="W"),'US CBAs'!$F$85,
IF(AND(E182="Copa America",G182="D"),'US CBAs'!$F$86,
IF(AND(E182="WCQ SF",G182="W"),'US CBAs'!$F$94,
IF(AND(E182="WCQ SF",G182="D"),'US CBAs'!$F$95,
IF(AND(E182="WCQ Hex",G182="W"),'US CBAs'!$F$98,
IF(AND(E182="WCQ Hex",G182="D"),'US CBAs'!$F$99,
IF(E182="World Cup",'US CBAs'!$F$104,
0))))))))))))))))</f>
        <v>5000</v>
      </c>
      <c r="L182" s="40">
        <v>23</v>
      </c>
      <c r="M182" s="60">
        <f t="shared" si="10"/>
        <v>115000</v>
      </c>
      <c r="N182" s="45">
        <f>IF(J182="",I182*'US CBAs'!$G$118,0)</f>
        <v>0</v>
      </c>
      <c r="O182" s="59">
        <f t="shared" si="11"/>
        <v>115000</v>
      </c>
      <c r="P182" s="61"/>
      <c r="Q182" s="242"/>
      <c r="R182" s="242"/>
      <c r="S182" s="233"/>
      <c r="U182" s="80"/>
    </row>
    <row r="183" spans="1:21" x14ac:dyDescent="0.35">
      <c r="A183" s="49" t="s">
        <v>190</v>
      </c>
      <c r="B183" s="195">
        <v>14</v>
      </c>
      <c r="C183" s="50">
        <v>2017</v>
      </c>
      <c r="D183" s="49" t="s">
        <v>82</v>
      </c>
      <c r="E183" s="49" t="s">
        <v>220</v>
      </c>
      <c r="F183" s="49" t="s">
        <v>28</v>
      </c>
      <c r="G183" s="49" t="s">
        <v>83</v>
      </c>
      <c r="H183" s="49" t="s">
        <v>82</v>
      </c>
      <c r="I183" s="57">
        <v>19017</v>
      </c>
      <c r="J183" s="40" t="s">
        <v>218</v>
      </c>
      <c r="K183" s="45">
        <f>IF(G183="L",'US CBAs'!$F$73,
IF(AND(E183="Friendly",F183="T1",G183="W"),'US CBAs'!$F$68,
IF(AND(E183="Friendly",F183="T2",G183="W"),'US CBAs'!$F$69,
IF(AND(E183="Friendly",F183="",G183="W"),'US CBAs'!$F$70,
IF(AND(E183="Friendly",F183="T1",G183="D"),'US CBAs'!$F$71,
IF(AND(E183="Friendly",F183="",G183="D"),'US CBAs'!$F$72,
IF(AND(E183="Gold Cup",F183="T1",G183="W"),'US CBAs'!$F$78,
IF(AND(E183="Gold Cup",F183="",G183="W"),'US CBAs'!$F$79,
IF(AND(E183="Gold Cup",G183="D"),'US CBAs'!$F$80,
IF(AND(E183="Copa America",F183="",G183="W"),'US CBAs'!$F$85,
IF(AND(E183="Copa America",G183="D"),'US CBAs'!$F$86,
IF(AND(E183="WCQ SF",G183="W"),'US CBAs'!$F$94,
IF(AND(E183="WCQ SF",G183="D"),'US CBAs'!$F$95,
IF(AND(E183="WCQ Hex",G183="W"),'US CBAs'!$F$98,
IF(AND(E183="WCQ Hex",G183="D"),'US CBAs'!$F$99,
IF(E183="World Cup",'US CBAs'!$F$104,
0))))))))))))))))</f>
        <v>8125</v>
      </c>
      <c r="L183" s="40">
        <v>20</v>
      </c>
      <c r="M183" s="60">
        <f t="shared" si="10"/>
        <v>162500</v>
      </c>
      <c r="N183" s="45">
        <f>IF(J183="",I183*'US CBAs'!$G$118,0)</f>
        <v>0</v>
      </c>
      <c r="O183" s="59">
        <f t="shared" si="11"/>
        <v>162500</v>
      </c>
      <c r="P183" s="61"/>
      <c r="Q183" s="233"/>
      <c r="R183" s="234"/>
      <c r="S183" s="233"/>
      <c r="T183" s="241"/>
    </row>
    <row r="184" spans="1:21" x14ac:dyDescent="0.35">
      <c r="A184" s="49"/>
      <c r="B184" s="195"/>
      <c r="C184" s="50"/>
      <c r="D184" s="58" t="s">
        <v>392</v>
      </c>
      <c r="E184" s="49"/>
      <c r="F184" s="49"/>
      <c r="G184" s="49"/>
      <c r="H184" s="49"/>
      <c r="I184" s="57"/>
      <c r="J184" s="40"/>
      <c r="K184" s="54">
        <f>'US CBAs'!$F$75</f>
        <v>1875</v>
      </c>
      <c r="L184" s="56">
        <v>10</v>
      </c>
      <c r="M184" s="54">
        <f>K184*L184</f>
        <v>18750</v>
      </c>
      <c r="N184" s="55"/>
      <c r="O184" s="54">
        <f>M184+N184</f>
        <v>18750</v>
      </c>
      <c r="P184" s="61"/>
      <c r="Q184" s="253" t="s">
        <v>388</v>
      </c>
      <c r="R184" s="262" t="s">
        <v>6</v>
      </c>
      <c r="S184" s="262" t="s">
        <v>18</v>
      </c>
      <c r="T184" s="263" t="s">
        <v>91</v>
      </c>
    </row>
    <row r="185" spans="1:21" x14ac:dyDescent="0.35">
      <c r="A185" s="49"/>
      <c r="B185" s="195"/>
      <c r="C185" s="50"/>
      <c r="D185" s="58" t="s">
        <v>401</v>
      </c>
      <c r="E185" s="49"/>
      <c r="F185" s="49"/>
      <c r="G185" s="49"/>
      <c r="H185" s="49"/>
      <c r="I185" s="57"/>
      <c r="J185" s="40"/>
      <c r="K185" s="54">
        <f>'US CBAs'!$F$76</f>
        <v>2500</v>
      </c>
      <c r="L185" s="56">
        <v>10</v>
      </c>
      <c r="M185" s="54">
        <f>K185*L185</f>
        <v>25000</v>
      </c>
      <c r="N185" s="55"/>
      <c r="O185" s="54">
        <f>M185+N185</f>
        <v>25000</v>
      </c>
      <c r="P185" s="61"/>
      <c r="Q185" s="275" t="s">
        <v>382</v>
      </c>
      <c r="R185" s="261">
        <f>'US CBAs'!$F$82</f>
        <v>11250</v>
      </c>
      <c r="S185" s="259">
        <v>23</v>
      </c>
      <c r="T185" s="252">
        <f>R185*S185</f>
        <v>258750</v>
      </c>
    </row>
    <row r="186" spans="1:21" x14ac:dyDescent="0.35">
      <c r="A186" s="289" t="s">
        <v>24</v>
      </c>
      <c r="B186" s="290"/>
      <c r="C186" s="290"/>
      <c r="D186" s="289"/>
      <c r="E186" s="289"/>
      <c r="F186" s="289"/>
      <c r="G186" s="289"/>
      <c r="H186" s="289"/>
      <c r="I186" s="291"/>
      <c r="J186" s="289"/>
      <c r="K186" s="291"/>
      <c r="L186" s="289"/>
      <c r="M186" s="298">
        <f>SUBTOTAL(109,Table9[Game pay])</f>
        <v>4230949</v>
      </c>
      <c r="N186" s="204">
        <f>SUBTOTAL(109,Table9[Att bonus])</f>
        <v>259156.5</v>
      </c>
      <c r="O186" s="292">
        <f>SUBTOTAL(109,Table9[TEAM PAY])</f>
        <v>4490105.5</v>
      </c>
      <c r="P186" s="61"/>
      <c r="Q186" s="232" t="s">
        <v>90</v>
      </c>
      <c r="R186" s="236"/>
      <c r="S186" s="233"/>
      <c r="T186" s="241">
        <f>T185</f>
        <v>258750</v>
      </c>
    </row>
    <row r="187" spans="1:21" x14ac:dyDescent="0.35">
      <c r="A187" s="289"/>
      <c r="B187" s="290"/>
      <c r="C187" s="290"/>
      <c r="D187" s="289"/>
      <c r="E187" s="289"/>
      <c r="F187" s="289"/>
      <c r="G187" s="289"/>
      <c r="H187" s="289"/>
      <c r="I187" s="291"/>
      <c r="J187" s="289"/>
      <c r="K187" s="289"/>
      <c r="L187" s="289"/>
      <c r="M187" s="292"/>
      <c r="N187" s="294" t="s">
        <v>398</v>
      </c>
      <c r="O187" s="294">
        <f>$T186</f>
        <v>258750</v>
      </c>
      <c r="P187" s="61"/>
      <c r="Q187" s="239"/>
      <c r="R187" s="239"/>
      <c r="S187" s="247"/>
      <c r="T187" s="248"/>
      <c r="U187" s="80"/>
    </row>
    <row r="188" spans="1:21" x14ac:dyDescent="0.35">
      <c r="A188" s="49"/>
      <c r="B188" s="195"/>
      <c r="C188" s="50"/>
      <c r="D188" s="53"/>
      <c r="E188" s="49"/>
      <c r="F188" s="49"/>
      <c r="G188" s="49"/>
      <c r="H188" s="49"/>
      <c r="I188" s="57"/>
      <c r="J188" s="40"/>
      <c r="K188" s="59"/>
      <c r="L188" s="40"/>
      <c r="M188" s="52"/>
      <c r="N188" s="52" t="s">
        <v>90</v>
      </c>
      <c r="O188" s="52">
        <f>O186+O187</f>
        <v>4748855.5</v>
      </c>
      <c r="P188" s="61"/>
      <c r="Q188" s="242"/>
      <c r="R188" s="242"/>
      <c r="S188" s="247"/>
      <c r="T188" s="248"/>
      <c r="U188" s="80"/>
    </row>
    <row r="189" spans="1:21" x14ac:dyDescent="0.35">
      <c r="A189" s="49"/>
      <c r="B189" s="195"/>
      <c r="C189" s="50"/>
      <c r="D189" s="49"/>
      <c r="E189" s="49"/>
      <c r="F189" s="49"/>
      <c r="G189" s="49"/>
      <c r="H189" s="49"/>
      <c r="I189" s="57"/>
      <c r="J189" s="40"/>
      <c r="K189" s="45"/>
      <c r="L189" s="40"/>
      <c r="M189" s="60"/>
      <c r="N189" s="45"/>
      <c r="O189" s="59"/>
      <c r="P189" s="61"/>
      <c r="Q189" s="233"/>
      <c r="R189" s="236"/>
      <c r="S189" s="233"/>
      <c r="T189" s="241"/>
    </row>
    <row r="190" spans="1:21" x14ac:dyDescent="0.35">
      <c r="A190" s="53" t="s">
        <v>249</v>
      </c>
      <c r="B190" s="194" t="s">
        <v>248</v>
      </c>
      <c r="C190" s="65" t="s">
        <v>247</v>
      </c>
      <c r="D190" s="53" t="s">
        <v>15</v>
      </c>
      <c r="E190" s="53" t="s">
        <v>194</v>
      </c>
      <c r="F190" s="53" t="s">
        <v>246</v>
      </c>
      <c r="G190" s="53" t="s">
        <v>16</v>
      </c>
      <c r="H190" s="53" t="s">
        <v>245</v>
      </c>
      <c r="I190" s="64" t="s">
        <v>14</v>
      </c>
      <c r="J190" s="47" t="s">
        <v>244</v>
      </c>
      <c r="K190" s="47" t="s">
        <v>243</v>
      </c>
      <c r="L190" s="47" t="s">
        <v>17</v>
      </c>
      <c r="M190" s="47" t="s">
        <v>219</v>
      </c>
      <c r="N190" s="63" t="s">
        <v>242</v>
      </c>
      <c r="O190" s="47" t="s">
        <v>241</v>
      </c>
      <c r="P190" s="61"/>
      <c r="Q190" s="280" t="s">
        <v>413</v>
      </c>
      <c r="R190" s="281"/>
      <c r="S190" s="233"/>
      <c r="T190" s="241"/>
    </row>
    <row r="191" spans="1:21" x14ac:dyDescent="0.35">
      <c r="A191" s="49" t="s">
        <v>191</v>
      </c>
      <c r="B191" s="195">
        <v>28</v>
      </c>
      <c r="C191" s="50">
        <v>2018</v>
      </c>
      <c r="D191" s="49" t="s">
        <v>225</v>
      </c>
      <c r="E191" s="49" t="s">
        <v>220</v>
      </c>
      <c r="F191" s="49"/>
      <c r="G191" s="49" t="s">
        <v>83</v>
      </c>
      <c r="H191" s="49" t="s">
        <v>481</v>
      </c>
      <c r="I191" s="57">
        <v>11161</v>
      </c>
      <c r="J191" s="40"/>
      <c r="K191" s="45">
        <f>IF(G191="L",'US CBAs'!$F$73,
IF(AND(E191="Friendly",F191="T1",G191="W"),'US CBAs'!$F$68,
IF(AND(E191="Friendly",F191="T2",G191="W"),'US CBAs'!$F$69,
IF(AND(E191="Friendly",F191="",G191="W"),'US CBAs'!$F$70,
IF(AND(E191="Friendly",F191="T1",G191="D"),'US CBAs'!$F$71,
IF(AND(E191="Friendly",F191="",G191="D"),'US CBAs'!$F$72,
IF(AND(E191="Gold Cup",F191="T1",G191="W"),'US CBAs'!$F$78,
IF(AND(E191="Gold Cup",F191="",G191="W"),'US CBAs'!$F$79,
IF(AND(E191="Gold Cup",G191="D"),'US CBAs'!$F$80,
IF(AND(E191="Copa America",F191="",G191="W"),'US CBAs'!$F$85,
IF(AND(E191="Copa America",G191="D"),'US CBAs'!$F$86,
IF(AND(E191="WCQ SF",G191="W"),'US CBAs'!$F$94,
IF(AND(E191="WCQ SF",G191="D"),'US CBAs'!$F$95,
IF(AND(E191="WCQ Hex",G191="W"),'US CBAs'!$F$98,
IF(AND(E191="WCQ Hex",G191="D"),'US CBAs'!$F$99,
IF(E191="World Cup",'US CBAs'!$F$104,
0))))))))))))))))</f>
        <v>6250</v>
      </c>
      <c r="L191" s="40">
        <v>20</v>
      </c>
      <c r="M191" s="60">
        <f t="shared" si="10"/>
        <v>125000</v>
      </c>
      <c r="N191" s="45">
        <f>IF(J191="",I191*'US CBAs'!$G$118,0)</f>
        <v>16741.5</v>
      </c>
      <c r="O191" s="59">
        <f t="shared" si="11"/>
        <v>141741.5</v>
      </c>
      <c r="Q191" s="282" t="s">
        <v>219</v>
      </c>
      <c r="R191" s="283">
        <f>SUM(M169:M185)+SUM(M191:M192)</f>
        <v>3584074</v>
      </c>
      <c r="S191" s="233"/>
      <c r="T191" s="241"/>
    </row>
    <row r="192" spans="1:21" x14ac:dyDescent="0.35">
      <c r="A192" s="49" t="s">
        <v>221</v>
      </c>
      <c r="B192" s="195">
        <v>27</v>
      </c>
      <c r="C192" s="50">
        <v>2018</v>
      </c>
      <c r="D192" s="49" t="s">
        <v>73</v>
      </c>
      <c r="E192" s="49" t="s">
        <v>220</v>
      </c>
      <c r="F192" s="49"/>
      <c r="G192" s="49" t="s">
        <v>20</v>
      </c>
      <c r="H192" s="49" t="s">
        <v>502</v>
      </c>
      <c r="I192" s="57">
        <v>9895</v>
      </c>
      <c r="J192" s="40"/>
      <c r="K192" s="45">
        <f>IF(G192="L",'US CBAs'!$F$73,
IF(AND(E192="Friendly",F192="T1",G192="W"),'US CBAs'!$F$68,
IF(AND(E192="Friendly",F192="T2",G192="W"),'US CBAs'!$F$69,
IF(AND(E192="Friendly",F192="",G192="W"),'US CBAs'!$F$70,
IF(AND(E192="Friendly",F192="T1",G192="D"),'US CBAs'!$F$71,
IF(AND(E192="Friendly",F192="",G192="D"),'US CBAs'!$F$72,
IF(AND(E192="Gold Cup",F192="T1",G192="W"),'US CBAs'!$F$78,
IF(AND(E192="Gold Cup",F192="",G192="W"),'US CBAs'!$F$79,
IF(AND(E192="Gold Cup",G192="D"),'US CBAs'!$F$80,
IF(AND(E192="Copa America",F192="",G192="W"),'US CBAs'!$F$85,
IF(AND(E192="Copa America",G192="D"),'US CBAs'!$F$86,
IF(AND(E192="WCQ SF",G192="W"),'US CBAs'!$F$94,
IF(AND(E192="WCQ SF",G192="D"),'US CBAs'!$F$95,
IF(AND(E192="WCQ Hex",G192="W"),'US CBAs'!$F$98,
IF(AND(E192="WCQ Hex",G192="D"),'US CBAs'!$F$99,
IF(E192="World Cup",'US CBAs'!$F$104,
0))))))))))))))))</f>
        <v>9375</v>
      </c>
      <c r="L192" s="40">
        <v>20</v>
      </c>
      <c r="M192" s="60">
        <f t="shared" si="10"/>
        <v>187500</v>
      </c>
      <c r="N192" s="45">
        <f>IF(J192="",I192*'US CBAs'!$G$118,0)</f>
        <v>14842.5</v>
      </c>
      <c r="O192" s="59">
        <f t="shared" si="11"/>
        <v>202342.5</v>
      </c>
      <c r="Q192" s="284" t="s">
        <v>394</v>
      </c>
      <c r="R192" s="283">
        <f>SUM(N169:N185)+SUM(N191:N192)</f>
        <v>207174</v>
      </c>
      <c r="S192" s="233"/>
      <c r="T192" s="241"/>
    </row>
    <row r="193" spans="1:21" x14ac:dyDescent="0.35">
      <c r="A193" s="49" t="s">
        <v>186</v>
      </c>
      <c r="B193" s="195">
        <v>28</v>
      </c>
      <c r="C193" s="50">
        <v>2018</v>
      </c>
      <c r="D193" s="49" t="s">
        <v>72</v>
      </c>
      <c r="E193" s="49" t="s">
        <v>220</v>
      </c>
      <c r="F193" s="49"/>
      <c r="G193" s="49" t="s">
        <v>20</v>
      </c>
      <c r="H193" s="49" t="s">
        <v>484</v>
      </c>
      <c r="I193" s="57">
        <v>11882</v>
      </c>
      <c r="J193" s="40"/>
      <c r="K193" s="45">
        <f>IF(G193="L",'US CBAs'!$F$73,
IF(AND(E193="Friendly",F193="T1",G193="W"),'US CBAs'!$F$68,
IF(AND(E193="Friendly",F193="T2",G193="W"),'US CBAs'!$F$69,
IF(AND(E193="Friendly",F193="",G193="W"),'US CBAs'!$F$70,
IF(AND(E193="Friendly",F193="T1",G193="D"),'US CBAs'!$F$71,
IF(AND(E193="Friendly",F193="",G193="D"),'US CBAs'!$F$72,
IF(AND(E193="Gold Cup",F193="T1",G193="W"),'US CBAs'!$F$78,
IF(AND(E193="Gold Cup",F193="",G193="W"),'US CBAs'!$F$79,
IF(AND(E193="Gold Cup",G193="D"),'US CBAs'!$F$80,
IF(AND(E193="Copa America",F193="",G193="W"),'US CBAs'!$F$85,
IF(AND(E193="Copa America",G193="D"),'US CBAs'!$F$86,
IF(AND(E193="WCQ SF",G193="W"),'US CBAs'!$F$94,
IF(AND(E193="WCQ SF",G193="D"),'US CBAs'!$F$95,
IF(AND(E193="WCQ Hex",G193="W"),'US CBAs'!$F$98,
IF(AND(E193="WCQ Hex",G193="D"),'US CBAs'!$F$99,
IF(E193="World Cup",'US CBAs'!$F$104,
0))))))))))))))))</f>
        <v>9375</v>
      </c>
      <c r="L193" s="40">
        <v>20</v>
      </c>
      <c r="M193" s="60">
        <f t="shared" si="10"/>
        <v>187500</v>
      </c>
      <c r="N193" s="45">
        <f>IF(J193="",I193*'US CBAs'!$G$118,0)</f>
        <v>17823</v>
      </c>
      <c r="O193" s="59">
        <f t="shared" si="11"/>
        <v>205323</v>
      </c>
      <c r="Q193" s="285" t="s">
        <v>395</v>
      </c>
      <c r="R193" s="286">
        <f>R191+R192</f>
        <v>3791248</v>
      </c>
      <c r="S193" s="233"/>
      <c r="T193" s="241"/>
    </row>
    <row r="194" spans="1:21" x14ac:dyDescent="0.35">
      <c r="A194" s="49" t="s">
        <v>223</v>
      </c>
      <c r="B194" s="195">
        <v>2</v>
      </c>
      <c r="C194" s="50">
        <v>2018</v>
      </c>
      <c r="D194" s="49" t="s">
        <v>65</v>
      </c>
      <c r="E194" s="49" t="s">
        <v>220</v>
      </c>
      <c r="F194" s="49"/>
      <c r="G194" s="49" t="s">
        <v>33</v>
      </c>
      <c r="H194" s="49" t="s">
        <v>65</v>
      </c>
      <c r="I194" s="57">
        <v>32300</v>
      </c>
      <c r="J194" s="40" t="s">
        <v>218</v>
      </c>
      <c r="K194" s="45">
        <f>IF(G194="L",'US CBAs'!$F$73,
IF(AND(E194="Friendly",F194="T1",G194="W"),'US CBAs'!$F$68,
IF(AND(E194="Friendly",F194="T2",G194="W"),'US CBAs'!$F$69,
IF(AND(E194="Friendly",F194="",G194="W"),'US CBAs'!$F$70,
IF(AND(E194="Friendly",F194="T1",G194="D"),'US CBAs'!$F$71,
IF(AND(E194="Friendly",F194="",G194="D"),'US CBAs'!$F$72,
IF(AND(E194="Gold Cup",F194="T1",G194="W"),'US CBAs'!$F$78,
IF(AND(E194="Gold Cup",F194="",G194="W"),'US CBAs'!$F$79,
IF(AND(E194="Gold Cup",G194="D"),'US CBAs'!$F$80,
IF(AND(E194="Copa America",F194="",G194="W"),'US CBAs'!$F$85,
IF(AND(E194="Copa America",G194="D"),'US CBAs'!$F$86,
IF(AND(E194="WCQ SF",G194="W"),'US CBAs'!$F$94,
IF(AND(E194="WCQ SF",G194="D"),'US CBAs'!$F$95,
IF(AND(E194="WCQ Hex",G194="W"),'US CBAs'!$F$98,
IF(AND(E194="WCQ Hex",G194="D"),'US CBAs'!$F$99,
IF(E194="World Cup",'US CBAs'!$F$104,
0))))))))))))))))</f>
        <v>5000</v>
      </c>
      <c r="L194" s="40">
        <v>20</v>
      </c>
      <c r="M194" s="60">
        <f t="shared" si="10"/>
        <v>100000</v>
      </c>
      <c r="N194" s="45">
        <f>IF(J194="",I194*'US CBAs'!$G$118,0)</f>
        <v>0</v>
      </c>
      <c r="O194" s="59">
        <f t="shared" si="11"/>
        <v>100000</v>
      </c>
      <c r="Q194" s="285" t="s">
        <v>183</v>
      </c>
      <c r="R194" s="286">
        <f>$T186</f>
        <v>258750</v>
      </c>
      <c r="S194" s="233"/>
      <c r="T194" s="241"/>
    </row>
    <row r="195" spans="1:21" x14ac:dyDescent="0.35">
      <c r="A195" s="49" t="s">
        <v>223</v>
      </c>
      <c r="B195" s="195">
        <v>9</v>
      </c>
      <c r="C195" s="50">
        <v>2018</v>
      </c>
      <c r="D195" s="49" t="s">
        <v>53</v>
      </c>
      <c r="E195" s="49" t="s">
        <v>220</v>
      </c>
      <c r="F195" s="49" t="s">
        <v>28</v>
      </c>
      <c r="G195" s="49" t="s">
        <v>83</v>
      </c>
      <c r="H195" s="49" t="s">
        <v>53</v>
      </c>
      <c r="I195" s="57">
        <v>58241</v>
      </c>
      <c r="J195" s="40" t="s">
        <v>218</v>
      </c>
      <c r="K195" s="45">
        <f>IF(G195="L",'US CBAs'!$F$73,
IF(AND(E195="Friendly",F195="T1",G195="W"),'US CBAs'!$F$68,
IF(AND(E195="Friendly",F195="T2",G195="W"),'US CBAs'!$F$69,
IF(AND(E195="Friendly",F195="",G195="W"),'US CBAs'!$F$70,
IF(AND(E195="Friendly",F195="T1",G195="D"),'US CBAs'!$F$71,
IF(AND(E195="Friendly",F195="",G195="D"),'US CBAs'!$F$72,
IF(AND(E195="Gold Cup",F195="T1",G195="W"),'US CBAs'!$F$78,
IF(AND(E195="Gold Cup",F195="",G195="W"),'US CBAs'!$F$79,
IF(AND(E195="Gold Cup",G195="D"),'US CBAs'!$F$80,
IF(AND(E195="Copa America",F195="",G195="W"),'US CBAs'!$F$85,
IF(AND(E195="Copa America",G195="D"),'US CBAs'!$F$86,
IF(AND(E195="WCQ SF",G195="W"),'US CBAs'!$F$94,
IF(AND(E195="WCQ SF",G195="D"),'US CBAs'!$F$95,
IF(AND(E195="WCQ Hex",G195="W"),'US CBAs'!$F$98,
IF(AND(E195="WCQ Hex",G195="D"),'US CBAs'!$F$99,
IF(E195="World Cup",'US CBAs'!$F$104,
0))))))))))))))))</f>
        <v>8125</v>
      </c>
      <c r="L195" s="40">
        <v>20</v>
      </c>
      <c r="M195" s="60">
        <f t="shared" si="10"/>
        <v>162500</v>
      </c>
      <c r="N195" s="45">
        <f>IF(J195="",I195*'US CBAs'!$G$118,0)</f>
        <v>0</v>
      </c>
      <c r="O195" s="59">
        <f t="shared" si="11"/>
        <v>162500</v>
      </c>
      <c r="Q195" s="287" t="s">
        <v>414</v>
      </c>
      <c r="R195" s="288">
        <f>R193+R194</f>
        <v>4049998</v>
      </c>
      <c r="S195" s="233"/>
      <c r="T195" s="241"/>
    </row>
    <row r="196" spans="1:21" x14ac:dyDescent="0.35">
      <c r="A196" s="49" t="s">
        <v>222</v>
      </c>
      <c r="B196" s="195">
        <v>7</v>
      </c>
      <c r="C196" s="50">
        <v>2018</v>
      </c>
      <c r="D196" s="49" t="s">
        <v>41</v>
      </c>
      <c r="E196" s="49" t="s">
        <v>220</v>
      </c>
      <c r="F196" s="49"/>
      <c r="G196" s="49" t="s">
        <v>33</v>
      </c>
      <c r="H196" s="49" t="s">
        <v>485</v>
      </c>
      <c r="I196" s="57">
        <v>32489</v>
      </c>
      <c r="J196" s="40"/>
      <c r="K196" s="45">
        <f>IF(G196="L",'US CBAs'!$F$73,
IF(AND(E196="Friendly",F196="T1",G196="W"),'US CBAs'!$F$68,
IF(AND(E196="Friendly",F196="T2",G196="W"),'US CBAs'!$F$69,
IF(AND(E196="Friendly",F196="",G196="W"),'US CBAs'!$F$70,
IF(AND(E196="Friendly",F196="T1",G196="D"),'US CBAs'!$F$71,
IF(AND(E196="Friendly",F196="",G196="D"),'US CBAs'!$F$72,
IF(AND(E196="Gold Cup",F196="T1",G196="W"),'US CBAs'!$F$78,
IF(AND(E196="Gold Cup",F196="",G196="W"),'US CBAs'!$F$79,
IF(AND(E196="Gold Cup",G196="D"),'US CBAs'!$F$80,
IF(AND(E196="Copa America",F196="",G196="W"),'US CBAs'!$F$85,
IF(AND(E196="Copa America",G196="D"),'US CBAs'!$F$86,
IF(AND(E196="WCQ SF",G196="W"),'US CBAs'!$F$94,
IF(AND(E196="WCQ SF",G196="D"),'US CBAs'!$F$95,
IF(AND(E196="WCQ Hex",G196="W"),'US CBAs'!$F$98,
IF(AND(E196="WCQ Hex",G196="D"),'US CBAs'!$F$99,
IF(E196="World Cup",'US CBAs'!$F$104,
0))))))))))))))))</f>
        <v>5000</v>
      </c>
      <c r="L196" s="40">
        <v>20</v>
      </c>
      <c r="M196" s="60">
        <f t="shared" si="10"/>
        <v>100000</v>
      </c>
      <c r="N196" s="45">
        <f>IF(J196="",I196*'US CBAs'!$G$118,0)</f>
        <v>48733.5</v>
      </c>
      <c r="O196" s="59">
        <f t="shared" si="11"/>
        <v>148733.5</v>
      </c>
      <c r="Q196" s="233"/>
      <c r="R196" s="237"/>
      <c r="S196" s="233"/>
      <c r="T196" s="241"/>
    </row>
    <row r="197" spans="1:21" x14ac:dyDescent="0.35">
      <c r="A197" s="49" t="s">
        <v>222</v>
      </c>
      <c r="B197" s="195">
        <v>11</v>
      </c>
      <c r="C197" s="50">
        <v>2018</v>
      </c>
      <c r="D197" s="49" t="s">
        <v>35</v>
      </c>
      <c r="E197" s="49" t="s">
        <v>220</v>
      </c>
      <c r="F197" s="49" t="s">
        <v>28</v>
      </c>
      <c r="G197" s="49" t="s">
        <v>20</v>
      </c>
      <c r="H197" s="49" t="s">
        <v>486</v>
      </c>
      <c r="I197" s="57">
        <v>40194</v>
      </c>
      <c r="J197" s="40"/>
      <c r="K197" s="45">
        <f>IF(G197="L",'US CBAs'!$F$73,
IF(AND(E197="Friendly",F197="T1",G197="W"),'US CBAs'!$F$68,
IF(AND(E197="Friendly",F197="T2",G197="W"),'US CBAs'!$F$69,
IF(AND(E197="Friendly",F197="",G197="W"),'US CBAs'!$F$70,
IF(AND(E197="Friendly",F197="T1",G197="D"),'US CBAs'!$F$71,
IF(AND(E197="Friendly",F197="",G197="D"),'US CBAs'!$F$72,
IF(AND(E197="Gold Cup",F197="T1",G197="W"),'US CBAs'!$F$78,
IF(AND(E197="Gold Cup",F197="",G197="W"),'US CBAs'!$F$79,
IF(AND(E197="Gold Cup",G197="D"),'US CBAs'!$F$80,
IF(AND(E197="Copa America",F197="",G197="W"),'US CBAs'!$F$85,
IF(AND(E197="Copa America",G197="D"),'US CBAs'!$F$86,
IF(AND(E197="WCQ SF",G197="W"),'US CBAs'!$F$94,
IF(AND(E197="WCQ SF",G197="D"),'US CBAs'!$F$95,
IF(AND(E197="WCQ Hex",G197="W"),'US CBAs'!$F$98,
IF(AND(E197="WCQ Hex",G197="D"),'US CBAs'!$F$99,
IF(E197="World Cup",'US CBAs'!$F$104,
0))))))))))))))))</f>
        <v>17625</v>
      </c>
      <c r="L197" s="40">
        <v>20</v>
      </c>
      <c r="M197" s="60">
        <f t="shared" ref="M197:M202" si="12">K197*L197</f>
        <v>352500</v>
      </c>
      <c r="N197" s="45">
        <f>IF(J197="",I197*'US CBAs'!$G$118,0)</f>
        <v>60291</v>
      </c>
      <c r="O197" s="59">
        <f t="shared" ref="O197:O202" si="13">M197+N197</f>
        <v>412791</v>
      </c>
      <c r="Q197" s="232"/>
      <c r="R197" s="272"/>
      <c r="S197" s="273"/>
      <c r="T197" s="241"/>
    </row>
    <row r="198" spans="1:21" x14ac:dyDescent="0.35">
      <c r="A198" s="49" t="s">
        <v>189</v>
      </c>
      <c r="B198" s="195">
        <v>11</v>
      </c>
      <c r="C198" s="50">
        <v>2018</v>
      </c>
      <c r="D198" s="49" t="s">
        <v>64</v>
      </c>
      <c r="E198" s="49" t="s">
        <v>220</v>
      </c>
      <c r="F198" s="49"/>
      <c r="G198" s="49" t="s">
        <v>33</v>
      </c>
      <c r="H198" s="49" t="s">
        <v>482</v>
      </c>
      <c r="I198" s="57">
        <v>38631</v>
      </c>
      <c r="J198" s="40"/>
      <c r="K198" s="45">
        <f>IF(G198="L",'US CBAs'!$F$73,
IF(AND(E198="Friendly",F198="T1",G198="W"),'US CBAs'!$F$68,
IF(AND(E198="Friendly",F198="T2",G198="W"),'US CBAs'!$F$69,
IF(AND(E198="Friendly",F198="",G198="W"),'US CBAs'!$F$70,
IF(AND(E198="Friendly",F198="T1",G198="D"),'US CBAs'!$F$71,
IF(AND(E198="Friendly",F198="",G198="D"),'US CBAs'!$F$72,
IF(AND(E198="Gold Cup",F198="T1",G198="W"),'US CBAs'!$F$78,
IF(AND(E198="Gold Cup",F198="",G198="W"),'US CBAs'!$F$79,
IF(AND(E198="Gold Cup",G198="D"),'US CBAs'!$F$80,
IF(AND(E198="Copa America",F198="",G198="W"),'US CBAs'!$F$85,
IF(AND(E198="Copa America",G198="D"),'US CBAs'!$F$86,
IF(AND(E198="WCQ SF",G198="W"),'US CBAs'!$F$94,
IF(AND(E198="WCQ SF",G198="D"),'US CBAs'!$F$95,
IF(AND(E198="WCQ Hex",G198="W"),'US CBAs'!$F$98,
IF(AND(E198="WCQ Hex",G198="D"),'US CBAs'!$F$99,
IF(E198="World Cup",'US CBAs'!$F$104,
0))))))))))))))))</f>
        <v>5000</v>
      </c>
      <c r="L198" s="40">
        <v>20</v>
      </c>
      <c r="M198" s="60">
        <f t="shared" si="12"/>
        <v>100000</v>
      </c>
      <c r="N198" s="45">
        <f>IF(J198="",I198*'US CBAs'!$G$118,0)</f>
        <v>57946.5</v>
      </c>
      <c r="O198" s="59">
        <f t="shared" si="13"/>
        <v>157946.5</v>
      </c>
      <c r="P198" s="61"/>
      <c r="Q198" s="242"/>
      <c r="R198" s="242"/>
      <c r="S198" s="233"/>
      <c r="U198" s="80"/>
    </row>
    <row r="199" spans="1:21" x14ac:dyDescent="0.35">
      <c r="A199" s="49" t="s">
        <v>189</v>
      </c>
      <c r="B199" s="195">
        <v>16</v>
      </c>
      <c r="C199" s="50">
        <v>2018</v>
      </c>
      <c r="D199" s="49" t="s">
        <v>67</v>
      </c>
      <c r="E199" s="49" t="s">
        <v>220</v>
      </c>
      <c r="F199" s="49"/>
      <c r="G199" s="49" t="s">
        <v>83</v>
      </c>
      <c r="H199" s="49" t="s">
        <v>483</v>
      </c>
      <c r="I199" s="57">
        <v>24959</v>
      </c>
      <c r="J199" s="40"/>
      <c r="K199" s="45">
        <f>IF(G199="L",'US CBAs'!$F$73,
IF(AND(E199="Friendly",F199="T1",G199="W"),'US CBAs'!$F$68,
IF(AND(E199="Friendly",F199="T2",G199="W"),'US CBAs'!$F$69,
IF(AND(E199="Friendly",F199="",G199="W"),'US CBAs'!$F$70,
IF(AND(E199="Friendly",F199="T1",G199="D"),'US CBAs'!$F$71,
IF(AND(E199="Friendly",F199="",G199="D"),'US CBAs'!$F$72,
IF(AND(E199="Gold Cup",F199="T1",G199="W"),'US CBAs'!$F$78,
IF(AND(E199="Gold Cup",F199="",G199="W"),'US CBAs'!$F$79,
IF(AND(E199="Gold Cup",G199="D"),'US CBAs'!$F$80,
IF(AND(E199="Copa America",F199="",G199="W"),'US CBAs'!$F$85,
IF(AND(E199="Copa America",G199="D"),'US CBAs'!$F$86,
IF(AND(E199="WCQ SF",G199="W"),'US CBAs'!$F$94,
IF(AND(E199="WCQ SF",G199="D"),'US CBAs'!$F$95,
IF(AND(E199="WCQ Hex",G199="W"),'US CBAs'!$F$98,
IF(AND(E199="WCQ Hex",G199="D"),'US CBAs'!$F$99,
IF(E199="World Cup",'US CBAs'!$F$104,
0))))))))))))))))</f>
        <v>6250</v>
      </c>
      <c r="L199" s="40">
        <v>20</v>
      </c>
      <c r="M199" s="60">
        <f t="shared" si="12"/>
        <v>125000</v>
      </c>
      <c r="N199" s="45">
        <f>IF(J199="",I199*'US CBAs'!$G$118,0)</f>
        <v>37438.5</v>
      </c>
      <c r="O199" s="59">
        <f t="shared" si="13"/>
        <v>162438.5</v>
      </c>
      <c r="Q199" s="47"/>
      <c r="R199" s="45"/>
      <c r="S199" s="46"/>
    </row>
    <row r="200" spans="1:21" x14ac:dyDescent="0.35">
      <c r="A200" s="49" t="s">
        <v>190</v>
      </c>
      <c r="B200" s="195">
        <v>15</v>
      </c>
      <c r="C200" s="50">
        <v>2018</v>
      </c>
      <c r="D200" s="49" t="s">
        <v>61</v>
      </c>
      <c r="E200" s="49" t="s">
        <v>220</v>
      </c>
      <c r="F200" s="49"/>
      <c r="G200" s="49" t="s">
        <v>33</v>
      </c>
      <c r="H200" s="49" t="s">
        <v>61</v>
      </c>
      <c r="I200" s="57">
        <v>68155</v>
      </c>
      <c r="J200" s="40" t="s">
        <v>218</v>
      </c>
      <c r="K200" s="45">
        <f>IF(G200="L",'US CBAs'!$F$73,
IF(AND(E200="Friendly",F200="T1",G200="W"),'US CBAs'!$F$68,
IF(AND(E200="Friendly",F200="T2",G200="W"),'US CBAs'!$F$69,
IF(AND(E200="Friendly",F200="",G200="W"),'US CBAs'!$F$70,
IF(AND(E200="Friendly",F200="T1",G200="D"),'US CBAs'!$F$71,
IF(AND(E200="Friendly",F200="",G200="D"),'US CBAs'!$F$72,
IF(AND(E200="Gold Cup",F200="T1",G200="W"),'US CBAs'!$F$78,
IF(AND(E200="Gold Cup",F200="",G200="W"),'US CBAs'!$F$79,
IF(AND(E200="Gold Cup",G200="D"),'US CBAs'!$F$80,
IF(AND(E200="Copa America",F200="",G200="W"),'US CBAs'!$F$85,
IF(AND(E200="Copa America",G200="D"),'US CBAs'!$F$86,
IF(AND(E200="WCQ SF",G200="W"),'US CBAs'!$F$94,
IF(AND(E200="WCQ SF",G200="D"),'US CBAs'!$F$95,
IF(AND(E200="WCQ Hex",G200="W"),'US CBAs'!$F$98,
IF(AND(E200="WCQ Hex",G200="D"),'US CBAs'!$F$99,
IF(E200="World Cup",'US CBAs'!$F$104,
0))))))))))))))))</f>
        <v>5000</v>
      </c>
      <c r="L200" s="40">
        <v>20</v>
      </c>
      <c r="M200" s="60">
        <f t="shared" si="12"/>
        <v>100000</v>
      </c>
      <c r="N200" s="45">
        <f>IF(J200="",I200*'US CBAs'!$G$118,0)</f>
        <v>0</v>
      </c>
      <c r="O200" s="59">
        <f t="shared" si="13"/>
        <v>100000</v>
      </c>
      <c r="Q200" s="233"/>
      <c r="R200" s="233"/>
      <c r="S200" s="273"/>
      <c r="T200" s="241"/>
    </row>
    <row r="201" spans="1:21" x14ac:dyDescent="0.35">
      <c r="A201" s="49" t="s">
        <v>190</v>
      </c>
      <c r="B201" s="195">
        <v>20</v>
      </c>
      <c r="C201" s="50">
        <v>2018</v>
      </c>
      <c r="D201" s="49" t="s">
        <v>84</v>
      </c>
      <c r="E201" s="49" t="s">
        <v>220</v>
      </c>
      <c r="F201" s="49"/>
      <c r="G201" s="49" t="s">
        <v>33</v>
      </c>
      <c r="H201" s="49" t="s">
        <v>39</v>
      </c>
      <c r="I201" s="57">
        <v>13500</v>
      </c>
      <c r="J201" s="49" t="s">
        <v>218</v>
      </c>
      <c r="K201" s="45">
        <f>IF(G201="L",'US CBAs'!$F$73,
IF(AND(E201="Friendly",F201="T1",G201="W"),'US CBAs'!$F$68,
IF(AND(E201="Friendly",F201="T2",G201="W"),'US CBAs'!$F$69,
IF(AND(E201="Friendly",F201="",G201="W"),'US CBAs'!$F$70,
IF(AND(E201="Friendly",F201="T1",G201="D"),'US CBAs'!$F$71,
IF(AND(E201="Friendly",F201="",G201="D"),'US CBAs'!$F$72,
IF(AND(E201="Gold Cup",F201="T1",G201="W"),'US CBAs'!$F$78,
IF(AND(E201="Gold Cup",F201="",G201="W"),'US CBAs'!$F$79,
IF(AND(E201="Gold Cup",G201="D"),'US CBAs'!$F$80,
IF(AND(E201="Copa America",F201="",G201="W"),'US CBAs'!$F$85,
IF(AND(E201="Copa America",G201="D"),'US CBAs'!$F$86,
IF(AND(E201="WCQ SF",G201="W"),'US CBAs'!$F$94,
IF(AND(E201="WCQ SF",G201="D"),'US CBAs'!$F$95,
IF(AND(E201="WCQ Hex",G201="W"),'US CBAs'!$F$98,
IF(AND(E201="WCQ Hex",G201="D"),'US CBAs'!$F$99,
IF(E201="World Cup",'US CBAs'!$F$104,
0))))))))))))))))</f>
        <v>5000</v>
      </c>
      <c r="L201" s="40">
        <v>20</v>
      </c>
      <c r="M201" s="60">
        <f t="shared" si="12"/>
        <v>100000</v>
      </c>
      <c r="N201" s="45">
        <f>IF(J201="",I201*'US CBAs'!$G$118,0)</f>
        <v>0</v>
      </c>
      <c r="O201" s="59">
        <f t="shared" si="13"/>
        <v>100000</v>
      </c>
      <c r="S201" s="46"/>
    </row>
    <row r="202" spans="1:21" x14ac:dyDescent="0.35">
      <c r="D202" s="58" t="s">
        <v>392</v>
      </c>
      <c r="E202" s="49"/>
      <c r="F202" s="49"/>
      <c r="G202" s="49"/>
      <c r="H202" s="49"/>
      <c r="I202" s="57"/>
      <c r="J202" s="40"/>
      <c r="K202" s="54">
        <f>'US CBAs'!$F$75</f>
        <v>1875</v>
      </c>
      <c r="L202" s="56">
        <v>10</v>
      </c>
      <c r="M202" s="54">
        <f t="shared" si="12"/>
        <v>18750</v>
      </c>
      <c r="N202" s="55"/>
      <c r="O202" s="54">
        <f t="shared" si="13"/>
        <v>18750</v>
      </c>
      <c r="S202" s="46"/>
    </row>
    <row r="203" spans="1:21" x14ac:dyDescent="0.35">
      <c r="A203" s="289" t="s">
        <v>24</v>
      </c>
      <c r="B203" s="290"/>
      <c r="C203" s="290"/>
      <c r="D203" s="289"/>
      <c r="E203" s="289"/>
      <c r="F203" s="289"/>
      <c r="G203" s="289"/>
      <c r="H203" s="289"/>
      <c r="I203" s="291"/>
      <c r="J203" s="289"/>
      <c r="K203" s="291"/>
      <c r="L203" s="289"/>
      <c r="M203" s="298">
        <f>SUBTOTAL(109,Table10[Game pay])</f>
        <v>1658750</v>
      </c>
      <c r="N203" s="204">
        <f>SUBTOTAL(109,Table10[Att bonus])</f>
        <v>253816.5</v>
      </c>
      <c r="O203" s="292">
        <f>SUBTOTAL(109,Table10[TEAM PAY])</f>
        <v>1912566.5</v>
      </c>
      <c r="S203" s="46"/>
    </row>
    <row r="204" spans="1:21" x14ac:dyDescent="0.35">
      <c r="K204" s="45"/>
    </row>
    <row r="205" spans="1:21" x14ac:dyDescent="0.35">
      <c r="A205" s="53" t="s">
        <v>249</v>
      </c>
      <c r="B205" s="194" t="s">
        <v>248</v>
      </c>
      <c r="C205" s="65" t="s">
        <v>247</v>
      </c>
      <c r="D205" s="53" t="s">
        <v>15</v>
      </c>
      <c r="E205" s="53" t="s">
        <v>194</v>
      </c>
      <c r="F205" s="53" t="s">
        <v>246</v>
      </c>
      <c r="G205" s="53" t="s">
        <v>16</v>
      </c>
      <c r="H205" s="53" t="s">
        <v>245</v>
      </c>
      <c r="I205" s="64" t="s">
        <v>14</v>
      </c>
      <c r="J205" s="47" t="s">
        <v>244</v>
      </c>
      <c r="K205" s="47" t="s">
        <v>243</v>
      </c>
      <c r="L205" s="47" t="s">
        <v>17</v>
      </c>
      <c r="M205" s="47" t="s">
        <v>219</v>
      </c>
      <c r="N205" s="63" t="s">
        <v>242</v>
      </c>
      <c r="O205" s="47" t="s">
        <v>241</v>
      </c>
      <c r="Q205" s="280" t="s">
        <v>415</v>
      </c>
      <c r="R205" s="281"/>
    </row>
    <row r="206" spans="1:21" x14ac:dyDescent="0.35">
      <c r="A206" s="396" t="s">
        <v>191</v>
      </c>
      <c r="B206" s="195">
        <v>27</v>
      </c>
      <c r="C206" s="50">
        <v>2019</v>
      </c>
      <c r="D206" s="49" t="s">
        <v>42</v>
      </c>
      <c r="E206" s="49" t="s">
        <v>220</v>
      </c>
      <c r="F206" s="49"/>
      <c r="G206" s="49" t="s">
        <v>20</v>
      </c>
      <c r="H206" s="49" t="s">
        <v>493</v>
      </c>
      <c r="I206" s="297">
        <v>9040</v>
      </c>
      <c r="K206" s="45">
        <f>IF(G206="L",'US CBAs'!$F$73,
IF(AND(E206="Friendly",F206="T1",G206="W"),'US CBAs'!$F$68,
IF(AND(E206="Friendly",F206="T2",G206="W"),'US CBAs'!$F$69,
IF(AND(E206="Friendly",F206="",G206="W"),'US CBAs'!$F$70,
IF(AND(E206="Friendly",F206="T1",G206="D"),'US CBAs'!$F$71,
IF(AND(E206="Friendly",F206="",G206="D"),'US CBAs'!$F$72,
IF(AND(E206="Gold Cup",F206="T1",G206="W"),'US CBAs'!$F$78,
IF(AND(E206="Gold Cup",F206="",G206="W"),'US CBAs'!$F$79,
IF(AND(E206="Gold Cup",G206="D"),'US CBAs'!$F$80,
IF(AND(E206="Nations League",F206="T1",G206="W"),'US CBAs'!$F$78,
IF(AND(E206="Nations League",F206="",G206="W"),'US CBAs'!$F$79,
IF(AND(E206="Nations League",G206="D"),'US CBAs'!$F$80,
IF(AND(E206="Copa America",F206="",G206="W"),'US CBAs'!$F$85,
IF(AND(E206="Copa America",G206="D"),'US CBAs'!$F$86,
IF(AND(E206="WCQ SF",G206="W"),'US CBAs'!$F$94,
IF(AND(E206="WCQ SF",G206="D"),'US CBAs'!$F$95,
IF(AND(E206="WCQ Hex",G206="W"),'US CBAs'!$F$98,
IF(AND(E206="WCQ Hex",G206="D"),'US CBAs'!$F$99,
IF(E206="World Cup",'US CBAs'!$F$104,
0))))))))))))))))
)))</f>
        <v>9375</v>
      </c>
      <c r="L206" s="40">
        <v>20</v>
      </c>
      <c r="M206" s="60">
        <f t="shared" ref="M206:M224" si="14">K206*L206</f>
        <v>187500</v>
      </c>
      <c r="N206" s="45">
        <f>IF(J206="",I206*'US CBAs'!$G$118,0)</f>
        <v>13560</v>
      </c>
      <c r="O206" s="59">
        <f t="shared" ref="O206:O224" si="15">M206+N206</f>
        <v>201060</v>
      </c>
      <c r="Q206" s="282" t="s">
        <v>219</v>
      </c>
      <c r="R206" s="395">
        <f>SUM(M193:M201)+SUM(M206:M209)</f>
        <v>2015000</v>
      </c>
    </row>
    <row r="207" spans="1:21" x14ac:dyDescent="0.35">
      <c r="A207" s="396" t="s">
        <v>192</v>
      </c>
      <c r="B207" s="195">
        <v>2</v>
      </c>
      <c r="C207" s="50">
        <v>2019</v>
      </c>
      <c r="D207" s="49" t="s">
        <v>36</v>
      </c>
      <c r="E207" s="49" t="s">
        <v>220</v>
      </c>
      <c r="F207" s="49"/>
      <c r="G207" s="49" t="s">
        <v>20</v>
      </c>
      <c r="H207" s="49" t="s">
        <v>481</v>
      </c>
      <c r="I207" s="227">
        <v>13656</v>
      </c>
      <c r="K207" s="45">
        <f>IF(G207="L",'US CBAs'!$F$73,
IF(AND(E207="Friendly",F207="T1",G207="W"),'US CBAs'!$F$68,
IF(AND(E207="Friendly",F207="T2",G207="W"),'US CBAs'!$F$69,
IF(AND(E207="Friendly",F207="",G207="W"),'US CBAs'!$F$70,
IF(AND(E207="Friendly",F207="T1",G207="D"),'US CBAs'!$F$71,
IF(AND(E207="Friendly",F207="",G207="D"),'US CBAs'!$F$72,
IF(AND(E207="Gold Cup",F207="T1",G207="W"),'US CBAs'!$F$78,
IF(AND(E207="Gold Cup",F207="",G207="W"),'US CBAs'!$F$79,
IF(AND(E207="Gold Cup",G207="D"),'US CBAs'!$F$80,
IF(AND(E207="Nations League",F207="T1",G207="W"),'US CBAs'!$F$78,
IF(AND(E207="Nations League",F207="",G207="W"),'US CBAs'!$F$79,
IF(AND(E207="Nations League",G207="D"),'US CBAs'!$F$80,
IF(AND(E207="Copa America",F207="",G207="W"),'US CBAs'!$F$85,
IF(AND(E207="Copa America",G207="D"),'US CBAs'!$F$86,
IF(AND(E207="WCQ SF",G207="W"),'US CBAs'!$F$94,
IF(AND(E207="WCQ SF",G207="D"),'US CBAs'!$F$95,
IF(AND(E207="WCQ Hex",G207="W"),'US CBAs'!$F$98,
IF(AND(E207="WCQ Hex",G207="D"),'US CBAs'!$F$99,
IF(E207="World Cup",'US CBAs'!$F$104,
0))))))))))))))))
)))</f>
        <v>9375</v>
      </c>
      <c r="L207" s="40">
        <v>20</v>
      </c>
      <c r="M207" s="60">
        <f t="shared" si="14"/>
        <v>187500</v>
      </c>
      <c r="N207" s="45">
        <f>IF(J207="",I207*'US CBAs'!$G$118,0)</f>
        <v>20484</v>
      </c>
      <c r="O207" s="59">
        <f t="shared" si="15"/>
        <v>207984</v>
      </c>
      <c r="Q207" s="284" t="s">
        <v>394</v>
      </c>
      <c r="R207" s="395">
        <f>SUM(N193:N201)+SUM(N206:N209)</f>
        <v>309459</v>
      </c>
    </row>
    <row r="208" spans="1:21" x14ac:dyDescent="0.35">
      <c r="A208" s="396" t="s">
        <v>221</v>
      </c>
      <c r="B208" s="195">
        <v>21</v>
      </c>
      <c r="C208" s="50">
        <v>2019</v>
      </c>
      <c r="D208" s="49" t="s">
        <v>63</v>
      </c>
      <c r="E208" s="49" t="s">
        <v>220</v>
      </c>
      <c r="F208" s="49"/>
      <c r="G208" s="49" t="s">
        <v>20</v>
      </c>
      <c r="H208" s="49" t="s">
        <v>482</v>
      </c>
      <c r="I208" s="227">
        <v>17422</v>
      </c>
      <c r="K208" s="45">
        <f>IF(G208="L",'US CBAs'!$F$73,
IF(AND(E208="Friendly",F208="T1",G208="W"),'US CBAs'!$F$68,
IF(AND(E208="Friendly",F208="T2",G208="W"),'US CBAs'!$F$69,
IF(AND(E208="Friendly",F208="",G208="W"),'US CBAs'!$F$70,
IF(AND(E208="Friendly",F208="T1",G208="D"),'US CBAs'!$F$71,
IF(AND(E208="Friendly",F208="",G208="D"),'US CBAs'!$F$72,
IF(AND(E208="Gold Cup",F208="T1",G208="W"),'US CBAs'!$F$78,
IF(AND(E208="Gold Cup",F208="",G208="W"),'US CBAs'!$F$79,
IF(AND(E208="Gold Cup",G208="D"),'US CBAs'!$F$80,
IF(AND(E208="Nations League",F208="T1",G208="W"),'US CBAs'!$F$78,
IF(AND(E208="Nations League",F208="",G208="W"),'US CBAs'!$F$79,
IF(AND(E208="Nations League",G208="D"),'US CBAs'!$F$80,
IF(AND(E208="Copa America",F208="",G208="W"),'US CBAs'!$F$85,
IF(AND(E208="Copa America",G208="D"),'US CBAs'!$F$86,
IF(AND(E208="WCQ SF",G208="W"),'US CBAs'!$F$94,
IF(AND(E208="WCQ SF",G208="D"),'US CBAs'!$F$95,
IF(AND(E208="WCQ Hex",G208="W"),'US CBAs'!$F$98,
IF(AND(E208="WCQ Hex",G208="D"),'US CBAs'!$F$99,
IF(E208="World Cup",'US CBAs'!$F$104,
0))))))))))))))))
)))</f>
        <v>9375</v>
      </c>
      <c r="L208" s="40">
        <v>20</v>
      </c>
      <c r="M208" s="60">
        <f t="shared" si="14"/>
        <v>187500</v>
      </c>
      <c r="N208" s="45">
        <f>IF(J208="",I208*'US CBAs'!$G$118,0)</f>
        <v>26133</v>
      </c>
      <c r="O208" s="59">
        <f t="shared" si="15"/>
        <v>213633</v>
      </c>
      <c r="Q208" s="285" t="s">
        <v>395</v>
      </c>
      <c r="R208" s="286">
        <f>R206+R207</f>
        <v>2324459</v>
      </c>
    </row>
    <row r="209" spans="1:20" x14ac:dyDescent="0.35">
      <c r="A209" s="396" t="s">
        <v>221</v>
      </c>
      <c r="B209" s="195">
        <v>26</v>
      </c>
      <c r="C209" s="50">
        <v>2019</v>
      </c>
      <c r="D209" s="49" t="s">
        <v>66</v>
      </c>
      <c r="E209" s="49" t="s">
        <v>220</v>
      </c>
      <c r="F209" s="396"/>
      <c r="G209" s="49" t="s">
        <v>83</v>
      </c>
      <c r="H209" s="49" t="s">
        <v>492</v>
      </c>
      <c r="I209" s="227">
        <v>18033</v>
      </c>
      <c r="K209" s="45">
        <f>IF(G209="L",'US CBAs'!$F$73,
IF(AND(E209="Friendly",F209="T1",G209="W"),'US CBAs'!$F$68,
IF(AND(E209="Friendly",F209="T2",G209="W"),'US CBAs'!$F$69,
IF(AND(E209="Friendly",F209="",G209="W"),'US CBAs'!$F$70,
IF(AND(E209="Friendly",F209="T1",G209="D"),'US CBAs'!$F$71,
IF(AND(E209="Friendly",F209="",G209="D"),'US CBAs'!$F$72,
IF(AND(E209="Gold Cup",F209="T1",G209="W"),'US CBAs'!$F$78,
IF(AND(E209="Gold Cup",F209="",G209="W"),'US CBAs'!$F$79,
IF(AND(E209="Gold Cup",G209="D"),'US CBAs'!$F$80,
IF(AND(E209="Nations League",F209="T1",G209="W"),'US CBAs'!$F$78,
IF(AND(E209="Nations League",F209="",G209="W"),'US CBAs'!$F$79,
IF(AND(E209="Nations League",G209="D"),'US CBAs'!$F$80,
IF(AND(E209="Copa America",F209="",G209="W"),'US CBAs'!$F$85,
IF(AND(E209="Copa America",G209="D"),'US CBAs'!$F$86,
IF(AND(E209="WCQ SF",G209="W"),'US CBAs'!$F$94,
IF(AND(E209="WCQ SF",G209="D"),'US CBAs'!$F$95,
IF(AND(E209="WCQ Hex",G209="W"),'US CBAs'!$F$98,
IF(AND(E209="WCQ Hex",G209="D"),'US CBAs'!$F$99,
IF(E209="World Cup",'US CBAs'!$F$104,
0))))))))))))))))
)))</f>
        <v>6250</v>
      </c>
      <c r="L209" s="40">
        <v>20</v>
      </c>
      <c r="M209" s="60">
        <f t="shared" si="14"/>
        <v>125000</v>
      </c>
      <c r="N209" s="45">
        <f>IF(J209="",I209*'US CBAs'!$G$118,0)</f>
        <v>27049.5</v>
      </c>
      <c r="O209" s="59">
        <f t="shared" si="15"/>
        <v>152049.5</v>
      </c>
      <c r="Q209" s="285" t="s">
        <v>183</v>
      </c>
      <c r="R209" s="286">
        <f>$T201</f>
        <v>0</v>
      </c>
    </row>
    <row r="210" spans="1:20" x14ac:dyDescent="0.35">
      <c r="A210" s="390" t="s">
        <v>223</v>
      </c>
      <c r="B210" s="391">
        <v>5</v>
      </c>
      <c r="C210" s="392">
        <v>2019</v>
      </c>
      <c r="D210" s="390" t="s">
        <v>40</v>
      </c>
      <c r="E210" s="390" t="s">
        <v>220</v>
      </c>
      <c r="F210" s="390"/>
      <c r="G210" s="390" t="s">
        <v>33</v>
      </c>
      <c r="H210" s="390" t="s">
        <v>491</v>
      </c>
      <c r="I210" s="393">
        <v>17719</v>
      </c>
      <c r="J210" s="368"/>
      <c r="K210" s="330">
        <f>IF(G210="L",'US CBAs'!$F$73,
IF(AND(E210="Friendly",F210="T1",G210="W"),'US CBAs'!$F$68,
IF(AND(E210="Friendly",F210="T2",G210="W"),'US CBAs'!$F$69,
IF(AND(E210="Friendly",F210="",G210="W"),'US CBAs'!$F$70,
IF(AND(E210="Friendly",F210="T1",G210="D"),'US CBAs'!$F$71,
IF(AND(E210="Friendly",F210="",G210="D"),'US CBAs'!$F$72,
IF(AND(E210="Gold Cup",F210="T1",G210="W"),'US CBAs'!$F$78,
IF(AND(E210="Gold Cup",F210="",G210="W"),'US CBAs'!$F$79,
IF(AND(E210="Gold Cup",G210="D"),'US CBAs'!$F$80,
IF(AND(E210="Nations League",F210="T1",G210="W"),'US CBAs'!$F$78,
IF(AND(E210="Nations League",F210="",G210="W"),'US CBAs'!$F$79,
IF(AND(E210="Nations League",G210="D"),'US CBAs'!$F$80,
IF(AND(E210="Copa America",F210="",G210="W"),'US CBAs'!$F$85,
IF(AND(E210="Copa America",G210="D"),'US CBAs'!$F$86,
IF(AND(E210="WCQ SF",G210="W"),'US CBAs'!$F$94,
IF(AND(E210="WCQ SF",G210="D"),'US CBAs'!$F$95,
IF(AND(E210="WCQ Hex",G210="W"),'US CBAs'!$F$98,
IF(AND(E210="WCQ Hex",G210="D"),'US CBAs'!$F$99,
IF(E210="World Cup",'US CBAs'!$F$104,
0))))))))))))))))
)))</f>
        <v>5000</v>
      </c>
      <c r="L210" s="309">
        <v>20</v>
      </c>
      <c r="M210" s="380">
        <f t="shared" si="14"/>
        <v>100000</v>
      </c>
      <c r="N210" s="330">
        <f>IF(J210="",I210*'US CBAs'!$G$118,0)</f>
        <v>26578.5</v>
      </c>
      <c r="O210" s="394">
        <f t="shared" si="15"/>
        <v>126578.5</v>
      </c>
      <c r="Q210" s="287" t="s">
        <v>571</v>
      </c>
      <c r="R210" s="288">
        <f>R208+R209</f>
        <v>2324459</v>
      </c>
    </row>
    <row r="211" spans="1:20" x14ac:dyDescent="0.35">
      <c r="A211" s="390" t="s">
        <v>223</v>
      </c>
      <c r="B211" s="391">
        <v>9</v>
      </c>
      <c r="C211" s="392">
        <v>2019</v>
      </c>
      <c r="D211" s="390" t="s">
        <v>76</v>
      </c>
      <c r="E211" s="390" t="s">
        <v>220</v>
      </c>
      <c r="F211" s="390"/>
      <c r="G211" s="390" t="s">
        <v>33</v>
      </c>
      <c r="H211" s="390" t="s">
        <v>495</v>
      </c>
      <c r="I211" s="393">
        <v>23955</v>
      </c>
      <c r="J211" s="368"/>
      <c r="K211" s="330">
        <f>IF(G211="L",'US CBAs'!$F$73,
IF(AND(E211="Friendly",F211="T1",G211="W"),'US CBAs'!$F$68,
IF(AND(E211="Friendly",F211="T2",G211="W"),'US CBAs'!$F$69,
IF(AND(E211="Friendly",F211="",G211="W"),'US CBAs'!$F$70,
IF(AND(E211="Friendly",F211="T1",G211="D"),'US CBAs'!$F$71,
IF(AND(E211="Friendly",F211="",G211="D"),'US CBAs'!$F$72,
IF(AND(E211="Gold Cup",F211="T1",G211="W"),'US CBAs'!$F$78,
IF(AND(E211="Gold Cup",F211="",G211="W"),'US CBAs'!$F$79,
IF(AND(E211="Gold Cup",G211="D"),'US CBAs'!$F$80,
IF(AND(E211="Nations League",F211="T1",G211="W"),'US CBAs'!$F$78,
IF(AND(E211="Nations League",F211="",G211="W"),'US CBAs'!$F$79,
IF(AND(E211="Nations League",G211="D"),'US CBAs'!$F$80,
IF(AND(E211="Copa America",F211="",G211="W"),'US CBAs'!$F$85,
IF(AND(E211="Copa America",G211="D"),'US CBAs'!$F$86,
IF(AND(E211="WCQ SF",G211="W"),'US CBAs'!$F$94,
IF(AND(E211="WCQ SF",G211="D"),'US CBAs'!$F$95,
IF(AND(E211="WCQ Hex",G211="W"),'US CBAs'!$F$98,
IF(AND(E211="WCQ Hex",G211="D"),'US CBAs'!$F$99,
IF(E211="World Cup",'US CBAs'!$F$104,
0))))))))))))))))
)))</f>
        <v>5000</v>
      </c>
      <c r="L211" s="309">
        <v>20</v>
      </c>
      <c r="M211" s="380">
        <f t="shared" si="14"/>
        <v>100000</v>
      </c>
      <c r="N211" s="330">
        <f>IF(J211="",I211*'US CBAs'!$G$118,0)</f>
        <v>35932.5</v>
      </c>
      <c r="O211" s="394">
        <f t="shared" si="15"/>
        <v>135932.5</v>
      </c>
    </row>
    <row r="212" spans="1:20" x14ac:dyDescent="0.35">
      <c r="A212" s="390" t="s">
        <v>223</v>
      </c>
      <c r="B212" s="391">
        <v>18</v>
      </c>
      <c r="C212" s="392">
        <v>2019</v>
      </c>
      <c r="D212" s="390" t="s">
        <v>509</v>
      </c>
      <c r="E212" s="390" t="s">
        <v>229</v>
      </c>
      <c r="F212" s="390"/>
      <c r="G212" s="390" t="s">
        <v>20</v>
      </c>
      <c r="H212" s="390" t="s">
        <v>506</v>
      </c>
      <c r="I212" s="393">
        <v>19418</v>
      </c>
      <c r="J212" s="368" t="s">
        <v>218</v>
      </c>
      <c r="K212" s="330">
        <f>IF(G212="L",'US CBAs'!$F$73,
IF(AND(E212="Friendly",F212="T1",G212="W"),'US CBAs'!$F$68,
IF(AND(E212="Friendly",F212="T2",G212="W"),'US CBAs'!$F$69,
IF(AND(E212="Friendly",F212="",G212="W"),'US CBAs'!$F$70,
IF(AND(E212="Friendly",F212="T1",G212="D"),'US CBAs'!$F$71,
IF(AND(E212="Friendly",F212="",G212="D"),'US CBAs'!$F$72,
IF(AND(E212="Gold Cup",F212="T1",G212="W"),'US CBAs'!$F$78,
IF(AND(E212="Gold Cup",F212="",G212="W"),'US CBAs'!$F$79,
IF(AND(E212="Gold Cup",G212="D"),'US CBAs'!$F$80,
IF(AND(E212="Nations League",F212="T1",G212="W"),'US CBAs'!$F$78,
IF(AND(E212="Nations League",F212="",G212="W"),'US CBAs'!$F$79,
IF(AND(E212="Nations League",G212="D"),'US CBAs'!$F$80,
IF(AND(E212="Copa America",F212="",G212="W"),'US CBAs'!$F$85,
IF(AND(E212="Copa America",G212="D"),'US CBAs'!$F$86,
IF(AND(E212="WCQ SF",G212="W"),'US CBAs'!$F$94,
IF(AND(E212="WCQ SF",G212="D"),'US CBAs'!$F$95,
IF(AND(E212="WCQ Hex",G212="W"),'US CBAs'!$F$98,
IF(AND(E212="WCQ Hex",G212="D"),'US CBAs'!$F$99,
IF(E212="World Cup",'US CBAs'!$F$104,
0))))))))))))))))
)))</f>
        <v>9375</v>
      </c>
      <c r="L212" s="309">
        <v>23</v>
      </c>
      <c r="M212" s="380">
        <f t="shared" si="14"/>
        <v>215625</v>
      </c>
      <c r="N212" s="330">
        <f>IF(J212="",I212*'US CBAs'!$G$118,0)</f>
        <v>0</v>
      </c>
      <c r="O212" s="394">
        <f t="shared" si="15"/>
        <v>215625</v>
      </c>
    </row>
    <row r="213" spans="1:20" x14ac:dyDescent="0.35">
      <c r="A213" s="390" t="s">
        <v>223</v>
      </c>
      <c r="B213" s="391">
        <v>22</v>
      </c>
      <c r="C213" s="392">
        <v>2019</v>
      </c>
      <c r="D213" s="390" t="s">
        <v>510</v>
      </c>
      <c r="E213" s="390" t="s">
        <v>229</v>
      </c>
      <c r="F213" s="390"/>
      <c r="G213" s="390" t="s">
        <v>20</v>
      </c>
      <c r="H213" s="390" t="s">
        <v>495</v>
      </c>
      <c r="I213" s="393">
        <v>23921</v>
      </c>
      <c r="J213" s="368" t="s">
        <v>218</v>
      </c>
      <c r="K213" s="330">
        <f>IF(G213="L",'US CBAs'!$F$73,
IF(AND(E213="Friendly",F213="T1",G213="W"),'US CBAs'!$F$68,
IF(AND(E213="Friendly",F213="T2",G213="W"),'US CBAs'!$F$69,
IF(AND(E213="Friendly",F213="",G213="W"),'US CBAs'!$F$70,
IF(AND(E213="Friendly",F213="T1",G213="D"),'US CBAs'!$F$71,
IF(AND(E213="Friendly",F213="",G213="D"),'US CBAs'!$F$72,
IF(AND(E213="Gold Cup",F213="T1",G213="W"),'US CBAs'!$F$78,
IF(AND(E213="Gold Cup",F213="",G213="W"),'US CBAs'!$F$79,
IF(AND(E213="Gold Cup",G213="D"),'US CBAs'!$F$80,
IF(AND(E213="Nations League",F213="T1",G213="W"),'US CBAs'!$F$78,
IF(AND(E213="Nations League",F213="",G213="W"),'US CBAs'!$F$79,
IF(AND(E213="Nations League",G213="D"),'US CBAs'!$F$80,
IF(AND(E213="Copa America",F213="",G213="W"),'US CBAs'!$F$85,
IF(AND(E213="Copa America",G213="D"),'US CBAs'!$F$86,
IF(AND(E213="WCQ SF",G213="W"),'US CBAs'!$F$94,
IF(AND(E213="WCQ SF",G213="D"),'US CBAs'!$F$95,
IF(AND(E213="WCQ Hex",G213="W"),'US CBAs'!$F$98,
IF(AND(E213="WCQ Hex",G213="D"),'US CBAs'!$F$99,
IF(E213="World Cup",'US CBAs'!$F$104,
0))))))))))))))))
)))</f>
        <v>9375</v>
      </c>
      <c r="L213" s="309">
        <v>23</v>
      </c>
      <c r="M213" s="380">
        <f t="shared" si="14"/>
        <v>215625</v>
      </c>
      <c r="N213" s="330">
        <f>IF(J213="",I213*'US CBAs'!$G$118,0)</f>
        <v>0</v>
      </c>
      <c r="O213" s="394">
        <f t="shared" si="15"/>
        <v>215625</v>
      </c>
    </row>
    <row r="214" spans="1:20" x14ac:dyDescent="0.35">
      <c r="A214" s="390" t="s">
        <v>223</v>
      </c>
      <c r="B214" s="391">
        <v>26</v>
      </c>
      <c r="C214" s="392">
        <v>2019</v>
      </c>
      <c r="D214" s="390" t="s">
        <v>42</v>
      </c>
      <c r="E214" s="390" t="s">
        <v>229</v>
      </c>
      <c r="F214" s="390"/>
      <c r="G214" s="390" t="s">
        <v>20</v>
      </c>
      <c r="H214" s="390" t="s">
        <v>501</v>
      </c>
      <c r="I214" s="393">
        <v>17037</v>
      </c>
      <c r="J214" s="368" t="s">
        <v>218</v>
      </c>
      <c r="K214" s="330">
        <f>IF(G214="L",'US CBAs'!$F$73,
IF(AND(E214="Friendly",F214="T1",G214="W"),'US CBAs'!$F$68,
IF(AND(E214="Friendly",F214="T2",G214="W"),'US CBAs'!$F$69,
IF(AND(E214="Friendly",F214="",G214="W"),'US CBAs'!$F$70,
IF(AND(E214="Friendly",F214="T1",G214="D"),'US CBAs'!$F$71,
IF(AND(E214="Friendly",F214="",G214="D"),'US CBAs'!$F$72,
IF(AND(E214="Gold Cup",F214="T1",G214="W"),'US CBAs'!$F$78,
IF(AND(E214="Gold Cup",F214="",G214="W"),'US CBAs'!$F$79,
IF(AND(E214="Gold Cup",G214="D"),'US CBAs'!$F$80,
IF(AND(E214="Nations League",F214="T1",G214="W"),'US CBAs'!$F$78,
IF(AND(E214="Nations League",F214="",G214="W"),'US CBAs'!$F$79,
IF(AND(E214="Nations League",G214="D"),'US CBAs'!$F$80,
IF(AND(E214="Copa America",F214="",G214="W"),'US CBAs'!$F$85,
IF(AND(E214="Copa America",G214="D"),'US CBAs'!$F$86,
IF(AND(E214="WCQ SF",G214="W"),'US CBAs'!$F$94,
IF(AND(E214="WCQ SF",G214="D"),'US CBAs'!$F$95,
IF(AND(E214="WCQ Hex",G214="W"),'US CBAs'!$F$98,
IF(AND(E214="WCQ Hex",G214="D"),'US CBAs'!$F$99,
IF(E214="World Cup",'US CBAs'!$F$104,
0))))))))))))))))
)))</f>
        <v>9375</v>
      </c>
      <c r="L214" s="309">
        <v>23</v>
      </c>
      <c r="M214" s="380">
        <f t="shared" si="14"/>
        <v>215625</v>
      </c>
      <c r="N214" s="330">
        <f>IF(J214="",I214*'US CBAs'!$G$118,0)</f>
        <v>0</v>
      </c>
      <c r="O214" s="394">
        <f t="shared" si="15"/>
        <v>215625</v>
      </c>
    </row>
    <row r="215" spans="1:20" x14ac:dyDescent="0.35">
      <c r="A215" s="390" t="s">
        <v>223</v>
      </c>
      <c r="B215" s="391">
        <v>30</v>
      </c>
      <c r="C215" s="392">
        <v>2019</v>
      </c>
      <c r="D215" s="390" t="s">
        <v>511</v>
      </c>
      <c r="E215" s="390" t="s">
        <v>229</v>
      </c>
      <c r="F215" s="390"/>
      <c r="G215" s="390" t="s">
        <v>20</v>
      </c>
      <c r="H215" s="390" t="s">
        <v>484</v>
      </c>
      <c r="I215" s="393">
        <v>26233</v>
      </c>
      <c r="J215" s="368" t="s">
        <v>218</v>
      </c>
      <c r="K215" s="330">
        <f>IF(G215="L",'US CBAs'!$F$73,
IF(AND(E215="Friendly",F215="T1",G215="W"),'US CBAs'!$F$68,
IF(AND(E215="Friendly",F215="T2",G215="W"),'US CBAs'!$F$69,
IF(AND(E215="Friendly",F215="",G215="W"),'US CBAs'!$F$70,
IF(AND(E215="Friendly",F215="T1",G215="D"),'US CBAs'!$F$71,
IF(AND(E215="Friendly",F215="",G215="D"),'US CBAs'!$F$72,
IF(AND(E215="Gold Cup",F215="T1",G215="W"),'US CBAs'!$F$78,
IF(AND(E215="Gold Cup",F215="",G215="W"),'US CBAs'!$F$79,
IF(AND(E215="Gold Cup",G215="D"),'US CBAs'!$F$80,
IF(AND(E215="Nations League",F215="T1",G215="W"),'US CBAs'!$F$78,
IF(AND(E215="Nations League",F215="",G215="W"),'US CBAs'!$F$79,
IF(AND(E215="Nations League",G215="D"),'US CBAs'!$F$80,
IF(AND(E215="Copa America",F215="",G215="W"),'US CBAs'!$F$85,
IF(AND(E215="Copa America",G215="D"),'US CBAs'!$F$86,
IF(AND(E215="WCQ SF",G215="W"),'US CBAs'!$F$94,
IF(AND(E215="WCQ SF",G215="D"),'US CBAs'!$F$95,
IF(AND(E215="WCQ Hex",G215="W"),'US CBAs'!$F$98,
IF(AND(E215="WCQ Hex",G215="D"),'US CBAs'!$F$99,
IF(E215="World Cup",'US CBAs'!$F$104,
0))))))))))))))))
)))</f>
        <v>9375</v>
      </c>
      <c r="L215" s="309">
        <v>23</v>
      </c>
      <c r="M215" s="380">
        <f t="shared" si="14"/>
        <v>215625</v>
      </c>
      <c r="N215" s="330">
        <f>IF(J215="",I215*'US CBAs'!$G$118,0)</f>
        <v>0</v>
      </c>
      <c r="O215" s="394">
        <f t="shared" si="15"/>
        <v>215625</v>
      </c>
    </row>
    <row r="216" spans="1:20" x14ac:dyDescent="0.35">
      <c r="A216" s="390" t="s">
        <v>230</v>
      </c>
      <c r="B216" s="391">
        <v>3</v>
      </c>
      <c r="C216" s="392">
        <v>2019</v>
      </c>
      <c r="D216" s="390" t="s">
        <v>40</v>
      </c>
      <c r="E216" s="390" t="s">
        <v>229</v>
      </c>
      <c r="F216" s="390"/>
      <c r="G216" s="390" t="s">
        <v>20</v>
      </c>
      <c r="H216" s="390" t="s">
        <v>486</v>
      </c>
      <c r="I216" s="393">
        <v>28473</v>
      </c>
      <c r="J216" s="368" t="s">
        <v>218</v>
      </c>
      <c r="K216" s="330">
        <f>IF(G216="L",'US CBAs'!$F$73,
IF(AND(E216="Friendly",F216="T1",G216="W"),'US CBAs'!$F$68,
IF(AND(E216="Friendly",F216="T2",G216="W"),'US CBAs'!$F$69,
IF(AND(E216="Friendly",F216="",G216="W"),'US CBAs'!$F$70,
IF(AND(E216="Friendly",F216="T1",G216="D"),'US CBAs'!$F$71,
IF(AND(E216="Friendly",F216="",G216="D"),'US CBAs'!$F$72,
IF(AND(E216="Gold Cup",F216="T1",G216="W"),'US CBAs'!$F$78,
IF(AND(E216="Gold Cup",F216="",G216="W"),'US CBAs'!$F$79,
IF(AND(E216="Gold Cup",G216="D"),'US CBAs'!$F$80,
IF(AND(E216="Nations League",F216="T1",G216="W"),'US CBAs'!$F$78,
IF(AND(E216="Nations League",F216="",G216="W"),'US CBAs'!$F$79,
IF(AND(E216="Nations League",G216="D"),'US CBAs'!$F$80,
IF(AND(E216="Copa America",F216="",G216="W"),'US CBAs'!$F$85,
IF(AND(E216="Copa America",G216="D"),'US CBAs'!$F$86,
IF(AND(E216="WCQ SF",G216="W"),'US CBAs'!$F$94,
IF(AND(E216="WCQ SF",G216="D"),'US CBAs'!$F$95,
IF(AND(E216="WCQ Hex",G216="W"),'US CBAs'!$F$98,
IF(AND(E216="WCQ Hex",G216="D"),'US CBAs'!$F$99,
IF(E216="World Cup",'US CBAs'!$F$104,
0))))))))))))))))
)))</f>
        <v>9375</v>
      </c>
      <c r="L216" s="309">
        <v>23</v>
      </c>
      <c r="M216" s="380">
        <f t="shared" si="14"/>
        <v>215625</v>
      </c>
      <c r="N216" s="330">
        <f>IF(J216="",I216*'US CBAs'!$G$118,0)</f>
        <v>0</v>
      </c>
      <c r="O216" s="394">
        <f t="shared" si="15"/>
        <v>215625</v>
      </c>
    </row>
    <row r="217" spans="1:20" x14ac:dyDescent="0.35">
      <c r="A217" s="390" t="s">
        <v>230</v>
      </c>
      <c r="B217" s="391">
        <v>7</v>
      </c>
      <c r="C217" s="392">
        <v>2019</v>
      </c>
      <c r="D217" s="390" t="s">
        <v>35</v>
      </c>
      <c r="E217" s="390" t="s">
        <v>229</v>
      </c>
      <c r="F217" s="390" t="s">
        <v>28</v>
      </c>
      <c r="G217" s="390" t="s">
        <v>33</v>
      </c>
      <c r="H217" s="390" t="s">
        <v>487</v>
      </c>
      <c r="I217" s="393">
        <v>62493</v>
      </c>
      <c r="J217" s="368" t="s">
        <v>218</v>
      </c>
      <c r="K217" s="330">
        <f>IF(G217="L",'US CBAs'!$F$73,
IF(AND(E217="Friendly",F217="T1",G217="W"),'US CBAs'!$F$68,
IF(AND(E217="Friendly",F217="T2",G217="W"),'US CBAs'!$F$69,
IF(AND(E217="Friendly",F217="",G217="W"),'US CBAs'!$F$70,
IF(AND(E217="Friendly",F217="T1",G217="D"),'US CBAs'!$F$71,
IF(AND(E217="Friendly",F217="",G217="D"),'US CBAs'!$F$72,
IF(AND(E217="Gold Cup",F217="T1",G217="W"),'US CBAs'!$F$78,
IF(AND(E217="Gold Cup",F217="",G217="W"),'US CBAs'!$F$79,
IF(AND(E217="Gold Cup",G217="D"),'US CBAs'!$F$80,
IF(AND(E217="Nations League",F217="T1",G217="W"),'US CBAs'!$F$78,
IF(AND(E217="Nations League",F217="",G217="W"),'US CBAs'!$F$79,
IF(AND(E217="Nations League",G217="D"),'US CBAs'!$F$80,
IF(AND(E217="Copa America",F217="",G217="W"),'US CBAs'!$F$85,
IF(AND(E217="Copa America",G217="D"),'US CBAs'!$F$86,
IF(AND(E217="WCQ SF",G217="W"),'US CBAs'!$F$94,
IF(AND(E217="WCQ SF",G217="D"),'US CBAs'!$F$95,
IF(AND(E217="WCQ Hex",G217="W"),'US CBAs'!$F$98,
IF(AND(E217="WCQ Hex",G217="D"),'US CBAs'!$F$99,
IF(E217="World Cup",'US CBAs'!$F$104,
0))))))))))))))))
)))</f>
        <v>5000</v>
      </c>
      <c r="L217" s="309">
        <v>23</v>
      </c>
      <c r="M217" s="380">
        <f t="shared" si="14"/>
        <v>115000</v>
      </c>
      <c r="N217" s="330">
        <f>IF(J217="",I217*'US CBAs'!$G$118,0)</f>
        <v>0</v>
      </c>
      <c r="O217" s="394">
        <f t="shared" si="15"/>
        <v>115000</v>
      </c>
    </row>
    <row r="218" spans="1:20" x14ac:dyDescent="0.35">
      <c r="A218" s="390" t="s">
        <v>222</v>
      </c>
      <c r="B218" s="391">
        <v>6</v>
      </c>
      <c r="C218" s="392">
        <v>2019</v>
      </c>
      <c r="D218" s="390" t="s">
        <v>35</v>
      </c>
      <c r="E218" s="390" t="s">
        <v>220</v>
      </c>
      <c r="F218" s="390" t="s">
        <v>28</v>
      </c>
      <c r="G218" s="390" t="s">
        <v>33</v>
      </c>
      <c r="H218" s="390" t="s">
        <v>485</v>
      </c>
      <c r="I218" s="393">
        <v>47960</v>
      </c>
      <c r="J218" s="368"/>
      <c r="K218" s="330">
        <f>IF(G218="L",'US CBAs'!$F$73,
IF(AND(E218="Friendly",F218="T1",G218="W"),'US CBAs'!$F$68,
IF(AND(E218="Friendly",F218="T2",G218="W"),'US CBAs'!$F$69,
IF(AND(E218="Friendly",F218="",G218="W"),'US CBAs'!$F$70,
IF(AND(E218="Friendly",F218="T1",G218="D"),'US CBAs'!$F$71,
IF(AND(E218="Friendly",F218="",G218="D"),'US CBAs'!$F$72,
IF(AND(E218="Gold Cup",F218="T1",G218="W"),'US CBAs'!$F$78,
IF(AND(E218="Gold Cup",F218="",G218="W"),'US CBAs'!$F$79,
IF(AND(E218="Gold Cup",G218="D"),'US CBAs'!$F$80,
IF(AND(E218="Nations League",F218="T1",G218="W"),'US CBAs'!$F$78,
IF(AND(E218="Nations League",F218="",G218="W"),'US CBAs'!$F$79,
IF(AND(E218="Nations League",G218="D"),'US CBAs'!$F$80,
IF(AND(E218="Copa America",F218="",G218="W"),'US CBAs'!$F$85,
IF(AND(E218="Copa America",G218="D"),'US CBAs'!$F$86,
IF(AND(E218="WCQ SF",G218="W"),'US CBAs'!$F$94,
IF(AND(E218="WCQ SF",G218="D"),'US CBAs'!$F$95,
IF(AND(E218="WCQ Hex",G218="W"),'US CBAs'!$F$98,
IF(AND(E218="WCQ Hex",G218="D"),'US CBAs'!$F$99,
IF(E218="World Cup",'US CBAs'!$F$104,
0))))))))))))))))
)))</f>
        <v>5000</v>
      </c>
      <c r="L218" s="309">
        <v>20</v>
      </c>
      <c r="M218" s="380">
        <f t="shared" si="14"/>
        <v>100000</v>
      </c>
      <c r="N218" s="330">
        <f>IF(J218="",I218*'US CBAs'!$G$118,0)</f>
        <v>71940</v>
      </c>
      <c r="O218" s="394">
        <f t="shared" si="15"/>
        <v>171940</v>
      </c>
    </row>
    <row r="219" spans="1:20" x14ac:dyDescent="0.35">
      <c r="A219" s="390" t="s">
        <v>222</v>
      </c>
      <c r="B219" s="391">
        <v>10</v>
      </c>
      <c r="C219" s="392">
        <v>2019</v>
      </c>
      <c r="D219" s="390" t="s">
        <v>512</v>
      </c>
      <c r="E219" s="390" t="s">
        <v>220</v>
      </c>
      <c r="F219" s="390"/>
      <c r="G219" s="390" t="s">
        <v>83</v>
      </c>
      <c r="H219" s="390" t="s">
        <v>501</v>
      </c>
      <c r="I219" s="393">
        <v>20625</v>
      </c>
      <c r="J219" s="368"/>
      <c r="K219" s="330">
        <f>IF(G219="L",'US CBAs'!$F$73,
IF(AND(E219="Friendly",F219="T1",G219="W"),'US CBAs'!$F$68,
IF(AND(E219="Friendly",F219="T2",G219="W"),'US CBAs'!$F$69,
IF(AND(E219="Friendly",F219="",G219="W"),'US CBAs'!$F$70,
IF(AND(E219="Friendly",F219="T1",G219="D"),'US CBAs'!$F$71,
IF(AND(E219="Friendly",F219="",G219="D"),'US CBAs'!$F$72,
IF(AND(E219="Gold Cup",F219="T1",G219="W"),'US CBAs'!$F$78,
IF(AND(E219="Gold Cup",F219="",G219="W"),'US CBAs'!$F$79,
IF(AND(E219="Gold Cup",G219="D"),'US CBAs'!$F$80,
IF(AND(E219="Nations League",F219="T1",G219="W"),'US CBAs'!$F$78,
IF(AND(E219="Nations League",F219="",G219="W"),'US CBAs'!$F$79,
IF(AND(E219="Nations League",G219="D"),'US CBAs'!$F$80,
IF(AND(E219="Copa America",F219="",G219="W"),'US CBAs'!$F$85,
IF(AND(E219="Copa America",G219="D"),'US CBAs'!$F$86,
IF(AND(E219="WCQ SF",G219="W"),'US CBAs'!$F$94,
IF(AND(E219="WCQ SF",G219="D"),'US CBAs'!$F$95,
IF(AND(E219="WCQ Hex",G219="W"),'US CBAs'!$F$98,
IF(AND(E219="WCQ Hex",G219="D"),'US CBAs'!$F$99,
IF(E219="World Cup",'US CBAs'!$F$104,
0))))))))))))))))
)))</f>
        <v>6250</v>
      </c>
      <c r="L219" s="309">
        <v>20</v>
      </c>
      <c r="M219" s="380">
        <f t="shared" si="14"/>
        <v>125000</v>
      </c>
      <c r="N219" s="330">
        <f>IF(J219="",I219*'US CBAs'!$G$118,0)</f>
        <v>30937.5</v>
      </c>
      <c r="O219" s="394">
        <f t="shared" si="15"/>
        <v>155937.5</v>
      </c>
    </row>
    <row r="220" spans="1:20" x14ac:dyDescent="0.35">
      <c r="A220" s="390" t="s">
        <v>189</v>
      </c>
      <c r="B220" s="391">
        <v>11</v>
      </c>
      <c r="C220" s="392">
        <v>2019</v>
      </c>
      <c r="D220" s="390" t="s">
        <v>45</v>
      </c>
      <c r="E220" s="390" t="s">
        <v>513</v>
      </c>
      <c r="F220" s="390"/>
      <c r="G220" s="390" t="s">
        <v>20</v>
      </c>
      <c r="H220" s="390" t="s">
        <v>491</v>
      </c>
      <c r="I220" s="393">
        <v>13784</v>
      </c>
      <c r="J220" s="368" t="s">
        <v>218</v>
      </c>
      <c r="K220" s="330">
        <f>IF(G220="L",'US CBAs'!$F$73,
IF(AND(E220="Friendly",F220="T1",G220="W"),'US CBAs'!$F$68,
IF(AND(E220="Friendly",F220="T2",G220="W"),'US CBAs'!$F$69,
IF(AND(E220="Friendly",F220="",G220="W"),'US CBAs'!$F$70,
IF(AND(E220="Friendly",F220="T1",G220="D"),'US CBAs'!$F$71,
IF(AND(E220="Friendly",F220="",G220="D"),'US CBAs'!$F$72,
IF(AND(E220="Gold Cup",F220="T1",G220="W"),'US CBAs'!$F$78,
IF(AND(E220="Gold Cup",F220="",G220="W"),'US CBAs'!$F$79,
IF(AND(E220="Gold Cup",G220="D"),'US CBAs'!$F$80,
IF(AND(E220="Nations League",F220="T1",G220="W"),'US CBAs'!$F$78,
IF(AND(E220="Nations League",F220="",G220="W"),'US CBAs'!$F$79,
IF(AND(E220="Nations League",G220="D"),'US CBAs'!$F$80,
IF(AND(E220="Copa America",F220="",G220="W"),'US CBAs'!$F$85,
IF(AND(E220="Copa America",G220="D"),'US CBAs'!$F$86,
IF(AND(E220="WCQ SF",G220="W"),'US CBAs'!$F$94,
IF(AND(E220="WCQ SF",G220="D"),'US CBAs'!$F$95,
IF(AND(E220="WCQ Hex",G220="W"),'US CBAs'!$F$98,
IF(AND(E220="WCQ Hex",G220="D"),'US CBAs'!$F$99,
IF(E220="World Cup",'US CBAs'!$F$104,
0))))))))))))))))
)))</f>
        <v>9375</v>
      </c>
      <c r="L220" s="309">
        <v>23</v>
      </c>
      <c r="M220" s="380">
        <f t="shared" si="14"/>
        <v>215625</v>
      </c>
      <c r="N220" s="330">
        <f>IF(J220="",I220*'US CBAs'!$G$118,0)</f>
        <v>0</v>
      </c>
      <c r="O220" s="394">
        <f t="shared" si="15"/>
        <v>215625</v>
      </c>
    </row>
    <row r="221" spans="1:20" x14ac:dyDescent="0.35">
      <c r="A221" s="390" t="s">
        <v>189</v>
      </c>
      <c r="B221" s="391">
        <v>15</v>
      </c>
      <c r="C221" s="392">
        <v>2019</v>
      </c>
      <c r="D221" s="390" t="s">
        <v>29</v>
      </c>
      <c r="E221" s="390" t="s">
        <v>513</v>
      </c>
      <c r="F221" s="390"/>
      <c r="G221" s="390" t="s">
        <v>33</v>
      </c>
      <c r="H221" s="390" t="s">
        <v>29</v>
      </c>
      <c r="I221" s="324">
        <v>17126</v>
      </c>
      <c r="J221" s="368" t="s">
        <v>218</v>
      </c>
      <c r="K221" s="330">
        <f>IF(G221="L",'US CBAs'!$F$73,
IF(AND(E221="Friendly",F221="T1",G221="W"),'US CBAs'!$F$68,
IF(AND(E221="Friendly",F221="T2",G221="W"),'US CBAs'!$F$69,
IF(AND(E221="Friendly",F221="",G221="W"),'US CBAs'!$F$70,
IF(AND(E221="Friendly",F221="T1",G221="D"),'US CBAs'!$F$71,
IF(AND(E221="Friendly",F221="",G221="D"),'US CBAs'!$F$72,
IF(AND(E221="Gold Cup",F221="T1",G221="W"),'US CBAs'!$F$78,
IF(AND(E221="Gold Cup",F221="",G221="W"),'US CBAs'!$F$79,
IF(AND(E221="Gold Cup",G221="D"),'US CBAs'!$F$80,
IF(AND(E221="Nations League",F221="T1",G221="W"),'US CBAs'!$F$78,
IF(AND(E221="Nations League",F221="",G221="W"),'US CBAs'!$F$79,
IF(AND(E221="Nations League",G221="D"),'US CBAs'!$F$80,
IF(AND(E221="Copa America",F221="",G221="W"),'US CBAs'!$F$85,
IF(AND(E221="Copa America",G221="D"),'US CBAs'!$F$86,
IF(AND(E221="WCQ SF",G221="W"),'US CBAs'!$F$94,
IF(AND(E221="WCQ SF",G221="D"),'US CBAs'!$F$95,
IF(AND(E221="WCQ Hex",G221="W"),'US CBAs'!$F$98,
IF(AND(E221="WCQ Hex",G221="D"),'US CBAs'!$F$99,
IF(E221="World Cup",'US CBAs'!$F$104,
0))))))))))))))))
)))</f>
        <v>5000</v>
      </c>
      <c r="L221" s="309">
        <v>23</v>
      </c>
      <c r="M221" s="380">
        <f t="shared" si="14"/>
        <v>115000</v>
      </c>
      <c r="N221" s="330">
        <f>IF(J221="",I221*'US CBAs'!$G$118,0)</f>
        <v>0</v>
      </c>
      <c r="O221" s="394">
        <f t="shared" si="15"/>
        <v>115000</v>
      </c>
    </row>
    <row r="222" spans="1:20" x14ac:dyDescent="0.35">
      <c r="A222" s="390" t="s">
        <v>190</v>
      </c>
      <c r="B222" s="391">
        <v>15</v>
      </c>
      <c r="C222" s="392">
        <v>2019</v>
      </c>
      <c r="D222" s="390" t="s">
        <v>29</v>
      </c>
      <c r="E222" s="390" t="s">
        <v>513</v>
      </c>
      <c r="F222" s="390"/>
      <c r="G222" s="390" t="s">
        <v>20</v>
      </c>
      <c r="H222" s="390" t="s">
        <v>482</v>
      </c>
      <c r="I222" s="393">
        <v>13103</v>
      </c>
      <c r="J222" s="368" t="s">
        <v>218</v>
      </c>
      <c r="K222" s="330">
        <f>IF(G222="L",'US CBAs'!$F$73,
IF(AND(E222="Friendly",F222="T1",G222="W"),'US CBAs'!$F$68,
IF(AND(E222="Friendly",F222="T2",G222="W"),'US CBAs'!$F$69,
IF(AND(E222="Friendly",F222="",G222="W"),'US CBAs'!$F$70,
IF(AND(E222="Friendly",F222="T1",G222="D"),'US CBAs'!$F$71,
IF(AND(E222="Friendly",F222="",G222="D"),'US CBAs'!$F$72,
IF(AND(E222="Gold Cup",F222="T1",G222="W"),'US CBAs'!$F$78,
IF(AND(E222="Gold Cup",F222="",G222="W"),'US CBAs'!$F$79,
IF(AND(E222="Gold Cup",G222="D"),'US CBAs'!$F$80,
IF(AND(E222="Nations League",F222="T1",G222="W"),'US CBAs'!$F$78,
IF(AND(E222="Nations League",F222="",G222="W"),'US CBAs'!$F$79,
IF(AND(E222="Nations League",G222="D"),'US CBAs'!$F$80,
IF(AND(E222="Copa America",F222="",G222="W"),'US CBAs'!$F$85,
IF(AND(E222="Copa America",G222="D"),'US CBAs'!$F$86,
IF(AND(E222="WCQ SF",G222="W"),'US CBAs'!$F$94,
IF(AND(E222="WCQ SF",G222="D"),'US CBAs'!$F$95,
IF(AND(E222="WCQ Hex",G222="W"),'US CBAs'!$F$98,
IF(AND(E222="WCQ Hex",G222="D"),'US CBAs'!$F$99,
IF(E222="World Cup",'US CBAs'!$F$104,
0))))))))))))))))
)))</f>
        <v>9375</v>
      </c>
      <c r="L222" s="309">
        <v>23</v>
      </c>
      <c r="M222" s="380">
        <f t="shared" si="14"/>
        <v>215625</v>
      </c>
      <c r="N222" s="330">
        <f>IF(J222="",I222*'US CBAs'!$G$118,0)</f>
        <v>0</v>
      </c>
      <c r="O222" s="394">
        <f t="shared" si="15"/>
        <v>215625</v>
      </c>
    </row>
    <row r="223" spans="1:20" x14ac:dyDescent="0.35">
      <c r="A223" s="390" t="s">
        <v>190</v>
      </c>
      <c r="B223" s="391">
        <v>19</v>
      </c>
      <c r="C223" s="392">
        <v>2019</v>
      </c>
      <c r="D223" s="390" t="s">
        <v>45</v>
      </c>
      <c r="E223" s="390" t="s">
        <v>513</v>
      </c>
      <c r="F223" s="390"/>
      <c r="G223" s="390" t="s">
        <v>20</v>
      </c>
      <c r="H223" s="390" t="s">
        <v>572</v>
      </c>
      <c r="I223" s="393" t="s">
        <v>235</v>
      </c>
      <c r="J223" s="368" t="s">
        <v>218</v>
      </c>
      <c r="K223" s="330">
        <f>IF(G223="L",'US CBAs'!$F$73,
IF(AND(E223="Friendly",F223="T1",G223="W"),'US CBAs'!$F$68,
IF(AND(E223="Friendly",F223="T2",G223="W"),'US CBAs'!$F$69,
IF(AND(E223="Friendly",F223="",G223="W"),'US CBAs'!$F$70,
IF(AND(E223="Friendly",F223="T1",G223="D"),'US CBAs'!$F$71,
IF(AND(E223="Friendly",F223="",G223="D"),'US CBAs'!$F$72,
IF(AND(E223="Gold Cup",F223="T1",G223="W"),'US CBAs'!$F$78,
IF(AND(E223="Gold Cup",F223="",G223="W"),'US CBAs'!$F$79,
IF(AND(E223="Gold Cup",G223="D"),'US CBAs'!$F$80,
IF(AND(E223="Nations League",F223="T1",G223="W"),'US CBAs'!$F$78,
IF(AND(E223="Nations League",F223="",G223="W"),'US CBAs'!$F$79,
IF(AND(E223="Nations League",G223="D"),'US CBAs'!$F$80,
IF(AND(E223="Copa America",F223="",G223="W"),'US CBAs'!$F$85,
IF(AND(E223="Copa America",G223="D"),'US CBAs'!$F$86,
IF(AND(E223="WCQ SF",G223="W"),'US CBAs'!$F$94,
IF(AND(E223="WCQ SF",G223="D"),'US CBAs'!$F$95,
IF(AND(E223="WCQ Hex",G223="W"),'US CBAs'!$F$98,
IF(AND(E223="WCQ Hex",G223="D"),'US CBAs'!$F$99,
IF(E223="World Cup",'US CBAs'!$F$104,
0))))))))))))))))
)))</f>
        <v>9375</v>
      </c>
      <c r="L223" s="309">
        <v>23</v>
      </c>
      <c r="M223" s="380">
        <f t="shared" si="14"/>
        <v>215625</v>
      </c>
      <c r="N223" s="330">
        <f>IF(J223="",I223*'US CBAs'!$G$118,0)</f>
        <v>0</v>
      </c>
      <c r="O223" s="394">
        <f t="shared" si="15"/>
        <v>215625</v>
      </c>
      <c r="Q223" s="253" t="s">
        <v>573</v>
      </c>
      <c r="R223" s="262" t="s">
        <v>6</v>
      </c>
      <c r="S223" s="262" t="s">
        <v>18</v>
      </c>
      <c r="T223" s="263" t="s">
        <v>91</v>
      </c>
    </row>
    <row r="224" spans="1:20" s="361" customFormat="1" x14ac:dyDescent="0.35">
      <c r="A224" s="390"/>
      <c r="B224" s="391"/>
      <c r="C224" s="392"/>
      <c r="D224" s="411" t="s">
        <v>586</v>
      </c>
      <c r="E224" s="390"/>
      <c r="F224" s="390"/>
      <c r="G224" s="390"/>
      <c r="H224" s="390"/>
      <c r="I224" s="393"/>
      <c r="J224" s="368"/>
      <c r="K224" s="54">
        <f>'US CBAs'!$F$75</f>
        <v>1875</v>
      </c>
      <c r="L224" s="408">
        <v>10</v>
      </c>
      <c r="M224" s="409">
        <f t="shared" si="14"/>
        <v>18750</v>
      </c>
      <c r="N224" s="330">
        <f>IF(J224="",I224*'US CBAs'!$G$118,0)</f>
        <v>0</v>
      </c>
      <c r="O224" s="410">
        <f t="shared" si="15"/>
        <v>18750</v>
      </c>
      <c r="P224" s="41"/>
      <c r="Q224" s="275" t="s">
        <v>383</v>
      </c>
      <c r="R224" s="261">
        <f>'US CBAs'!$F$83</f>
        <v>6875</v>
      </c>
      <c r="S224" s="259">
        <v>23</v>
      </c>
      <c r="T224" s="252">
        <f>R224*S224</f>
        <v>158125</v>
      </c>
    </row>
    <row r="225" spans="1:20" x14ac:dyDescent="0.35">
      <c r="A225" s="289" t="s">
        <v>24</v>
      </c>
      <c r="B225" s="290"/>
      <c r="C225" s="290"/>
      <c r="D225" s="289"/>
      <c r="E225" s="289"/>
      <c r="F225" s="289"/>
      <c r="G225" s="289"/>
      <c r="H225" s="289"/>
      <c r="I225" s="291"/>
      <c r="J225" s="303"/>
      <c r="K225" s="291"/>
      <c r="L225" s="289"/>
      <c r="M225" s="298">
        <f>SUBTOTAL(109,Table11[Game pay])</f>
        <v>3086250</v>
      </c>
      <c r="N225" s="204">
        <f>SUBTOTAL(109,Table11[Att bonus])</f>
        <v>252615</v>
      </c>
      <c r="O225" s="292">
        <f>SUBTOTAL(109,Table11[TEAM PAY])</f>
        <v>3338865</v>
      </c>
      <c r="Q225" s="232" t="s">
        <v>90</v>
      </c>
      <c r="R225" s="236"/>
      <c r="S225" s="233"/>
      <c r="T225" s="241">
        <f>T224</f>
        <v>158125</v>
      </c>
    </row>
    <row r="226" spans="1:20" x14ac:dyDescent="0.35">
      <c r="N226" s="294" t="s">
        <v>398</v>
      </c>
      <c r="O226" s="294">
        <f>$T225</f>
        <v>158125</v>
      </c>
    </row>
    <row r="227" spans="1:20" x14ac:dyDescent="0.35">
      <c r="N227" s="52" t="s">
        <v>90</v>
      </c>
      <c r="O227" s="52">
        <f>O225+O226</f>
        <v>3496990</v>
      </c>
    </row>
  </sheetData>
  <mergeCells count="1">
    <mergeCell ref="A1:T1"/>
  </mergeCells>
  <pageMargins left="0.7" right="0.7" top="0.75" bottom="0.75" header="0.3" footer="0.3"/>
  <pageSetup orientation="portrait" horizontalDpi="4294967293" verticalDpi="0" r:id="rId1"/>
  <tableParts count="10">
    <tablePart r:id="rId2"/>
    <tablePart r:id="rId3"/>
    <tablePart r:id="rId4"/>
    <tablePart r:id="rId5"/>
    <tablePart r:id="rId6"/>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282"/>
  <sheetViews>
    <sheetView topLeftCell="A31" workbookViewId="0">
      <selection activeCell="E52" sqref="E52"/>
    </sheetView>
  </sheetViews>
  <sheetFormatPr defaultColWidth="14.3984375" defaultRowHeight="15" customHeight="1" x14ac:dyDescent="0.35"/>
  <cols>
    <col min="1" max="1" width="26.53125" customWidth="1"/>
    <col min="2" max="2" width="11" customWidth="1"/>
    <col min="3" max="3" width="12.796875" customWidth="1"/>
    <col min="4" max="4" width="1.86328125" style="84" customWidth="1"/>
    <col min="5" max="5" width="27.265625" style="72" customWidth="1"/>
    <col min="6" max="6" width="12.53125" customWidth="1"/>
    <col min="7" max="7" width="11.86328125" customWidth="1"/>
    <col min="8" max="8" width="1.46484375" style="84" customWidth="1"/>
    <col min="9" max="9" width="28.46484375" customWidth="1"/>
    <col min="10" max="10" width="11.265625" customWidth="1"/>
    <col min="11" max="11" width="17.33203125" customWidth="1"/>
    <col min="12" max="12" width="10.86328125" style="31" customWidth="1"/>
    <col min="13" max="13" width="11.1328125" customWidth="1"/>
    <col min="14" max="14" width="7.73046875" customWidth="1"/>
    <col min="16" max="16" width="9.73046875" customWidth="1"/>
    <col min="17" max="17" width="9.53125" customWidth="1"/>
    <col min="18" max="18" width="1.265625" customWidth="1"/>
    <col min="19" max="19" width="16.1328125" customWidth="1"/>
    <col min="20" max="20" width="10.1328125" customWidth="1"/>
    <col min="21" max="21" width="8.73046875" customWidth="1"/>
    <col min="22" max="22" width="11.265625" customWidth="1"/>
    <col min="23" max="23" width="9.53125" customWidth="1"/>
  </cols>
  <sheetData>
    <row r="1" spans="1:23" s="72" customFormat="1" ht="15" customHeight="1" x14ac:dyDescent="0.35">
      <c r="A1" s="880" t="s">
        <v>303</v>
      </c>
      <c r="B1" s="880"/>
      <c r="C1" s="880"/>
      <c r="D1" s="880"/>
      <c r="E1" s="880"/>
      <c r="F1" s="880"/>
      <c r="G1" s="880"/>
      <c r="H1" s="880"/>
      <c r="I1" s="880"/>
      <c r="J1" s="880"/>
      <c r="K1" s="880"/>
      <c r="L1" s="126"/>
      <c r="M1" s="90"/>
      <c r="N1" s="90"/>
      <c r="O1" s="90"/>
      <c r="P1" s="90"/>
      <c r="Q1" s="90"/>
      <c r="R1" s="90"/>
      <c r="S1" s="90"/>
      <c r="T1" s="90"/>
      <c r="U1" s="90"/>
      <c r="V1" s="90"/>
      <c r="W1" s="90"/>
    </row>
    <row r="2" spans="1:23" s="18" customFormat="1" ht="15" customHeight="1" x14ac:dyDescent="0.35">
      <c r="A2" s="87"/>
      <c r="B2" s="881" t="s">
        <v>304</v>
      </c>
      <c r="C2" s="881"/>
      <c r="D2" s="91"/>
      <c r="E2" s="87"/>
      <c r="F2" s="868" t="s">
        <v>305</v>
      </c>
      <c r="G2" s="868"/>
      <c r="H2" s="91"/>
      <c r="I2" s="87"/>
      <c r="J2" s="881" t="s">
        <v>306</v>
      </c>
      <c r="K2" s="881"/>
      <c r="L2" s="127"/>
      <c r="M2" s="92"/>
      <c r="N2" s="92"/>
      <c r="O2" s="92"/>
      <c r="P2" s="92"/>
      <c r="Q2" s="92"/>
      <c r="R2" s="92"/>
      <c r="S2" s="92"/>
      <c r="T2" s="92"/>
      <c r="U2" s="92"/>
      <c r="V2" s="92"/>
      <c r="W2" s="92"/>
    </row>
    <row r="3" spans="1:23" s="72" customFormat="1" ht="15" customHeight="1" x14ac:dyDescent="0.35">
      <c r="A3" s="93" t="s">
        <v>0</v>
      </c>
      <c r="B3" s="165" t="s">
        <v>6</v>
      </c>
      <c r="C3" s="166" t="s">
        <v>91</v>
      </c>
      <c r="D3" s="167"/>
      <c r="E3" s="169" t="s">
        <v>0</v>
      </c>
      <c r="F3" s="165" t="s">
        <v>6</v>
      </c>
      <c r="G3" s="166" t="s">
        <v>91</v>
      </c>
      <c r="H3" s="168"/>
      <c r="I3" s="94" t="s">
        <v>0</v>
      </c>
      <c r="J3" s="165" t="s">
        <v>6</v>
      </c>
      <c r="K3" s="166" t="s">
        <v>91</v>
      </c>
      <c r="L3" s="126"/>
      <c r="M3" s="134"/>
      <c r="N3" s="90"/>
      <c r="O3" s="90"/>
      <c r="P3" s="90"/>
      <c r="Q3" s="90"/>
      <c r="R3" s="90"/>
      <c r="S3" s="90"/>
      <c r="T3" s="90"/>
      <c r="U3" s="90"/>
      <c r="V3" s="90"/>
      <c r="W3" s="90"/>
    </row>
    <row r="4" spans="1:23" s="72" customFormat="1" ht="15" customHeight="1" x14ac:dyDescent="0.35">
      <c r="A4" s="95" t="s">
        <v>293</v>
      </c>
      <c r="B4" s="138">
        <v>62500</v>
      </c>
      <c r="C4" s="139"/>
      <c r="D4" s="96"/>
      <c r="E4" s="95" t="s">
        <v>293</v>
      </c>
      <c r="F4" s="149">
        <v>72000</v>
      </c>
      <c r="G4" s="139"/>
      <c r="H4" s="96"/>
      <c r="I4" s="95" t="s">
        <v>268</v>
      </c>
      <c r="J4" s="138">
        <v>100000</v>
      </c>
      <c r="K4" s="139"/>
      <c r="L4" s="126"/>
      <c r="M4" s="135"/>
      <c r="N4" s="90"/>
      <c r="O4" s="136"/>
      <c r="P4" s="90"/>
      <c r="Q4" s="90"/>
      <c r="R4" s="90"/>
      <c r="S4" s="90"/>
      <c r="T4" s="90"/>
      <c r="U4" s="90"/>
      <c r="V4" s="90"/>
      <c r="W4" s="90"/>
    </row>
    <row r="5" spans="1:23" s="72" customFormat="1" ht="15" customHeight="1" x14ac:dyDescent="0.35">
      <c r="A5" s="95" t="s">
        <v>298</v>
      </c>
      <c r="B5" s="138">
        <v>43740</v>
      </c>
      <c r="C5" s="139"/>
      <c r="D5" s="96"/>
      <c r="E5" s="95" t="s">
        <v>298</v>
      </c>
      <c r="F5" s="149">
        <v>51000</v>
      </c>
      <c r="G5" s="139"/>
      <c r="H5" s="96"/>
      <c r="I5" s="97" t="s">
        <v>273</v>
      </c>
      <c r="J5" s="157"/>
      <c r="K5" s="139"/>
      <c r="L5" s="126"/>
      <c r="M5" s="135"/>
      <c r="N5" s="90"/>
      <c r="O5" s="136"/>
      <c r="P5" s="90"/>
      <c r="Q5" s="90"/>
      <c r="R5" s="90"/>
      <c r="S5" s="90"/>
      <c r="T5" s="90"/>
      <c r="U5" s="90"/>
      <c r="V5" s="90"/>
      <c r="W5" s="90"/>
    </row>
    <row r="6" spans="1:23" s="72" customFormat="1" ht="15" customHeight="1" x14ac:dyDescent="0.35">
      <c r="A6" s="95" t="s">
        <v>294</v>
      </c>
      <c r="B6" s="138">
        <v>31250</v>
      </c>
      <c r="C6" s="139"/>
      <c r="D6" s="96"/>
      <c r="E6" s="95" t="s">
        <v>294</v>
      </c>
      <c r="F6" s="149">
        <v>36000</v>
      </c>
      <c r="G6" s="139"/>
      <c r="H6" s="96"/>
      <c r="I6" s="92"/>
      <c r="J6" s="142"/>
      <c r="K6" s="139"/>
      <c r="L6" s="126"/>
      <c r="M6" s="135"/>
      <c r="N6" s="90"/>
      <c r="O6" s="136"/>
      <c r="P6" s="90"/>
      <c r="Q6" s="90"/>
      <c r="R6" s="90"/>
      <c r="S6" s="90"/>
      <c r="T6" s="90"/>
      <c r="U6" s="90"/>
      <c r="V6" s="90"/>
      <c r="W6" s="90"/>
    </row>
    <row r="7" spans="1:23" s="72" customFormat="1" ht="15" customHeight="1" x14ac:dyDescent="0.35">
      <c r="A7" s="98" t="s">
        <v>274</v>
      </c>
      <c r="B7" s="140"/>
      <c r="C7" s="141"/>
      <c r="D7" s="99"/>
      <c r="E7" s="98" t="s">
        <v>274</v>
      </c>
      <c r="F7" s="150"/>
      <c r="G7" s="141"/>
      <c r="H7" s="100"/>
      <c r="I7" s="98" t="s">
        <v>274</v>
      </c>
      <c r="J7" s="140"/>
      <c r="K7" s="139"/>
      <c r="L7" s="126"/>
      <c r="M7" s="135"/>
      <c r="N7" s="90"/>
      <c r="O7" s="136"/>
      <c r="P7" s="90"/>
      <c r="Q7" s="90"/>
      <c r="R7" s="90"/>
      <c r="S7" s="90"/>
      <c r="T7" s="90"/>
      <c r="U7" s="90"/>
      <c r="V7" s="90"/>
      <c r="W7" s="90"/>
    </row>
    <row r="8" spans="1:23" s="72" customFormat="1" ht="15" customHeight="1" x14ac:dyDescent="0.35">
      <c r="A8" s="95" t="s">
        <v>295</v>
      </c>
      <c r="B8" s="138">
        <v>313</v>
      </c>
      <c r="C8" s="139"/>
      <c r="D8" s="96"/>
      <c r="E8" s="95" t="s">
        <v>295</v>
      </c>
      <c r="F8" s="138">
        <v>500</v>
      </c>
      <c r="G8" s="139"/>
      <c r="H8" s="96"/>
      <c r="I8" s="95" t="s">
        <v>277</v>
      </c>
      <c r="J8" s="138">
        <v>1500</v>
      </c>
      <c r="K8" s="139"/>
      <c r="L8" s="126"/>
      <c r="M8" s="135"/>
      <c r="N8" s="90"/>
      <c r="O8" s="136"/>
      <c r="P8" s="90"/>
      <c r="Q8" s="90"/>
      <c r="R8" s="90"/>
      <c r="S8" s="90"/>
      <c r="T8" s="90"/>
      <c r="U8" s="90"/>
      <c r="V8" s="90"/>
      <c r="W8" s="90"/>
    </row>
    <row r="9" spans="1:23" s="72" customFormat="1" ht="15" customHeight="1" x14ac:dyDescent="0.35">
      <c r="A9" s="92"/>
      <c r="B9" s="142"/>
      <c r="C9" s="139"/>
      <c r="D9" s="96"/>
      <c r="E9" s="92"/>
      <c r="F9" s="150"/>
      <c r="G9" s="139"/>
      <c r="H9" s="96"/>
      <c r="I9" s="95" t="s">
        <v>278</v>
      </c>
      <c r="J9" s="158">
        <v>2000</v>
      </c>
      <c r="K9" s="139"/>
      <c r="L9" s="126"/>
      <c r="M9" s="135"/>
      <c r="N9" s="90"/>
      <c r="O9" s="136"/>
      <c r="P9" s="90"/>
      <c r="Q9" s="90"/>
      <c r="R9" s="90"/>
      <c r="S9" s="90"/>
      <c r="T9" s="90"/>
      <c r="U9" s="90"/>
      <c r="V9" s="90"/>
      <c r="W9" s="90"/>
    </row>
    <row r="10" spans="1:23" s="18" customFormat="1" ht="15" customHeight="1" x14ac:dyDescent="0.35">
      <c r="A10" s="92"/>
      <c r="B10" s="142"/>
      <c r="C10" s="139"/>
      <c r="D10" s="96"/>
      <c r="E10" s="92"/>
      <c r="F10" s="150"/>
      <c r="G10" s="139"/>
      <c r="H10" s="96"/>
      <c r="I10" s="95" t="s">
        <v>279</v>
      </c>
      <c r="J10" s="158">
        <v>2500</v>
      </c>
      <c r="K10" s="139"/>
      <c r="L10" s="128"/>
      <c r="M10" s="135"/>
      <c r="N10" s="92"/>
      <c r="O10" s="136"/>
      <c r="P10" s="92"/>
      <c r="Q10" s="92"/>
      <c r="R10" s="92"/>
      <c r="S10" s="92"/>
      <c r="T10" s="92"/>
      <c r="U10" s="92"/>
      <c r="V10" s="92"/>
      <c r="W10" s="92"/>
    </row>
    <row r="11" spans="1:23" s="18" customFormat="1" ht="15" customHeight="1" x14ac:dyDescent="0.35">
      <c r="A11" s="102"/>
      <c r="B11" s="142"/>
      <c r="C11" s="139"/>
      <c r="D11" s="96"/>
      <c r="E11" s="102"/>
      <c r="F11" s="150"/>
      <c r="G11" s="139"/>
      <c r="H11" s="96"/>
      <c r="I11" s="95" t="s">
        <v>280</v>
      </c>
      <c r="J11" s="158">
        <v>3000</v>
      </c>
      <c r="K11" s="139"/>
      <c r="L11" s="128"/>
      <c r="M11" s="135"/>
      <c r="N11" s="92"/>
      <c r="O11" s="136"/>
      <c r="P11" s="92"/>
      <c r="Q11" s="92"/>
      <c r="R11" s="92"/>
      <c r="S11" s="92"/>
      <c r="T11" s="92"/>
      <c r="U11" s="92"/>
      <c r="V11" s="92"/>
      <c r="W11" s="92"/>
    </row>
    <row r="12" spans="1:23" s="18" customFormat="1" ht="15" customHeight="1" x14ac:dyDescent="0.4">
      <c r="A12" s="95" t="s">
        <v>296</v>
      </c>
      <c r="B12" s="142">
        <v>1250</v>
      </c>
      <c r="C12" s="139"/>
      <c r="D12" s="96"/>
      <c r="E12" s="95" t="s">
        <v>296</v>
      </c>
      <c r="F12" s="149">
        <v>1350</v>
      </c>
      <c r="G12" s="139"/>
      <c r="H12" s="96"/>
      <c r="I12" s="95" t="s">
        <v>340</v>
      </c>
      <c r="J12" s="138">
        <v>3250</v>
      </c>
      <c r="K12" s="139"/>
      <c r="L12" s="128"/>
      <c r="M12" s="137"/>
      <c r="N12" s="92"/>
      <c r="O12" s="136"/>
      <c r="P12" s="92"/>
      <c r="Q12" s="92"/>
      <c r="R12" s="92"/>
      <c r="S12" s="92"/>
      <c r="T12" s="92"/>
      <c r="U12" s="92"/>
      <c r="V12" s="92"/>
      <c r="W12" s="92"/>
    </row>
    <row r="13" spans="1:23" s="18" customFormat="1" ht="15" customHeight="1" x14ac:dyDescent="0.4">
      <c r="A13" s="95" t="s">
        <v>297</v>
      </c>
      <c r="B13" s="142">
        <v>3750</v>
      </c>
      <c r="C13" s="139"/>
      <c r="D13" s="96"/>
      <c r="E13" s="95" t="s">
        <v>297</v>
      </c>
      <c r="F13" s="149">
        <v>4050</v>
      </c>
      <c r="G13" s="139"/>
      <c r="H13" s="96"/>
      <c r="I13" s="95" t="s">
        <v>288</v>
      </c>
      <c r="J13" s="138">
        <v>3750</v>
      </c>
      <c r="K13" s="139"/>
      <c r="L13" s="128"/>
      <c r="M13" s="137"/>
      <c r="N13" s="92"/>
      <c r="O13" s="136"/>
      <c r="P13" s="92"/>
      <c r="Q13" s="92"/>
      <c r="R13" s="92"/>
      <c r="S13" s="92"/>
      <c r="T13" s="92"/>
      <c r="U13" s="92"/>
      <c r="V13" s="92"/>
      <c r="W13" s="92"/>
    </row>
    <row r="14" spans="1:23" s="18" customFormat="1" ht="15" customHeight="1" x14ac:dyDescent="0.4">
      <c r="A14" s="102"/>
      <c r="B14" s="142"/>
      <c r="C14" s="139"/>
      <c r="D14" s="96"/>
      <c r="E14" s="102"/>
      <c r="F14" s="150"/>
      <c r="G14" s="139"/>
      <c r="H14" s="96"/>
      <c r="I14" s="102" t="s">
        <v>351</v>
      </c>
      <c r="J14" s="161">
        <v>4500</v>
      </c>
      <c r="K14" s="139"/>
      <c r="L14" s="128"/>
      <c r="M14" s="137"/>
      <c r="N14" s="92"/>
      <c r="O14" s="136"/>
      <c r="P14" s="92"/>
      <c r="Q14" s="92"/>
      <c r="R14" s="92"/>
      <c r="S14" s="92"/>
      <c r="T14" s="92"/>
      <c r="U14" s="92"/>
      <c r="V14" s="92"/>
      <c r="W14" s="92"/>
    </row>
    <row r="15" spans="1:23" s="18" customFormat="1" ht="15" customHeight="1" x14ac:dyDescent="0.35">
      <c r="A15" s="103" t="s">
        <v>311</v>
      </c>
      <c r="B15" s="142"/>
      <c r="C15" s="139"/>
      <c r="D15" s="96"/>
      <c r="E15" s="103" t="s">
        <v>311</v>
      </c>
      <c r="F15" s="150"/>
      <c r="G15" s="151"/>
      <c r="H15" s="96"/>
      <c r="I15" s="103" t="s">
        <v>311</v>
      </c>
      <c r="J15" s="159"/>
      <c r="K15" s="151"/>
      <c r="L15" s="128"/>
      <c r="M15" s="135"/>
      <c r="N15" s="92"/>
      <c r="O15" s="136"/>
      <c r="P15" s="92"/>
      <c r="Q15" s="92"/>
      <c r="R15" s="92"/>
      <c r="S15" s="92"/>
      <c r="T15" s="92"/>
      <c r="U15" s="92"/>
      <c r="V15" s="92"/>
      <c r="W15" s="92"/>
    </row>
    <row r="16" spans="1:23" s="18" customFormat="1" ht="15" customHeight="1" x14ac:dyDescent="0.35">
      <c r="A16" s="102" t="s">
        <v>289</v>
      </c>
      <c r="B16" s="142">
        <v>12500</v>
      </c>
      <c r="C16" s="139"/>
      <c r="D16" s="96"/>
      <c r="E16" s="102" t="s">
        <v>289</v>
      </c>
      <c r="F16" s="150">
        <v>15000</v>
      </c>
      <c r="G16" s="152"/>
      <c r="H16" s="96"/>
      <c r="I16" s="95" t="s">
        <v>289</v>
      </c>
      <c r="J16" s="160">
        <v>37500</v>
      </c>
      <c r="K16" s="152"/>
      <c r="L16" s="128"/>
      <c r="M16" s="135"/>
      <c r="N16" s="92"/>
      <c r="O16" s="136"/>
      <c r="P16" s="92"/>
      <c r="Q16" s="92"/>
      <c r="R16" s="92"/>
      <c r="S16" s="92"/>
      <c r="T16" s="92"/>
      <c r="U16" s="92"/>
      <c r="V16" s="92"/>
      <c r="W16" s="92"/>
    </row>
    <row r="17" spans="1:23" s="18" customFormat="1" ht="15" customHeight="1" x14ac:dyDescent="0.4">
      <c r="A17" s="102" t="s">
        <v>336</v>
      </c>
      <c r="B17" s="142">
        <v>12500</v>
      </c>
      <c r="C17" s="139"/>
      <c r="D17" s="96"/>
      <c r="E17" s="102" t="s">
        <v>336</v>
      </c>
      <c r="F17" s="150">
        <v>15000</v>
      </c>
      <c r="G17" s="139"/>
      <c r="H17" s="96"/>
      <c r="I17" s="102" t="s">
        <v>336</v>
      </c>
      <c r="J17" s="160">
        <v>25000</v>
      </c>
      <c r="K17" s="139"/>
      <c r="L17" s="128"/>
      <c r="M17" s="137"/>
      <c r="N17" s="92"/>
      <c r="O17" s="136"/>
      <c r="P17" s="92"/>
      <c r="Q17" s="92"/>
      <c r="R17" s="92"/>
      <c r="S17" s="92"/>
      <c r="T17" s="92"/>
      <c r="U17" s="92"/>
      <c r="V17" s="92"/>
      <c r="W17" s="92"/>
    </row>
    <row r="18" spans="1:23" s="18" customFormat="1" ht="15" customHeight="1" x14ac:dyDescent="0.35">
      <c r="A18" s="98" t="s">
        <v>287</v>
      </c>
      <c r="B18" s="142"/>
      <c r="C18" s="139"/>
      <c r="D18" s="96"/>
      <c r="E18" s="98" t="s">
        <v>287</v>
      </c>
      <c r="F18" s="150"/>
      <c r="G18" s="151"/>
      <c r="H18" s="96"/>
      <c r="I18" s="98" t="s">
        <v>287</v>
      </c>
      <c r="J18" s="157"/>
      <c r="K18" s="151"/>
      <c r="L18" s="128"/>
      <c r="M18" s="135"/>
      <c r="N18" s="92"/>
      <c r="O18" s="136"/>
      <c r="P18" s="92"/>
      <c r="Q18" s="92"/>
      <c r="R18" s="92"/>
      <c r="S18" s="92"/>
      <c r="T18" s="92"/>
      <c r="U18" s="92"/>
      <c r="V18" s="92"/>
      <c r="W18" s="92"/>
    </row>
    <row r="19" spans="1:23" s="18" customFormat="1" ht="15" customHeight="1" x14ac:dyDescent="0.4">
      <c r="A19" s="95" t="s">
        <v>3</v>
      </c>
      <c r="B19" s="142">
        <v>1250</v>
      </c>
      <c r="C19" s="139"/>
      <c r="D19" s="96"/>
      <c r="E19" s="95" t="s">
        <v>3</v>
      </c>
      <c r="F19" s="149">
        <v>1350</v>
      </c>
      <c r="G19" s="139"/>
      <c r="H19" s="96"/>
      <c r="I19" s="95" t="s">
        <v>283</v>
      </c>
      <c r="J19" s="138">
        <v>8500</v>
      </c>
      <c r="K19" s="139"/>
      <c r="L19" s="128"/>
      <c r="M19" s="137"/>
      <c r="N19" s="92"/>
      <c r="O19" s="136"/>
      <c r="P19" s="92"/>
      <c r="Q19" s="92"/>
      <c r="R19" s="92"/>
      <c r="S19" s="92"/>
      <c r="T19" s="92"/>
      <c r="U19" s="92"/>
      <c r="V19" s="92"/>
      <c r="W19" s="92"/>
    </row>
    <row r="20" spans="1:23" s="18" customFormat="1" ht="15" customHeight="1" x14ac:dyDescent="0.35">
      <c r="A20" s="95"/>
      <c r="B20" s="142"/>
      <c r="C20" s="139"/>
      <c r="D20" s="96"/>
      <c r="E20" s="95"/>
      <c r="F20" s="149"/>
      <c r="G20" s="139"/>
      <c r="H20" s="96"/>
      <c r="I20" s="95" t="s">
        <v>281</v>
      </c>
      <c r="J20" s="138">
        <v>6500</v>
      </c>
      <c r="K20" s="139"/>
      <c r="L20" s="128"/>
      <c r="M20" s="135"/>
      <c r="N20" s="92"/>
      <c r="O20" s="136"/>
      <c r="P20" s="92"/>
      <c r="Q20" s="92"/>
      <c r="R20" s="92"/>
      <c r="S20" s="92"/>
      <c r="T20" s="92"/>
      <c r="U20" s="92"/>
      <c r="V20" s="92"/>
      <c r="W20" s="92"/>
    </row>
    <row r="21" spans="1:23" s="18" customFormat="1" ht="15" customHeight="1" x14ac:dyDescent="0.35">
      <c r="A21" s="95"/>
      <c r="B21" s="142"/>
      <c r="C21" s="139"/>
      <c r="D21" s="96"/>
      <c r="E21" s="95"/>
      <c r="F21" s="149"/>
      <c r="G21" s="139"/>
      <c r="H21" s="96"/>
      <c r="I21" s="95" t="s">
        <v>282</v>
      </c>
      <c r="J21" s="138">
        <v>5250</v>
      </c>
      <c r="K21" s="139"/>
      <c r="L21" s="128"/>
      <c r="M21" s="135"/>
      <c r="N21" s="92"/>
      <c r="O21" s="136"/>
      <c r="P21" s="92"/>
      <c r="Q21" s="92"/>
      <c r="R21" s="92"/>
      <c r="S21" s="92"/>
      <c r="T21" s="92"/>
      <c r="U21" s="92"/>
      <c r="V21" s="92"/>
      <c r="W21" s="92"/>
    </row>
    <row r="22" spans="1:23" s="18" customFormat="1" ht="15" customHeight="1" x14ac:dyDescent="0.35">
      <c r="A22" s="95"/>
      <c r="B22" s="142"/>
      <c r="C22" s="139"/>
      <c r="D22" s="96"/>
      <c r="E22" s="95"/>
      <c r="F22" s="149"/>
      <c r="G22" s="139"/>
      <c r="H22" s="96"/>
      <c r="I22" s="95" t="s">
        <v>284</v>
      </c>
      <c r="J22" s="138">
        <v>1750</v>
      </c>
      <c r="K22" s="139"/>
      <c r="L22" s="128"/>
      <c r="M22" s="135"/>
      <c r="N22" s="92"/>
      <c r="O22" s="136"/>
      <c r="P22" s="92"/>
      <c r="Q22" s="92"/>
      <c r="R22" s="92"/>
      <c r="S22" s="92"/>
      <c r="T22" s="92"/>
      <c r="U22" s="92"/>
      <c r="V22" s="92"/>
      <c r="W22" s="92"/>
    </row>
    <row r="23" spans="1:23" s="18" customFormat="1" ht="15" customHeight="1" x14ac:dyDescent="0.35">
      <c r="A23" s="95"/>
      <c r="B23" s="142"/>
      <c r="C23" s="139"/>
      <c r="D23" s="96"/>
      <c r="E23" s="95"/>
      <c r="F23" s="149"/>
      <c r="G23" s="139"/>
      <c r="H23" s="96"/>
      <c r="I23" s="95" t="s">
        <v>285</v>
      </c>
      <c r="J23" s="138">
        <v>1250</v>
      </c>
      <c r="K23" s="139"/>
      <c r="L23" s="128"/>
      <c r="M23" s="135"/>
      <c r="N23" s="92"/>
      <c r="O23" s="136"/>
      <c r="P23" s="92"/>
      <c r="Q23" s="92"/>
      <c r="R23" s="92"/>
      <c r="S23" s="92"/>
      <c r="T23" s="92"/>
      <c r="U23" s="92"/>
      <c r="V23" s="92"/>
      <c r="W23" s="92"/>
    </row>
    <row r="24" spans="1:23" s="18" customFormat="1" ht="15" customHeight="1" x14ac:dyDescent="0.35">
      <c r="A24" s="103"/>
      <c r="B24" s="142"/>
      <c r="C24" s="139"/>
      <c r="D24" s="96"/>
      <c r="E24" s="103"/>
      <c r="F24" s="150"/>
      <c r="G24" s="151"/>
      <c r="H24" s="96"/>
      <c r="I24" s="103" t="s">
        <v>307</v>
      </c>
      <c r="J24" s="159"/>
      <c r="K24" s="151"/>
      <c r="L24" s="128"/>
      <c r="M24" s="135"/>
      <c r="N24" s="92"/>
      <c r="O24" s="136"/>
      <c r="P24" s="92"/>
      <c r="Q24" s="92"/>
      <c r="R24" s="92"/>
      <c r="S24" s="92"/>
      <c r="T24" s="92"/>
      <c r="U24" s="92"/>
      <c r="V24" s="92"/>
      <c r="W24" s="92"/>
    </row>
    <row r="25" spans="1:23" s="18" customFormat="1" ht="15" customHeight="1" x14ac:dyDescent="0.35">
      <c r="A25" s="104"/>
      <c r="B25" s="142"/>
      <c r="C25" s="139"/>
      <c r="D25" s="96"/>
      <c r="E25" s="104"/>
      <c r="F25" s="149"/>
      <c r="G25" s="139"/>
      <c r="H25" s="96"/>
      <c r="I25" s="102" t="s">
        <v>308</v>
      </c>
      <c r="J25" s="161">
        <v>5000</v>
      </c>
      <c r="K25" s="139"/>
      <c r="L25" s="128"/>
      <c r="M25" s="135"/>
      <c r="N25" s="92"/>
      <c r="O25" s="136"/>
      <c r="P25" s="92"/>
      <c r="Q25" s="92"/>
      <c r="R25" s="92"/>
      <c r="S25" s="92"/>
      <c r="T25" s="92"/>
      <c r="U25" s="92"/>
      <c r="V25" s="92"/>
      <c r="W25" s="92"/>
    </row>
    <row r="26" spans="1:23" s="18" customFormat="1" ht="15" customHeight="1" x14ac:dyDescent="0.35">
      <c r="A26" s="105" t="s">
        <v>341</v>
      </c>
      <c r="B26" s="142"/>
      <c r="C26" s="139"/>
      <c r="D26" s="96"/>
      <c r="E26" s="105" t="s">
        <v>341</v>
      </c>
      <c r="F26" s="150"/>
      <c r="G26" s="151"/>
      <c r="H26" s="96"/>
      <c r="I26" s="105" t="s">
        <v>341</v>
      </c>
      <c r="J26" s="159"/>
      <c r="K26" s="151"/>
      <c r="L26" s="128"/>
      <c r="M26" s="135"/>
      <c r="N26" s="92"/>
      <c r="O26" s="136"/>
      <c r="P26" s="92"/>
      <c r="Q26" s="92"/>
      <c r="R26" s="92"/>
      <c r="S26" s="92"/>
      <c r="T26" s="92"/>
      <c r="U26" s="92"/>
      <c r="V26" s="92"/>
      <c r="W26" s="92"/>
    </row>
    <row r="27" spans="1:23" s="18" customFormat="1" ht="15" customHeight="1" x14ac:dyDescent="0.4">
      <c r="A27" s="104" t="s">
        <v>342</v>
      </c>
      <c r="B27" s="142">
        <v>1250</v>
      </c>
      <c r="C27" s="139"/>
      <c r="D27" s="96"/>
      <c r="E27" s="104" t="s">
        <v>342</v>
      </c>
      <c r="F27" s="142">
        <v>1350</v>
      </c>
      <c r="G27" s="139"/>
      <c r="H27" s="96"/>
      <c r="I27" s="104" t="s">
        <v>342</v>
      </c>
      <c r="J27" s="138">
        <v>3000</v>
      </c>
      <c r="K27" s="139"/>
      <c r="L27" s="128"/>
      <c r="M27" s="137"/>
      <c r="N27" s="92"/>
      <c r="O27" s="136"/>
      <c r="P27" s="92"/>
      <c r="Q27" s="92"/>
      <c r="R27" s="92"/>
      <c r="S27" s="92"/>
      <c r="T27" s="92"/>
      <c r="U27" s="92"/>
      <c r="V27" s="92"/>
      <c r="W27" s="92"/>
    </row>
    <row r="28" spans="1:23" s="18" customFormat="1" ht="15" customHeight="1" x14ac:dyDescent="0.35">
      <c r="A28" s="104"/>
      <c r="B28" s="142"/>
      <c r="C28" s="139"/>
      <c r="D28" s="96"/>
      <c r="E28" s="104"/>
      <c r="F28" s="149"/>
      <c r="G28" s="139"/>
      <c r="H28" s="96"/>
      <c r="I28" s="104"/>
      <c r="J28" s="138"/>
      <c r="K28" s="139"/>
      <c r="L28" s="128"/>
      <c r="M28" s="135"/>
      <c r="N28" s="92"/>
      <c r="O28" s="136"/>
      <c r="P28" s="92"/>
      <c r="Q28" s="92"/>
      <c r="R28" s="92"/>
      <c r="S28" s="92"/>
      <c r="T28" s="92"/>
      <c r="U28" s="92"/>
      <c r="V28" s="92"/>
      <c r="W28" s="92"/>
    </row>
    <row r="29" spans="1:23" s="18" customFormat="1" ht="15" customHeight="1" x14ac:dyDescent="0.35">
      <c r="A29" s="98" t="s">
        <v>324</v>
      </c>
      <c r="B29" s="142"/>
      <c r="C29" s="139"/>
      <c r="D29" s="96"/>
      <c r="E29" s="98" t="s">
        <v>324</v>
      </c>
      <c r="F29" s="150"/>
      <c r="G29" s="151"/>
      <c r="H29" s="96"/>
      <c r="I29" s="98" t="s">
        <v>324</v>
      </c>
      <c r="J29" s="162"/>
      <c r="K29" s="139"/>
      <c r="L29" s="128"/>
      <c r="M29" s="135"/>
      <c r="N29" s="92"/>
      <c r="O29" s="136"/>
      <c r="P29" s="92"/>
      <c r="Q29" s="92"/>
      <c r="R29" s="92"/>
      <c r="S29" s="92"/>
      <c r="T29" s="92"/>
      <c r="U29" s="92"/>
      <c r="V29" s="92"/>
      <c r="W29" s="92"/>
    </row>
    <row r="30" spans="1:23" s="18" customFormat="1" ht="15" customHeight="1" x14ac:dyDescent="0.4">
      <c r="A30" s="95" t="s">
        <v>1</v>
      </c>
      <c r="B30" s="142">
        <v>12500</v>
      </c>
      <c r="C30" s="147">
        <f>(B30*20)</f>
        <v>250000</v>
      </c>
      <c r="D30" s="96"/>
      <c r="E30" s="95" t="s">
        <v>1</v>
      </c>
      <c r="F30" s="149">
        <v>15000</v>
      </c>
      <c r="G30" s="147">
        <f>(F30*20)</f>
        <v>300000</v>
      </c>
      <c r="H30" s="96"/>
      <c r="I30" s="95" t="s">
        <v>1</v>
      </c>
      <c r="J30" s="138">
        <v>37500</v>
      </c>
      <c r="K30" s="147">
        <f>(J30*20)</f>
        <v>750000</v>
      </c>
      <c r="L30" s="128"/>
      <c r="M30" s="137"/>
      <c r="N30" s="92"/>
      <c r="O30" s="136"/>
      <c r="P30" s="92"/>
      <c r="Q30" s="92"/>
      <c r="R30" s="92"/>
      <c r="S30" s="92"/>
      <c r="T30" s="92"/>
      <c r="U30" s="92"/>
      <c r="V30" s="92"/>
      <c r="W30" s="92"/>
    </row>
    <row r="31" spans="1:23" s="72" customFormat="1" ht="15" customHeight="1" x14ac:dyDescent="0.4">
      <c r="A31" s="95" t="s">
        <v>2</v>
      </c>
      <c r="B31" s="142">
        <v>12500</v>
      </c>
      <c r="C31" s="147">
        <f>(B31*20)</f>
        <v>250000</v>
      </c>
      <c r="D31" s="96"/>
      <c r="E31" s="95" t="s">
        <v>2</v>
      </c>
      <c r="F31" s="149">
        <v>15000</v>
      </c>
      <c r="G31" s="147">
        <f>(F31*20)</f>
        <v>300000</v>
      </c>
      <c r="H31" s="96"/>
      <c r="I31" s="95" t="s">
        <v>2</v>
      </c>
      <c r="J31" s="138">
        <v>25000</v>
      </c>
      <c r="K31" s="147">
        <f>(J31*20)</f>
        <v>500000</v>
      </c>
      <c r="L31" s="126"/>
      <c r="M31" s="137"/>
      <c r="N31" s="90"/>
      <c r="O31" s="136"/>
      <c r="P31" s="90"/>
      <c r="Q31" s="90"/>
      <c r="R31" s="90"/>
      <c r="S31" s="90"/>
      <c r="T31" s="90"/>
      <c r="U31" s="90"/>
      <c r="V31" s="90"/>
      <c r="W31" s="90"/>
    </row>
    <row r="32" spans="1:23" s="72" customFormat="1" ht="15" customHeight="1" x14ac:dyDescent="0.35">
      <c r="A32" s="93" t="s">
        <v>322</v>
      </c>
      <c r="B32" s="142"/>
      <c r="C32" s="139"/>
      <c r="D32" s="96"/>
      <c r="E32" s="93" t="s">
        <v>322</v>
      </c>
      <c r="F32" s="150"/>
      <c r="G32" s="151"/>
      <c r="H32" s="96"/>
      <c r="I32" s="93" t="s">
        <v>322</v>
      </c>
      <c r="J32" s="159"/>
      <c r="K32" s="151"/>
      <c r="L32" s="126"/>
      <c r="M32" s="135"/>
      <c r="N32" s="90"/>
      <c r="O32" s="136"/>
      <c r="P32" s="90"/>
      <c r="Q32" s="90"/>
      <c r="R32" s="90"/>
      <c r="S32" s="90"/>
      <c r="T32" s="90"/>
      <c r="U32" s="90"/>
      <c r="V32" s="90"/>
      <c r="W32" s="90"/>
    </row>
    <row r="33" spans="1:23" s="72" customFormat="1" ht="15" customHeight="1" x14ac:dyDescent="0.35">
      <c r="A33" s="101"/>
      <c r="B33" s="142"/>
      <c r="C33" s="139"/>
      <c r="D33" s="96"/>
      <c r="E33" s="101" t="s">
        <v>4</v>
      </c>
      <c r="F33" s="150">
        <v>10000</v>
      </c>
      <c r="G33" s="147">
        <f>(F33*23)</f>
        <v>230000</v>
      </c>
      <c r="H33" s="96"/>
      <c r="I33" s="101" t="s">
        <v>4</v>
      </c>
      <c r="J33" s="142"/>
      <c r="K33" s="139"/>
      <c r="L33" s="126"/>
      <c r="M33" s="135"/>
      <c r="N33" s="90"/>
      <c r="O33" s="136"/>
      <c r="P33" s="90"/>
      <c r="Q33" s="90"/>
      <c r="R33" s="90"/>
      <c r="S33" s="90"/>
      <c r="T33" s="90"/>
      <c r="U33" s="90"/>
      <c r="V33" s="90"/>
      <c r="W33" s="90"/>
    </row>
    <row r="34" spans="1:23" s="72" customFormat="1" ht="15" customHeight="1" x14ac:dyDescent="0.4">
      <c r="A34" s="104" t="s">
        <v>7</v>
      </c>
      <c r="B34" s="142">
        <v>12500</v>
      </c>
      <c r="C34" s="147">
        <f>(B34*23)</f>
        <v>287500</v>
      </c>
      <c r="D34" s="96"/>
      <c r="E34" s="104" t="s">
        <v>7</v>
      </c>
      <c r="F34" s="153">
        <v>20000</v>
      </c>
      <c r="G34" s="147">
        <f>(F34*23)</f>
        <v>460000</v>
      </c>
      <c r="H34" s="96"/>
      <c r="I34" s="104" t="s">
        <v>7</v>
      </c>
      <c r="J34" s="153">
        <v>25000</v>
      </c>
      <c r="K34" s="147">
        <v>575000</v>
      </c>
      <c r="L34" s="126"/>
      <c r="M34" s="137"/>
      <c r="N34" s="90"/>
      <c r="O34" s="136"/>
      <c r="P34" s="90"/>
      <c r="Q34" s="90"/>
      <c r="R34" s="90"/>
      <c r="S34" s="90"/>
      <c r="T34" s="90"/>
      <c r="U34" s="90"/>
      <c r="V34" s="90"/>
      <c r="W34" s="90"/>
    </row>
    <row r="35" spans="1:23" s="72" customFormat="1" ht="15" customHeight="1" x14ac:dyDescent="0.4">
      <c r="A35" s="104" t="s">
        <v>10</v>
      </c>
      <c r="B35" s="142">
        <v>25000</v>
      </c>
      <c r="C35" s="147">
        <f>(B35*23)</f>
        <v>575000</v>
      </c>
      <c r="D35" s="96"/>
      <c r="E35" s="104" t="s">
        <v>10</v>
      </c>
      <c r="F35" s="153">
        <v>32500</v>
      </c>
      <c r="G35" s="147">
        <f>(F35*23)</f>
        <v>747500</v>
      </c>
      <c r="H35" s="96"/>
      <c r="I35" s="104" t="s">
        <v>10</v>
      </c>
      <c r="J35" s="153">
        <v>50000</v>
      </c>
      <c r="K35" s="147">
        <v>1150000</v>
      </c>
      <c r="L35" s="126"/>
      <c r="M35" s="137"/>
      <c r="N35" s="90"/>
      <c r="O35" s="136"/>
      <c r="P35" s="90"/>
      <c r="Q35" s="90"/>
      <c r="R35" s="90"/>
      <c r="S35" s="90"/>
      <c r="T35" s="90"/>
      <c r="U35" s="90"/>
      <c r="V35" s="90"/>
      <c r="W35" s="90"/>
    </row>
    <row r="36" spans="1:23" s="72" customFormat="1" ht="15" customHeight="1" x14ac:dyDescent="0.4">
      <c r="A36" s="104" t="s">
        <v>11</v>
      </c>
      <c r="B36" s="142">
        <v>62500</v>
      </c>
      <c r="C36" s="147">
        <f>(B36*23)</f>
        <v>1437500</v>
      </c>
      <c r="D36" s="96"/>
      <c r="E36" s="104" t="s">
        <v>11</v>
      </c>
      <c r="F36" s="153">
        <v>75000</v>
      </c>
      <c r="G36" s="147">
        <f>(F36*23)</f>
        <v>1725000</v>
      </c>
      <c r="H36" s="96"/>
      <c r="I36" s="104" t="s">
        <v>11</v>
      </c>
      <c r="J36" s="153">
        <v>110000</v>
      </c>
      <c r="K36" s="147">
        <v>2530000</v>
      </c>
      <c r="L36" s="126"/>
      <c r="M36" s="137"/>
      <c r="N36" s="90"/>
      <c r="O36" s="136"/>
      <c r="P36" s="90"/>
      <c r="Q36" s="90"/>
      <c r="R36" s="90"/>
      <c r="S36" s="90"/>
      <c r="T36" s="90"/>
      <c r="U36" s="90"/>
      <c r="V36" s="90"/>
      <c r="W36" s="90"/>
    </row>
    <row r="37" spans="1:23" s="72" customFormat="1" ht="15" customHeight="1" x14ac:dyDescent="0.35">
      <c r="A37" s="105" t="s">
        <v>323</v>
      </c>
      <c r="B37" s="142"/>
      <c r="C37" s="139"/>
      <c r="D37" s="96"/>
      <c r="E37" s="105" t="s">
        <v>323</v>
      </c>
      <c r="F37" s="150"/>
      <c r="G37" s="154"/>
      <c r="H37" s="96"/>
      <c r="I37" s="105" t="s">
        <v>323</v>
      </c>
      <c r="J37" s="159"/>
      <c r="K37" s="151"/>
      <c r="L37" s="126"/>
      <c r="M37" s="135"/>
      <c r="N37" s="90"/>
      <c r="O37" s="136"/>
      <c r="P37" s="90"/>
      <c r="Q37" s="90"/>
      <c r="R37" s="90"/>
      <c r="S37" s="90"/>
      <c r="T37" s="90"/>
      <c r="U37" s="90"/>
      <c r="V37" s="90"/>
      <c r="W37" s="90"/>
    </row>
    <row r="38" spans="1:23" s="72" customFormat="1" ht="15" customHeight="1" x14ac:dyDescent="0.35">
      <c r="A38" s="95"/>
      <c r="B38" s="142"/>
      <c r="C38" s="139"/>
      <c r="D38" s="96"/>
      <c r="E38" s="95" t="s">
        <v>4</v>
      </c>
      <c r="F38" s="153">
        <v>10000</v>
      </c>
      <c r="G38" s="147">
        <f>(F38*18)</f>
        <v>180000</v>
      </c>
      <c r="H38" s="96"/>
      <c r="I38" s="95" t="s">
        <v>4</v>
      </c>
      <c r="J38" s="142"/>
      <c r="K38" s="139"/>
      <c r="L38" s="126"/>
      <c r="M38" s="135"/>
      <c r="N38" s="90"/>
      <c r="O38" s="136"/>
      <c r="P38" s="90"/>
      <c r="Q38" s="90"/>
      <c r="R38" s="90"/>
      <c r="S38" s="90"/>
      <c r="T38" s="90"/>
      <c r="U38" s="90"/>
      <c r="V38" s="90"/>
      <c r="W38" s="90"/>
    </row>
    <row r="39" spans="1:23" s="72" customFormat="1" ht="15" customHeight="1" x14ac:dyDescent="0.35">
      <c r="A39" s="104" t="s">
        <v>7</v>
      </c>
      <c r="B39" s="142">
        <v>12500</v>
      </c>
      <c r="C39" s="147">
        <f>(B39*18)</f>
        <v>225000</v>
      </c>
      <c r="D39" s="96"/>
      <c r="E39" s="104" t="s">
        <v>7</v>
      </c>
      <c r="F39" s="153">
        <v>20000</v>
      </c>
      <c r="G39" s="147">
        <f>(F39*18)</f>
        <v>360000</v>
      </c>
      <c r="H39" s="96"/>
      <c r="I39" s="104" t="s">
        <v>7</v>
      </c>
      <c r="J39" s="153">
        <v>25000</v>
      </c>
      <c r="K39" s="147">
        <f>(J39*18)</f>
        <v>450000</v>
      </c>
      <c r="L39" s="126"/>
      <c r="M39" s="135"/>
      <c r="N39" s="90"/>
      <c r="O39" s="136"/>
      <c r="P39" s="90"/>
      <c r="Q39" s="90"/>
      <c r="R39" s="90"/>
      <c r="S39" s="90"/>
      <c r="T39" s="90"/>
      <c r="U39" s="90"/>
      <c r="V39" s="90"/>
      <c r="W39" s="90"/>
    </row>
    <row r="40" spans="1:23" s="72" customFormat="1" ht="15" customHeight="1" x14ac:dyDescent="0.35">
      <c r="A40" s="104" t="s">
        <v>10</v>
      </c>
      <c r="B40" s="142">
        <v>25000</v>
      </c>
      <c r="C40" s="147">
        <f>(B40*18)</f>
        <v>450000</v>
      </c>
      <c r="D40" s="96"/>
      <c r="E40" s="104" t="s">
        <v>10</v>
      </c>
      <c r="F40" s="153">
        <v>32500</v>
      </c>
      <c r="G40" s="147">
        <f>(F40*18)</f>
        <v>585000</v>
      </c>
      <c r="H40" s="96"/>
      <c r="I40" s="104" t="s">
        <v>10</v>
      </c>
      <c r="J40" s="153">
        <v>55500</v>
      </c>
      <c r="K40" s="147">
        <f>(J40*18)</f>
        <v>999000</v>
      </c>
      <c r="L40" s="126"/>
      <c r="M40" s="135"/>
      <c r="N40" s="90"/>
      <c r="O40" s="136"/>
      <c r="P40" s="90"/>
      <c r="Q40" s="90"/>
      <c r="R40" s="90"/>
      <c r="S40" s="90"/>
      <c r="T40" s="90"/>
      <c r="U40" s="90"/>
      <c r="V40" s="90"/>
      <c r="W40" s="90"/>
    </row>
    <row r="41" spans="1:23" s="72" customFormat="1" ht="15" customHeight="1" x14ac:dyDescent="0.35">
      <c r="A41" s="104" t="s">
        <v>11</v>
      </c>
      <c r="B41" s="142">
        <v>62500</v>
      </c>
      <c r="C41" s="147">
        <f>(B41*18)</f>
        <v>1125000</v>
      </c>
      <c r="D41" s="96"/>
      <c r="E41" s="104" t="s">
        <v>11</v>
      </c>
      <c r="F41" s="153">
        <v>75000</v>
      </c>
      <c r="G41" s="147">
        <f>(F41*18)</f>
        <v>1350000</v>
      </c>
      <c r="H41" s="96"/>
      <c r="I41" s="104" t="s">
        <v>11</v>
      </c>
      <c r="J41" s="153">
        <v>100000</v>
      </c>
      <c r="K41" s="147">
        <f>(J41*18)</f>
        <v>1800000</v>
      </c>
      <c r="L41" s="126"/>
      <c r="M41" s="135"/>
      <c r="N41" s="90"/>
      <c r="O41" s="136"/>
      <c r="P41" s="90"/>
      <c r="Q41" s="90"/>
      <c r="R41" s="90"/>
      <c r="S41" s="90"/>
      <c r="T41" s="90"/>
      <c r="U41" s="90"/>
      <c r="V41" s="90"/>
      <c r="W41" s="90"/>
    </row>
    <row r="42" spans="1:23" s="72" customFormat="1" ht="15" customHeight="1" x14ac:dyDescent="0.35">
      <c r="A42" s="107" t="s">
        <v>309</v>
      </c>
      <c r="B42" s="142"/>
      <c r="C42" s="145"/>
      <c r="D42" s="96"/>
      <c r="E42" s="107" t="s">
        <v>309</v>
      </c>
      <c r="F42" s="150"/>
      <c r="G42" s="155"/>
      <c r="H42" s="96"/>
      <c r="I42" s="107" t="s">
        <v>309</v>
      </c>
      <c r="J42" s="159"/>
      <c r="K42" s="151"/>
      <c r="L42" s="126"/>
      <c r="M42" s="135"/>
      <c r="N42" s="90"/>
      <c r="O42" s="136"/>
      <c r="P42" s="90"/>
      <c r="Q42" s="90"/>
      <c r="R42" s="90"/>
      <c r="S42" s="90"/>
      <c r="T42" s="90"/>
      <c r="U42" s="90"/>
      <c r="V42" s="90"/>
      <c r="W42" s="90"/>
    </row>
    <row r="43" spans="1:23" s="72" customFormat="1" ht="15" customHeight="1" x14ac:dyDescent="0.35">
      <c r="A43" s="108" t="s">
        <v>1</v>
      </c>
      <c r="B43" s="142"/>
      <c r="C43" s="146"/>
      <c r="D43" s="96"/>
      <c r="E43" s="108" t="s">
        <v>1</v>
      </c>
      <c r="F43" s="150"/>
      <c r="G43" s="151"/>
      <c r="H43" s="96"/>
      <c r="I43" s="108" t="s">
        <v>1</v>
      </c>
      <c r="J43" s="159"/>
      <c r="K43" s="151"/>
      <c r="M43" s="135"/>
      <c r="N43" s="90"/>
      <c r="O43" s="136"/>
      <c r="P43" s="90"/>
      <c r="Q43" s="90"/>
      <c r="R43" s="90"/>
      <c r="S43" s="90"/>
      <c r="T43" s="90"/>
      <c r="U43" s="90"/>
      <c r="V43" s="90"/>
      <c r="W43" s="90"/>
    </row>
    <row r="44" spans="1:23" s="72" customFormat="1" ht="15" customHeight="1" x14ac:dyDescent="0.35">
      <c r="A44" s="95" t="s">
        <v>332</v>
      </c>
      <c r="B44" s="148">
        <f>(C44/23)</f>
        <v>65217.391304347824</v>
      </c>
      <c r="C44" s="139">
        <v>1500000</v>
      </c>
      <c r="D44" s="96"/>
      <c r="E44" s="95" t="s">
        <v>332</v>
      </c>
      <c r="F44" s="148">
        <f>(G44/23)</f>
        <v>78260.869565217392</v>
      </c>
      <c r="G44" s="147">
        <f>1800000</f>
        <v>1800000</v>
      </c>
      <c r="H44" s="96"/>
      <c r="I44" s="95" t="s">
        <v>337</v>
      </c>
      <c r="J44" s="148">
        <f>(K44/23)</f>
        <v>60869.565217391304</v>
      </c>
      <c r="K44" s="147">
        <v>1400000</v>
      </c>
      <c r="M44" s="135"/>
      <c r="N44" s="90"/>
      <c r="O44" s="136"/>
      <c r="P44" s="90"/>
      <c r="Q44" s="90"/>
      <c r="R44" s="90"/>
      <c r="S44" s="90"/>
      <c r="T44" s="90"/>
      <c r="U44" s="90"/>
      <c r="V44" s="90"/>
      <c r="W44" s="90"/>
    </row>
    <row r="45" spans="1:23" s="72" customFormat="1" ht="15" customHeight="1" x14ac:dyDescent="0.35">
      <c r="A45" s="95" t="s">
        <v>333</v>
      </c>
      <c r="B45" s="142">
        <v>4500</v>
      </c>
      <c r="C45" s="147">
        <f>(B45*23)</f>
        <v>103500</v>
      </c>
      <c r="D45" s="96"/>
      <c r="E45" s="95" t="s">
        <v>333</v>
      </c>
      <c r="F45" s="148">
        <v>6750</v>
      </c>
      <c r="G45" s="147">
        <f>(F45*23)</f>
        <v>155250</v>
      </c>
      <c r="H45" s="96"/>
      <c r="I45" s="95" t="s">
        <v>338</v>
      </c>
      <c r="J45" s="148">
        <f>(K45/23)</f>
        <v>52173.913043478264</v>
      </c>
      <c r="K45" s="147">
        <v>1200000</v>
      </c>
      <c r="M45" s="135"/>
      <c r="N45" s="90"/>
      <c r="O45" s="136"/>
      <c r="P45" s="90"/>
      <c r="Q45" s="90"/>
      <c r="R45" s="90"/>
      <c r="S45" s="90"/>
      <c r="T45" s="90"/>
      <c r="U45" s="90"/>
      <c r="V45" s="90"/>
      <c r="W45" s="90"/>
    </row>
    <row r="46" spans="1:23" s="72" customFormat="1" ht="15" customHeight="1" x14ac:dyDescent="0.35">
      <c r="A46" s="95" t="s">
        <v>334</v>
      </c>
      <c r="B46" s="142">
        <v>4166</v>
      </c>
      <c r="C46" s="147">
        <f>(B46*23)</f>
        <v>95818</v>
      </c>
      <c r="D46" s="96"/>
      <c r="E46" s="95" t="s">
        <v>334</v>
      </c>
      <c r="F46" s="148">
        <v>6250</v>
      </c>
      <c r="G46" s="147">
        <f>(F46*23)</f>
        <v>143750</v>
      </c>
      <c r="H46" s="96"/>
      <c r="I46" s="95" t="s">
        <v>339</v>
      </c>
      <c r="J46" s="148">
        <f>(K46/23)</f>
        <v>43478.260869565216</v>
      </c>
      <c r="K46" s="147">
        <v>1000000</v>
      </c>
      <c r="M46" s="135"/>
      <c r="N46" s="90"/>
      <c r="O46" s="136"/>
      <c r="P46" s="90"/>
      <c r="Q46" s="90"/>
      <c r="R46" s="90"/>
      <c r="S46" s="90"/>
      <c r="T46" s="90"/>
      <c r="U46" s="90"/>
      <c r="V46" s="90"/>
      <c r="W46" s="90"/>
    </row>
    <row r="47" spans="1:23" s="72" customFormat="1" ht="15" customHeight="1" x14ac:dyDescent="0.35">
      <c r="A47" s="109" t="s">
        <v>2</v>
      </c>
      <c r="B47" s="142"/>
      <c r="C47" s="146"/>
      <c r="D47" s="96"/>
      <c r="E47" s="109" t="s">
        <v>2</v>
      </c>
      <c r="F47" s="150"/>
      <c r="G47" s="151"/>
      <c r="H47" s="96"/>
      <c r="I47" s="109" t="s">
        <v>2</v>
      </c>
      <c r="J47" s="148"/>
      <c r="K47" s="151"/>
      <c r="L47" s="126"/>
      <c r="M47" s="135"/>
      <c r="N47" s="90"/>
      <c r="O47" s="136"/>
      <c r="P47" s="90"/>
      <c r="Q47" s="90"/>
      <c r="R47" s="90"/>
      <c r="S47" s="90"/>
      <c r="T47" s="90"/>
      <c r="U47" s="90"/>
      <c r="V47" s="90"/>
      <c r="W47" s="90"/>
    </row>
    <row r="48" spans="1:23" s="72" customFormat="1" ht="15" customHeight="1" x14ac:dyDescent="0.4">
      <c r="A48" s="95" t="s">
        <v>332</v>
      </c>
      <c r="B48" s="148">
        <f>(C48/18)</f>
        <v>83333.333333333328</v>
      </c>
      <c r="C48" s="139">
        <v>1500000</v>
      </c>
      <c r="D48" s="96"/>
      <c r="E48" s="95" t="s">
        <v>332</v>
      </c>
      <c r="F48" s="148">
        <f>(G48/18)</f>
        <v>100000</v>
      </c>
      <c r="G48" s="147">
        <f>1800000</f>
        <v>1800000</v>
      </c>
      <c r="H48" s="96"/>
      <c r="I48" s="95" t="s">
        <v>337</v>
      </c>
      <c r="J48" s="148">
        <f>(K48/18)</f>
        <v>66666.666666666672</v>
      </c>
      <c r="K48" s="147">
        <v>1200000</v>
      </c>
      <c r="L48" s="126"/>
      <c r="M48" s="137"/>
      <c r="N48" s="90"/>
      <c r="O48" s="136"/>
      <c r="P48" s="90"/>
      <c r="Q48" s="90"/>
      <c r="R48" s="90"/>
      <c r="S48" s="90"/>
      <c r="T48" s="90"/>
      <c r="U48" s="90"/>
      <c r="V48" s="90"/>
      <c r="W48" s="90"/>
    </row>
    <row r="49" spans="1:24" s="72" customFormat="1" ht="15" customHeight="1" x14ac:dyDescent="0.4">
      <c r="A49" s="95" t="s">
        <v>333</v>
      </c>
      <c r="B49" s="142">
        <v>4500</v>
      </c>
      <c r="C49" s="147">
        <f>(B49*18)</f>
        <v>81000</v>
      </c>
      <c r="D49" s="96"/>
      <c r="E49" s="95" t="s">
        <v>333</v>
      </c>
      <c r="F49" s="148">
        <v>6750</v>
      </c>
      <c r="G49" s="147">
        <f>(F49*18)</f>
        <v>121500</v>
      </c>
      <c r="H49" s="96"/>
      <c r="I49" s="95" t="s">
        <v>338</v>
      </c>
      <c r="J49" s="148">
        <f>(K49/18)</f>
        <v>55555.555555555555</v>
      </c>
      <c r="K49" s="147">
        <v>1000000</v>
      </c>
      <c r="L49" s="126"/>
      <c r="M49" s="137"/>
      <c r="N49" s="90"/>
      <c r="O49" s="136"/>
      <c r="P49" s="90"/>
      <c r="Q49" s="90"/>
      <c r="R49" s="90"/>
      <c r="S49" s="90"/>
      <c r="T49" s="90"/>
      <c r="U49" s="90"/>
      <c r="V49" s="90"/>
      <c r="W49" s="90"/>
    </row>
    <row r="50" spans="1:24" s="72" customFormat="1" ht="15" customHeight="1" x14ac:dyDescent="0.4">
      <c r="A50" s="95" t="s">
        <v>334</v>
      </c>
      <c r="B50" s="142">
        <v>4166</v>
      </c>
      <c r="C50" s="147">
        <f>(B50*18)</f>
        <v>74988</v>
      </c>
      <c r="D50" s="96"/>
      <c r="E50" s="95" t="s">
        <v>334</v>
      </c>
      <c r="F50" s="148">
        <v>6250</v>
      </c>
      <c r="G50" s="147">
        <f>(F50*18)</f>
        <v>112500</v>
      </c>
      <c r="H50" s="96"/>
      <c r="I50" s="95" t="s">
        <v>339</v>
      </c>
      <c r="J50" s="148">
        <f>(K50/18)</f>
        <v>44444.444444444445</v>
      </c>
      <c r="K50" s="147">
        <v>800000</v>
      </c>
      <c r="L50" s="126"/>
      <c r="M50" s="137"/>
      <c r="N50" s="90"/>
      <c r="O50" s="136"/>
      <c r="P50" s="90"/>
      <c r="Q50" s="90"/>
      <c r="R50" s="90"/>
      <c r="S50" s="90"/>
      <c r="T50" s="90"/>
      <c r="U50" s="90"/>
      <c r="V50" s="90"/>
      <c r="W50" s="90"/>
    </row>
    <row r="51" spans="1:24" s="72" customFormat="1" ht="15" customHeight="1" x14ac:dyDescent="0.35">
      <c r="A51" s="110" t="s">
        <v>312</v>
      </c>
      <c r="B51" s="142"/>
      <c r="C51" s="139"/>
      <c r="D51" s="96"/>
      <c r="E51" s="110" t="s">
        <v>312</v>
      </c>
      <c r="F51" s="150"/>
      <c r="G51" s="151"/>
      <c r="H51" s="96"/>
      <c r="I51" s="110" t="s">
        <v>312</v>
      </c>
      <c r="J51" s="163"/>
      <c r="K51" s="139"/>
      <c r="L51" s="126"/>
      <c r="M51" s="90"/>
      <c r="N51" s="90"/>
      <c r="O51" s="90"/>
      <c r="P51" s="90"/>
      <c r="Q51" s="90"/>
      <c r="R51" s="90"/>
      <c r="S51" s="90"/>
      <c r="T51" s="90"/>
      <c r="U51" s="90"/>
      <c r="V51" s="90"/>
      <c r="W51" s="90"/>
    </row>
    <row r="52" spans="1:24" s="72" customFormat="1" ht="15" customHeight="1" x14ac:dyDescent="0.35">
      <c r="A52" s="111" t="s">
        <v>301</v>
      </c>
      <c r="B52" s="142"/>
      <c r="C52" s="143" t="s">
        <v>335</v>
      </c>
      <c r="D52" s="96"/>
      <c r="E52" s="111" t="s">
        <v>301</v>
      </c>
      <c r="F52" s="150"/>
      <c r="G52" s="147">
        <v>425000</v>
      </c>
      <c r="H52" s="96"/>
      <c r="I52" s="101" t="s">
        <v>301</v>
      </c>
      <c r="J52" s="142"/>
      <c r="K52" s="139">
        <v>230000</v>
      </c>
      <c r="L52" s="126"/>
      <c r="M52" s="90"/>
      <c r="N52" s="90"/>
      <c r="O52" s="90"/>
      <c r="P52" s="90"/>
      <c r="Q52" s="90"/>
      <c r="R52" s="90"/>
      <c r="S52" s="90"/>
      <c r="T52" s="90"/>
      <c r="U52" s="90"/>
      <c r="V52" s="90"/>
      <c r="W52" s="90"/>
    </row>
    <row r="53" spans="1:24" s="72" customFormat="1" ht="15" customHeight="1" x14ac:dyDescent="0.35">
      <c r="A53" s="111" t="s">
        <v>302</v>
      </c>
      <c r="B53" s="142">
        <v>2500</v>
      </c>
      <c r="C53" s="139"/>
      <c r="D53" s="96"/>
      <c r="E53" s="111" t="s">
        <v>302</v>
      </c>
      <c r="F53" s="138">
        <v>3000</v>
      </c>
      <c r="G53" s="139"/>
      <c r="H53" s="96"/>
      <c r="I53" s="92"/>
      <c r="J53" s="142"/>
      <c r="K53" s="139"/>
      <c r="L53" s="126"/>
      <c r="M53" s="90"/>
      <c r="N53" s="90"/>
      <c r="O53" s="90"/>
      <c r="P53" s="90"/>
      <c r="Q53" s="90"/>
      <c r="R53" s="90"/>
      <c r="S53" s="90"/>
      <c r="T53" s="90"/>
      <c r="U53" s="90"/>
      <c r="V53" s="90"/>
      <c r="W53" s="90"/>
    </row>
    <row r="54" spans="1:24" s="72" customFormat="1" ht="15" customHeight="1" x14ac:dyDescent="0.35">
      <c r="A54" s="95" t="s">
        <v>13</v>
      </c>
      <c r="B54" s="142"/>
      <c r="C54" s="139"/>
      <c r="D54" s="96"/>
      <c r="E54" s="95" t="s">
        <v>13</v>
      </c>
      <c r="F54" s="150"/>
      <c r="G54" s="147" t="s">
        <v>300</v>
      </c>
      <c r="H54" s="96"/>
      <c r="I54" s="95" t="s">
        <v>13</v>
      </c>
      <c r="J54" s="142"/>
      <c r="K54" s="147">
        <v>350000</v>
      </c>
      <c r="L54" s="126"/>
      <c r="M54" s="90"/>
      <c r="N54" s="90"/>
      <c r="O54" s="90"/>
      <c r="P54" s="90"/>
      <c r="Q54" s="90"/>
      <c r="R54" s="90"/>
      <c r="S54" s="90"/>
      <c r="T54" s="90"/>
      <c r="U54" s="90"/>
      <c r="V54" s="90"/>
      <c r="W54" s="90"/>
    </row>
    <row r="55" spans="1:24" s="72" customFormat="1" ht="15" customHeight="1" x14ac:dyDescent="0.35">
      <c r="A55" s="112" t="s">
        <v>276</v>
      </c>
      <c r="B55" s="144"/>
      <c r="C55" s="29">
        <v>0</v>
      </c>
      <c r="D55" s="84"/>
      <c r="E55" s="112" t="s">
        <v>276</v>
      </c>
      <c r="F55" s="156"/>
      <c r="G55" s="170">
        <v>1.2</v>
      </c>
      <c r="H55" s="84"/>
      <c r="I55" s="112" t="s">
        <v>276</v>
      </c>
      <c r="J55" s="144"/>
      <c r="K55" s="170">
        <v>1.5</v>
      </c>
      <c r="L55" s="31"/>
    </row>
    <row r="56" spans="1:24" s="72" customFormat="1" ht="15" customHeight="1" x14ac:dyDescent="0.4">
      <c r="A56" s="882" t="s">
        <v>310</v>
      </c>
      <c r="B56" s="882"/>
      <c r="C56" s="882"/>
      <c r="D56" s="882"/>
      <c r="E56" s="882"/>
      <c r="F56" s="882"/>
      <c r="G56" s="882"/>
      <c r="H56" s="882"/>
      <c r="I56" s="882"/>
      <c r="J56" s="882"/>
      <c r="K56" s="882"/>
      <c r="L56" s="882"/>
      <c r="M56" s="882"/>
      <c r="N56" s="882"/>
      <c r="O56" s="882"/>
      <c r="P56" s="882"/>
      <c r="Q56" s="882"/>
      <c r="R56" s="113"/>
      <c r="S56" s="114"/>
      <c r="T56" s="113"/>
      <c r="U56" s="114"/>
      <c r="V56" s="83"/>
      <c r="W56" s="83"/>
      <c r="X56" s="73"/>
    </row>
    <row r="57" spans="1:24" s="72" customFormat="1" ht="15" customHeight="1" x14ac:dyDescent="0.35">
      <c r="A57" s="883" t="s">
        <v>92</v>
      </c>
      <c r="B57" s="883"/>
      <c r="C57" s="883"/>
      <c r="D57" s="883"/>
      <c r="E57" s="883"/>
      <c r="F57" s="883"/>
      <c r="G57" s="883"/>
      <c r="H57" s="883"/>
      <c r="I57" s="883"/>
      <c r="J57" s="883"/>
      <c r="K57" s="883"/>
      <c r="L57" s="883"/>
      <c r="M57" s="883"/>
      <c r="N57" s="883"/>
      <c r="O57" s="883"/>
      <c r="P57" s="883"/>
      <c r="Q57" s="883"/>
      <c r="R57" s="74"/>
    </row>
    <row r="58" spans="1:24" s="72" customFormat="1" ht="15" customHeight="1" x14ac:dyDescent="0.4">
      <c r="A58" s="73" t="s">
        <v>313</v>
      </c>
      <c r="B58" s="74" t="s">
        <v>314</v>
      </c>
      <c r="C58" s="73"/>
      <c r="D58" s="73"/>
      <c r="E58" s="73"/>
      <c r="F58" s="73"/>
      <c r="G58" s="73"/>
      <c r="H58" s="73"/>
      <c r="I58" s="73"/>
      <c r="J58" s="73"/>
      <c r="K58" s="73"/>
      <c r="L58" s="129"/>
      <c r="M58" s="73"/>
      <c r="N58" s="73"/>
      <c r="O58" s="73"/>
      <c r="P58" s="73"/>
      <c r="Q58" s="73"/>
      <c r="R58" s="74"/>
    </row>
    <row r="59" spans="1:24" s="72" customFormat="1" ht="15" customHeight="1" x14ac:dyDescent="0.4">
      <c r="A59" s="73" t="s">
        <v>317</v>
      </c>
      <c r="B59" s="74" t="s">
        <v>315</v>
      </c>
      <c r="C59" s="73"/>
      <c r="D59" s="73"/>
      <c r="E59" s="73"/>
      <c r="F59" s="73"/>
      <c r="G59" s="73"/>
      <c r="H59" s="73"/>
      <c r="I59" s="73"/>
      <c r="J59" s="73"/>
      <c r="K59" s="73"/>
      <c r="L59" s="129"/>
      <c r="M59" s="73"/>
      <c r="N59" s="73"/>
      <c r="O59" s="73"/>
      <c r="P59" s="73"/>
      <c r="Q59" s="73"/>
      <c r="R59" s="74"/>
      <c r="S59" s="871"/>
      <c r="T59" s="871"/>
      <c r="U59" s="871"/>
      <c r="V59" s="871"/>
      <c r="W59" s="871"/>
    </row>
    <row r="60" spans="1:24" s="72" customFormat="1" ht="15" customHeight="1" x14ac:dyDescent="0.4">
      <c r="A60" s="32" t="s">
        <v>231</v>
      </c>
      <c r="B60" s="78" t="s">
        <v>316</v>
      </c>
      <c r="C60" s="32"/>
      <c r="D60" s="32"/>
      <c r="E60" s="32"/>
      <c r="F60" s="32"/>
      <c r="G60" s="32"/>
      <c r="H60" s="32"/>
      <c r="I60" s="32"/>
      <c r="J60" s="32"/>
      <c r="K60" s="32"/>
      <c r="L60" s="130"/>
      <c r="M60" s="32"/>
      <c r="N60" s="32"/>
      <c r="O60" s="32"/>
      <c r="P60" s="32"/>
      <c r="Q60" s="32"/>
      <c r="R60" s="74"/>
      <c r="S60" s="75"/>
    </row>
    <row r="61" spans="1:24" s="72" customFormat="1" ht="15" customHeight="1" x14ac:dyDescent="0.4">
      <c r="A61" s="73" t="s">
        <v>291</v>
      </c>
      <c r="B61" s="77" t="s">
        <v>318</v>
      </c>
      <c r="C61" s="73"/>
      <c r="D61" s="73"/>
      <c r="E61" s="73"/>
      <c r="F61" s="73"/>
      <c r="G61" s="73"/>
      <c r="H61" s="73"/>
      <c r="I61" s="73"/>
      <c r="J61" s="73"/>
      <c r="K61" s="73"/>
      <c r="L61" s="129"/>
      <c r="M61" s="73"/>
      <c r="N61" s="73"/>
      <c r="O61" s="73"/>
      <c r="P61" s="73"/>
      <c r="Q61" s="73"/>
      <c r="R61" s="74"/>
    </row>
    <row r="62" spans="1:24" s="72" customFormat="1" ht="15" customHeight="1" x14ac:dyDescent="0.4">
      <c r="A62" s="115" t="s">
        <v>290</v>
      </c>
      <c r="B62" s="78" t="s">
        <v>319</v>
      </c>
      <c r="C62" s="115"/>
      <c r="D62" s="115"/>
      <c r="E62" s="115"/>
      <c r="F62" s="115"/>
      <c r="G62" s="115"/>
      <c r="H62" s="115"/>
      <c r="I62" s="115"/>
      <c r="J62" s="115"/>
      <c r="K62" s="115"/>
      <c r="L62" s="131"/>
      <c r="M62" s="115"/>
      <c r="N62" s="115"/>
      <c r="O62" s="115"/>
      <c r="P62" s="115"/>
      <c r="Q62" s="115"/>
    </row>
    <row r="63" spans="1:24" s="72" customFormat="1" ht="15" customHeight="1" x14ac:dyDescent="0.4">
      <c r="A63" s="32" t="s">
        <v>320</v>
      </c>
      <c r="B63" s="74" t="s">
        <v>321</v>
      </c>
      <c r="C63" s="78"/>
      <c r="D63" s="78"/>
      <c r="E63" s="78"/>
      <c r="F63" s="78"/>
      <c r="G63" s="78"/>
      <c r="H63" s="78"/>
      <c r="I63" s="78"/>
      <c r="J63" s="78"/>
      <c r="K63" s="78"/>
      <c r="L63" s="132"/>
      <c r="M63" s="78"/>
      <c r="N63" s="78"/>
      <c r="O63" s="78"/>
      <c r="P63" s="78"/>
      <c r="Q63" s="78"/>
      <c r="R63" s="74"/>
    </row>
    <row r="64" spans="1:24" s="72" customFormat="1" ht="15" customHeight="1" x14ac:dyDescent="0.35">
      <c r="B64" s="74"/>
      <c r="C64" s="74"/>
      <c r="D64" s="74"/>
      <c r="E64" s="74"/>
      <c r="F64" s="74"/>
      <c r="G64" s="74"/>
      <c r="H64" s="74"/>
      <c r="I64" s="74"/>
      <c r="J64" s="74"/>
      <c r="K64" s="74"/>
      <c r="L64" s="133"/>
      <c r="M64" s="74"/>
      <c r="N64" s="74"/>
      <c r="O64" s="74"/>
      <c r="P64" s="74"/>
      <c r="Q64" s="74"/>
      <c r="R64" s="74"/>
      <c r="S64" s="888"/>
      <c r="T64" s="871"/>
      <c r="U64" s="871"/>
      <c r="V64" s="871"/>
      <c r="W64" s="871"/>
    </row>
    <row r="65" spans="1:29" s="72" customFormat="1" ht="15" customHeight="1" x14ac:dyDescent="0.35">
      <c r="A65" s="880" t="s">
        <v>325</v>
      </c>
      <c r="B65" s="880"/>
      <c r="C65" s="880"/>
      <c r="D65" s="880"/>
      <c r="E65" s="880"/>
      <c r="F65" s="880"/>
      <c r="G65" s="880"/>
      <c r="H65" s="880"/>
      <c r="I65" s="880"/>
      <c r="J65" s="880"/>
      <c r="K65" s="880"/>
      <c r="L65" s="126"/>
      <c r="M65" s="90"/>
      <c r="N65" s="90"/>
      <c r="O65" s="90"/>
      <c r="P65" s="90"/>
      <c r="Q65" s="90"/>
      <c r="R65" s="90"/>
      <c r="S65" s="90"/>
      <c r="T65" s="90"/>
      <c r="U65" s="90"/>
      <c r="V65" s="90"/>
      <c r="W65" s="90"/>
    </row>
    <row r="66" spans="1:29" s="18" customFormat="1" ht="15" customHeight="1" x14ac:dyDescent="0.35">
      <c r="A66" s="87"/>
      <c r="B66" s="881" t="s">
        <v>343</v>
      </c>
      <c r="C66" s="881"/>
      <c r="D66" s="91"/>
      <c r="E66" s="87"/>
      <c r="F66" s="881" t="s">
        <v>344</v>
      </c>
      <c r="G66" s="881"/>
      <c r="H66" s="91"/>
      <c r="I66" s="868" t="s">
        <v>371</v>
      </c>
      <c r="J66" s="868"/>
      <c r="K66" s="868"/>
      <c r="L66" s="127"/>
      <c r="M66" s="92"/>
      <c r="N66" s="92"/>
      <c r="O66" s="92"/>
      <c r="P66" s="92"/>
      <c r="Q66" s="92"/>
      <c r="R66" s="92"/>
      <c r="S66" s="92"/>
      <c r="T66" s="92"/>
      <c r="U66" s="92"/>
      <c r="V66" s="92"/>
      <c r="W66" s="92"/>
    </row>
    <row r="67" spans="1:29" ht="15" customHeight="1" x14ac:dyDescent="0.35">
      <c r="A67" s="98" t="s">
        <v>287</v>
      </c>
      <c r="B67" s="165" t="s">
        <v>6</v>
      </c>
      <c r="C67" s="166" t="s">
        <v>91</v>
      </c>
      <c r="D67" s="172"/>
      <c r="E67" s="98" t="s">
        <v>287</v>
      </c>
      <c r="F67" s="165" t="s">
        <v>6</v>
      </c>
      <c r="G67" s="166" t="s">
        <v>91</v>
      </c>
      <c r="H67" s="100"/>
      <c r="J67" s="165" t="s">
        <v>6</v>
      </c>
      <c r="K67" s="166" t="s">
        <v>91</v>
      </c>
      <c r="L67" s="173"/>
      <c r="M67" s="98"/>
      <c r="N67" s="98"/>
      <c r="O67" s="105"/>
      <c r="P67" s="174"/>
      <c r="Q67" s="174"/>
      <c r="R67" s="117"/>
      <c r="S67" s="89"/>
      <c r="T67" s="872"/>
      <c r="U67" s="873"/>
      <c r="V67" s="872"/>
      <c r="W67" s="873"/>
      <c r="X67" s="118"/>
    </row>
    <row r="68" spans="1:29" ht="15" customHeight="1" x14ac:dyDescent="0.35">
      <c r="A68" s="95" t="s">
        <v>326</v>
      </c>
      <c r="B68" s="138">
        <v>14100</v>
      </c>
      <c r="C68" s="139"/>
      <c r="D68" s="100"/>
      <c r="E68" s="95" t="s">
        <v>326</v>
      </c>
      <c r="F68" s="138">
        <v>17625</v>
      </c>
      <c r="G68" s="139"/>
      <c r="H68" s="100"/>
      <c r="I68" s="218" t="s">
        <v>370</v>
      </c>
      <c r="J68" s="142">
        <v>3000</v>
      </c>
      <c r="K68" s="139"/>
      <c r="L68" s="175"/>
      <c r="M68" s="92"/>
      <c r="N68" s="176"/>
      <c r="O68" s="104"/>
      <c r="P68" s="92"/>
      <c r="Q68" s="176"/>
      <c r="R68" s="117"/>
      <c r="S68" s="85"/>
      <c r="T68" s="86"/>
      <c r="U68" s="86"/>
      <c r="V68" s="86"/>
      <c r="W68" s="86"/>
      <c r="X68" s="118"/>
    </row>
    <row r="69" spans="1:29" ht="15" customHeight="1" x14ac:dyDescent="0.35">
      <c r="A69" s="95" t="s">
        <v>327</v>
      </c>
      <c r="B69" s="138">
        <v>10000</v>
      </c>
      <c r="C69" s="139"/>
      <c r="D69" s="100"/>
      <c r="E69" s="95" t="s">
        <v>327</v>
      </c>
      <c r="F69" s="138">
        <v>12500</v>
      </c>
      <c r="G69" s="139"/>
      <c r="H69" s="96"/>
      <c r="I69" s="218" t="s">
        <v>217</v>
      </c>
      <c r="J69" s="142">
        <v>37500</v>
      </c>
      <c r="K69" s="139"/>
      <c r="L69" s="92"/>
      <c r="M69" s="92"/>
      <c r="N69" s="176"/>
      <c r="O69" s="104"/>
      <c r="P69" s="92"/>
      <c r="Q69" s="176"/>
      <c r="R69" s="117"/>
      <c r="S69" s="85"/>
      <c r="T69" s="119"/>
      <c r="U69" s="120"/>
      <c r="V69" s="119"/>
      <c r="W69" s="120"/>
      <c r="X69" s="118"/>
    </row>
    <row r="70" spans="1:29" ht="15" customHeight="1" x14ac:dyDescent="0.35">
      <c r="A70" s="95" t="s">
        <v>282</v>
      </c>
      <c r="B70" s="138">
        <v>7500</v>
      </c>
      <c r="C70" s="139"/>
      <c r="D70" s="100"/>
      <c r="E70" s="95" t="s">
        <v>282</v>
      </c>
      <c r="F70" s="138">
        <v>9375</v>
      </c>
      <c r="G70" s="139"/>
      <c r="H70" s="96"/>
      <c r="I70" s="219" t="s">
        <v>351</v>
      </c>
      <c r="J70" s="142">
        <v>3750</v>
      </c>
      <c r="K70" s="139"/>
      <c r="L70" s="127"/>
      <c r="M70" s="92"/>
      <c r="N70" s="176"/>
      <c r="O70" s="104"/>
      <c r="P70" s="92"/>
      <c r="Q70" s="176"/>
      <c r="R70" s="117"/>
      <c r="S70" s="85"/>
      <c r="T70" s="121"/>
      <c r="U70" s="122"/>
      <c r="V70" s="121"/>
      <c r="W70" s="122"/>
      <c r="X70" s="118"/>
    </row>
    <row r="71" spans="1:29" ht="15" customHeight="1" x14ac:dyDescent="0.35">
      <c r="A71" s="95" t="s">
        <v>328</v>
      </c>
      <c r="B71" s="138">
        <v>6500</v>
      </c>
      <c r="C71" s="141"/>
      <c r="D71" s="100"/>
      <c r="E71" s="95" t="s">
        <v>328</v>
      </c>
      <c r="F71" s="138">
        <v>8125</v>
      </c>
      <c r="G71" s="141"/>
      <c r="H71" s="100"/>
      <c r="I71" s="169" t="s">
        <v>1</v>
      </c>
      <c r="J71" s="142"/>
      <c r="K71" s="139"/>
      <c r="L71" s="175"/>
      <c r="M71" s="92"/>
      <c r="N71" s="176"/>
      <c r="O71" s="95"/>
      <c r="P71" s="95"/>
      <c r="Q71" s="95"/>
      <c r="R71" s="117"/>
      <c r="S71" s="85"/>
      <c r="T71" s="121"/>
      <c r="U71" s="122"/>
      <c r="V71" s="121"/>
      <c r="W71" s="122"/>
      <c r="X71" s="118"/>
    </row>
    <row r="72" spans="1:29" ht="15" customHeight="1" x14ac:dyDescent="0.35">
      <c r="A72" s="95" t="s">
        <v>286</v>
      </c>
      <c r="B72" s="138">
        <v>5000</v>
      </c>
      <c r="C72" s="139"/>
      <c r="D72" s="100"/>
      <c r="E72" s="95" t="s">
        <v>329</v>
      </c>
      <c r="F72" s="138">
        <v>6250</v>
      </c>
      <c r="G72" s="139"/>
      <c r="H72" s="100"/>
      <c r="I72" s="218" t="s">
        <v>372</v>
      </c>
      <c r="J72" s="142"/>
      <c r="K72" s="139">
        <v>2800000</v>
      </c>
      <c r="L72" s="175"/>
      <c r="M72" s="92"/>
      <c r="N72" s="176"/>
      <c r="O72" s="98"/>
      <c r="P72" s="174"/>
      <c r="Q72" s="174"/>
      <c r="R72" s="117"/>
      <c r="S72" s="85"/>
      <c r="T72" s="121"/>
      <c r="U72" s="122"/>
      <c r="V72" s="121"/>
      <c r="W72" s="122"/>
      <c r="X72" s="118"/>
    </row>
    <row r="73" spans="1:29" ht="15" customHeight="1" x14ac:dyDescent="0.35">
      <c r="A73" s="95" t="s">
        <v>8</v>
      </c>
      <c r="B73" s="138">
        <v>4000</v>
      </c>
      <c r="C73" s="139"/>
      <c r="D73" s="100"/>
      <c r="E73" s="95" t="s">
        <v>8</v>
      </c>
      <c r="F73" s="138">
        <v>5000</v>
      </c>
      <c r="G73" s="139"/>
      <c r="H73" s="100"/>
      <c r="I73" s="218" t="s">
        <v>374</v>
      </c>
      <c r="J73" s="142"/>
      <c r="K73" s="139">
        <v>2250000</v>
      </c>
      <c r="L73" s="175"/>
      <c r="M73" s="92"/>
      <c r="N73" s="176"/>
      <c r="O73" s="95"/>
      <c r="P73" s="176"/>
      <c r="Q73" s="177"/>
      <c r="R73" s="117"/>
      <c r="S73" s="123"/>
      <c r="T73" s="121"/>
      <c r="U73" s="122"/>
      <c r="V73" s="121"/>
      <c r="W73" s="122"/>
      <c r="X73" s="118"/>
    </row>
    <row r="74" spans="1:29" ht="15" customHeight="1" x14ac:dyDescent="0.35">
      <c r="A74" s="98" t="s">
        <v>330</v>
      </c>
      <c r="B74" s="140"/>
      <c r="C74" s="139"/>
      <c r="D74" s="100"/>
      <c r="E74" s="98" t="s">
        <v>330</v>
      </c>
      <c r="F74" s="140"/>
      <c r="G74" s="139"/>
      <c r="H74" s="100"/>
      <c r="I74" s="218" t="s">
        <v>375</v>
      </c>
      <c r="J74" s="142"/>
      <c r="K74" s="139">
        <v>2600000</v>
      </c>
      <c r="L74" s="175"/>
      <c r="M74" s="92"/>
      <c r="N74" s="176"/>
      <c r="O74" s="95"/>
      <c r="P74" s="176"/>
      <c r="Q74" s="177"/>
      <c r="R74" s="117"/>
      <c r="S74" s="123"/>
      <c r="T74" s="121"/>
      <c r="U74" s="122"/>
      <c r="V74" s="121"/>
      <c r="W74" s="122"/>
      <c r="X74" s="118"/>
    </row>
    <row r="75" spans="1:29" ht="15" customHeight="1" x14ac:dyDescent="0.35">
      <c r="A75" s="95" t="s">
        <v>21</v>
      </c>
      <c r="B75" s="138">
        <v>1500</v>
      </c>
      <c r="C75" s="139"/>
      <c r="D75" s="100"/>
      <c r="E75" s="95" t="s">
        <v>21</v>
      </c>
      <c r="F75" s="138">
        <v>1875</v>
      </c>
      <c r="G75" s="139"/>
      <c r="H75" s="100"/>
      <c r="I75" s="218" t="s">
        <v>376</v>
      </c>
      <c r="J75" s="142"/>
      <c r="K75" s="139">
        <v>3000000</v>
      </c>
      <c r="L75" s="175"/>
      <c r="M75" s="92"/>
      <c r="N75" s="176"/>
      <c r="O75" s="178"/>
      <c r="P75" s="176"/>
      <c r="Q75" s="179"/>
      <c r="R75" s="117"/>
      <c r="S75" s="88"/>
      <c r="T75" s="121"/>
      <c r="U75" s="122"/>
      <c r="V75" s="121"/>
      <c r="W75" s="122"/>
      <c r="X75" s="118"/>
    </row>
    <row r="76" spans="1:29" ht="15" customHeight="1" x14ac:dyDescent="0.35">
      <c r="A76" s="95" t="s">
        <v>22</v>
      </c>
      <c r="B76" s="138">
        <v>2000</v>
      </c>
      <c r="C76" s="139"/>
      <c r="D76" s="100"/>
      <c r="E76" s="95" t="s">
        <v>22</v>
      </c>
      <c r="F76" s="138">
        <v>2500</v>
      </c>
      <c r="G76" s="139"/>
      <c r="H76" s="100"/>
      <c r="I76" s="218" t="s">
        <v>377</v>
      </c>
      <c r="J76" s="142"/>
      <c r="K76" s="139">
        <v>3750000</v>
      </c>
      <c r="L76" s="180"/>
      <c r="M76" s="176"/>
      <c r="N76" s="176"/>
      <c r="O76" s="109"/>
      <c r="P76" s="176"/>
      <c r="Q76" s="95"/>
      <c r="R76" s="117"/>
      <c r="S76" s="85"/>
      <c r="T76" s="121"/>
      <c r="U76" s="122"/>
      <c r="V76" s="121"/>
      <c r="W76" s="122"/>
      <c r="X76" s="118"/>
    </row>
    <row r="77" spans="1:29" ht="15" customHeight="1" x14ac:dyDescent="0.35">
      <c r="A77" s="94" t="s">
        <v>229</v>
      </c>
      <c r="B77" s="181"/>
      <c r="C77" s="139"/>
      <c r="D77" s="100"/>
      <c r="E77" s="94" t="s">
        <v>229</v>
      </c>
      <c r="F77" s="181"/>
      <c r="G77" s="139"/>
      <c r="H77" s="215"/>
      <c r="I77" s="226" t="s">
        <v>378</v>
      </c>
      <c r="J77" s="222"/>
      <c r="K77" s="223"/>
      <c r="L77" s="220"/>
      <c r="M77" s="221"/>
      <c r="N77" s="182"/>
      <c r="O77" s="884"/>
      <c r="P77" s="885"/>
      <c r="Q77" s="886"/>
      <c r="R77" s="117"/>
      <c r="S77" s="116"/>
      <c r="T77" s="86"/>
      <c r="U77" s="124"/>
      <c r="V77" s="86"/>
      <c r="W77" s="124"/>
      <c r="X77" s="118"/>
    </row>
    <row r="78" spans="1:29" ht="15" customHeight="1" x14ac:dyDescent="0.35">
      <c r="A78" s="95" t="s">
        <v>331</v>
      </c>
      <c r="B78" s="140">
        <v>11300</v>
      </c>
      <c r="C78" s="139"/>
      <c r="D78" s="100"/>
      <c r="E78" s="95" t="s">
        <v>331</v>
      </c>
      <c r="F78" s="140">
        <v>14125</v>
      </c>
      <c r="G78" s="139"/>
      <c r="H78" s="216"/>
      <c r="I78" s="869" t="s">
        <v>259</v>
      </c>
      <c r="J78" s="869"/>
      <c r="K78" s="869"/>
      <c r="L78" s="869"/>
      <c r="M78" s="221"/>
      <c r="N78" s="182"/>
      <c r="O78" s="884"/>
      <c r="P78" s="885"/>
      <c r="Q78" s="886"/>
      <c r="R78" s="117"/>
      <c r="S78" s="125"/>
      <c r="T78" s="889"/>
      <c r="U78" s="890"/>
      <c r="V78" s="890"/>
      <c r="W78" s="873"/>
      <c r="X78" s="118"/>
    </row>
    <row r="79" spans="1:29" ht="15" customHeight="1" x14ac:dyDescent="0.35">
      <c r="A79" s="95" t="s">
        <v>282</v>
      </c>
      <c r="B79" s="140">
        <v>7500</v>
      </c>
      <c r="C79" s="139"/>
      <c r="D79" s="96"/>
      <c r="E79" s="95" t="s">
        <v>282</v>
      </c>
      <c r="F79" s="140">
        <v>9375</v>
      </c>
      <c r="G79" s="139"/>
      <c r="H79" s="96"/>
      <c r="J79" s="184"/>
      <c r="K79" s="184"/>
      <c r="L79" s="184"/>
      <c r="M79" s="183"/>
      <c r="N79" s="183"/>
      <c r="O79" s="183"/>
      <c r="P79" s="183"/>
      <c r="Q79" s="183"/>
      <c r="R79" s="5"/>
    </row>
    <row r="80" spans="1:29" ht="15" customHeight="1" x14ac:dyDescent="0.4">
      <c r="A80" s="95" t="s">
        <v>5</v>
      </c>
      <c r="B80" s="140">
        <v>5250</v>
      </c>
      <c r="C80" s="139"/>
      <c r="D80" s="96"/>
      <c r="E80" s="95" t="s">
        <v>5</v>
      </c>
      <c r="F80" s="140">
        <v>6563</v>
      </c>
      <c r="G80" s="139"/>
      <c r="H80" s="96"/>
      <c r="I80" s="868" t="s">
        <v>379</v>
      </c>
      <c r="J80" s="868"/>
      <c r="K80" s="868"/>
      <c r="L80" s="126"/>
      <c r="M80" s="90"/>
      <c r="N80" s="90"/>
      <c r="O80" s="90"/>
      <c r="P80" s="90"/>
      <c r="Q80" s="92"/>
      <c r="R80" s="1"/>
      <c r="S80" s="887"/>
      <c r="T80" s="871"/>
      <c r="U80" s="871"/>
      <c r="V80" s="871"/>
      <c r="W80" s="871"/>
      <c r="X80" s="1"/>
      <c r="Y80" s="2"/>
      <c r="Z80" s="2"/>
      <c r="AA80" s="2"/>
      <c r="AB80" s="2"/>
      <c r="AC80" s="2"/>
    </row>
    <row r="81" spans="1:29" ht="15" customHeight="1" x14ac:dyDescent="0.35">
      <c r="A81" s="104" t="s">
        <v>8</v>
      </c>
      <c r="B81" s="140">
        <v>4000</v>
      </c>
      <c r="C81" s="139"/>
      <c r="D81" s="96"/>
      <c r="E81" s="104" t="s">
        <v>8</v>
      </c>
      <c r="F81" s="140">
        <v>5000</v>
      </c>
      <c r="G81" s="139"/>
      <c r="H81" s="96"/>
      <c r="I81" s="80"/>
      <c r="J81" s="165" t="s">
        <v>6</v>
      </c>
      <c r="K81" s="166" t="s">
        <v>91</v>
      </c>
      <c r="L81" s="126"/>
      <c r="M81" s="90"/>
      <c r="N81" s="90"/>
      <c r="O81" s="90"/>
      <c r="P81" s="90"/>
      <c r="Q81" s="92"/>
      <c r="R81" s="4"/>
      <c r="S81" s="879"/>
      <c r="T81" s="871"/>
      <c r="U81" s="871"/>
      <c r="V81" s="871"/>
      <c r="W81" s="871"/>
      <c r="X81" s="4"/>
      <c r="Y81" s="2"/>
      <c r="Z81" s="2"/>
      <c r="AA81" s="2"/>
      <c r="AB81" s="2"/>
      <c r="AC81" s="2"/>
    </row>
    <row r="82" spans="1:29" ht="15" customHeight="1" x14ac:dyDescent="0.35">
      <c r="A82" s="104" t="s">
        <v>11</v>
      </c>
      <c r="B82" s="140">
        <v>9000</v>
      </c>
      <c r="C82" s="139"/>
      <c r="D82" s="96"/>
      <c r="E82" s="104" t="s">
        <v>11</v>
      </c>
      <c r="F82" s="140">
        <v>11250</v>
      </c>
      <c r="G82" s="139"/>
      <c r="H82" s="96"/>
      <c r="I82" s="218" t="s">
        <v>370</v>
      </c>
      <c r="J82" s="142">
        <f>J68+(J68/5)</f>
        <v>3600</v>
      </c>
      <c r="K82" s="139"/>
      <c r="L82" s="126"/>
      <c r="M82" s="90"/>
      <c r="N82" s="90"/>
      <c r="O82" s="90"/>
      <c r="P82" s="90"/>
      <c r="Q82" s="92"/>
      <c r="R82" s="4"/>
      <c r="S82" s="879"/>
      <c r="T82" s="871"/>
      <c r="U82" s="871"/>
      <c r="V82" s="871"/>
      <c r="W82" s="871"/>
      <c r="X82" s="4"/>
      <c r="Y82" s="2"/>
      <c r="Z82" s="2"/>
      <c r="AA82" s="2"/>
      <c r="AB82" s="2"/>
      <c r="AC82" s="2"/>
    </row>
    <row r="83" spans="1:29" ht="15" customHeight="1" x14ac:dyDescent="0.35">
      <c r="A83" s="104" t="s">
        <v>10</v>
      </c>
      <c r="B83" s="140">
        <v>4000</v>
      </c>
      <c r="C83" s="139"/>
      <c r="D83" s="96"/>
      <c r="E83" s="104" t="s">
        <v>10</v>
      </c>
      <c r="F83" s="140">
        <v>6875</v>
      </c>
      <c r="G83" s="139"/>
      <c r="H83" s="96"/>
      <c r="I83" s="218" t="s">
        <v>217</v>
      </c>
      <c r="J83" s="142">
        <f>J69+(J69/5)</f>
        <v>45000</v>
      </c>
      <c r="K83" s="139"/>
      <c r="L83" s="92"/>
      <c r="M83" s="92"/>
      <c r="N83" s="92"/>
      <c r="O83" s="92"/>
      <c r="P83" s="92"/>
      <c r="Q83" s="92"/>
      <c r="R83" s="4"/>
      <c r="S83" s="879"/>
      <c r="T83" s="871"/>
      <c r="U83" s="871"/>
      <c r="V83" s="871"/>
      <c r="W83" s="871"/>
      <c r="X83" s="4"/>
      <c r="Y83" s="2"/>
      <c r="Z83" s="2"/>
      <c r="AA83" s="2"/>
      <c r="AB83" s="2"/>
      <c r="AC83" s="2"/>
    </row>
    <row r="84" spans="1:29" s="72" customFormat="1" ht="15" customHeight="1" x14ac:dyDescent="0.35">
      <c r="A84" s="107" t="s">
        <v>238</v>
      </c>
      <c r="B84" s="185"/>
      <c r="C84" s="139"/>
      <c r="D84" s="96"/>
      <c r="E84" s="107" t="s">
        <v>238</v>
      </c>
      <c r="F84" s="185"/>
      <c r="G84" s="139"/>
      <c r="H84" s="96"/>
      <c r="I84" s="219" t="s">
        <v>351</v>
      </c>
      <c r="J84" s="142">
        <f>J70+(J70/5)</f>
        <v>4500</v>
      </c>
      <c r="K84" s="139"/>
      <c r="L84" s="127"/>
      <c r="M84" s="92"/>
      <c r="N84" s="92"/>
      <c r="O84" s="92"/>
      <c r="P84" s="92"/>
      <c r="Q84" s="92"/>
      <c r="R84" s="77"/>
      <c r="S84" s="77"/>
      <c r="X84" s="77"/>
      <c r="Y84" s="2"/>
      <c r="Z84" s="2"/>
      <c r="AA84" s="2"/>
      <c r="AB84" s="2"/>
      <c r="AC84" s="2"/>
    </row>
    <row r="85" spans="1:29" s="72" customFormat="1" ht="15" customHeight="1" x14ac:dyDescent="0.35">
      <c r="A85" s="106" t="s">
        <v>3</v>
      </c>
      <c r="B85" s="140">
        <v>11300</v>
      </c>
      <c r="C85" s="139"/>
      <c r="D85" s="96"/>
      <c r="E85" s="106" t="s">
        <v>3</v>
      </c>
      <c r="F85" s="140">
        <v>14125</v>
      </c>
      <c r="G85" s="139"/>
      <c r="H85" s="96"/>
      <c r="I85" s="169" t="s">
        <v>1</v>
      </c>
      <c r="J85" s="142"/>
      <c r="K85" s="139"/>
      <c r="L85" s="127"/>
      <c r="M85" s="92"/>
      <c r="N85" s="92"/>
      <c r="O85" s="92"/>
      <c r="P85" s="92"/>
      <c r="Q85" s="92"/>
      <c r="R85" s="77"/>
      <c r="S85" s="77"/>
      <c r="X85" s="77"/>
      <c r="Y85" s="2"/>
      <c r="Z85" s="2"/>
      <c r="AA85" s="2"/>
      <c r="AB85" s="2"/>
      <c r="AC85" s="2"/>
    </row>
    <row r="86" spans="1:29" s="72" customFormat="1" ht="15" customHeight="1" x14ac:dyDescent="0.35">
      <c r="A86" s="106" t="s">
        <v>5</v>
      </c>
      <c r="B86" s="140">
        <v>5250</v>
      </c>
      <c r="C86" s="139"/>
      <c r="D86" s="96"/>
      <c r="E86" s="106" t="s">
        <v>5</v>
      </c>
      <c r="F86" s="140">
        <v>6563</v>
      </c>
      <c r="G86" s="139"/>
      <c r="H86" s="96"/>
      <c r="I86" s="218" t="s">
        <v>372</v>
      </c>
      <c r="J86" s="142"/>
      <c r="K86" s="139">
        <f>K72+(K72/5)</f>
        <v>3360000</v>
      </c>
      <c r="L86" s="127"/>
      <c r="M86" s="92"/>
      <c r="N86" s="92"/>
      <c r="O86" s="92"/>
      <c r="P86" s="92"/>
      <c r="Q86" s="92"/>
      <c r="R86" s="77"/>
      <c r="S86" s="77"/>
      <c r="X86" s="77"/>
      <c r="Y86" s="2"/>
      <c r="Z86" s="2"/>
      <c r="AA86" s="2"/>
      <c r="AB86" s="2"/>
      <c r="AC86" s="2"/>
    </row>
    <row r="87" spans="1:29" s="72" customFormat="1" ht="15" customHeight="1" x14ac:dyDescent="0.35">
      <c r="A87" s="106" t="s">
        <v>8</v>
      </c>
      <c r="B87" s="164">
        <v>4000</v>
      </c>
      <c r="C87" s="139"/>
      <c r="D87" s="96"/>
      <c r="E87" s="106" t="s">
        <v>8</v>
      </c>
      <c r="F87" s="164">
        <v>5000</v>
      </c>
      <c r="G87" s="139"/>
      <c r="H87" s="96"/>
      <c r="I87" s="218" t="s">
        <v>374</v>
      </c>
      <c r="J87" s="142"/>
      <c r="K87" s="139">
        <f>K73+(K73/5)</f>
        <v>2700000</v>
      </c>
      <c r="L87" s="127"/>
      <c r="M87" s="92"/>
      <c r="N87" s="92"/>
      <c r="O87" s="92"/>
      <c r="P87" s="92"/>
      <c r="Q87" s="92"/>
      <c r="R87" s="77"/>
      <c r="S87" s="77"/>
      <c r="X87" s="77"/>
      <c r="Y87" s="2"/>
      <c r="Z87" s="2"/>
      <c r="AA87" s="2"/>
      <c r="AB87" s="2"/>
      <c r="AC87" s="2"/>
    </row>
    <row r="88" spans="1:29" s="72" customFormat="1" ht="15" customHeight="1" x14ac:dyDescent="0.35">
      <c r="A88" s="106" t="s">
        <v>11</v>
      </c>
      <c r="B88" s="140">
        <v>20000</v>
      </c>
      <c r="C88" s="139"/>
      <c r="D88" s="96"/>
      <c r="E88" s="106" t="s">
        <v>11</v>
      </c>
      <c r="F88" s="140">
        <v>25000</v>
      </c>
      <c r="G88" s="139"/>
      <c r="H88" s="96"/>
      <c r="I88" s="218" t="s">
        <v>375</v>
      </c>
      <c r="J88" s="142"/>
      <c r="K88" s="139">
        <f>K74+(K74/5)</f>
        <v>3120000</v>
      </c>
      <c r="L88" s="127"/>
      <c r="M88" s="92"/>
      <c r="N88" s="92"/>
      <c r="O88" s="92"/>
      <c r="P88" s="92"/>
      <c r="Q88" s="92"/>
      <c r="R88" s="77"/>
      <c r="S88" s="77"/>
      <c r="X88" s="77"/>
      <c r="Y88" s="2"/>
      <c r="Z88" s="2"/>
      <c r="AA88" s="2"/>
      <c r="AB88" s="2"/>
      <c r="AC88" s="2"/>
    </row>
    <row r="89" spans="1:29" ht="15" customHeight="1" x14ac:dyDescent="0.35">
      <c r="A89" s="106" t="s">
        <v>10</v>
      </c>
      <c r="B89" s="140">
        <v>12000</v>
      </c>
      <c r="C89" s="139"/>
      <c r="D89" s="96"/>
      <c r="E89" s="106" t="s">
        <v>10</v>
      </c>
      <c r="F89" s="140">
        <v>15000</v>
      </c>
      <c r="G89" s="139"/>
      <c r="H89" s="96"/>
      <c r="I89" s="218" t="s">
        <v>376</v>
      </c>
      <c r="J89" s="142"/>
      <c r="K89" s="139">
        <f>K75+(K75/5)</f>
        <v>3600000</v>
      </c>
      <c r="L89" s="92"/>
      <c r="M89" s="92"/>
      <c r="N89" s="92"/>
      <c r="O89" s="92"/>
      <c r="P89" s="92"/>
      <c r="Q89" s="92"/>
      <c r="R89" s="4"/>
      <c r="S89" s="879"/>
      <c r="T89" s="871"/>
      <c r="U89" s="871"/>
      <c r="V89" s="871"/>
      <c r="W89" s="871"/>
      <c r="X89" s="4"/>
      <c r="Y89" s="2"/>
      <c r="Z89" s="2"/>
      <c r="AA89" s="2"/>
      <c r="AB89" s="2"/>
      <c r="AC89" s="2"/>
    </row>
    <row r="90" spans="1:29" ht="15" customHeight="1" x14ac:dyDescent="0.35">
      <c r="A90" s="104" t="s">
        <v>7</v>
      </c>
      <c r="B90" s="140">
        <v>9000</v>
      </c>
      <c r="C90" s="139"/>
      <c r="D90" s="96"/>
      <c r="E90" s="104" t="s">
        <v>7</v>
      </c>
      <c r="F90" s="140">
        <v>11250</v>
      </c>
      <c r="G90" s="139"/>
      <c r="H90" s="96"/>
      <c r="I90" s="218" t="s">
        <v>377</v>
      </c>
      <c r="J90" s="142"/>
      <c r="K90" s="139">
        <f>K76+(K76/5)</f>
        <v>4500000</v>
      </c>
      <c r="L90" s="92"/>
      <c r="M90" s="92"/>
      <c r="N90" s="92"/>
      <c r="O90" s="92"/>
      <c r="P90" s="92"/>
      <c r="Q90" s="92"/>
      <c r="R90" s="4"/>
      <c r="S90" s="879"/>
      <c r="T90" s="871"/>
      <c r="U90" s="871"/>
      <c r="V90" s="871"/>
      <c r="W90" s="871"/>
      <c r="X90" s="4"/>
      <c r="Y90" s="2"/>
      <c r="Z90" s="2"/>
      <c r="AA90" s="2"/>
      <c r="AB90" s="2"/>
      <c r="AC90" s="2"/>
    </row>
    <row r="91" spans="1:29" ht="15" customHeight="1" x14ac:dyDescent="0.35">
      <c r="A91" s="95" t="s">
        <v>4</v>
      </c>
      <c r="B91" s="140">
        <v>5500</v>
      </c>
      <c r="C91" s="139"/>
      <c r="D91" s="96"/>
      <c r="E91" s="95" t="s">
        <v>4</v>
      </c>
      <c r="F91" s="140">
        <v>6875</v>
      </c>
      <c r="G91" s="139"/>
      <c r="H91" s="96"/>
      <c r="I91" s="92"/>
      <c r="J91" s="224"/>
      <c r="K91" s="127"/>
      <c r="L91" s="92"/>
      <c r="M91" s="92"/>
      <c r="N91" s="92"/>
      <c r="O91" s="92"/>
      <c r="P91" s="92"/>
      <c r="Q91" s="92"/>
      <c r="R91" s="5"/>
      <c r="S91" s="870"/>
      <c r="T91" s="871"/>
      <c r="U91" s="871"/>
      <c r="V91" s="871"/>
      <c r="W91" s="871"/>
      <c r="X91" s="5"/>
      <c r="Y91" s="2"/>
      <c r="Z91" s="2"/>
      <c r="AA91" s="2"/>
      <c r="AB91" s="2"/>
      <c r="AC91" s="2"/>
    </row>
    <row r="92" spans="1:29" ht="15" customHeight="1" x14ac:dyDescent="0.35">
      <c r="A92" s="102" t="s">
        <v>372</v>
      </c>
      <c r="B92" s="140">
        <v>10000</v>
      </c>
      <c r="C92" s="139"/>
      <c r="D92" s="96"/>
      <c r="E92" s="102" t="s">
        <v>372</v>
      </c>
      <c r="F92" s="140">
        <v>12500</v>
      </c>
      <c r="G92" s="139"/>
      <c r="H92" s="96"/>
      <c r="I92" s="92"/>
      <c r="J92" s="225"/>
      <c r="K92" s="127"/>
      <c r="L92" s="92"/>
      <c r="M92" s="92"/>
      <c r="N92" s="92"/>
      <c r="O92" s="92"/>
      <c r="P92" s="92"/>
      <c r="Q92" s="92"/>
      <c r="R92" s="5"/>
      <c r="S92" s="870"/>
      <c r="T92" s="871"/>
      <c r="U92" s="871"/>
      <c r="V92" s="871"/>
      <c r="W92" s="871"/>
      <c r="X92" s="5"/>
      <c r="Y92" s="2"/>
      <c r="Z92" s="2"/>
      <c r="AA92" s="2"/>
      <c r="AB92" s="2"/>
      <c r="AC92" s="2"/>
    </row>
    <row r="93" spans="1:29" s="72" customFormat="1" ht="15" customHeight="1" x14ac:dyDescent="0.35">
      <c r="A93" s="105" t="s">
        <v>345</v>
      </c>
      <c r="B93" s="142"/>
      <c r="C93" s="139"/>
      <c r="D93" s="96"/>
      <c r="E93" s="105" t="s">
        <v>345</v>
      </c>
      <c r="F93" s="142"/>
      <c r="G93" s="139"/>
      <c r="H93" s="96"/>
      <c r="I93" s="92"/>
      <c r="J93" s="127"/>
      <c r="K93" s="127"/>
      <c r="L93" s="127"/>
      <c r="M93" s="92"/>
      <c r="N93" s="92"/>
      <c r="O93" s="92"/>
      <c r="P93" s="92"/>
      <c r="Q93" s="92"/>
      <c r="R93" s="76"/>
      <c r="S93" s="76"/>
      <c r="X93" s="76"/>
      <c r="Y93" s="2"/>
      <c r="Z93" s="2"/>
      <c r="AA93" s="2"/>
      <c r="AB93" s="2"/>
      <c r="AC93" s="2"/>
    </row>
    <row r="94" spans="1:29" s="72" customFormat="1" ht="15" customHeight="1" x14ac:dyDescent="0.35">
      <c r="A94" s="104" t="s">
        <v>3</v>
      </c>
      <c r="B94" s="140">
        <v>12500</v>
      </c>
      <c r="C94" s="139"/>
      <c r="D94" s="96"/>
      <c r="E94" s="104" t="s">
        <v>3</v>
      </c>
      <c r="F94" s="140">
        <v>15625</v>
      </c>
      <c r="G94" s="139"/>
      <c r="H94" s="96"/>
      <c r="I94" s="92"/>
      <c r="J94" s="127"/>
      <c r="K94" s="127"/>
      <c r="L94" s="127"/>
      <c r="M94" s="92"/>
      <c r="N94" s="92"/>
      <c r="O94" s="92"/>
      <c r="P94" s="92"/>
      <c r="Q94" s="92"/>
      <c r="R94" s="76"/>
      <c r="S94" s="76"/>
      <c r="X94" s="76"/>
      <c r="Y94" s="2"/>
      <c r="Z94" s="2"/>
      <c r="AA94" s="2"/>
      <c r="AB94" s="2"/>
      <c r="AC94" s="2"/>
    </row>
    <row r="95" spans="1:29" s="72" customFormat="1" ht="15" customHeight="1" x14ac:dyDescent="0.35">
      <c r="A95" s="104" t="s">
        <v>5</v>
      </c>
      <c r="B95" s="140">
        <v>6000</v>
      </c>
      <c r="C95" s="139"/>
      <c r="D95" s="96"/>
      <c r="E95" s="104" t="s">
        <v>5</v>
      </c>
      <c r="F95" s="140">
        <v>7500</v>
      </c>
      <c r="G95" s="139"/>
      <c r="H95" s="96"/>
      <c r="I95" s="92"/>
      <c r="J95" s="92"/>
      <c r="K95" s="92"/>
      <c r="L95" s="127"/>
      <c r="M95" s="92"/>
      <c r="N95" s="92"/>
      <c r="O95" s="92"/>
      <c r="P95" s="92"/>
      <c r="Q95" s="92"/>
      <c r="R95" s="76"/>
      <c r="S95" s="76"/>
      <c r="X95" s="76"/>
      <c r="Y95" s="2"/>
      <c r="Z95" s="2"/>
      <c r="AA95" s="2"/>
      <c r="AB95" s="2"/>
      <c r="AC95" s="2"/>
    </row>
    <row r="96" spans="1:29" s="72" customFormat="1" ht="15" customHeight="1" x14ac:dyDescent="0.35">
      <c r="A96" s="104" t="s">
        <v>8</v>
      </c>
      <c r="B96" s="140">
        <v>4000</v>
      </c>
      <c r="C96" s="139"/>
      <c r="D96" s="96"/>
      <c r="E96" s="104" t="s">
        <v>8</v>
      </c>
      <c r="F96" s="140">
        <v>5000</v>
      </c>
      <c r="G96" s="139"/>
      <c r="H96" s="96"/>
      <c r="I96" s="92"/>
      <c r="J96" s="92"/>
      <c r="K96" s="92"/>
      <c r="L96" s="127"/>
      <c r="M96" s="92"/>
      <c r="N96" s="92"/>
      <c r="O96" s="92"/>
      <c r="P96" s="92"/>
      <c r="Q96" s="92"/>
      <c r="R96" s="76"/>
      <c r="S96" s="76"/>
      <c r="X96" s="76"/>
      <c r="Y96" s="2"/>
      <c r="Z96" s="2"/>
      <c r="AA96" s="2"/>
      <c r="AB96" s="2"/>
      <c r="AC96" s="2"/>
    </row>
    <row r="97" spans="1:29" ht="15" customHeight="1" x14ac:dyDescent="0.35">
      <c r="A97" s="107" t="s">
        <v>346</v>
      </c>
      <c r="B97" s="142"/>
      <c r="C97" s="139"/>
      <c r="D97" s="96"/>
      <c r="E97" s="107" t="s">
        <v>346</v>
      </c>
      <c r="F97" s="142"/>
      <c r="G97" s="139"/>
      <c r="H97" s="96"/>
      <c r="I97" s="878" t="s">
        <v>2</v>
      </c>
      <c r="J97" s="878"/>
      <c r="K97" s="878"/>
      <c r="L97" s="878"/>
      <c r="M97" s="878"/>
      <c r="N97" s="878"/>
      <c r="O97" s="878"/>
      <c r="P97" s="878"/>
      <c r="Q97" s="878"/>
      <c r="R97" s="5"/>
      <c r="S97" s="870"/>
      <c r="T97" s="871"/>
      <c r="U97" s="871"/>
      <c r="V97" s="871"/>
      <c r="W97" s="871"/>
      <c r="X97" s="5"/>
      <c r="Y97" s="2"/>
      <c r="Z97" s="2"/>
      <c r="AA97" s="2"/>
      <c r="AB97" s="2"/>
      <c r="AC97" s="2"/>
    </row>
    <row r="98" spans="1:29" ht="15" customHeight="1" x14ac:dyDescent="0.35">
      <c r="A98" s="104" t="s">
        <v>3</v>
      </c>
      <c r="B98" s="140">
        <v>14500</v>
      </c>
      <c r="C98" s="139"/>
      <c r="D98" s="96"/>
      <c r="E98" s="104" t="s">
        <v>3</v>
      </c>
      <c r="F98" s="140">
        <v>18125</v>
      </c>
      <c r="G98" s="139"/>
      <c r="H98" s="96"/>
      <c r="I98" s="875" t="s">
        <v>68</v>
      </c>
      <c r="J98" s="875"/>
      <c r="K98" s="875"/>
      <c r="L98" s="875"/>
      <c r="M98" s="875"/>
      <c r="N98" s="875"/>
      <c r="O98" s="875"/>
      <c r="P98" s="875"/>
      <c r="Q98" s="875"/>
      <c r="R98" s="5"/>
      <c r="S98" s="870"/>
      <c r="T98" s="871"/>
      <c r="U98" s="871"/>
      <c r="V98" s="871"/>
      <c r="W98" s="871"/>
      <c r="X98" s="5"/>
      <c r="Y98" s="2"/>
      <c r="Z98" s="2"/>
      <c r="AA98" s="2"/>
      <c r="AB98" s="2"/>
      <c r="AC98" s="2"/>
    </row>
    <row r="99" spans="1:29" ht="15" customHeight="1" x14ac:dyDescent="0.35">
      <c r="A99" s="104" t="s">
        <v>5</v>
      </c>
      <c r="B99" s="140">
        <v>8000</v>
      </c>
      <c r="C99" s="139"/>
      <c r="D99" s="96"/>
      <c r="E99" s="104" t="s">
        <v>5</v>
      </c>
      <c r="F99" s="140">
        <v>10000</v>
      </c>
      <c r="G99" s="139"/>
      <c r="H99" s="96"/>
      <c r="I99" s="875" t="s">
        <v>69</v>
      </c>
      <c r="J99" s="875"/>
      <c r="K99" s="875"/>
      <c r="L99" s="875"/>
      <c r="M99" s="875"/>
      <c r="N99" s="875"/>
      <c r="O99" s="875"/>
      <c r="P99" s="875"/>
      <c r="Q99" s="875"/>
      <c r="R99" s="5"/>
      <c r="S99" s="870"/>
      <c r="T99" s="871"/>
      <c r="U99" s="871"/>
      <c r="V99" s="871"/>
      <c r="W99" s="871"/>
      <c r="X99" s="5"/>
      <c r="Y99" s="2"/>
      <c r="Z99" s="2"/>
      <c r="AA99" s="2"/>
      <c r="AB99" s="2"/>
      <c r="AC99" s="2"/>
    </row>
    <row r="100" spans="1:29" ht="15" customHeight="1" x14ac:dyDescent="0.35">
      <c r="A100" s="104" t="s">
        <v>8</v>
      </c>
      <c r="B100" s="140">
        <v>4000</v>
      </c>
      <c r="C100" s="139"/>
      <c r="D100" s="96"/>
      <c r="E100" s="104" t="s">
        <v>8</v>
      </c>
      <c r="F100" s="140">
        <v>5000</v>
      </c>
      <c r="G100" s="139"/>
      <c r="H100" s="96"/>
      <c r="I100" s="92"/>
      <c r="J100" s="878"/>
      <c r="K100" s="874"/>
      <c r="L100" s="874"/>
      <c r="M100" s="874"/>
      <c r="N100" s="874"/>
      <c r="O100" s="874"/>
      <c r="P100" s="874"/>
      <c r="Q100" s="874"/>
      <c r="R100" s="5"/>
      <c r="S100" s="870"/>
      <c r="T100" s="871"/>
      <c r="U100" s="871"/>
      <c r="V100" s="871"/>
      <c r="W100" s="871"/>
      <c r="X100" s="5"/>
      <c r="Y100" s="2"/>
      <c r="Z100" s="2"/>
      <c r="AA100" s="2"/>
      <c r="AB100" s="2"/>
      <c r="AC100" s="2"/>
    </row>
    <row r="101" spans="1:29" ht="15" customHeight="1" x14ac:dyDescent="0.35">
      <c r="A101" s="98" t="s">
        <v>358</v>
      </c>
      <c r="B101" s="142"/>
      <c r="C101" s="139"/>
      <c r="D101" s="96"/>
      <c r="E101" s="98" t="s">
        <v>358</v>
      </c>
      <c r="F101" s="142"/>
      <c r="G101" s="139"/>
      <c r="H101" s="96"/>
      <c r="I101" s="92"/>
      <c r="J101" s="875"/>
      <c r="K101" s="874"/>
      <c r="L101" s="874"/>
      <c r="M101" s="874"/>
      <c r="N101" s="874"/>
      <c r="O101" s="874"/>
      <c r="P101" s="874"/>
      <c r="Q101" s="874"/>
      <c r="R101" s="5"/>
      <c r="S101" s="870"/>
      <c r="T101" s="871"/>
      <c r="U101" s="871"/>
      <c r="V101" s="871"/>
      <c r="W101" s="871"/>
      <c r="X101" s="5"/>
      <c r="Y101" s="2"/>
      <c r="Z101" s="2"/>
      <c r="AA101" s="2"/>
      <c r="AB101" s="2"/>
      <c r="AC101" s="2"/>
    </row>
    <row r="102" spans="1:29" ht="15" customHeight="1" x14ac:dyDescent="0.35">
      <c r="A102" s="95" t="s">
        <v>347</v>
      </c>
      <c r="B102" s="142"/>
      <c r="C102" s="139">
        <v>2000000</v>
      </c>
      <c r="D102" s="96"/>
      <c r="E102" s="95" t="s">
        <v>347</v>
      </c>
      <c r="F102" s="142"/>
      <c r="G102" s="139">
        <v>2500000</v>
      </c>
      <c r="H102" s="217"/>
      <c r="I102" s="186" t="s">
        <v>70</v>
      </c>
      <c r="J102" s="186"/>
      <c r="K102" s="186"/>
      <c r="L102" s="186"/>
      <c r="M102" s="92"/>
      <c r="N102" s="92"/>
      <c r="O102" s="92"/>
      <c r="P102" s="92"/>
      <c r="Q102" s="92"/>
      <c r="R102" s="5"/>
      <c r="S102" s="870"/>
      <c r="T102" s="871"/>
      <c r="U102" s="871"/>
      <c r="V102" s="871"/>
      <c r="W102" s="871"/>
      <c r="X102" s="5"/>
      <c r="Y102" s="2"/>
      <c r="Z102" s="2"/>
      <c r="AA102" s="2"/>
      <c r="AB102" s="2"/>
      <c r="AC102" s="2"/>
    </row>
    <row r="103" spans="1:29" s="80" customFormat="1" ht="15" customHeight="1" x14ac:dyDescent="0.35">
      <c r="A103" s="102" t="s">
        <v>359</v>
      </c>
      <c r="B103" s="142">
        <v>55000</v>
      </c>
      <c r="C103" s="139"/>
      <c r="D103" s="96"/>
      <c r="E103" s="102" t="s">
        <v>359</v>
      </c>
      <c r="F103" s="138">
        <v>68750</v>
      </c>
      <c r="G103" s="139"/>
      <c r="H103" s="217"/>
      <c r="I103" s="186"/>
      <c r="J103" s="186"/>
      <c r="K103" s="186"/>
      <c r="L103" s="186"/>
      <c r="M103" s="92"/>
      <c r="N103" s="92"/>
      <c r="O103" s="92"/>
      <c r="P103" s="92"/>
      <c r="Q103" s="92"/>
      <c r="R103" s="81"/>
      <c r="S103" s="81"/>
      <c r="X103" s="81"/>
      <c r="Y103" s="2"/>
      <c r="Z103" s="2"/>
      <c r="AA103" s="2"/>
      <c r="AB103" s="2"/>
      <c r="AC103" s="2"/>
    </row>
    <row r="104" spans="1:29" s="80" customFormat="1" ht="15" customHeight="1" x14ac:dyDescent="0.35">
      <c r="A104" s="102" t="s">
        <v>360</v>
      </c>
      <c r="B104" s="187">
        <v>5500</v>
      </c>
      <c r="C104" s="139"/>
      <c r="D104" s="96"/>
      <c r="E104" s="102" t="s">
        <v>360</v>
      </c>
      <c r="F104" s="187">
        <v>6875</v>
      </c>
      <c r="G104" s="139"/>
      <c r="H104" s="217"/>
      <c r="I104" s="186"/>
      <c r="J104" s="186"/>
      <c r="K104" s="186"/>
      <c r="L104" s="186"/>
      <c r="M104" s="92"/>
      <c r="N104" s="92"/>
      <c r="O104" s="92"/>
      <c r="P104" s="92"/>
      <c r="Q104" s="92"/>
      <c r="R104" s="81"/>
      <c r="S104" s="81"/>
      <c r="X104" s="81"/>
      <c r="Y104" s="2"/>
      <c r="Z104" s="2"/>
      <c r="AA104" s="2"/>
      <c r="AB104" s="2"/>
      <c r="AC104" s="2"/>
    </row>
    <row r="105" spans="1:29" ht="15" customHeight="1" x14ac:dyDescent="0.4">
      <c r="A105" s="93" t="s">
        <v>322</v>
      </c>
      <c r="B105" s="142"/>
      <c r="C105" s="139"/>
      <c r="D105" s="96"/>
      <c r="E105" s="93" t="s">
        <v>322</v>
      </c>
      <c r="F105" s="142"/>
      <c r="G105" s="139"/>
      <c r="H105" s="96"/>
      <c r="I105" s="90"/>
      <c r="J105" s="90"/>
      <c r="K105" s="90"/>
      <c r="L105" s="126"/>
      <c r="M105" s="90"/>
      <c r="N105" s="90"/>
      <c r="O105" s="90"/>
      <c r="P105" s="90"/>
      <c r="Q105" s="90"/>
      <c r="R105" s="3"/>
      <c r="S105" s="870"/>
      <c r="T105" s="871"/>
      <c r="U105" s="871"/>
      <c r="V105" s="871"/>
      <c r="W105" s="871"/>
      <c r="X105" s="3"/>
    </row>
    <row r="106" spans="1:29" ht="15" customHeight="1" x14ac:dyDescent="0.35">
      <c r="A106" s="95" t="s">
        <v>9</v>
      </c>
      <c r="B106" s="188">
        <f>C106/23</f>
        <v>7608.695652173913</v>
      </c>
      <c r="C106" s="189">
        <v>175000</v>
      </c>
      <c r="D106" s="96"/>
      <c r="E106" s="95" t="s">
        <v>9</v>
      </c>
      <c r="F106" s="188">
        <f>G106/23</f>
        <v>9510.8695652173919</v>
      </c>
      <c r="G106" s="189">
        <v>218750</v>
      </c>
      <c r="H106" s="96"/>
      <c r="I106" s="90"/>
      <c r="J106" s="90"/>
      <c r="K106" s="90"/>
      <c r="L106" s="126"/>
      <c r="M106" s="90"/>
      <c r="N106" s="90"/>
      <c r="O106" s="90"/>
      <c r="P106" s="90"/>
      <c r="Q106" s="90"/>
      <c r="R106" s="5"/>
      <c r="S106" s="870"/>
      <c r="T106" s="871"/>
      <c r="U106" s="871"/>
      <c r="V106" s="871"/>
      <c r="W106" s="871"/>
      <c r="X106" s="5"/>
    </row>
    <row r="107" spans="1:29" ht="15" customHeight="1" x14ac:dyDescent="0.35">
      <c r="A107" s="95" t="s">
        <v>372</v>
      </c>
      <c r="B107" s="188">
        <f t="shared" ref="B107:B113" si="0">C107/23</f>
        <v>156521.73913043478</v>
      </c>
      <c r="C107" s="189">
        <v>3600000</v>
      </c>
      <c r="D107" s="96"/>
      <c r="E107" s="95" t="s">
        <v>372</v>
      </c>
      <c r="F107" s="188">
        <f t="shared" ref="F107:F113" si="1">G107/23</f>
        <v>195652.17391304349</v>
      </c>
      <c r="G107" s="189">
        <v>4500000</v>
      </c>
      <c r="H107" s="96"/>
      <c r="I107" s="876" t="s">
        <v>352</v>
      </c>
      <c r="J107" s="876"/>
      <c r="K107" s="876"/>
      <c r="L107" s="876"/>
      <c r="M107" s="876"/>
      <c r="N107" s="876"/>
      <c r="O107" s="876"/>
      <c r="P107" s="876"/>
      <c r="Q107" s="876"/>
      <c r="R107" s="5"/>
      <c r="S107" s="870"/>
      <c r="T107" s="871"/>
      <c r="U107" s="871"/>
      <c r="V107" s="871"/>
      <c r="W107" s="871"/>
      <c r="X107" s="5"/>
    </row>
    <row r="108" spans="1:29" ht="15" customHeight="1" x14ac:dyDescent="0.35">
      <c r="A108" s="95" t="s">
        <v>373</v>
      </c>
      <c r="B108" s="188">
        <f t="shared" si="0"/>
        <v>173913.04347826086</v>
      </c>
      <c r="C108" s="189">
        <v>4000000</v>
      </c>
      <c r="D108" s="96"/>
      <c r="E108" s="95" t="s">
        <v>373</v>
      </c>
      <c r="F108" s="188">
        <f t="shared" si="1"/>
        <v>217391.30434782608</v>
      </c>
      <c r="G108" s="189">
        <v>5000000</v>
      </c>
      <c r="H108" s="96"/>
      <c r="I108" s="876" t="s">
        <v>353</v>
      </c>
      <c r="J108" s="876"/>
      <c r="K108" s="876"/>
      <c r="L108" s="876"/>
      <c r="M108" s="876"/>
      <c r="N108" s="876"/>
      <c r="O108" s="876"/>
      <c r="P108" s="876"/>
      <c r="Q108" s="876"/>
      <c r="R108" s="5"/>
      <c r="S108" s="870"/>
      <c r="T108" s="871"/>
      <c r="U108" s="871"/>
      <c r="V108" s="871"/>
      <c r="W108" s="871"/>
      <c r="X108" s="5"/>
    </row>
    <row r="109" spans="1:29" ht="15" customHeight="1" x14ac:dyDescent="0.35">
      <c r="A109" s="95" t="s">
        <v>12</v>
      </c>
      <c r="B109" s="188">
        <f t="shared" si="0"/>
        <v>195652.17391304349</v>
      </c>
      <c r="C109" s="189">
        <v>4500000</v>
      </c>
      <c r="D109" s="96"/>
      <c r="E109" s="95" t="s">
        <v>12</v>
      </c>
      <c r="F109" s="188">
        <f t="shared" si="1"/>
        <v>271739.13043478259</v>
      </c>
      <c r="G109" s="189">
        <v>6250000</v>
      </c>
      <c r="H109" s="96"/>
      <c r="I109" s="876" t="s">
        <v>354</v>
      </c>
      <c r="J109" s="876"/>
      <c r="K109" s="876"/>
      <c r="L109" s="876"/>
      <c r="M109" s="876"/>
      <c r="N109" s="876"/>
      <c r="O109" s="876"/>
      <c r="P109" s="876"/>
      <c r="Q109" s="876"/>
      <c r="R109" s="5"/>
      <c r="S109" s="870"/>
      <c r="T109" s="871"/>
      <c r="U109" s="871"/>
      <c r="V109" s="871"/>
      <c r="W109" s="871"/>
      <c r="X109" s="5"/>
    </row>
    <row r="110" spans="1:29" ht="15" customHeight="1" x14ac:dyDescent="0.35">
      <c r="A110" s="190" t="s">
        <v>7</v>
      </c>
      <c r="B110" s="188">
        <f t="shared" si="0"/>
        <v>43478.260869565216</v>
      </c>
      <c r="C110" s="189">
        <v>1000000</v>
      </c>
      <c r="D110" s="96"/>
      <c r="E110" s="190" t="s">
        <v>7</v>
      </c>
      <c r="F110" s="188">
        <f t="shared" si="1"/>
        <v>54347.82608695652</v>
      </c>
      <c r="G110" s="189">
        <v>1250000</v>
      </c>
      <c r="H110" s="96"/>
      <c r="I110" s="877" t="s">
        <v>355</v>
      </c>
      <c r="J110" s="877"/>
      <c r="K110" s="877"/>
      <c r="L110" s="877"/>
      <c r="M110" s="877"/>
      <c r="N110" s="877"/>
      <c r="O110" s="877"/>
      <c r="P110" s="877"/>
      <c r="Q110" s="877"/>
      <c r="R110" s="5"/>
      <c r="S110" s="5"/>
      <c r="T110" s="5"/>
      <c r="U110" s="5"/>
      <c r="V110" s="5"/>
      <c r="W110" s="5"/>
      <c r="X110" s="5"/>
    </row>
    <row r="111" spans="1:29" ht="15" customHeight="1" x14ac:dyDescent="0.35">
      <c r="A111" s="190" t="s">
        <v>10</v>
      </c>
      <c r="B111" s="188">
        <f t="shared" si="0"/>
        <v>217391.30434782608</v>
      </c>
      <c r="C111" s="189">
        <v>5000000</v>
      </c>
      <c r="D111" s="96"/>
      <c r="E111" s="190" t="s">
        <v>10</v>
      </c>
      <c r="F111" s="188">
        <f t="shared" si="1"/>
        <v>271739.13043478259</v>
      </c>
      <c r="G111" s="189">
        <v>6250000</v>
      </c>
      <c r="H111" s="96"/>
      <c r="I111" s="877" t="s">
        <v>356</v>
      </c>
      <c r="J111" s="877"/>
      <c r="K111" s="877"/>
      <c r="L111" s="877"/>
      <c r="M111" s="877"/>
      <c r="N111" s="877"/>
      <c r="O111" s="877"/>
      <c r="P111" s="877"/>
      <c r="Q111" s="877"/>
      <c r="R111" s="5"/>
      <c r="S111" s="5"/>
      <c r="T111" s="5"/>
      <c r="U111" s="5"/>
      <c r="V111" s="5"/>
      <c r="W111" s="5"/>
      <c r="X111" s="5"/>
    </row>
    <row r="112" spans="1:29" ht="15" customHeight="1" x14ac:dyDescent="0.35">
      <c r="A112" s="104" t="s">
        <v>11</v>
      </c>
      <c r="B112" s="188">
        <f t="shared" si="0"/>
        <v>326086.95652173914</v>
      </c>
      <c r="C112" s="189">
        <v>7500000</v>
      </c>
      <c r="D112" s="96"/>
      <c r="E112" s="104" t="s">
        <v>11</v>
      </c>
      <c r="F112" s="188">
        <f t="shared" si="1"/>
        <v>407608.69565217389</v>
      </c>
      <c r="G112" s="189">
        <v>9375000</v>
      </c>
      <c r="H112" s="96"/>
      <c r="I112" s="877" t="s">
        <v>357</v>
      </c>
      <c r="J112" s="877"/>
      <c r="K112" s="877"/>
      <c r="L112" s="877"/>
      <c r="M112" s="877"/>
      <c r="N112" s="877"/>
      <c r="O112" s="877"/>
      <c r="P112" s="877"/>
      <c r="Q112" s="877"/>
      <c r="R112" s="5"/>
      <c r="S112" s="5"/>
      <c r="T112" s="5"/>
      <c r="U112" s="5"/>
      <c r="V112" s="5"/>
      <c r="W112" s="5"/>
      <c r="X112" s="5"/>
    </row>
    <row r="113" spans="1:24" ht="15" customHeight="1" x14ac:dyDescent="0.35">
      <c r="A113" s="178" t="s">
        <v>350</v>
      </c>
      <c r="B113" s="188">
        <f t="shared" si="0"/>
        <v>920652.17391304346</v>
      </c>
      <c r="C113" s="191">
        <f>(C106*9)+C107+C108+C109+C112</f>
        <v>21175000</v>
      </c>
      <c r="D113" s="96"/>
      <c r="E113" s="178" t="s">
        <v>350</v>
      </c>
      <c r="F113" s="188">
        <f t="shared" si="1"/>
        <v>1177989.1304347827</v>
      </c>
      <c r="G113" s="191">
        <f>(G106*9)+G107+G108+G109+G112</f>
        <v>27093750</v>
      </c>
      <c r="H113" s="96"/>
      <c r="I113" s="92"/>
      <c r="J113" s="92"/>
      <c r="K113" s="92"/>
      <c r="L113" s="127"/>
      <c r="M113" s="92"/>
      <c r="N113" s="192"/>
      <c r="O113" s="92"/>
      <c r="P113" s="92"/>
      <c r="Q113" s="183"/>
      <c r="R113" s="5"/>
      <c r="S113" s="5"/>
      <c r="T113" s="5"/>
      <c r="U113" s="5"/>
      <c r="V113" s="5"/>
      <c r="W113" s="5"/>
      <c r="X113" s="5"/>
    </row>
    <row r="114" spans="1:24" ht="15" customHeight="1" x14ac:dyDescent="0.35">
      <c r="A114" s="110" t="s">
        <v>312</v>
      </c>
      <c r="B114" s="142"/>
      <c r="C114" s="139"/>
      <c r="D114" s="96"/>
      <c r="E114" s="110" t="s">
        <v>312</v>
      </c>
      <c r="F114" s="142"/>
      <c r="G114" s="139"/>
      <c r="H114" s="96"/>
      <c r="I114" s="92"/>
      <c r="J114" s="92"/>
      <c r="K114" s="92"/>
      <c r="L114" s="127"/>
      <c r="M114" s="92"/>
      <c r="N114" s="92"/>
      <c r="O114" s="92"/>
      <c r="P114" s="92"/>
      <c r="Q114" s="92"/>
    </row>
    <row r="115" spans="1:24" ht="15" customHeight="1" x14ac:dyDescent="0.35">
      <c r="A115" s="111" t="s">
        <v>301</v>
      </c>
      <c r="B115" s="142"/>
      <c r="C115" s="139"/>
      <c r="D115" s="96"/>
      <c r="E115" s="111" t="s">
        <v>301</v>
      </c>
      <c r="F115" s="142"/>
      <c r="G115" s="139"/>
      <c r="H115" s="96"/>
      <c r="I115" s="92"/>
      <c r="J115" s="92"/>
      <c r="K115" s="92"/>
      <c r="L115" s="127"/>
      <c r="M115" s="92"/>
      <c r="N115" s="92"/>
      <c r="O115" s="92"/>
      <c r="P115" s="92"/>
      <c r="Q115" s="92"/>
    </row>
    <row r="116" spans="1:24" ht="15" customHeight="1" x14ac:dyDescent="0.35">
      <c r="A116" s="111" t="s">
        <v>361</v>
      </c>
      <c r="B116" s="142">
        <v>3000</v>
      </c>
      <c r="C116" s="139"/>
      <c r="D116" s="96"/>
      <c r="E116" s="111" t="s">
        <v>361</v>
      </c>
      <c r="F116" s="142">
        <v>3750</v>
      </c>
      <c r="G116" s="139"/>
      <c r="H116" s="96"/>
      <c r="I116" s="92"/>
      <c r="J116" s="92"/>
      <c r="K116" s="92"/>
      <c r="L116" s="127"/>
      <c r="M116" s="92"/>
      <c r="N116" s="92"/>
      <c r="O116" s="92"/>
      <c r="P116" s="92"/>
      <c r="Q116" s="92"/>
    </row>
    <row r="117" spans="1:24" ht="15" customHeight="1" x14ac:dyDescent="0.35">
      <c r="A117" s="95" t="s">
        <v>13</v>
      </c>
      <c r="B117" s="164" t="s">
        <v>299</v>
      </c>
      <c r="C117" s="139"/>
      <c r="D117" s="96"/>
      <c r="E117" s="95" t="s">
        <v>13</v>
      </c>
      <c r="F117" s="164" t="s">
        <v>299</v>
      </c>
      <c r="G117" s="139"/>
      <c r="H117" s="96"/>
      <c r="I117" s="92"/>
      <c r="J117" s="92"/>
      <c r="K117" s="92"/>
      <c r="L117" s="127"/>
      <c r="M117" s="92"/>
      <c r="N117" s="92"/>
      <c r="O117" s="92"/>
      <c r="P117" s="92"/>
      <c r="Q117" s="92"/>
    </row>
    <row r="118" spans="1:24" ht="15" customHeight="1" x14ac:dyDescent="0.35">
      <c r="A118" s="95" t="s">
        <v>348</v>
      </c>
      <c r="B118" s="142"/>
      <c r="C118" s="193">
        <v>1.2</v>
      </c>
      <c r="D118" s="96"/>
      <c r="E118" s="95" t="s">
        <v>348</v>
      </c>
      <c r="F118" s="142"/>
      <c r="G118" s="193">
        <v>1.5</v>
      </c>
      <c r="H118" s="96"/>
      <c r="I118" s="874" t="s">
        <v>349</v>
      </c>
      <c r="J118" s="874"/>
      <c r="K118" s="874"/>
      <c r="L118" s="874"/>
      <c r="M118" s="874"/>
      <c r="N118" s="92"/>
      <c r="O118" s="92"/>
      <c r="P118" s="92"/>
      <c r="Q118" s="92"/>
    </row>
    <row r="119" spans="1:24" s="80" customFormat="1" ht="15" customHeight="1" x14ac:dyDescent="0.4">
      <c r="A119" s="866" t="s">
        <v>310</v>
      </c>
      <c r="B119" s="866"/>
      <c r="C119" s="866"/>
      <c r="D119" s="866"/>
      <c r="E119" s="866"/>
      <c r="F119" s="866"/>
      <c r="G119" s="866"/>
      <c r="H119" s="866"/>
      <c r="I119" s="866"/>
      <c r="J119" s="866"/>
      <c r="K119" s="866"/>
      <c r="L119" s="866"/>
      <c r="M119" s="866"/>
      <c r="N119" s="866"/>
      <c r="O119" s="866"/>
      <c r="P119" s="866"/>
      <c r="Q119" s="866"/>
      <c r="R119" s="113"/>
      <c r="S119" s="114"/>
      <c r="T119" s="113"/>
      <c r="U119" s="114"/>
      <c r="V119" s="83"/>
      <c r="W119" s="83"/>
      <c r="X119" s="82"/>
    </row>
    <row r="120" spans="1:24" s="80" customFormat="1" ht="15" customHeight="1" x14ac:dyDescent="0.35">
      <c r="A120" s="867" t="s">
        <v>362</v>
      </c>
      <c r="B120" s="867"/>
      <c r="C120" s="867"/>
      <c r="D120" s="867"/>
      <c r="E120" s="867"/>
      <c r="F120" s="867"/>
      <c r="G120" s="867"/>
      <c r="H120" s="867"/>
      <c r="I120" s="867"/>
      <c r="J120" s="867"/>
      <c r="K120" s="867"/>
      <c r="L120" s="867"/>
      <c r="M120" s="867"/>
      <c r="N120" s="867"/>
      <c r="O120" s="867"/>
      <c r="P120" s="867"/>
      <c r="Q120" s="867"/>
      <c r="R120" s="74"/>
    </row>
    <row r="121" spans="1:24" ht="15" customHeight="1" x14ac:dyDescent="0.35">
      <c r="A121" s="72"/>
      <c r="B121" s="72"/>
      <c r="C121" s="72"/>
      <c r="D121" s="18"/>
      <c r="E121" s="18"/>
      <c r="F121" s="18"/>
      <c r="G121" s="18"/>
      <c r="H121" s="18"/>
      <c r="I121" s="18"/>
      <c r="J121" s="18"/>
      <c r="K121" s="18"/>
      <c r="L121" s="28"/>
      <c r="M121" s="18"/>
      <c r="N121" s="18"/>
      <c r="O121" s="18"/>
      <c r="P121" s="18"/>
      <c r="Q121" s="18"/>
    </row>
    <row r="122" spans="1:24" ht="15" customHeight="1" x14ac:dyDescent="0.35">
      <c r="C122" s="18"/>
      <c r="D122" s="18"/>
      <c r="E122" s="18"/>
      <c r="F122" s="18"/>
      <c r="G122" s="18"/>
      <c r="H122" s="18"/>
      <c r="I122" s="18"/>
    </row>
    <row r="123" spans="1:24" ht="15" customHeight="1" x14ac:dyDescent="0.35">
      <c r="C123" s="18"/>
      <c r="D123" s="18"/>
      <c r="E123" s="18"/>
      <c r="F123" s="18"/>
      <c r="G123" s="18"/>
      <c r="H123" s="18"/>
      <c r="I123" s="18"/>
    </row>
    <row r="124" spans="1:24" ht="15" customHeight="1" x14ac:dyDescent="0.35">
      <c r="C124" s="18"/>
      <c r="D124" s="18"/>
      <c r="E124" s="18"/>
      <c r="F124" s="18"/>
      <c r="G124" s="18"/>
      <c r="H124" s="18"/>
      <c r="I124" s="18"/>
    </row>
    <row r="125" spans="1:24" ht="15" customHeight="1" x14ac:dyDescent="0.35">
      <c r="C125" s="18"/>
      <c r="D125" s="18"/>
      <c r="E125" s="18"/>
      <c r="F125" s="18"/>
      <c r="G125" s="18"/>
      <c r="H125" s="18"/>
      <c r="I125" s="18"/>
    </row>
    <row r="126" spans="1:24" ht="15" customHeight="1" x14ac:dyDescent="0.35">
      <c r="C126" s="18"/>
      <c r="D126" s="18"/>
      <c r="E126" s="18"/>
      <c r="F126" s="18"/>
      <c r="G126" s="18"/>
      <c r="H126" s="18"/>
      <c r="I126" s="18"/>
    </row>
    <row r="127" spans="1:24" ht="15" customHeight="1" x14ac:dyDescent="0.35">
      <c r="C127" s="18"/>
      <c r="D127" s="18"/>
      <c r="E127" s="18"/>
      <c r="F127" s="18"/>
      <c r="G127" s="18"/>
      <c r="H127" s="18"/>
      <c r="I127" s="18"/>
    </row>
    <row r="128" spans="1:24" ht="15" customHeight="1" x14ac:dyDescent="0.35">
      <c r="C128" s="18"/>
      <c r="D128" s="18"/>
      <c r="E128" s="18"/>
      <c r="F128" s="18"/>
      <c r="G128" s="18"/>
      <c r="H128" s="18"/>
      <c r="I128" s="18"/>
    </row>
    <row r="129" spans="3:9" ht="15" customHeight="1" x14ac:dyDescent="0.35">
      <c r="C129" s="18"/>
      <c r="D129" s="18"/>
      <c r="E129" s="18"/>
      <c r="F129" s="18"/>
      <c r="G129" s="18"/>
      <c r="H129" s="18"/>
      <c r="I129" s="18"/>
    </row>
    <row r="130" spans="3:9" ht="15" customHeight="1" x14ac:dyDescent="0.35">
      <c r="C130" s="18"/>
      <c r="D130" s="18"/>
      <c r="E130" s="18"/>
      <c r="F130" s="18"/>
      <c r="G130" s="18"/>
      <c r="H130" s="18"/>
      <c r="I130" s="18"/>
    </row>
    <row r="131" spans="3:9" ht="15" customHeight="1" x14ac:dyDescent="0.35">
      <c r="C131" s="18"/>
      <c r="D131" s="18"/>
      <c r="E131" s="18"/>
      <c r="F131" s="18"/>
      <c r="G131" s="18"/>
      <c r="H131" s="18"/>
      <c r="I131" s="18"/>
    </row>
    <row r="132" spans="3:9" ht="15" customHeight="1" x14ac:dyDescent="0.35">
      <c r="C132" s="18"/>
      <c r="D132" s="18"/>
      <c r="E132" s="18"/>
      <c r="F132" s="18"/>
      <c r="G132" s="18"/>
      <c r="H132" s="18"/>
      <c r="I132" s="18"/>
    </row>
    <row r="133" spans="3:9" ht="15" customHeight="1" x14ac:dyDescent="0.35">
      <c r="C133" s="18"/>
      <c r="D133" s="18"/>
      <c r="E133" s="18"/>
      <c r="F133" s="18"/>
      <c r="G133" s="18"/>
      <c r="H133" s="18"/>
      <c r="I133" s="18"/>
    </row>
    <row r="134" spans="3:9" ht="15" customHeight="1" x14ac:dyDescent="0.35">
      <c r="C134" s="18"/>
      <c r="D134" s="18"/>
      <c r="E134" s="18"/>
      <c r="F134" s="18"/>
      <c r="G134" s="18"/>
      <c r="H134" s="18"/>
      <c r="I134" s="18"/>
    </row>
    <row r="135" spans="3:9" ht="15" customHeight="1" x14ac:dyDescent="0.35">
      <c r="C135" s="18"/>
      <c r="D135" s="18"/>
      <c r="E135" s="18"/>
      <c r="F135" s="18"/>
      <c r="G135" s="18"/>
      <c r="H135" s="18"/>
      <c r="I135" s="18"/>
    </row>
    <row r="136" spans="3:9" ht="15" customHeight="1" x14ac:dyDescent="0.35">
      <c r="C136" s="18"/>
      <c r="D136" s="18"/>
      <c r="E136" s="18"/>
      <c r="F136" s="18"/>
      <c r="G136" s="18"/>
      <c r="H136" s="18"/>
      <c r="I136" s="18"/>
    </row>
    <row r="137" spans="3:9" ht="15" customHeight="1" x14ac:dyDescent="0.35">
      <c r="C137" s="18"/>
      <c r="D137" s="18"/>
      <c r="E137" s="18"/>
      <c r="F137" s="18"/>
      <c r="G137" s="18"/>
      <c r="H137" s="18"/>
      <c r="I137" s="18"/>
    </row>
    <row r="138" spans="3:9" ht="15" customHeight="1" x14ac:dyDescent="0.35">
      <c r="C138" s="18"/>
      <c r="D138" s="18"/>
      <c r="E138" s="18"/>
      <c r="F138" s="18"/>
      <c r="G138" s="18"/>
      <c r="H138" s="18"/>
      <c r="I138" s="18"/>
    </row>
    <row r="139" spans="3:9" ht="15" customHeight="1" x14ac:dyDescent="0.35">
      <c r="C139" s="18"/>
      <c r="D139" s="18"/>
      <c r="E139" s="18"/>
      <c r="F139" s="18"/>
      <c r="G139" s="18"/>
      <c r="H139" s="18"/>
      <c r="I139" s="18"/>
    </row>
    <row r="140" spans="3:9" ht="15" customHeight="1" x14ac:dyDescent="0.35">
      <c r="C140" s="18"/>
      <c r="D140" s="18"/>
      <c r="E140" s="18"/>
      <c r="F140" s="18"/>
      <c r="G140" s="18"/>
      <c r="H140" s="18"/>
      <c r="I140" s="18"/>
    </row>
    <row r="141" spans="3:9" ht="15" customHeight="1" x14ac:dyDescent="0.35">
      <c r="C141" s="18"/>
      <c r="D141" s="18"/>
      <c r="E141" s="18"/>
      <c r="F141" s="18"/>
      <c r="G141" s="18"/>
      <c r="H141" s="18"/>
      <c r="I141" s="18"/>
    </row>
    <row r="142" spans="3:9" ht="15" customHeight="1" x14ac:dyDescent="0.35">
      <c r="C142" s="18"/>
      <c r="D142" s="18"/>
      <c r="E142" s="18"/>
      <c r="F142" s="18"/>
      <c r="G142" s="18"/>
      <c r="H142" s="18"/>
      <c r="I142" s="18"/>
    </row>
    <row r="143" spans="3:9" ht="15" customHeight="1" x14ac:dyDescent="0.35">
      <c r="C143" s="18"/>
      <c r="D143" s="18"/>
      <c r="E143" s="18"/>
      <c r="F143" s="18"/>
      <c r="G143" s="18"/>
      <c r="H143" s="18"/>
      <c r="I143" s="18"/>
    </row>
    <row r="144" spans="3:9" ht="15" customHeight="1" x14ac:dyDescent="0.35">
      <c r="C144" s="18"/>
      <c r="D144" s="18"/>
      <c r="E144" s="18"/>
      <c r="F144" s="18"/>
      <c r="G144" s="18"/>
      <c r="H144" s="18"/>
      <c r="I144" s="18"/>
    </row>
    <row r="145" spans="3:9" ht="15" customHeight="1" x14ac:dyDescent="0.35">
      <c r="C145" s="18"/>
      <c r="D145" s="18"/>
      <c r="E145" s="18"/>
      <c r="F145" s="18"/>
      <c r="G145" s="18"/>
      <c r="H145" s="18"/>
      <c r="I145" s="18"/>
    </row>
    <row r="146" spans="3:9" ht="15" customHeight="1" x14ac:dyDescent="0.35">
      <c r="C146" s="18"/>
      <c r="D146" s="18"/>
      <c r="E146" s="18"/>
      <c r="F146" s="18"/>
      <c r="G146" s="18"/>
      <c r="H146" s="18"/>
      <c r="I146" s="18"/>
    </row>
    <row r="147" spans="3:9" ht="15" customHeight="1" x14ac:dyDescent="0.35">
      <c r="C147" s="18"/>
      <c r="D147" s="18"/>
      <c r="E147" s="18"/>
      <c r="F147" s="18"/>
      <c r="G147" s="18"/>
      <c r="H147" s="18"/>
      <c r="I147" s="18"/>
    </row>
    <row r="148" spans="3:9" ht="15" customHeight="1" x14ac:dyDescent="0.35">
      <c r="C148" s="18"/>
      <c r="D148" s="18"/>
      <c r="E148" s="18"/>
      <c r="F148" s="18"/>
      <c r="G148" s="18"/>
      <c r="H148" s="18"/>
      <c r="I148" s="18"/>
    </row>
    <row r="149" spans="3:9" ht="15" customHeight="1" x14ac:dyDescent="0.35">
      <c r="C149" s="18"/>
      <c r="D149" s="18"/>
      <c r="E149" s="18"/>
      <c r="F149" s="18"/>
      <c r="G149" s="18"/>
      <c r="H149" s="18"/>
      <c r="I149" s="18"/>
    </row>
    <row r="150" spans="3:9" ht="15" customHeight="1" x14ac:dyDescent="0.35">
      <c r="C150" s="18"/>
      <c r="D150" s="18"/>
      <c r="E150" s="18"/>
      <c r="F150" s="18"/>
      <c r="G150" s="18"/>
      <c r="H150" s="18"/>
      <c r="I150" s="18"/>
    </row>
    <row r="151" spans="3:9" ht="15" customHeight="1" x14ac:dyDescent="0.35">
      <c r="C151" s="18"/>
      <c r="D151" s="18"/>
      <c r="E151" s="18"/>
      <c r="F151" s="18"/>
      <c r="G151" s="18"/>
      <c r="H151" s="18"/>
      <c r="I151" s="18"/>
    </row>
    <row r="152" spans="3:9" ht="15" customHeight="1" x14ac:dyDescent="0.35">
      <c r="C152" s="18"/>
      <c r="D152" s="18"/>
      <c r="E152" s="18"/>
      <c r="F152" s="18"/>
      <c r="G152" s="18"/>
      <c r="H152" s="18"/>
      <c r="I152" s="18"/>
    </row>
    <row r="153" spans="3:9" ht="15" customHeight="1" x14ac:dyDescent="0.35">
      <c r="C153" s="18"/>
      <c r="D153" s="18"/>
      <c r="E153" s="18"/>
      <c r="F153" s="18"/>
      <c r="G153" s="18"/>
      <c r="H153" s="18"/>
      <c r="I153" s="18"/>
    </row>
    <row r="154" spans="3:9" ht="15" customHeight="1" x14ac:dyDescent="0.35">
      <c r="C154" s="18"/>
      <c r="D154" s="18"/>
      <c r="E154" s="18"/>
      <c r="F154" s="18"/>
      <c r="G154" s="18"/>
      <c r="H154" s="18"/>
      <c r="I154" s="18"/>
    </row>
    <row r="155" spans="3:9" ht="15" customHeight="1" x14ac:dyDescent="0.35">
      <c r="C155" s="18"/>
      <c r="D155" s="18"/>
      <c r="E155" s="18"/>
      <c r="F155" s="18"/>
      <c r="G155" s="18"/>
      <c r="H155" s="18"/>
      <c r="I155" s="18"/>
    </row>
    <row r="156" spans="3:9" ht="15" customHeight="1" x14ac:dyDescent="0.35">
      <c r="C156" s="18"/>
      <c r="D156" s="18"/>
      <c r="E156" s="18"/>
      <c r="F156" s="18"/>
      <c r="G156" s="18"/>
      <c r="H156" s="18"/>
      <c r="I156" s="18"/>
    </row>
    <row r="157" spans="3:9" ht="15" customHeight="1" x14ac:dyDescent="0.35">
      <c r="C157" s="18"/>
      <c r="D157" s="18"/>
      <c r="E157" s="18"/>
      <c r="F157" s="18"/>
      <c r="G157" s="18"/>
      <c r="H157" s="18"/>
      <c r="I157" s="18"/>
    </row>
    <row r="158" spans="3:9" ht="15" customHeight="1" x14ac:dyDescent="0.35">
      <c r="C158" s="18"/>
      <c r="D158" s="18"/>
      <c r="E158" s="18"/>
      <c r="F158" s="18"/>
      <c r="G158" s="18"/>
      <c r="H158" s="18"/>
      <c r="I158" s="18"/>
    </row>
    <row r="159" spans="3:9" ht="15" customHeight="1" x14ac:dyDescent="0.35">
      <c r="C159" s="18"/>
      <c r="D159" s="18"/>
      <c r="E159" s="18"/>
      <c r="F159" s="18"/>
      <c r="G159" s="18"/>
      <c r="H159" s="18"/>
      <c r="I159" s="18"/>
    </row>
    <row r="160" spans="3:9" ht="15" customHeight="1" x14ac:dyDescent="0.35">
      <c r="C160" s="18"/>
      <c r="D160" s="18"/>
      <c r="E160" s="18"/>
      <c r="F160" s="18"/>
      <c r="G160" s="18"/>
      <c r="H160" s="18"/>
      <c r="I160" s="18"/>
    </row>
    <row r="161" spans="3:9" ht="15" customHeight="1" x14ac:dyDescent="0.35">
      <c r="C161" s="18"/>
      <c r="D161" s="18"/>
      <c r="E161" s="18"/>
      <c r="F161" s="18"/>
      <c r="G161" s="18"/>
      <c r="H161" s="18"/>
      <c r="I161" s="18"/>
    </row>
    <row r="162" spans="3:9" ht="15" customHeight="1" x14ac:dyDescent="0.35">
      <c r="C162" s="18"/>
      <c r="D162" s="18"/>
      <c r="E162" s="18"/>
      <c r="F162" s="18"/>
      <c r="G162" s="18"/>
      <c r="H162" s="18"/>
      <c r="I162" s="18"/>
    </row>
    <row r="163" spans="3:9" ht="15" customHeight="1" x14ac:dyDescent="0.35">
      <c r="C163" s="18"/>
      <c r="D163" s="18"/>
      <c r="E163" s="18"/>
      <c r="F163" s="18"/>
      <c r="G163" s="18"/>
      <c r="H163" s="18"/>
      <c r="I163" s="18"/>
    </row>
    <row r="164" spans="3:9" ht="15" customHeight="1" x14ac:dyDescent="0.35">
      <c r="C164" s="18"/>
      <c r="D164" s="18"/>
      <c r="E164" s="18"/>
      <c r="F164" s="18"/>
      <c r="G164" s="18"/>
      <c r="H164" s="18"/>
      <c r="I164" s="18"/>
    </row>
    <row r="165" spans="3:9" ht="15" customHeight="1" x14ac:dyDescent="0.35">
      <c r="C165" s="18"/>
      <c r="D165" s="18"/>
      <c r="E165" s="18"/>
      <c r="F165" s="18"/>
      <c r="G165" s="18"/>
      <c r="H165" s="18"/>
      <c r="I165" s="18"/>
    </row>
    <row r="166" spans="3:9" ht="15" customHeight="1" x14ac:dyDescent="0.35">
      <c r="C166" s="18"/>
      <c r="D166" s="18"/>
      <c r="E166" s="18"/>
      <c r="F166" s="18"/>
      <c r="G166" s="18"/>
      <c r="H166" s="18"/>
      <c r="I166" s="18"/>
    </row>
    <row r="167" spans="3:9" ht="15" customHeight="1" x14ac:dyDescent="0.35">
      <c r="C167" s="18"/>
      <c r="D167" s="18"/>
      <c r="E167" s="18"/>
      <c r="F167" s="18"/>
      <c r="G167" s="18"/>
      <c r="H167" s="18"/>
      <c r="I167" s="18"/>
    </row>
    <row r="168" spans="3:9" ht="15" customHeight="1" x14ac:dyDescent="0.35">
      <c r="C168" s="18"/>
      <c r="D168" s="18"/>
      <c r="E168" s="18"/>
      <c r="F168" s="18"/>
      <c r="G168" s="18"/>
      <c r="H168" s="18"/>
      <c r="I168" s="18"/>
    </row>
    <row r="169" spans="3:9" ht="15" customHeight="1" x14ac:dyDescent="0.35">
      <c r="C169" s="18"/>
      <c r="D169" s="18"/>
      <c r="E169" s="18"/>
      <c r="F169" s="18"/>
      <c r="G169" s="18"/>
      <c r="H169" s="18"/>
      <c r="I169" s="18"/>
    </row>
    <row r="170" spans="3:9" ht="15" customHeight="1" x14ac:dyDescent="0.35">
      <c r="C170" s="18"/>
      <c r="D170" s="18"/>
      <c r="E170" s="18"/>
      <c r="F170" s="18"/>
      <c r="G170" s="18"/>
      <c r="H170" s="18"/>
      <c r="I170" s="18"/>
    </row>
    <row r="171" spans="3:9" ht="15" customHeight="1" x14ac:dyDescent="0.35">
      <c r="C171" s="18"/>
      <c r="D171" s="18"/>
      <c r="E171" s="18"/>
      <c r="F171" s="18"/>
      <c r="G171" s="18"/>
      <c r="H171" s="18"/>
      <c r="I171" s="18"/>
    </row>
    <row r="172" spans="3:9" ht="15" customHeight="1" x14ac:dyDescent="0.35">
      <c r="C172" s="18"/>
      <c r="D172" s="18"/>
      <c r="E172" s="18"/>
      <c r="F172" s="18"/>
      <c r="G172" s="18"/>
      <c r="H172" s="18"/>
      <c r="I172" s="18"/>
    </row>
    <row r="173" spans="3:9" ht="15" customHeight="1" x14ac:dyDescent="0.35">
      <c r="C173" s="18"/>
      <c r="D173" s="18"/>
      <c r="E173" s="18"/>
      <c r="F173" s="18"/>
      <c r="G173" s="18"/>
      <c r="H173" s="18"/>
      <c r="I173" s="18"/>
    </row>
    <row r="174" spans="3:9" ht="15" customHeight="1" x14ac:dyDescent="0.35">
      <c r="C174" s="18"/>
      <c r="D174" s="18"/>
      <c r="E174" s="18"/>
      <c r="F174" s="18"/>
      <c r="G174" s="18"/>
      <c r="H174" s="18"/>
      <c r="I174" s="18"/>
    </row>
    <row r="175" spans="3:9" ht="15" customHeight="1" x14ac:dyDescent="0.35">
      <c r="C175" s="18"/>
      <c r="D175" s="18"/>
      <c r="E175" s="18"/>
      <c r="F175" s="18"/>
      <c r="G175" s="18"/>
      <c r="H175" s="18"/>
      <c r="I175" s="18"/>
    </row>
    <row r="176" spans="3:9" ht="15" customHeight="1" x14ac:dyDescent="0.35">
      <c r="C176" s="18"/>
      <c r="D176" s="18"/>
      <c r="E176" s="18"/>
      <c r="F176" s="18"/>
      <c r="G176" s="18"/>
      <c r="H176" s="18"/>
      <c r="I176" s="18"/>
    </row>
    <row r="177" spans="3:9" ht="15" customHeight="1" x14ac:dyDescent="0.35">
      <c r="C177" s="18"/>
      <c r="D177" s="18"/>
      <c r="E177" s="18"/>
      <c r="F177" s="18"/>
      <c r="G177" s="18"/>
      <c r="H177" s="18"/>
      <c r="I177" s="18"/>
    </row>
    <row r="178" spans="3:9" ht="15" customHeight="1" x14ac:dyDescent="0.35">
      <c r="C178" s="18"/>
      <c r="D178" s="18"/>
      <c r="E178" s="18"/>
      <c r="F178" s="18"/>
      <c r="G178" s="18"/>
      <c r="H178" s="18"/>
      <c r="I178" s="18"/>
    </row>
    <row r="179" spans="3:9" ht="15" customHeight="1" x14ac:dyDescent="0.35">
      <c r="C179" s="18"/>
      <c r="D179" s="18"/>
      <c r="E179" s="18"/>
      <c r="F179" s="18"/>
      <c r="G179" s="18"/>
      <c r="H179" s="18"/>
      <c r="I179" s="18"/>
    </row>
    <row r="180" spans="3:9" ht="15" customHeight="1" x14ac:dyDescent="0.35">
      <c r="C180" s="18"/>
      <c r="D180" s="18"/>
      <c r="E180" s="18"/>
      <c r="F180" s="18"/>
      <c r="G180" s="18"/>
      <c r="H180" s="18"/>
      <c r="I180" s="18"/>
    </row>
    <row r="181" spans="3:9" ht="15" customHeight="1" x14ac:dyDescent="0.35">
      <c r="C181" s="18"/>
      <c r="D181" s="18"/>
      <c r="E181" s="18"/>
      <c r="F181" s="18"/>
      <c r="G181" s="18"/>
      <c r="H181" s="18"/>
      <c r="I181" s="18"/>
    </row>
    <row r="182" spans="3:9" ht="15" customHeight="1" x14ac:dyDescent="0.35">
      <c r="C182" s="18"/>
      <c r="D182" s="18"/>
      <c r="E182" s="18"/>
      <c r="F182" s="18"/>
      <c r="G182" s="18"/>
      <c r="H182" s="18"/>
      <c r="I182" s="18"/>
    </row>
    <row r="183" spans="3:9" ht="15" customHeight="1" x14ac:dyDescent="0.35">
      <c r="C183" s="18"/>
      <c r="D183" s="18"/>
      <c r="E183" s="18"/>
      <c r="F183" s="18"/>
      <c r="G183" s="18"/>
      <c r="H183" s="18"/>
      <c r="I183" s="18"/>
    </row>
    <row r="184" spans="3:9" ht="15" customHeight="1" x14ac:dyDescent="0.35">
      <c r="C184" s="18"/>
      <c r="D184" s="18"/>
      <c r="E184" s="18"/>
      <c r="F184" s="18"/>
      <c r="G184" s="18"/>
      <c r="H184" s="18"/>
      <c r="I184" s="18"/>
    </row>
    <row r="185" spans="3:9" ht="15" customHeight="1" x14ac:dyDescent="0.35">
      <c r="C185" s="18"/>
      <c r="D185" s="18"/>
      <c r="E185" s="18"/>
      <c r="F185" s="18"/>
      <c r="G185" s="18"/>
      <c r="H185" s="18"/>
      <c r="I185" s="18"/>
    </row>
    <row r="186" spans="3:9" ht="15" customHeight="1" x14ac:dyDescent="0.35">
      <c r="C186" s="18"/>
      <c r="D186" s="18"/>
      <c r="E186" s="18"/>
      <c r="F186" s="18"/>
      <c r="G186" s="18"/>
      <c r="H186" s="18"/>
      <c r="I186" s="18"/>
    </row>
    <row r="187" spans="3:9" ht="15" customHeight="1" x14ac:dyDescent="0.35">
      <c r="C187" s="18"/>
      <c r="D187" s="18"/>
      <c r="E187" s="18"/>
      <c r="F187" s="18"/>
      <c r="G187" s="18"/>
      <c r="H187" s="18"/>
      <c r="I187" s="18"/>
    </row>
    <row r="188" spans="3:9" ht="15" customHeight="1" x14ac:dyDescent="0.35">
      <c r="C188" s="18"/>
      <c r="D188" s="18"/>
      <c r="E188" s="18"/>
      <c r="F188" s="18"/>
      <c r="G188" s="18"/>
      <c r="H188" s="18"/>
      <c r="I188" s="18"/>
    </row>
    <row r="189" spans="3:9" ht="15" customHeight="1" x14ac:dyDescent="0.35">
      <c r="C189" s="18"/>
      <c r="D189" s="18"/>
      <c r="E189" s="18"/>
      <c r="F189" s="18"/>
      <c r="G189" s="18"/>
      <c r="H189" s="18"/>
      <c r="I189" s="18"/>
    </row>
    <row r="190" spans="3:9" ht="15" customHeight="1" x14ac:dyDescent="0.35">
      <c r="C190" s="18"/>
      <c r="D190" s="18"/>
      <c r="E190" s="18"/>
      <c r="F190" s="18"/>
      <c r="G190" s="18"/>
      <c r="H190" s="18"/>
      <c r="I190" s="18"/>
    </row>
    <row r="191" spans="3:9" ht="15" customHeight="1" x14ac:dyDescent="0.35">
      <c r="C191" s="18"/>
      <c r="D191" s="18"/>
      <c r="E191" s="18"/>
      <c r="F191" s="18"/>
      <c r="G191" s="18"/>
      <c r="H191" s="18"/>
      <c r="I191" s="18"/>
    </row>
    <row r="192" spans="3:9" ht="15" customHeight="1" x14ac:dyDescent="0.35">
      <c r="C192" s="18"/>
      <c r="D192" s="18"/>
      <c r="E192" s="18"/>
      <c r="F192" s="18"/>
      <c r="G192" s="18"/>
      <c r="H192" s="18"/>
      <c r="I192" s="18"/>
    </row>
    <row r="193" spans="3:9" ht="15" customHeight="1" x14ac:dyDescent="0.35">
      <c r="C193" s="18"/>
      <c r="D193" s="18"/>
      <c r="E193" s="18"/>
      <c r="F193" s="18"/>
      <c r="G193" s="18"/>
      <c r="H193" s="18"/>
      <c r="I193" s="18"/>
    </row>
    <row r="194" spans="3:9" ht="15" customHeight="1" x14ac:dyDescent="0.35">
      <c r="C194" s="18"/>
      <c r="D194" s="18"/>
      <c r="E194" s="18"/>
      <c r="F194" s="18"/>
      <c r="G194" s="18"/>
      <c r="H194" s="18"/>
      <c r="I194" s="18"/>
    </row>
    <row r="195" spans="3:9" ht="15" customHeight="1" x14ac:dyDescent="0.35">
      <c r="C195" s="18"/>
      <c r="D195" s="18"/>
      <c r="E195" s="18"/>
      <c r="F195" s="18"/>
      <c r="G195" s="18"/>
      <c r="H195" s="18"/>
      <c r="I195" s="18"/>
    </row>
    <row r="196" spans="3:9" ht="15" customHeight="1" x14ac:dyDescent="0.35">
      <c r="C196" s="18"/>
      <c r="D196" s="18"/>
      <c r="E196" s="18"/>
      <c r="F196" s="18"/>
      <c r="G196" s="18"/>
      <c r="H196" s="18"/>
      <c r="I196" s="18"/>
    </row>
    <row r="197" spans="3:9" ht="15" customHeight="1" x14ac:dyDescent="0.35">
      <c r="C197" s="18"/>
      <c r="D197" s="18"/>
      <c r="E197" s="18"/>
      <c r="F197" s="18"/>
      <c r="G197" s="18"/>
      <c r="H197" s="18"/>
      <c r="I197" s="18"/>
    </row>
    <row r="198" spans="3:9" ht="15" customHeight="1" x14ac:dyDescent="0.35">
      <c r="C198" s="18"/>
      <c r="D198" s="18"/>
      <c r="E198" s="18"/>
      <c r="F198" s="18"/>
      <c r="G198" s="18"/>
      <c r="H198" s="18"/>
      <c r="I198" s="18"/>
    </row>
    <row r="199" spans="3:9" ht="15" customHeight="1" x14ac:dyDescent="0.35">
      <c r="C199" s="18"/>
      <c r="D199" s="18"/>
      <c r="E199" s="18"/>
      <c r="F199" s="18"/>
      <c r="G199" s="18"/>
      <c r="H199" s="18"/>
      <c r="I199" s="18"/>
    </row>
    <row r="200" spans="3:9" ht="15" customHeight="1" x14ac:dyDescent="0.35">
      <c r="C200" s="18"/>
      <c r="D200" s="18"/>
      <c r="E200" s="18"/>
      <c r="F200" s="18"/>
      <c r="G200" s="18"/>
      <c r="H200" s="18"/>
      <c r="I200" s="18"/>
    </row>
    <row r="201" spans="3:9" ht="15" customHeight="1" x14ac:dyDescent="0.35">
      <c r="C201" s="18"/>
      <c r="D201" s="18"/>
      <c r="E201" s="18"/>
      <c r="F201" s="18"/>
      <c r="G201" s="18"/>
      <c r="H201" s="18"/>
      <c r="I201" s="18"/>
    </row>
    <row r="202" spans="3:9" ht="15" customHeight="1" x14ac:dyDescent="0.35">
      <c r="C202" s="18"/>
      <c r="D202" s="18"/>
      <c r="E202" s="18"/>
      <c r="F202" s="18"/>
      <c r="G202" s="18"/>
      <c r="H202" s="18"/>
      <c r="I202" s="18"/>
    </row>
    <row r="203" spans="3:9" ht="15" customHeight="1" x14ac:dyDescent="0.35">
      <c r="C203" s="18"/>
      <c r="D203" s="18"/>
      <c r="E203" s="18"/>
      <c r="F203" s="18"/>
      <c r="G203" s="18"/>
      <c r="H203" s="18"/>
      <c r="I203" s="18"/>
    </row>
    <row r="204" spans="3:9" ht="15" customHeight="1" x14ac:dyDescent="0.35">
      <c r="C204" s="18"/>
      <c r="D204" s="18"/>
      <c r="E204" s="18"/>
      <c r="F204" s="18"/>
      <c r="G204" s="18"/>
      <c r="H204" s="18"/>
      <c r="I204" s="18"/>
    </row>
    <row r="205" spans="3:9" ht="15" customHeight="1" x14ac:dyDescent="0.35">
      <c r="C205" s="18"/>
      <c r="D205" s="18"/>
      <c r="E205" s="18"/>
      <c r="F205" s="18"/>
      <c r="G205" s="18"/>
      <c r="H205" s="18"/>
      <c r="I205" s="18"/>
    </row>
    <row r="206" spans="3:9" ht="15" customHeight="1" x14ac:dyDescent="0.35">
      <c r="C206" s="18"/>
      <c r="D206" s="18"/>
      <c r="E206" s="18"/>
      <c r="F206" s="18"/>
      <c r="G206" s="18"/>
      <c r="H206" s="18"/>
      <c r="I206" s="18"/>
    </row>
    <row r="207" spans="3:9" ht="15" customHeight="1" x14ac:dyDescent="0.35">
      <c r="C207" s="18"/>
      <c r="D207" s="18"/>
      <c r="E207" s="18"/>
      <c r="F207" s="18"/>
      <c r="G207" s="18"/>
      <c r="H207" s="18"/>
      <c r="I207" s="18"/>
    </row>
    <row r="208" spans="3:9" ht="15" customHeight="1" x14ac:dyDescent="0.35">
      <c r="C208" s="18"/>
      <c r="D208" s="18"/>
      <c r="E208" s="18"/>
      <c r="F208" s="18"/>
      <c r="G208" s="18"/>
      <c r="H208" s="18"/>
      <c r="I208" s="18"/>
    </row>
    <row r="209" spans="3:9" ht="15" customHeight="1" x14ac:dyDescent="0.35">
      <c r="C209" s="18"/>
      <c r="D209" s="18"/>
      <c r="E209" s="18"/>
      <c r="F209" s="18"/>
      <c r="G209" s="18"/>
      <c r="H209" s="18"/>
      <c r="I209" s="18"/>
    </row>
    <row r="210" spans="3:9" ht="15" customHeight="1" x14ac:dyDescent="0.35">
      <c r="C210" s="18"/>
      <c r="D210" s="18"/>
      <c r="E210" s="18"/>
      <c r="F210" s="18"/>
      <c r="G210" s="18"/>
      <c r="H210" s="18"/>
      <c r="I210" s="18"/>
    </row>
    <row r="211" spans="3:9" ht="15" customHeight="1" x14ac:dyDescent="0.35">
      <c r="C211" s="18"/>
      <c r="D211" s="18"/>
      <c r="E211" s="18"/>
      <c r="F211" s="18"/>
      <c r="G211" s="18"/>
      <c r="H211" s="18"/>
      <c r="I211" s="18"/>
    </row>
    <row r="212" spans="3:9" ht="15" customHeight="1" x14ac:dyDescent="0.35">
      <c r="C212" s="18"/>
      <c r="D212" s="18"/>
      <c r="E212" s="18"/>
      <c r="F212" s="18"/>
      <c r="G212" s="18"/>
      <c r="H212" s="18"/>
      <c r="I212" s="18"/>
    </row>
    <row r="213" spans="3:9" ht="15" customHeight="1" x14ac:dyDescent="0.35">
      <c r="C213" s="18"/>
      <c r="D213" s="18"/>
      <c r="E213" s="18"/>
      <c r="F213" s="18"/>
      <c r="G213" s="18"/>
      <c r="H213" s="18"/>
      <c r="I213" s="18"/>
    </row>
    <row r="214" spans="3:9" ht="15" customHeight="1" x14ac:dyDescent="0.35">
      <c r="C214" s="18"/>
      <c r="D214" s="18"/>
      <c r="E214" s="18"/>
      <c r="F214" s="18"/>
      <c r="G214" s="18"/>
      <c r="H214" s="18"/>
      <c r="I214" s="18"/>
    </row>
    <row r="215" spans="3:9" ht="15" customHeight="1" x14ac:dyDescent="0.35">
      <c r="C215" s="18"/>
      <c r="D215" s="18"/>
      <c r="E215" s="18"/>
      <c r="F215" s="18"/>
      <c r="G215" s="18"/>
      <c r="H215" s="18"/>
      <c r="I215" s="18"/>
    </row>
    <row r="216" spans="3:9" ht="15" customHeight="1" x14ac:dyDescent="0.35">
      <c r="C216" s="18"/>
      <c r="D216" s="18"/>
      <c r="E216" s="18"/>
      <c r="F216" s="18"/>
      <c r="G216" s="18"/>
      <c r="H216" s="18"/>
      <c r="I216" s="18"/>
    </row>
    <row r="217" spans="3:9" ht="15" customHeight="1" x14ac:dyDescent="0.35">
      <c r="C217" s="18"/>
      <c r="D217" s="18"/>
      <c r="E217" s="18"/>
      <c r="F217" s="18"/>
      <c r="G217" s="18"/>
      <c r="H217" s="18"/>
      <c r="I217" s="18"/>
    </row>
    <row r="218" spans="3:9" ht="15" customHeight="1" x14ac:dyDescent="0.35">
      <c r="C218" s="18"/>
      <c r="D218" s="18"/>
      <c r="E218" s="18"/>
      <c r="F218" s="18"/>
      <c r="G218" s="18"/>
      <c r="H218" s="18"/>
      <c r="I218" s="18"/>
    </row>
    <row r="219" spans="3:9" ht="15" customHeight="1" x14ac:dyDescent="0.35">
      <c r="C219" s="18"/>
      <c r="D219" s="18"/>
      <c r="E219" s="18"/>
      <c r="F219" s="18"/>
      <c r="G219" s="18"/>
      <c r="H219" s="18"/>
      <c r="I219" s="18"/>
    </row>
    <row r="220" spans="3:9" ht="15" customHeight="1" x14ac:dyDescent="0.35">
      <c r="C220" s="18"/>
      <c r="D220" s="18"/>
      <c r="E220" s="18"/>
      <c r="F220" s="18"/>
      <c r="G220" s="18"/>
      <c r="H220" s="18"/>
      <c r="I220" s="18"/>
    </row>
    <row r="221" spans="3:9" ht="15" customHeight="1" x14ac:dyDescent="0.35">
      <c r="C221" s="18"/>
      <c r="D221" s="18"/>
      <c r="E221" s="18"/>
      <c r="F221" s="18"/>
      <c r="G221" s="18"/>
      <c r="H221" s="18"/>
      <c r="I221" s="18"/>
    </row>
    <row r="222" spans="3:9" ht="15" customHeight="1" x14ac:dyDescent="0.35">
      <c r="C222" s="18"/>
      <c r="D222" s="18"/>
      <c r="E222" s="18"/>
      <c r="F222" s="18"/>
      <c r="G222" s="18"/>
      <c r="H222" s="18"/>
      <c r="I222" s="18"/>
    </row>
    <row r="223" spans="3:9" ht="15" customHeight="1" x14ac:dyDescent="0.35">
      <c r="C223" s="18"/>
      <c r="D223" s="18"/>
      <c r="E223" s="18"/>
      <c r="F223" s="18"/>
      <c r="G223" s="18"/>
      <c r="H223" s="18"/>
      <c r="I223" s="18"/>
    </row>
    <row r="224" spans="3:9" ht="15" customHeight="1" x14ac:dyDescent="0.35">
      <c r="C224" s="18"/>
      <c r="D224" s="18"/>
      <c r="E224" s="18"/>
      <c r="F224" s="18"/>
      <c r="G224" s="18"/>
      <c r="H224" s="18"/>
      <c r="I224" s="18"/>
    </row>
    <row r="225" spans="3:9" ht="15" customHeight="1" x14ac:dyDescent="0.35">
      <c r="C225" s="18"/>
      <c r="D225" s="18"/>
      <c r="E225" s="18"/>
      <c r="F225" s="18"/>
      <c r="G225" s="18"/>
      <c r="H225" s="18"/>
      <c r="I225" s="18"/>
    </row>
    <row r="226" spans="3:9" ht="15" customHeight="1" x14ac:dyDescent="0.35">
      <c r="C226" s="18"/>
      <c r="D226" s="18"/>
      <c r="E226" s="18"/>
      <c r="F226" s="18"/>
      <c r="G226" s="18"/>
      <c r="H226" s="18"/>
      <c r="I226" s="18"/>
    </row>
    <row r="227" spans="3:9" ht="15" customHeight="1" x14ac:dyDescent="0.35">
      <c r="C227" s="18"/>
      <c r="D227" s="18"/>
      <c r="E227" s="18"/>
      <c r="F227" s="18"/>
      <c r="G227" s="18"/>
      <c r="H227" s="18"/>
      <c r="I227" s="18"/>
    </row>
    <row r="228" spans="3:9" ht="15" customHeight="1" x14ac:dyDescent="0.35">
      <c r="C228" s="18"/>
      <c r="D228" s="18"/>
      <c r="E228" s="18"/>
      <c r="F228" s="18"/>
      <c r="G228" s="18"/>
      <c r="H228" s="18"/>
      <c r="I228" s="18"/>
    </row>
    <row r="229" spans="3:9" ht="15" customHeight="1" x14ac:dyDescent="0.35">
      <c r="C229" s="18"/>
      <c r="D229" s="18"/>
      <c r="E229" s="18"/>
      <c r="F229" s="18"/>
      <c r="G229" s="18"/>
      <c r="H229" s="18"/>
      <c r="I229" s="18"/>
    </row>
    <row r="230" spans="3:9" ht="15" customHeight="1" x14ac:dyDescent="0.35">
      <c r="C230" s="18"/>
      <c r="D230" s="18"/>
      <c r="E230" s="18"/>
      <c r="F230" s="18"/>
      <c r="G230" s="18"/>
      <c r="H230" s="18"/>
      <c r="I230" s="18"/>
    </row>
    <row r="231" spans="3:9" ht="15" customHeight="1" x14ac:dyDescent="0.35">
      <c r="C231" s="18"/>
      <c r="D231" s="18"/>
      <c r="E231" s="18"/>
      <c r="F231" s="18"/>
      <c r="G231" s="18"/>
      <c r="H231" s="18"/>
      <c r="I231" s="18"/>
    </row>
    <row r="232" spans="3:9" ht="15" customHeight="1" x14ac:dyDescent="0.35">
      <c r="C232" s="18"/>
      <c r="D232" s="18"/>
      <c r="E232" s="18"/>
      <c r="F232" s="18"/>
      <c r="G232" s="18"/>
      <c r="H232" s="18"/>
      <c r="I232" s="18"/>
    </row>
    <row r="233" spans="3:9" ht="15" customHeight="1" x14ac:dyDescent="0.35">
      <c r="C233" s="18"/>
      <c r="D233" s="18"/>
      <c r="E233" s="18"/>
      <c r="F233" s="18"/>
      <c r="G233" s="18"/>
      <c r="H233" s="18"/>
      <c r="I233" s="18"/>
    </row>
    <row r="234" spans="3:9" ht="15" customHeight="1" x14ac:dyDescent="0.35">
      <c r="C234" s="18"/>
      <c r="D234" s="18"/>
      <c r="E234" s="18"/>
      <c r="F234" s="18"/>
      <c r="G234" s="18"/>
      <c r="H234" s="18"/>
      <c r="I234" s="18"/>
    </row>
    <row r="235" spans="3:9" ht="15" customHeight="1" x14ac:dyDescent="0.35">
      <c r="C235" s="18"/>
      <c r="D235" s="18"/>
      <c r="E235" s="18"/>
      <c r="F235" s="18"/>
      <c r="G235" s="18"/>
      <c r="H235" s="18"/>
      <c r="I235" s="18"/>
    </row>
    <row r="236" spans="3:9" ht="15" customHeight="1" x14ac:dyDescent="0.35">
      <c r="C236" s="18"/>
      <c r="D236" s="18"/>
      <c r="E236" s="18"/>
      <c r="F236" s="18"/>
      <c r="G236" s="18"/>
      <c r="H236" s="18"/>
      <c r="I236" s="18"/>
    </row>
    <row r="237" spans="3:9" ht="15" customHeight="1" x14ac:dyDescent="0.35">
      <c r="C237" s="18"/>
      <c r="D237" s="18"/>
      <c r="E237" s="18"/>
      <c r="F237" s="18"/>
      <c r="G237" s="18"/>
      <c r="H237" s="18"/>
      <c r="I237" s="18"/>
    </row>
    <row r="238" spans="3:9" ht="15" customHeight="1" x14ac:dyDescent="0.35">
      <c r="C238" s="18"/>
      <c r="D238" s="18"/>
      <c r="E238" s="18"/>
      <c r="F238" s="18"/>
      <c r="G238" s="18"/>
      <c r="H238" s="18"/>
      <c r="I238" s="18"/>
    </row>
    <row r="239" spans="3:9" ht="15" customHeight="1" x14ac:dyDescent="0.35">
      <c r="C239" s="18"/>
      <c r="D239" s="18"/>
      <c r="E239" s="18"/>
      <c r="F239" s="18"/>
      <c r="G239" s="18"/>
      <c r="H239" s="18"/>
      <c r="I239" s="18"/>
    </row>
    <row r="240" spans="3:9" ht="15" customHeight="1" x14ac:dyDescent="0.35">
      <c r="C240" s="18"/>
      <c r="D240" s="18"/>
      <c r="E240" s="18"/>
      <c r="F240" s="18"/>
      <c r="G240" s="18"/>
      <c r="H240" s="18"/>
      <c r="I240" s="18"/>
    </row>
    <row r="241" spans="3:9" ht="15" customHeight="1" x14ac:dyDescent="0.35">
      <c r="C241" s="18"/>
      <c r="D241" s="18"/>
      <c r="E241" s="18"/>
      <c r="F241" s="18"/>
      <c r="G241" s="18"/>
      <c r="H241" s="18"/>
      <c r="I241" s="18"/>
    </row>
    <row r="242" spans="3:9" ht="15" customHeight="1" x14ac:dyDescent="0.35">
      <c r="C242" s="18"/>
      <c r="D242" s="18"/>
      <c r="E242" s="18"/>
      <c r="F242" s="18"/>
      <c r="G242" s="18"/>
      <c r="H242" s="18"/>
      <c r="I242" s="18"/>
    </row>
    <row r="243" spans="3:9" ht="15" customHeight="1" x14ac:dyDescent="0.35">
      <c r="C243" s="18"/>
      <c r="D243" s="18"/>
      <c r="E243" s="18"/>
      <c r="F243" s="18"/>
      <c r="G243" s="18"/>
      <c r="H243" s="18"/>
      <c r="I243" s="18"/>
    </row>
    <row r="244" spans="3:9" ht="15" customHeight="1" x14ac:dyDescent="0.35">
      <c r="C244" s="18"/>
      <c r="D244" s="18"/>
      <c r="E244" s="18"/>
      <c r="F244" s="18"/>
      <c r="G244" s="18"/>
      <c r="H244" s="18"/>
      <c r="I244" s="18"/>
    </row>
    <row r="245" spans="3:9" ht="15" customHeight="1" x14ac:dyDescent="0.35">
      <c r="C245" s="18"/>
      <c r="D245" s="18"/>
      <c r="E245" s="18"/>
      <c r="F245" s="18"/>
      <c r="G245" s="18"/>
      <c r="H245" s="18"/>
      <c r="I245" s="18"/>
    </row>
    <row r="246" spans="3:9" ht="15" customHeight="1" x14ac:dyDescent="0.35">
      <c r="C246" s="18"/>
      <c r="D246" s="18"/>
      <c r="E246" s="18"/>
      <c r="F246" s="18"/>
      <c r="G246" s="18"/>
      <c r="H246" s="18"/>
      <c r="I246" s="18"/>
    </row>
    <row r="247" spans="3:9" ht="15" customHeight="1" x14ac:dyDescent="0.35">
      <c r="C247" s="18"/>
      <c r="D247" s="18"/>
      <c r="E247" s="18"/>
      <c r="F247" s="18"/>
      <c r="G247" s="18"/>
      <c r="H247" s="18"/>
      <c r="I247" s="18"/>
    </row>
    <row r="248" spans="3:9" ht="15" customHeight="1" x14ac:dyDescent="0.35">
      <c r="C248" s="18"/>
      <c r="D248" s="18"/>
      <c r="E248" s="18"/>
      <c r="F248" s="18"/>
      <c r="G248" s="18"/>
      <c r="H248" s="18"/>
      <c r="I248" s="18"/>
    </row>
    <row r="249" spans="3:9" ht="15" customHeight="1" x14ac:dyDescent="0.35">
      <c r="C249" s="18"/>
      <c r="D249" s="18"/>
      <c r="E249" s="18"/>
      <c r="F249" s="18"/>
      <c r="G249" s="18"/>
      <c r="H249" s="18"/>
      <c r="I249" s="18"/>
    </row>
    <row r="250" spans="3:9" ht="15" customHeight="1" x14ac:dyDescent="0.35">
      <c r="C250" s="18"/>
      <c r="D250" s="18"/>
      <c r="E250" s="18"/>
      <c r="F250" s="18"/>
      <c r="G250" s="18"/>
      <c r="H250" s="18"/>
      <c r="I250" s="18"/>
    </row>
    <row r="251" spans="3:9" ht="15" customHeight="1" x14ac:dyDescent="0.35">
      <c r="C251" s="18"/>
      <c r="D251" s="18"/>
      <c r="E251" s="18"/>
      <c r="F251" s="18"/>
      <c r="G251" s="18"/>
      <c r="H251" s="18"/>
      <c r="I251" s="18"/>
    </row>
    <row r="252" spans="3:9" ht="15" customHeight="1" x14ac:dyDescent="0.35">
      <c r="C252" s="18"/>
      <c r="D252" s="18"/>
      <c r="E252" s="18"/>
      <c r="F252" s="18"/>
      <c r="G252" s="18"/>
      <c r="H252" s="18"/>
      <c r="I252" s="18"/>
    </row>
    <row r="253" spans="3:9" ht="15" customHeight="1" x14ac:dyDescent="0.35">
      <c r="C253" s="18"/>
      <c r="D253" s="18"/>
      <c r="E253" s="18"/>
      <c r="F253" s="18"/>
      <c r="G253" s="18"/>
      <c r="H253" s="18"/>
      <c r="I253" s="18"/>
    </row>
    <row r="254" spans="3:9" ht="15" customHeight="1" x14ac:dyDescent="0.35">
      <c r="C254" s="18"/>
      <c r="D254" s="18"/>
      <c r="E254" s="18"/>
      <c r="F254" s="18"/>
      <c r="G254" s="18"/>
      <c r="H254" s="18"/>
      <c r="I254" s="18"/>
    </row>
    <row r="255" spans="3:9" ht="15" customHeight="1" x14ac:dyDescent="0.35">
      <c r="C255" s="18"/>
      <c r="D255" s="18"/>
      <c r="E255" s="18"/>
      <c r="F255" s="18"/>
      <c r="G255" s="18"/>
      <c r="H255" s="18"/>
      <c r="I255" s="18"/>
    </row>
    <row r="256" spans="3:9" ht="15" customHeight="1" x14ac:dyDescent="0.35">
      <c r="C256" s="18"/>
      <c r="D256" s="18"/>
      <c r="E256" s="18"/>
      <c r="F256" s="18"/>
      <c r="G256" s="18"/>
      <c r="H256" s="18"/>
      <c r="I256" s="18"/>
    </row>
    <row r="257" spans="3:9" ht="15" customHeight="1" x14ac:dyDescent="0.35">
      <c r="C257" s="18"/>
      <c r="D257" s="18"/>
      <c r="E257" s="18"/>
      <c r="F257" s="18"/>
      <c r="G257" s="18"/>
      <c r="H257" s="18"/>
      <c r="I257" s="18"/>
    </row>
    <row r="258" spans="3:9" ht="15" customHeight="1" x14ac:dyDescent="0.35">
      <c r="C258" s="18"/>
      <c r="D258" s="18"/>
      <c r="E258" s="18"/>
      <c r="F258" s="18"/>
      <c r="G258" s="18"/>
      <c r="H258" s="18"/>
      <c r="I258" s="18"/>
    </row>
    <row r="259" spans="3:9" ht="15" customHeight="1" x14ac:dyDescent="0.35">
      <c r="C259" s="18"/>
      <c r="D259" s="18"/>
      <c r="E259" s="18"/>
      <c r="F259" s="18"/>
      <c r="G259" s="18"/>
      <c r="H259" s="18"/>
      <c r="I259" s="18"/>
    </row>
    <row r="260" spans="3:9" ht="15" customHeight="1" x14ac:dyDescent="0.35">
      <c r="C260" s="18"/>
      <c r="D260" s="18"/>
      <c r="E260" s="18"/>
      <c r="F260" s="18"/>
      <c r="G260" s="18"/>
      <c r="H260" s="18"/>
      <c r="I260" s="18"/>
    </row>
    <row r="261" spans="3:9" ht="15" customHeight="1" x14ac:dyDescent="0.35">
      <c r="C261" s="18"/>
      <c r="D261" s="18"/>
      <c r="E261" s="18"/>
      <c r="F261" s="18"/>
      <c r="G261" s="18"/>
      <c r="H261" s="18"/>
      <c r="I261" s="18"/>
    </row>
    <row r="262" spans="3:9" ht="15" customHeight="1" x14ac:dyDescent="0.35">
      <c r="C262" s="18"/>
      <c r="D262" s="18"/>
      <c r="E262" s="18"/>
      <c r="F262" s="18"/>
      <c r="G262" s="18"/>
      <c r="H262" s="18"/>
      <c r="I262" s="18"/>
    </row>
    <row r="263" spans="3:9" ht="15" customHeight="1" x14ac:dyDescent="0.35">
      <c r="C263" s="18"/>
      <c r="D263" s="18"/>
      <c r="E263" s="18"/>
      <c r="F263" s="18"/>
      <c r="G263" s="18"/>
      <c r="H263" s="18"/>
      <c r="I263" s="18"/>
    </row>
    <row r="264" spans="3:9" ht="15" customHeight="1" x14ac:dyDescent="0.35">
      <c r="C264" s="18"/>
      <c r="D264" s="18"/>
      <c r="E264" s="18"/>
      <c r="F264" s="18"/>
      <c r="G264" s="18"/>
      <c r="H264" s="18"/>
      <c r="I264" s="18"/>
    </row>
    <row r="265" spans="3:9" ht="15" customHeight="1" x14ac:dyDescent="0.35">
      <c r="C265" s="18"/>
      <c r="D265" s="18"/>
      <c r="E265" s="18"/>
      <c r="F265" s="18"/>
      <c r="G265" s="18"/>
      <c r="H265" s="18"/>
      <c r="I265" s="18"/>
    </row>
    <row r="266" spans="3:9" ht="15" customHeight="1" x14ac:dyDescent="0.35">
      <c r="C266" s="18"/>
      <c r="D266" s="18"/>
      <c r="E266" s="18"/>
      <c r="F266" s="18"/>
      <c r="G266" s="18"/>
      <c r="H266" s="18"/>
      <c r="I266" s="18"/>
    </row>
    <row r="267" spans="3:9" ht="15" customHeight="1" x14ac:dyDescent="0.35">
      <c r="C267" s="18"/>
      <c r="D267" s="18"/>
      <c r="E267" s="18"/>
      <c r="F267" s="18"/>
      <c r="G267" s="18"/>
      <c r="H267" s="18"/>
      <c r="I267" s="18"/>
    </row>
    <row r="268" spans="3:9" ht="15" customHeight="1" x14ac:dyDescent="0.35">
      <c r="C268" s="18"/>
      <c r="D268" s="18"/>
      <c r="E268" s="18"/>
      <c r="F268" s="18"/>
      <c r="G268" s="18"/>
      <c r="H268" s="18"/>
      <c r="I268" s="18"/>
    </row>
    <row r="269" spans="3:9" ht="15" customHeight="1" x14ac:dyDescent="0.35">
      <c r="C269" s="18"/>
      <c r="D269" s="18"/>
      <c r="E269" s="18"/>
      <c r="F269" s="18"/>
      <c r="G269" s="18"/>
      <c r="H269" s="18"/>
      <c r="I269" s="18"/>
    </row>
    <row r="270" spans="3:9" ht="15" customHeight="1" x14ac:dyDescent="0.35">
      <c r="C270" s="18"/>
      <c r="D270" s="18"/>
      <c r="E270" s="18"/>
      <c r="F270" s="18"/>
      <c r="G270" s="18"/>
      <c r="H270" s="18"/>
      <c r="I270" s="18"/>
    </row>
    <row r="271" spans="3:9" ht="15" customHeight="1" x14ac:dyDescent="0.35">
      <c r="C271" s="18"/>
      <c r="D271" s="18"/>
      <c r="E271" s="18"/>
      <c r="F271" s="18"/>
      <c r="G271" s="18"/>
      <c r="H271" s="18"/>
      <c r="I271" s="18"/>
    </row>
    <row r="272" spans="3:9" ht="15" customHeight="1" x14ac:dyDescent="0.35">
      <c r="C272" s="18"/>
      <c r="D272" s="18"/>
      <c r="E272" s="18"/>
      <c r="F272" s="18"/>
      <c r="G272" s="18"/>
      <c r="H272" s="18"/>
      <c r="I272" s="18"/>
    </row>
    <row r="273" spans="3:9" ht="15" customHeight="1" x14ac:dyDescent="0.35">
      <c r="C273" s="18"/>
      <c r="D273" s="18"/>
      <c r="E273" s="18"/>
      <c r="F273" s="18"/>
      <c r="G273" s="18"/>
      <c r="H273" s="18"/>
      <c r="I273" s="18"/>
    </row>
    <row r="274" spans="3:9" ht="15" customHeight="1" x14ac:dyDescent="0.35">
      <c r="C274" s="18"/>
      <c r="D274" s="18"/>
      <c r="E274" s="18"/>
      <c r="F274" s="18"/>
      <c r="G274" s="18"/>
      <c r="H274" s="18"/>
      <c r="I274" s="18"/>
    </row>
    <row r="275" spans="3:9" ht="15" customHeight="1" x14ac:dyDescent="0.35">
      <c r="C275" s="18"/>
      <c r="D275" s="18"/>
      <c r="E275" s="18"/>
      <c r="F275" s="18"/>
      <c r="G275" s="18"/>
      <c r="H275" s="18"/>
      <c r="I275" s="18"/>
    </row>
    <row r="276" spans="3:9" ht="15" customHeight="1" x14ac:dyDescent="0.35">
      <c r="C276" s="18"/>
      <c r="D276" s="18"/>
      <c r="E276" s="18"/>
      <c r="F276" s="18"/>
      <c r="G276" s="18"/>
      <c r="H276" s="18"/>
      <c r="I276" s="18"/>
    </row>
    <row r="277" spans="3:9" ht="15" customHeight="1" x14ac:dyDescent="0.35">
      <c r="C277" s="18"/>
      <c r="D277" s="18"/>
      <c r="E277" s="18"/>
      <c r="F277" s="18"/>
      <c r="G277" s="18"/>
      <c r="H277" s="18"/>
      <c r="I277" s="18"/>
    </row>
    <row r="278" spans="3:9" ht="15" customHeight="1" x14ac:dyDescent="0.35">
      <c r="C278" s="18"/>
      <c r="D278" s="18"/>
      <c r="E278" s="18"/>
      <c r="F278" s="18"/>
      <c r="G278" s="18"/>
      <c r="H278" s="18"/>
      <c r="I278" s="18"/>
    </row>
    <row r="279" spans="3:9" ht="15" customHeight="1" x14ac:dyDescent="0.35">
      <c r="C279" s="18"/>
      <c r="D279" s="18"/>
      <c r="E279" s="18"/>
      <c r="F279" s="18"/>
      <c r="G279" s="18"/>
      <c r="H279" s="18"/>
      <c r="I279" s="18"/>
    </row>
    <row r="280" spans="3:9" ht="15" customHeight="1" x14ac:dyDescent="0.35">
      <c r="C280" s="18"/>
      <c r="D280" s="18"/>
      <c r="E280" s="18"/>
      <c r="F280" s="18"/>
      <c r="G280" s="18"/>
      <c r="H280" s="18"/>
      <c r="I280" s="18"/>
    </row>
    <row r="281" spans="3:9" ht="15" customHeight="1" x14ac:dyDescent="0.35">
      <c r="C281" s="18"/>
      <c r="D281" s="18"/>
      <c r="E281" s="18"/>
      <c r="F281" s="18"/>
      <c r="G281" s="18"/>
      <c r="H281" s="18"/>
      <c r="I281" s="18"/>
    </row>
    <row r="282" spans="3:9" ht="15" customHeight="1" x14ac:dyDescent="0.35">
      <c r="C282" s="18"/>
      <c r="D282" s="18"/>
      <c r="E282" s="18"/>
      <c r="F282" s="18"/>
      <c r="G282" s="18"/>
      <c r="H282" s="18"/>
      <c r="I282" s="18"/>
    </row>
    <row r="283" spans="3:9" ht="15" customHeight="1" x14ac:dyDescent="0.35">
      <c r="C283" s="18"/>
      <c r="D283" s="18"/>
      <c r="E283" s="18"/>
      <c r="F283" s="18"/>
      <c r="G283" s="18"/>
      <c r="H283" s="18"/>
      <c r="I283" s="18"/>
    </row>
    <row r="284" spans="3:9" ht="15" customHeight="1" x14ac:dyDescent="0.35">
      <c r="C284" s="18"/>
      <c r="D284" s="18"/>
      <c r="E284" s="18"/>
      <c r="F284" s="18"/>
      <c r="G284" s="18"/>
      <c r="H284" s="18"/>
      <c r="I284" s="18"/>
    </row>
    <row r="285" spans="3:9" ht="15" customHeight="1" x14ac:dyDescent="0.35">
      <c r="C285" s="18"/>
      <c r="D285" s="18"/>
      <c r="E285" s="18"/>
      <c r="F285" s="18"/>
      <c r="G285" s="18"/>
      <c r="H285" s="18"/>
      <c r="I285" s="18"/>
    </row>
    <row r="286" spans="3:9" ht="15" customHeight="1" x14ac:dyDescent="0.35">
      <c r="C286" s="18"/>
      <c r="D286" s="18"/>
      <c r="E286" s="18"/>
      <c r="F286" s="18"/>
      <c r="G286" s="18"/>
      <c r="H286" s="18"/>
      <c r="I286" s="18"/>
    </row>
    <row r="287" spans="3:9" ht="15" customHeight="1" x14ac:dyDescent="0.35">
      <c r="C287" s="18"/>
      <c r="D287" s="18"/>
      <c r="E287" s="18"/>
      <c r="F287" s="18"/>
      <c r="G287" s="18"/>
      <c r="H287" s="18"/>
      <c r="I287" s="18"/>
    </row>
    <row r="288" spans="3:9" ht="15" customHeight="1" x14ac:dyDescent="0.35">
      <c r="C288" s="18"/>
      <c r="D288" s="18"/>
      <c r="E288" s="18"/>
      <c r="F288" s="18"/>
      <c r="G288" s="18"/>
      <c r="H288" s="18"/>
      <c r="I288" s="18"/>
    </row>
    <row r="289" spans="3:9" ht="15" customHeight="1" x14ac:dyDescent="0.35">
      <c r="C289" s="18"/>
      <c r="D289" s="18"/>
      <c r="E289" s="18"/>
      <c r="F289" s="18"/>
      <c r="G289" s="18"/>
      <c r="H289" s="18"/>
      <c r="I289" s="18"/>
    </row>
    <row r="290" spans="3:9" ht="15" customHeight="1" x14ac:dyDescent="0.35">
      <c r="C290" s="18"/>
      <c r="D290" s="18"/>
      <c r="E290" s="18"/>
      <c r="F290" s="18"/>
      <c r="G290" s="18"/>
      <c r="H290" s="18"/>
      <c r="I290" s="18"/>
    </row>
    <row r="291" spans="3:9" ht="15" customHeight="1" x14ac:dyDescent="0.35">
      <c r="C291" s="18"/>
      <c r="D291" s="18"/>
      <c r="E291" s="18"/>
      <c r="F291" s="18"/>
      <c r="G291" s="18"/>
      <c r="H291" s="18"/>
      <c r="I291" s="18"/>
    </row>
    <row r="292" spans="3:9" ht="15" customHeight="1" x14ac:dyDescent="0.35">
      <c r="C292" s="18"/>
      <c r="D292" s="18"/>
      <c r="E292" s="18"/>
      <c r="F292" s="18"/>
      <c r="G292" s="18"/>
      <c r="H292" s="18"/>
      <c r="I292" s="18"/>
    </row>
    <row r="293" spans="3:9" ht="15" customHeight="1" x14ac:dyDescent="0.35">
      <c r="C293" s="18"/>
      <c r="D293" s="18"/>
      <c r="E293" s="18"/>
      <c r="F293" s="18"/>
      <c r="G293" s="18"/>
      <c r="H293" s="18"/>
      <c r="I293" s="18"/>
    </row>
    <row r="294" spans="3:9" ht="15" customHeight="1" x14ac:dyDescent="0.35">
      <c r="C294" s="18"/>
      <c r="D294" s="18"/>
      <c r="E294" s="18"/>
      <c r="F294" s="18"/>
      <c r="G294" s="18"/>
      <c r="H294" s="18"/>
      <c r="I294" s="18"/>
    </row>
    <row r="295" spans="3:9" ht="15" customHeight="1" x14ac:dyDescent="0.35">
      <c r="C295" s="18"/>
      <c r="D295" s="18"/>
      <c r="E295" s="18"/>
      <c r="F295" s="18"/>
      <c r="G295" s="18"/>
      <c r="H295" s="18"/>
      <c r="I295" s="18"/>
    </row>
    <row r="296" spans="3:9" ht="15" customHeight="1" x14ac:dyDescent="0.35">
      <c r="C296" s="18"/>
      <c r="D296" s="18"/>
      <c r="E296" s="18"/>
      <c r="F296" s="18"/>
      <c r="G296" s="18"/>
      <c r="H296" s="18"/>
      <c r="I296" s="18"/>
    </row>
    <row r="297" spans="3:9" ht="15" customHeight="1" x14ac:dyDescent="0.35">
      <c r="C297" s="18"/>
      <c r="D297" s="18"/>
      <c r="E297" s="18"/>
      <c r="F297" s="18"/>
      <c r="G297" s="18"/>
      <c r="H297" s="18"/>
      <c r="I297" s="18"/>
    </row>
    <row r="298" spans="3:9" ht="15" customHeight="1" x14ac:dyDescent="0.35">
      <c r="C298" s="18"/>
      <c r="D298" s="18"/>
      <c r="E298" s="18"/>
      <c r="F298" s="18"/>
      <c r="G298" s="18"/>
      <c r="H298" s="18"/>
      <c r="I298" s="18"/>
    </row>
    <row r="299" spans="3:9" ht="15" customHeight="1" x14ac:dyDescent="0.35">
      <c r="C299" s="18"/>
      <c r="D299" s="18"/>
      <c r="E299" s="18"/>
      <c r="F299" s="18"/>
      <c r="G299" s="18"/>
      <c r="H299" s="18"/>
      <c r="I299" s="18"/>
    </row>
    <row r="300" spans="3:9" ht="15" customHeight="1" x14ac:dyDescent="0.35">
      <c r="C300" s="18"/>
      <c r="D300" s="18"/>
      <c r="E300" s="18"/>
      <c r="F300" s="18"/>
      <c r="G300" s="18"/>
      <c r="H300" s="18"/>
      <c r="I300" s="18"/>
    </row>
    <row r="301" spans="3:9" ht="15" customHeight="1" x14ac:dyDescent="0.35">
      <c r="C301" s="18"/>
      <c r="D301" s="18"/>
      <c r="E301" s="18"/>
      <c r="F301" s="18"/>
      <c r="G301" s="18"/>
      <c r="H301" s="18"/>
      <c r="I301" s="18"/>
    </row>
    <row r="302" spans="3:9" ht="15" customHeight="1" x14ac:dyDescent="0.35">
      <c r="C302" s="18"/>
      <c r="D302" s="18"/>
      <c r="E302" s="18"/>
      <c r="F302" s="18"/>
      <c r="G302" s="18"/>
      <c r="H302" s="18"/>
      <c r="I302" s="18"/>
    </row>
    <row r="303" spans="3:9" ht="15" customHeight="1" x14ac:dyDescent="0.35">
      <c r="C303" s="18"/>
      <c r="D303" s="18"/>
      <c r="E303" s="18"/>
      <c r="F303" s="18"/>
      <c r="G303" s="18"/>
      <c r="H303" s="18"/>
      <c r="I303" s="18"/>
    </row>
    <row r="304" spans="3:9" ht="15" customHeight="1" x14ac:dyDescent="0.35">
      <c r="C304" s="18"/>
      <c r="D304" s="18"/>
      <c r="E304" s="18"/>
      <c r="F304" s="18"/>
      <c r="G304" s="18"/>
      <c r="H304" s="18"/>
      <c r="I304" s="18"/>
    </row>
    <row r="305" spans="3:9" ht="15" customHeight="1" x14ac:dyDescent="0.35">
      <c r="C305" s="18"/>
      <c r="D305" s="18"/>
      <c r="E305" s="18"/>
      <c r="F305" s="18"/>
      <c r="G305" s="18"/>
      <c r="H305" s="18"/>
      <c r="I305" s="18"/>
    </row>
    <row r="306" spans="3:9" ht="15" customHeight="1" x14ac:dyDescent="0.35">
      <c r="C306" s="18"/>
      <c r="D306" s="18"/>
      <c r="E306" s="18"/>
      <c r="F306" s="18"/>
      <c r="G306" s="18"/>
      <c r="H306" s="18"/>
      <c r="I306" s="18"/>
    </row>
    <row r="307" spans="3:9" ht="15" customHeight="1" x14ac:dyDescent="0.35">
      <c r="C307" s="18"/>
      <c r="D307" s="18"/>
      <c r="E307" s="18"/>
      <c r="F307" s="18"/>
      <c r="G307" s="18"/>
      <c r="H307" s="18"/>
      <c r="I307" s="18"/>
    </row>
    <row r="308" spans="3:9" ht="15" customHeight="1" x14ac:dyDescent="0.35">
      <c r="C308" s="18"/>
      <c r="D308" s="18"/>
      <c r="E308" s="18"/>
      <c r="F308" s="18"/>
      <c r="G308" s="18"/>
      <c r="H308" s="18"/>
      <c r="I308" s="18"/>
    </row>
    <row r="309" spans="3:9" ht="15" customHeight="1" x14ac:dyDescent="0.35">
      <c r="C309" s="18"/>
      <c r="D309" s="18"/>
      <c r="E309" s="18"/>
      <c r="F309" s="18"/>
      <c r="G309" s="18"/>
      <c r="H309" s="18"/>
      <c r="I309" s="18"/>
    </row>
    <row r="310" spans="3:9" ht="15" customHeight="1" x14ac:dyDescent="0.35">
      <c r="C310" s="18"/>
      <c r="D310" s="18"/>
      <c r="E310" s="18"/>
      <c r="F310" s="18"/>
      <c r="G310" s="18"/>
      <c r="H310" s="18"/>
      <c r="I310" s="18"/>
    </row>
    <row r="311" spans="3:9" ht="15" customHeight="1" x14ac:dyDescent="0.35">
      <c r="C311" s="18"/>
      <c r="D311" s="18"/>
      <c r="E311" s="18"/>
      <c r="F311" s="18"/>
      <c r="G311" s="18"/>
      <c r="H311" s="18"/>
      <c r="I311" s="18"/>
    </row>
    <row r="312" spans="3:9" ht="15" customHeight="1" x14ac:dyDescent="0.35">
      <c r="C312" s="18"/>
      <c r="D312" s="18"/>
      <c r="E312" s="18"/>
      <c r="F312" s="18"/>
      <c r="G312" s="18"/>
      <c r="H312" s="18"/>
      <c r="I312" s="18"/>
    </row>
    <row r="313" spans="3:9" ht="15" customHeight="1" x14ac:dyDescent="0.35">
      <c r="C313" s="18"/>
      <c r="D313" s="18"/>
      <c r="E313" s="18"/>
      <c r="F313" s="18"/>
      <c r="G313" s="18"/>
      <c r="H313" s="18"/>
      <c r="I313" s="18"/>
    </row>
    <row r="314" spans="3:9" ht="15" customHeight="1" x14ac:dyDescent="0.35">
      <c r="C314" s="18"/>
      <c r="D314" s="18"/>
      <c r="E314" s="18"/>
      <c r="F314" s="18"/>
      <c r="G314" s="18"/>
      <c r="H314" s="18"/>
      <c r="I314" s="18"/>
    </row>
    <row r="315" spans="3:9" ht="15" customHeight="1" x14ac:dyDescent="0.35">
      <c r="C315" s="18"/>
      <c r="D315" s="18"/>
      <c r="E315" s="18"/>
      <c r="F315" s="18"/>
      <c r="G315" s="18"/>
      <c r="H315" s="18"/>
      <c r="I315" s="18"/>
    </row>
    <row r="316" spans="3:9" ht="15" customHeight="1" x14ac:dyDescent="0.35">
      <c r="C316" s="18"/>
      <c r="D316" s="18"/>
      <c r="E316" s="18"/>
      <c r="F316" s="18"/>
      <c r="G316" s="18"/>
      <c r="H316" s="18"/>
      <c r="I316" s="18"/>
    </row>
    <row r="317" spans="3:9" ht="15" customHeight="1" x14ac:dyDescent="0.35">
      <c r="C317" s="18"/>
      <c r="D317" s="18"/>
      <c r="E317" s="18"/>
      <c r="F317" s="18"/>
      <c r="G317" s="18"/>
      <c r="H317" s="18"/>
      <c r="I317" s="18"/>
    </row>
    <row r="318" spans="3:9" ht="15" customHeight="1" x14ac:dyDescent="0.35">
      <c r="C318" s="18"/>
      <c r="D318" s="18"/>
      <c r="E318" s="18"/>
      <c r="F318" s="18"/>
      <c r="G318" s="18"/>
      <c r="H318" s="18"/>
      <c r="I318" s="18"/>
    </row>
    <row r="319" spans="3:9" ht="15" customHeight="1" x14ac:dyDescent="0.35">
      <c r="C319" s="18"/>
      <c r="D319" s="18"/>
      <c r="E319" s="18"/>
      <c r="F319" s="18"/>
      <c r="G319" s="18"/>
      <c r="H319" s="18"/>
      <c r="I319" s="18"/>
    </row>
    <row r="320" spans="3:9" ht="15" customHeight="1" x14ac:dyDescent="0.35">
      <c r="C320" s="18"/>
      <c r="D320" s="18"/>
      <c r="E320" s="18"/>
      <c r="F320" s="18"/>
      <c r="G320" s="18"/>
      <c r="H320" s="18"/>
      <c r="I320" s="18"/>
    </row>
    <row r="321" spans="3:9" ht="15" customHeight="1" x14ac:dyDescent="0.35">
      <c r="C321" s="18"/>
      <c r="D321" s="18"/>
      <c r="E321" s="18"/>
      <c r="F321" s="18"/>
      <c r="G321" s="18"/>
      <c r="H321" s="18"/>
      <c r="I321" s="18"/>
    </row>
    <row r="322" spans="3:9" ht="15" customHeight="1" x14ac:dyDescent="0.35">
      <c r="C322" s="18"/>
      <c r="D322" s="18"/>
      <c r="E322" s="18"/>
      <c r="F322" s="18"/>
      <c r="G322" s="18"/>
      <c r="H322" s="18"/>
      <c r="I322" s="18"/>
    </row>
    <row r="323" spans="3:9" ht="15" customHeight="1" x14ac:dyDescent="0.35">
      <c r="C323" s="18"/>
      <c r="D323" s="18"/>
      <c r="E323" s="18"/>
      <c r="F323" s="18"/>
      <c r="G323" s="18"/>
      <c r="H323" s="18"/>
      <c r="I323" s="18"/>
    </row>
    <row r="324" spans="3:9" ht="15" customHeight="1" x14ac:dyDescent="0.35">
      <c r="C324" s="18"/>
      <c r="D324" s="18"/>
      <c r="E324" s="18"/>
      <c r="F324" s="18"/>
      <c r="G324" s="18"/>
      <c r="H324" s="18"/>
      <c r="I324" s="18"/>
    </row>
    <row r="325" spans="3:9" ht="15" customHeight="1" x14ac:dyDescent="0.35">
      <c r="C325" s="18"/>
      <c r="D325" s="18"/>
      <c r="E325" s="18"/>
      <c r="F325" s="18"/>
      <c r="G325" s="18"/>
      <c r="H325" s="18"/>
      <c r="I325" s="18"/>
    </row>
    <row r="326" spans="3:9" ht="15" customHeight="1" x14ac:dyDescent="0.35">
      <c r="C326" s="18"/>
      <c r="D326" s="18"/>
      <c r="E326" s="18"/>
      <c r="F326" s="18"/>
      <c r="G326" s="18"/>
      <c r="H326" s="18"/>
      <c r="I326" s="18"/>
    </row>
    <row r="327" spans="3:9" ht="15" customHeight="1" x14ac:dyDescent="0.35">
      <c r="C327" s="18"/>
      <c r="D327" s="18"/>
      <c r="E327" s="18"/>
      <c r="F327" s="18"/>
      <c r="G327" s="18"/>
      <c r="H327" s="18"/>
      <c r="I327" s="18"/>
    </row>
    <row r="328" spans="3:9" ht="15" customHeight="1" x14ac:dyDescent="0.35">
      <c r="C328" s="18"/>
      <c r="D328" s="18"/>
      <c r="E328" s="18"/>
      <c r="F328" s="18"/>
      <c r="G328" s="18"/>
      <c r="H328" s="18"/>
      <c r="I328" s="18"/>
    </row>
    <row r="329" spans="3:9" ht="15" customHeight="1" x14ac:dyDescent="0.35">
      <c r="C329" s="18"/>
      <c r="D329" s="18"/>
      <c r="E329" s="18"/>
      <c r="F329" s="18"/>
      <c r="G329" s="18"/>
      <c r="H329" s="18"/>
      <c r="I329" s="18"/>
    </row>
    <row r="330" spans="3:9" ht="15" customHeight="1" x14ac:dyDescent="0.35">
      <c r="C330" s="18"/>
      <c r="D330" s="18"/>
      <c r="E330" s="18"/>
      <c r="F330" s="18"/>
      <c r="G330" s="18"/>
      <c r="H330" s="18"/>
      <c r="I330" s="18"/>
    </row>
    <row r="331" spans="3:9" ht="15" customHeight="1" x14ac:dyDescent="0.35">
      <c r="C331" s="18"/>
      <c r="D331" s="18"/>
      <c r="E331" s="18"/>
      <c r="F331" s="18"/>
      <c r="G331" s="18"/>
      <c r="H331" s="18"/>
      <c r="I331" s="18"/>
    </row>
    <row r="332" spans="3:9" ht="15" customHeight="1" x14ac:dyDescent="0.35">
      <c r="C332" s="18"/>
      <c r="D332" s="18"/>
      <c r="E332" s="18"/>
      <c r="F332" s="18"/>
      <c r="G332" s="18"/>
      <c r="H332" s="18"/>
      <c r="I332" s="18"/>
    </row>
    <row r="333" spans="3:9" ht="15" customHeight="1" x14ac:dyDescent="0.35">
      <c r="C333" s="18"/>
      <c r="D333" s="18"/>
      <c r="E333" s="18"/>
      <c r="F333" s="18"/>
      <c r="G333" s="18"/>
      <c r="H333" s="18"/>
      <c r="I333" s="18"/>
    </row>
    <row r="334" spans="3:9" ht="15" customHeight="1" x14ac:dyDescent="0.35">
      <c r="C334" s="18"/>
      <c r="D334" s="18"/>
      <c r="E334" s="18"/>
      <c r="F334" s="18"/>
      <c r="G334" s="18"/>
      <c r="H334" s="18"/>
      <c r="I334" s="18"/>
    </row>
    <row r="335" spans="3:9" ht="15" customHeight="1" x14ac:dyDescent="0.35">
      <c r="C335" s="18"/>
      <c r="D335" s="18"/>
      <c r="E335" s="18"/>
      <c r="F335" s="18"/>
      <c r="G335" s="18"/>
      <c r="H335" s="18"/>
      <c r="I335" s="18"/>
    </row>
    <row r="336" spans="3:9" ht="15" customHeight="1" x14ac:dyDescent="0.35">
      <c r="C336" s="18"/>
      <c r="D336" s="18"/>
      <c r="E336" s="18"/>
      <c r="F336" s="18"/>
      <c r="G336" s="18"/>
      <c r="H336" s="18"/>
      <c r="I336" s="18"/>
    </row>
    <row r="337" spans="3:9" ht="15" customHeight="1" x14ac:dyDescent="0.35">
      <c r="C337" s="18"/>
      <c r="D337" s="18"/>
      <c r="E337" s="18"/>
      <c r="F337" s="18"/>
      <c r="G337" s="18"/>
      <c r="H337" s="18"/>
      <c r="I337" s="18"/>
    </row>
    <row r="338" spans="3:9" ht="15" customHeight="1" x14ac:dyDescent="0.35">
      <c r="C338" s="18"/>
      <c r="D338" s="18"/>
      <c r="E338" s="18"/>
      <c r="F338" s="18"/>
      <c r="G338" s="18"/>
      <c r="H338" s="18"/>
      <c r="I338" s="18"/>
    </row>
    <row r="339" spans="3:9" ht="15" customHeight="1" x14ac:dyDescent="0.35">
      <c r="C339" s="18"/>
      <c r="D339" s="18"/>
      <c r="E339" s="18"/>
      <c r="F339" s="18"/>
      <c r="G339" s="18"/>
      <c r="H339" s="18"/>
      <c r="I339" s="18"/>
    </row>
    <row r="340" spans="3:9" ht="15" customHeight="1" x14ac:dyDescent="0.35">
      <c r="C340" s="18"/>
      <c r="D340" s="18"/>
      <c r="E340" s="18"/>
      <c r="F340" s="18"/>
      <c r="G340" s="18"/>
      <c r="H340" s="18"/>
      <c r="I340" s="18"/>
    </row>
    <row r="341" spans="3:9" ht="15" customHeight="1" x14ac:dyDescent="0.35">
      <c r="C341" s="18"/>
      <c r="D341" s="18"/>
      <c r="E341" s="18"/>
      <c r="F341" s="18"/>
      <c r="G341" s="18"/>
      <c r="H341" s="18"/>
      <c r="I341" s="18"/>
    </row>
    <row r="342" spans="3:9" ht="15" customHeight="1" x14ac:dyDescent="0.35">
      <c r="C342" s="18"/>
      <c r="D342" s="18"/>
      <c r="E342" s="18"/>
      <c r="F342" s="18"/>
      <c r="G342" s="18"/>
      <c r="H342" s="18"/>
      <c r="I342" s="18"/>
    </row>
    <row r="343" spans="3:9" ht="15" customHeight="1" x14ac:dyDescent="0.35">
      <c r="C343" s="18"/>
      <c r="D343" s="18"/>
      <c r="E343" s="18"/>
      <c r="F343" s="18"/>
      <c r="G343" s="18"/>
      <c r="H343" s="18"/>
      <c r="I343" s="18"/>
    </row>
    <row r="344" spans="3:9" ht="15" customHeight="1" x14ac:dyDescent="0.35">
      <c r="C344" s="18"/>
      <c r="D344" s="18"/>
      <c r="E344" s="18"/>
      <c r="F344" s="18"/>
      <c r="G344" s="18"/>
      <c r="H344" s="18"/>
      <c r="I344" s="18"/>
    </row>
    <row r="345" spans="3:9" ht="15" customHeight="1" x14ac:dyDescent="0.35">
      <c r="C345" s="18"/>
      <c r="D345" s="18"/>
      <c r="E345" s="18"/>
      <c r="F345" s="18"/>
      <c r="G345" s="18"/>
      <c r="H345" s="18"/>
      <c r="I345" s="18"/>
    </row>
    <row r="346" spans="3:9" ht="15" customHeight="1" x14ac:dyDescent="0.35">
      <c r="C346" s="18"/>
      <c r="D346" s="18"/>
      <c r="E346" s="18"/>
      <c r="F346" s="18"/>
      <c r="G346" s="18"/>
      <c r="H346" s="18"/>
      <c r="I346" s="18"/>
    </row>
    <row r="347" spans="3:9" ht="15" customHeight="1" x14ac:dyDescent="0.35">
      <c r="C347" s="18"/>
      <c r="D347" s="18"/>
      <c r="E347" s="18"/>
      <c r="F347" s="18"/>
      <c r="G347" s="18"/>
      <c r="H347" s="18"/>
      <c r="I347" s="18"/>
    </row>
    <row r="348" spans="3:9" ht="15" customHeight="1" x14ac:dyDescent="0.35">
      <c r="C348" s="18"/>
      <c r="D348" s="18"/>
      <c r="E348" s="18"/>
      <c r="F348" s="18"/>
      <c r="G348" s="18"/>
      <c r="H348" s="18"/>
      <c r="I348" s="18"/>
    </row>
    <row r="349" spans="3:9" ht="15" customHeight="1" x14ac:dyDescent="0.35">
      <c r="C349" s="18"/>
      <c r="D349" s="18"/>
      <c r="E349" s="18"/>
      <c r="F349" s="18"/>
      <c r="G349" s="18"/>
      <c r="H349" s="18"/>
      <c r="I349" s="18"/>
    </row>
    <row r="350" spans="3:9" ht="15" customHeight="1" x14ac:dyDescent="0.35">
      <c r="C350" s="18"/>
      <c r="D350" s="18"/>
      <c r="E350" s="18"/>
      <c r="F350" s="18"/>
      <c r="G350" s="18"/>
      <c r="H350" s="18"/>
      <c r="I350" s="18"/>
    </row>
    <row r="351" spans="3:9" ht="15" customHeight="1" x14ac:dyDescent="0.35">
      <c r="C351" s="18"/>
      <c r="D351" s="18"/>
      <c r="E351" s="18"/>
      <c r="F351" s="18"/>
      <c r="G351" s="18"/>
      <c r="H351" s="18"/>
      <c r="I351" s="18"/>
    </row>
    <row r="352" spans="3:9" ht="15" customHeight="1" x14ac:dyDescent="0.35">
      <c r="C352" s="18"/>
      <c r="D352" s="18"/>
      <c r="E352" s="18"/>
      <c r="F352" s="18"/>
      <c r="G352" s="18"/>
      <c r="H352" s="18"/>
      <c r="I352" s="18"/>
    </row>
    <row r="353" spans="3:9" ht="15" customHeight="1" x14ac:dyDescent="0.35">
      <c r="C353" s="18"/>
      <c r="D353" s="18"/>
      <c r="E353" s="18"/>
      <c r="F353" s="18"/>
      <c r="G353" s="18"/>
      <c r="H353" s="18"/>
      <c r="I353" s="18"/>
    </row>
    <row r="354" spans="3:9" ht="15" customHeight="1" x14ac:dyDescent="0.35">
      <c r="C354" s="18"/>
      <c r="D354" s="18"/>
      <c r="E354" s="18"/>
      <c r="F354" s="18"/>
      <c r="G354" s="18"/>
      <c r="H354" s="18"/>
      <c r="I354" s="18"/>
    </row>
    <row r="355" spans="3:9" ht="15" customHeight="1" x14ac:dyDescent="0.35">
      <c r="C355" s="18"/>
      <c r="D355" s="18"/>
      <c r="E355" s="18"/>
      <c r="F355" s="18"/>
      <c r="G355" s="18"/>
      <c r="H355" s="18"/>
      <c r="I355" s="18"/>
    </row>
    <row r="356" spans="3:9" ht="15" customHeight="1" x14ac:dyDescent="0.35">
      <c r="C356" s="18"/>
      <c r="D356" s="18"/>
      <c r="E356" s="18"/>
      <c r="F356" s="18"/>
      <c r="G356" s="18"/>
      <c r="H356" s="18"/>
      <c r="I356" s="18"/>
    </row>
    <row r="357" spans="3:9" ht="15" customHeight="1" x14ac:dyDescent="0.35">
      <c r="C357" s="18"/>
      <c r="D357" s="18"/>
      <c r="E357" s="18"/>
      <c r="F357" s="18"/>
      <c r="G357" s="18"/>
      <c r="H357" s="18"/>
      <c r="I357" s="18"/>
    </row>
    <row r="358" spans="3:9" ht="15" customHeight="1" x14ac:dyDescent="0.35">
      <c r="C358" s="18"/>
      <c r="D358" s="18"/>
      <c r="E358" s="18"/>
      <c r="F358" s="18"/>
      <c r="G358" s="18"/>
      <c r="H358" s="18"/>
      <c r="I358" s="18"/>
    </row>
    <row r="359" spans="3:9" ht="15" customHeight="1" x14ac:dyDescent="0.35">
      <c r="C359" s="18"/>
      <c r="D359" s="18"/>
      <c r="E359" s="18"/>
      <c r="F359" s="18"/>
      <c r="G359" s="18"/>
      <c r="H359" s="18"/>
      <c r="I359" s="18"/>
    </row>
    <row r="360" spans="3:9" ht="15" customHeight="1" x14ac:dyDescent="0.35">
      <c r="C360" s="18"/>
      <c r="D360" s="18"/>
      <c r="E360" s="18"/>
      <c r="F360" s="18"/>
      <c r="G360" s="18"/>
      <c r="H360" s="18"/>
      <c r="I360" s="18"/>
    </row>
    <row r="361" spans="3:9" ht="15" customHeight="1" x14ac:dyDescent="0.35">
      <c r="C361" s="18"/>
      <c r="D361" s="18"/>
      <c r="E361" s="18"/>
      <c r="F361" s="18"/>
      <c r="G361" s="18"/>
      <c r="H361" s="18"/>
      <c r="I361" s="18"/>
    </row>
    <row r="362" spans="3:9" ht="15" customHeight="1" x14ac:dyDescent="0.35">
      <c r="C362" s="18"/>
      <c r="D362" s="18"/>
      <c r="E362" s="18"/>
      <c r="F362" s="18"/>
      <c r="G362" s="18"/>
      <c r="H362" s="18"/>
      <c r="I362" s="18"/>
    </row>
    <row r="363" spans="3:9" ht="15" customHeight="1" x14ac:dyDescent="0.35">
      <c r="C363" s="18"/>
      <c r="D363" s="18"/>
      <c r="E363" s="18"/>
      <c r="F363" s="18"/>
      <c r="G363" s="18"/>
      <c r="H363" s="18"/>
      <c r="I363" s="18"/>
    </row>
    <row r="364" spans="3:9" ht="15" customHeight="1" x14ac:dyDescent="0.35">
      <c r="C364" s="18"/>
      <c r="D364" s="18"/>
      <c r="E364" s="18"/>
      <c r="F364" s="18"/>
      <c r="G364" s="18"/>
      <c r="H364" s="18"/>
      <c r="I364" s="18"/>
    </row>
    <row r="365" spans="3:9" ht="15" customHeight="1" x14ac:dyDescent="0.35">
      <c r="C365" s="18"/>
      <c r="D365" s="18"/>
      <c r="E365" s="18"/>
      <c r="F365" s="18"/>
      <c r="G365" s="18"/>
      <c r="H365" s="18"/>
      <c r="I365" s="18"/>
    </row>
    <row r="366" spans="3:9" ht="15" customHeight="1" x14ac:dyDescent="0.35">
      <c r="C366" s="18"/>
      <c r="D366" s="18"/>
      <c r="E366" s="18"/>
      <c r="F366" s="18"/>
      <c r="G366" s="18"/>
      <c r="H366" s="18"/>
      <c r="I366" s="18"/>
    </row>
    <row r="367" spans="3:9" ht="15" customHeight="1" x14ac:dyDescent="0.35">
      <c r="C367" s="18"/>
      <c r="D367" s="18"/>
      <c r="E367" s="18"/>
      <c r="F367" s="18"/>
      <c r="G367" s="18"/>
      <c r="H367" s="18"/>
      <c r="I367" s="18"/>
    </row>
    <row r="368" spans="3:9" ht="15" customHeight="1" x14ac:dyDescent="0.35">
      <c r="C368" s="18"/>
      <c r="D368" s="18"/>
      <c r="E368" s="18"/>
      <c r="F368" s="18"/>
      <c r="G368" s="18"/>
      <c r="H368" s="18"/>
      <c r="I368" s="18"/>
    </row>
    <row r="369" spans="3:9" ht="15" customHeight="1" x14ac:dyDescent="0.35">
      <c r="C369" s="18"/>
      <c r="D369" s="18"/>
      <c r="E369" s="18"/>
      <c r="F369" s="18"/>
      <c r="G369" s="18"/>
      <c r="H369" s="18"/>
      <c r="I369" s="18"/>
    </row>
    <row r="370" spans="3:9" ht="15" customHeight="1" x14ac:dyDescent="0.35">
      <c r="C370" s="18"/>
      <c r="D370" s="18"/>
      <c r="E370" s="18"/>
      <c r="F370" s="18"/>
      <c r="G370" s="18"/>
      <c r="H370" s="18"/>
      <c r="I370" s="18"/>
    </row>
    <row r="371" spans="3:9" ht="15" customHeight="1" x14ac:dyDescent="0.35">
      <c r="C371" s="18"/>
      <c r="D371" s="18"/>
      <c r="E371" s="18"/>
      <c r="F371" s="18"/>
      <c r="G371" s="18"/>
      <c r="H371" s="18"/>
      <c r="I371" s="18"/>
    </row>
    <row r="372" spans="3:9" ht="15" customHeight="1" x14ac:dyDescent="0.35">
      <c r="C372" s="18"/>
      <c r="D372" s="18"/>
      <c r="E372" s="18"/>
      <c r="F372" s="18"/>
      <c r="G372" s="18"/>
      <c r="H372" s="18"/>
      <c r="I372" s="18"/>
    </row>
    <row r="373" spans="3:9" ht="15" customHeight="1" x14ac:dyDescent="0.35">
      <c r="C373" s="18"/>
      <c r="D373" s="18"/>
      <c r="E373" s="18"/>
      <c r="F373" s="18"/>
      <c r="G373" s="18"/>
      <c r="H373" s="18"/>
      <c r="I373" s="18"/>
    </row>
    <row r="374" spans="3:9" ht="15" customHeight="1" x14ac:dyDescent="0.35">
      <c r="C374" s="18"/>
      <c r="D374" s="18"/>
      <c r="E374" s="18"/>
      <c r="F374" s="18"/>
      <c r="G374" s="18"/>
      <c r="H374" s="18"/>
      <c r="I374" s="18"/>
    </row>
    <row r="375" spans="3:9" ht="15" customHeight="1" x14ac:dyDescent="0.35">
      <c r="C375" s="18"/>
      <c r="D375" s="18"/>
      <c r="E375" s="18"/>
      <c r="F375" s="18"/>
      <c r="G375" s="18"/>
      <c r="H375" s="18"/>
      <c r="I375" s="18"/>
    </row>
    <row r="376" spans="3:9" ht="15" customHeight="1" x14ac:dyDescent="0.35">
      <c r="C376" s="18"/>
      <c r="D376" s="18"/>
      <c r="E376" s="18"/>
      <c r="F376" s="18"/>
      <c r="G376" s="18"/>
      <c r="H376" s="18"/>
      <c r="I376" s="18"/>
    </row>
    <row r="377" spans="3:9" ht="15" customHeight="1" x14ac:dyDescent="0.35">
      <c r="C377" s="18"/>
      <c r="D377" s="18"/>
      <c r="E377" s="18"/>
      <c r="F377" s="18"/>
      <c r="G377" s="18"/>
      <c r="H377" s="18"/>
      <c r="I377" s="18"/>
    </row>
    <row r="378" spans="3:9" ht="15" customHeight="1" x14ac:dyDescent="0.35">
      <c r="C378" s="18"/>
      <c r="D378" s="18"/>
      <c r="E378" s="18"/>
      <c r="F378" s="18"/>
      <c r="G378" s="18"/>
      <c r="H378" s="18"/>
      <c r="I378" s="18"/>
    </row>
    <row r="379" spans="3:9" ht="15" customHeight="1" x14ac:dyDescent="0.35">
      <c r="C379" s="18"/>
      <c r="D379" s="18"/>
      <c r="E379" s="18"/>
      <c r="F379" s="18"/>
      <c r="G379" s="18"/>
      <c r="H379" s="18"/>
      <c r="I379" s="18"/>
    </row>
    <row r="380" spans="3:9" ht="15" customHeight="1" x14ac:dyDescent="0.35">
      <c r="C380" s="18"/>
      <c r="D380" s="18"/>
      <c r="E380" s="18"/>
      <c r="F380" s="18"/>
      <c r="G380" s="18"/>
      <c r="H380" s="18"/>
      <c r="I380" s="18"/>
    </row>
    <row r="381" spans="3:9" ht="15" customHeight="1" x14ac:dyDescent="0.35">
      <c r="C381" s="18"/>
      <c r="D381" s="18"/>
      <c r="E381" s="18"/>
      <c r="F381" s="18"/>
      <c r="G381" s="18"/>
      <c r="H381" s="18"/>
      <c r="I381" s="18"/>
    </row>
    <row r="382" spans="3:9" ht="15" customHeight="1" x14ac:dyDescent="0.35">
      <c r="C382" s="18"/>
      <c r="D382" s="18"/>
      <c r="E382" s="18"/>
      <c r="F382" s="18"/>
      <c r="G382" s="18"/>
      <c r="H382" s="18"/>
      <c r="I382" s="18"/>
    </row>
    <row r="383" spans="3:9" ht="15" customHeight="1" x14ac:dyDescent="0.35">
      <c r="C383" s="18"/>
      <c r="D383" s="18"/>
      <c r="E383" s="18"/>
      <c r="F383" s="18"/>
      <c r="G383" s="18"/>
      <c r="H383" s="18"/>
      <c r="I383" s="18"/>
    </row>
    <row r="384" spans="3:9" ht="15" customHeight="1" x14ac:dyDescent="0.35">
      <c r="C384" s="18"/>
      <c r="D384" s="18"/>
      <c r="E384" s="18"/>
      <c r="F384" s="18"/>
      <c r="G384" s="18"/>
      <c r="H384" s="18"/>
      <c r="I384" s="18"/>
    </row>
    <row r="385" spans="3:9" ht="15" customHeight="1" x14ac:dyDescent="0.35">
      <c r="C385" s="18"/>
      <c r="D385" s="18"/>
      <c r="E385" s="18"/>
      <c r="F385" s="18"/>
      <c r="G385" s="18"/>
      <c r="H385" s="18"/>
      <c r="I385" s="18"/>
    </row>
    <row r="386" spans="3:9" ht="15" customHeight="1" x14ac:dyDescent="0.35">
      <c r="C386" s="18"/>
      <c r="D386" s="18"/>
      <c r="E386" s="18"/>
      <c r="F386" s="18"/>
      <c r="G386" s="18"/>
      <c r="H386" s="18"/>
      <c r="I386" s="18"/>
    </row>
    <row r="387" spans="3:9" ht="15" customHeight="1" x14ac:dyDescent="0.35">
      <c r="C387" s="18"/>
      <c r="D387" s="18"/>
      <c r="E387" s="18"/>
      <c r="F387" s="18"/>
      <c r="G387" s="18"/>
      <c r="H387" s="18"/>
      <c r="I387" s="18"/>
    </row>
    <row r="388" spans="3:9" ht="15" customHeight="1" x14ac:dyDescent="0.35">
      <c r="C388" s="18"/>
      <c r="D388" s="18"/>
      <c r="E388" s="18"/>
      <c r="F388" s="18"/>
      <c r="G388" s="18"/>
      <c r="H388" s="18"/>
      <c r="I388" s="18"/>
    </row>
    <row r="389" spans="3:9" ht="15" customHeight="1" x14ac:dyDescent="0.35">
      <c r="C389" s="18"/>
      <c r="D389" s="18"/>
      <c r="E389" s="18"/>
      <c r="F389" s="18"/>
      <c r="G389" s="18"/>
      <c r="H389" s="18"/>
      <c r="I389" s="18"/>
    </row>
    <row r="390" spans="3:9" ht="15" customHeight="1" x14ac:dyDescent="0.35">
      <c r="C390" s="18"/>
      <c r="D390" s="18"/>
      <c r="E390" s="18"/>
      <c r="F390" s="18"/>
      <c r="G390" s="18"/>
      <c r="H390" s="18"/>
      <c r="I390" s="18"/>
    </row>
    <row r="391" spans="3:9" ht="15" customHeight="1" x14ac:dyDescent="0.35">
      <c r="C391" s="18"/>
      <c r="D391" s="18"/>
      <c r="E391" s="18"/>
      <c r="F391" s="18"/>
      <c r="G391" s="18"/>
      <c r="H391" s="18"/>
      <c r="I391" s="18"/>
    </row>
    <row r="392" spans="3:9" ht="15" customHeight="1" x14ac:dyDescent="0.35">
      <c r="C392" s="18"/>
      <c r="D392" s="18"/>
      <c r="E392" s="18"/>
      <c r="F392" s="18"/>
      <c r="G392" s="18"/>
      <c r="H392" s="18"/>
      <c r="I392" s="18"/>
    </row>
    <row r="393" spans="3:9" ht="15" customHeight="1" x14ac:dyDescent="0.35">
      <c r="C393" s="18"/>
      <c r="D393" s="18"/>
      <c r="E393" s="18"/>
      <c r="F393" s="18"/>
      <c r="G393" s="18"/>
      <c r="H393" s="18"/>
      <c r="I393" s="18"/>
    </row>
    <row r="394" spans="3:9" ht="15" customHeight="1" x14ac:dyDescent="0.35">
      <c r="C394" s="18"/>
      <c r="D394" s="18"/>
      <c r="E394" s="18"/>
      <c r="F394" s="18"/>
      <c r="G394" s="18"/>
      <c r="H394" s="18"/>
      <c r="I394" s="18"/>
    </row>
    <row r="395" spans="3:9" ht="15" customHeight="1" x14ac:dyDescent="0.35">
      <c r="C395" s="18"/>
      <c r="D395" s="18"/>
      <c r="E395" s="18"/>
      <c r="F395" s="18"/>
      <c r="G395" s="18"/>
      <c r="H395" s="18"/>
      <c r="I395" s="18"/>
    </row>
    <row r="396" spans="3:9" ht="15" customHeight="1" x14ac:dyDescent="0.35">
      <c r="C396" s="18"/>
      <c r="D396" s="18"/>
      <c r="E396" s="18"/>
      <c r="F396" s="18"/>
      <c r="G396" s="18"/>
      <c r="H396" s="18"/>
      <c r="I396" s="18"/>
    </row>
    <row r="397" spans="3:9" ht="15" customHeight="1" x14ac:dyDescent="0.35">
      <c r="C397" s="18"/>
      <c r="D397" s="18"/>
      <c r="E397" s="18"/>
      <c r="F397" s="18"/>
      <c r="G397" s="18"/>
      <c r="H397" s="18"/>
      <c r="I397" s="18"/>
    </row>
    <row r="398" spans="3:9" ht="15" customHeight="1" x14ac:dyDescent="0.35">
      <c r="C398" s="18"/>
      <c r="D398" s="18"/>
      <c r="E398" s="18"/>
      <c r="F398" s="18"/>
      <c r="G398" s="18"/>
      <c r="H398" s="18"/>
      <c r="I398" s="18"/>
    </row>
    <row r="399" spans="3:9" ht="15" customHeight="1" x14ac:dyDescent="0.35">
      <c r="C399" s="18"/>
      <c r="D399" s="18"/>
      <c r="E399" s="18"/>
      <c r="F399" s="18"/>
      <c r="G399" s="18"/>
      <c r="H399" s="18"/>
      <c r="I399" s="18"/>
    </row>
    <row r="400" spans="3:9" ht="15" customHeight="1" x14ac:dyDescent="0.35">
      <c r="C400" s="18"/>
      <c r="D400" s="18"/>
      <c r="E400" s="18"/>
      <c r="F400" s="18"/>
      <c r="G400" s="18"/>
      <c r="H400" s="18"/>
      <c r="I400" s="18"/>
    </row>
    <row r="401" spans="3:9" ht="15" customHeight="1" x14ac:dyDescent="0.35">
      <c r="C401" s="18"/>
      <c r="D401" s="18"/>
      <c r="E401" s="18"/>
      <c r="F401" s="18"/>
      <c r="G401" s="18"/>
      <c r="H401" s="18"/>
      <c r="I401" s="18"/>
    </row>
    <row r="402" spans="3:9" ht="15" customHeight="1" x14ac:dyDescent="0.35">
      <c r="C402" s="18"/>
      <c r="D402" s="18"/>
      <c r="E402" s="18"/>
      <c r="F402" s="18"/>
      <c r="G402" s="18"/>
      <c r="H402" s="18"/>
      <c r="I402" s="18"/>
    </row>
    <row r="403" spans="3:9" ht="15" customHeight="1" x14ac:dyDescent="0.35">
      <c r="C403" s="18"/>
      <c r="D403" s="18"/>
      <c r="E403" s="18"/>
      <c r="F403" s="18"/>
      <c r="G403" s="18"/>
      <c r="H403" s="18"/>
      <c r="I403" s="18"/>
    </row>
    <row r="404" spans="3:9" ht="15" customHeight="1" x14ac:dyDescent="0.35">
      <c r="C404" s="18"/>
      <c r="D404" s="18"/>
      <c r="E404" s="18"/>
      <c r="F404" s="18"/>
      <c r="G404" s="18"/>
      <c r="H404" s="18"/>
      <c r="I404" s="18"/>
    </row>
    <row r="405" spans="3:9" ht="15" customHeight="1" x14ac:dyDescent="0.35">
      <c r="C405" s="18"/>
      <c r="D405" s="18"/>
      <c r="E405" s="18"/>
      <c r="F405" s="18"/>
      <c r="G405" s="18"/>
      <c r="H405" s="18"/>
      <c r="I405" s="18"/>
    </row>
    <row r="406" spans="3:9" ht="15" customHeight="1" x14ac:dyDescent="0.35">
      <c r="C406" s="18"/>
      <c r="D406" s="18"/>
      <c r="E406" s="18"/>
      <c r="F406" s="18"/>
      <c r="G406" s="18"/>
      <c r="H406" s="18"/>
      <c r="I406" s="18"/>
    </row>
    <row r="407" spans="3:9" ht="15" customHeight="1" x14ac:dyDescent="0.35">
      <c r="C407" s="18"/>
      <c r="D407" s="18"/>
      <c r="E407" s="18"/>
      <c r="F407" s="18"/>
      <c r="G407" s="18"/>
      <c r="H407" s="18"/>
      <c r="I407" s="18"/>
    </row>
    <row r="408" spans="3:9" ht="15" customHeight="1" x14ac:dyDescent="0.35">
      <c r="C408" s="18"/>
      <c r="D408" s="18"/>
      <c r="E408" s="18"/>
      <c r="F408" s="18"/>
      <c r="G408" s="18"/>
      <c r="H408" s="18"/>
      <c r="I408" s="18"/>
    </row>
    <row r="409" spans="3:9" ht="15" customHeight="1" x14ac:dyDescent="0.35">
      <c r="C409" s="18"/>
      <c r="D409" s="18"/>
      <c r="E409" s="18"/>
      <c r="F409" s="18"/>
      <c r="G409" s="18"/>
      <c r="H409" s="18"/>
      <c r="I409" s="18"/>
    </row>
    <row r="410" spans="3:9" ht="15" customHeight="1" x14ac:dyDescent="0.35">
      <c r="C410" s="18"/>
      <c r="D410" s="18"/>
      <c r="E410" s="18"/>
      <c r="F410" s="18"/>
      <c r="G410" s="18"/>
      <c r="H410" s="18"/>
      <c r="I410" s="18"/>
    </row>
    <row r="411" spans="3:9" ht="15" customHeight="1" x14ac:dyDescent="0.35">
      <c r="C411" s="18"/>
      <c r="D411" s="18"/>
      <c r="E411" s="18"/>
      <c r="F411" s="18"/>
      <c r="G411" s="18"/>
      <c r="H411" s="18"/>
      <c r="I411" s="18"/>
    </row>
    <row r="412" spans="3:9" ht="15" customHeight="1" x14ac:dyDescent="0.35">
      <c r="C412" s="18"/>
      <c r="D412" s="18"/>
      <c r="E412" s="18"/>
      <c r="F412" s="18"/>
      <c r="G412" s="18"/>
      <c r="H412" s="18"/>
      <c r="I412" s="18"/>
    </row>
    <row r="413" spans="3:9" ht="15" customHeight="1" x14ac:dyDescent="0.35">
      <c r="C413" s="18"/>
      <c r="D413" s="18"/>
      <c r="E413" s="18"/>
      <c r="F413" s="18"/>
      <c r="G413" s="18"/>
      <c r="H413" s="18"/>
      <c r="I413" s="18"/>
    </row>
    <row r="414" spans="3:9" ht="15" customHeight="1" x14ac:dyDescent="0.35">
      <c r="C414" s="18"/>
      <c r="D414" s="18"/>
      <c r="E414" s="18"/>
      <c r="F414" s="18"/>
      <c r="G414" s="18"/>
      <c r="H414" s="18"/>
      <c r="I414" s="18"/>
    </row>
    <row r="415" spans="3:9" ht="15" customHeight="1" x14ac:dyDescent="0.35">
      <c r="C415" s="18"/>
      <c r="D415" s="18"/>
      <c r="E415" s="18"/>
      <c r="F415" s="18"/>
      <c r="G415" s="18"/>
      <c r="H415" s="18"/>
      <c r="I415" s="18"/>
    </row>
    <row r="416" spans="3:9" ht="15" customHeight="1" x14ac:dyDescent="0.35">
      <c r="C416" s="18"/>
      <c r="D416" s="18"/>
      <c r="E416" s="18"/>
      <c r="F416" s="18"/>
      <c r="G416" s="18"/>
      <c r="H416" s="18"/>
      <c r="I416" s="18"/>
    </row>
    <row r="417" spans="3:9" ht="15" customHeight="1" x14ac:dyDescent="0.35">
      <c r="C417" s="18"/>
      <c r="D417" s="18"/>
      <c r="E417" s="18"/>
      <c r="F417" s="18"/>
      <c r="G417" s="18"/>
      <c r="H417" s="18"/>
      <c r="I417" s="18"/>
    </row>
    <row r="418" spans="3:9" ht="15" customHeight="1" x14ac:dyDescent="0.35">
      <c r="C418" s="18"/>
      <c r="D418" s="18"/>
      <c r="E418" s="18"/>
      <c r="F418" s="18"/>
      <c r="G418" s="18"/>
      <c r="H418" s="18"/>
      <c r="I418" s="18"/>
    </row>
    <row r="419" spans="3:9" ht="15" customHeight="1" x14ac:dyDescent="0.35">
      <c r="C419" s="18"/>
      <c r="D419" s="18"/>
      <c r="E419" s="18"/>
      <c r="F419" s="18"/>
      <c r="G419" s="18"/>
      <c r="H419" s="18"/>
      <c r="I419" s="18"/>
    </row>
    <row r="420" spans="3:9" ht="15" customHeight="1" x14ac:dyDescent="0.35">
      <c r="C420" s="18"/>
      <c r="D420" s="18"/>
      <c r="E420" s="18"/>
      <c r="F420" s="18"/>
      <c r="G420" s="18"/>
      <c r="H420" s="18"/>
      <c r="I420" s="18"/>
    </row>
    <row r="421" spans="3:9" ht="15" customHeight="1" x14ac:dyDescent="0.35">
      <c r="C421" s="18"/>
      <c r="D421" s="18"/>
      <c r="E421" s="18"/>
      <c r="F421" s="18"/>
      <c r="G421" s="18"/>
      <c r="H421" s="18"/>
      <c r="I421" s="18"/>
    </row>
    <row r="422" spans="3:9" ht="15" customHeight="1" x14ac:dyDescent="0.35">
      <c r="C422" s="18"/>
      <c r="D422" s="18"/>
      <c r="E422" s="18"/>
      <c r="F422" s="18"/>
      <c r="G422" s="18"/>
      <c r="H422" s="18"/>
      <c r="I422" s="18"/>
    </row>
    <row r="423" spans="3:9" ht="15" customHeight="1" x14ac:dyDescent="0.35">
      <c r="C423" s="18"/>
      <c r="D423" s="18"/>
      <c r="E423" s="18"/>
      <c r="F423" s="18"/>
      <c r="G423" s="18"/>
      <c r="H423" s="18"/>
      <c r="I423" s="18"/>
    </row>
    <row r="424" spans="3:9" ht="15" customHeight="1" x14ac:dyDescent="0.35">
      <c r="C424" s="18"/>
      <c r="D424" s="18"/>
      <c r="E424" s="18"/>
      <c r="F424" s="18"/>
      <c r="G424" s="18"/>
      <c r="H424" s="18"/>
      <c r="I424" s="18"/>
    </row>
    <row r="425" spans="3:9" ht="15" customHeight="1" x14ac:dyDescent="0.35">
      <c r="C425" s="18"/>
      <c r="D425" s="18"/>
      <c r="E425" s="18"/>
      <c r="F425" s="18"/>
      <c r="G425" s="18"/>
      <c r="H425" s="18"/>
      <c r="I425" s="18"/>
    </row>
    <row r="426" spans="3:9" ht="15" customHeight="1" x14ac:dyDescent="0.35">
      <c r="C426" s="18"/>
      <c r="D426" s="18"/>
      <c r="E426" s="18"/>
      <c r="F426" s="18"/>
      <c r="G426" s="18"/>
      <c r="H426" s="18"/>
      <c r="I426" s="18"/>
    </row>
    <row r="427" spans="3:9" ht="15" customHeight="1" x14ac:dyDescent="0.35">
      <c r="C427" s="18"/>
      <c r="D427" s="18"/>
      <c r="E427" s="18"/>
      <c r="F427" s="18"/>
      <c r="G427" s="18"/>
      <c r="H427" s="18"/>
      <c r="I427" s="18"/>
    </row>
    <row r="428" spans="3:9" ht="15" customHeight="1" x14ac:dyDescent="0.35">
      <c r="C428" s="18"/>
      <c r="D428" s="18"/>
      <c r="E428" s="18"/>
      <c r="F428" s="18"/>
      <c r="G428" s="18"/>
      <c r="H428" s="18"/>
      <c r="I428" s="18"/>
    </row>
    <row r="429" spans="3:9" ht="15" customHeight="1" x14ac:dyDescent="0.35">
      <c r="C429" s="18"/>
      <c r="D429" s="18"/>
      <c r="E429" s="18"/>
      <c r="F429" s="18"/>
      <c r="G429" s="18"/>
      <c r="H429" s="18"/>
      <c r="I429" s="18"/>
    </row>
    <row r="430" spans="3:9" ht="15" customHeight="1" x14ac:dyDescent="0.35">
      <c r="C430" s="18"/>
      <c r="D430" s="18"/>
      <c r="E430" s="18"/>
      <c r="F430" s="18"/>
      <c r="G430" s="18"/>
      <c r="H430" s="18"/>
      <c r="I430" s="18"/>
    </row>
    <row r="431" spans="3:9" ht="15" customHeight="1" x14ac:dyDescent="0.35">
      <c r="C431" s="18"/>
      <c r="D431" s="18"/>
      <c r="E431" s="18"/>
      <c r="F431" s="18"/>
      <c r="G431" s="18"/>
      <c r="H431" s="18"/>
      <c r="I431" s="18"/>
    </row>
    <row r="432" spans="3:9" ht="15" customHeight="1" x14ac:dyDescent="0.35">
      <c r="C432" s="18"/>
      <c r="D432" s="18"/>
      <c r="E432" s="18"/>
      <c r="F432" s="18"/>
      <c r="G432" s="18"/>
      <c r="H432" s="18"/>
      <c r="I432" s="18"/>
    </row>
    <row r="433" spans="3:9" ht="15" customHeight="1" x14ac:dyDescent="0.35">
      <c r="C433" s="18"/>
      <c r="D433" s="18"/>
      <c r="E433" s="18"/>
      <c r="F433" s="18"/>
      <c r="G433" s="18"/>
      <c r="H433" s="18"/>
      <c r="I433" s="18"/>
    </row>
    <row r="434" spans="3:9" ht="15" customHeight="1" x14ac:dyDescent="0.35">
      <c r="C434" s="18"/>
      <c r="D434" s="18"/>
      <c r="E434" s="18"/>
      <c r="F434" s="18"/>
      <c r="G434" s="18"/>
      <c r="H434" s="18"/>
      <c r="I434" s="18"/>
    </row>
    <row r="435" spans="3:9" ht="15" customHeight="1" x14ac:dyDescent="0.35">
      <c r="C435" s="18"/>
      <c r="D435" s="18"/>
      <c r="E435" s="18"/>
      <c r="F435" s="18"/>
      <c r="G435" s="18"/>
      <c r="H435" s="18"/>
      <c r="I435" s="18"/>
    </row>
    <row r="436" spans="3:9" ht="15" customHeight="1" x14ac:dyDescent="0.35">
      <c r="C436" s="18"/>
      <c r="D436" s="18"/>
      <c r="E436" s="18"/>
      <c r="F436" s="18"/>
      <c r="G436" s="18"/>
      <c r="H436" s="18"/>
      <c r="I436" s="18"/>
    </row>
    <row r="437" spans="3:9" ht="15" customHeight="1" x14ac:dyDescent="0.35">
      <c r="C437" s="18"/>
      <c r="D437" s="18"/>
      <c r="E437" s="18"/>
      <c r="F437" s="18"/>
      <c r="G437" s="18"/>
      <c r="H437" s="18"/>
      <c r="I437" s="18"/>
    </row>
    <row r="438" spans="3:9" ht="15" customHeight="1" x14ac:dyDescent="0.35">
      <c r="C438" s="18"/>
      <c r="D438" s="18"/>
      <c r="E438" s="18"/>
      <c r="F438" s="18"/>
      <c r="G438" s="18"/>
      <c r="H438" s="18"/>
      <c r="I438" s="18"/>
    </row>
    <row r="439" spans="3:9" ht="15" customHeight="1" x14ac:dyDescent="0.35">
      <c r="C439" s="18"/>
      <c r="D439" s="18"/>
      <c r="E439" s="18"/>
      <c r="F439" s="18"/>
      <c r="G439" s="18"/>
      <c r="H439" s="18"/>
      <c r="I439" s="18"/>
    </row>
    <row r="440" spans="3:9" ht="15" customHeight="1" x14ac:dyDescent="0.35">
      <c r="C440" s="18"/>
      <c r="D440" s="18"/>
      <c r="E440" s="18"/>
      <c r="F440" s="18"/>
      <c r="G440" s="18"/>
      <c r="H440" s="18"/>
      <c r="I440" s="18"/>
    </row>
    <row r="441" spans="3:9" ht="15" customHeight="1" x14ac:dyDescent="0.35">
      <c r="C441" s="18"/>
      <c r="D441" s="18"/>
      <c r="E441" s="18"/>
      <c r="F441" s="18"/>
      <c r="G441" s="18"/>
      <c r="H441" s="18"/>
      <c r="I441" s="18"/>
    </row>
    <row r="442" spans="3:9" ht="15" customHeight="1" x14ac:dyDescent="0.35">
      <c r="C442" s="18"/>
      <c r="D442" s="18"/>
      <c r="E442" s="18"/>
      <c r="F442" s="18"/>
      <c r="G442" s="18"/>
      <c r="H442" s="18"/>
      <c r="I442" s="18"/>
    </row>
    <row r="443" spans="3:9" ht="15" customHeight="1" x14ac:dyDescent="0.35">
      <c r="C443" s="18"/>
      <c r="D443" s="18"/>
      <c r="E443" s="18"/>
      <c r="F443" s="18"/>
      <c r="G443" s="18"/>
      <c r="H443" s="18"/>
      <c r="I443" s="18"/>
    </row>
    <row r="444" spans="3:9" ht="15" customHeight="1" x14ac:dyDescent="0.35">
      <c r="C444" s="18"/>
      <c r="D444" s="18"/>
      <c r="E444" s="18"/>
      <c r="F444" s="18"/>
      <c r="G444" s="18"/>
      <c r="H444" s="18"/>
      <c r="I444" s="18"/>
    </row>
    <row r="445" spans="3:9" ht="15" customHeight="1" x14ac:dyDescent="0.35">
      <c r="C445" s="18"/>
      <c r="D445" s="18"/>
      <c r="E445" s="18"/>
      <c r="F445" s="18"/>
      <c r="G445" s="18"/>
      <c r="H445" s="18"/>
      <c r="I445" s="18"/>
    </row>
    <row r="446" spans="3:9" ht="15" customHeight="1" x14ac:dyDescent="0.35">
      <c r="C446" s="18"/>
      <c r="D446" s="18"/>
      <c r="E446" s="18"/>
      <c r="F446" s="18"/>
      <c r="G446" s="18"/>
      <c r="H446" s="18"/>
      <c r="I446" s="18"/>
    </row>
    <row r="447" spans="3:9" ht="15" customHeight="1" x14ac:dyDescent="0.35">
      <c r="C447" s="18"/>
      <c r="D447" s="18"/>
      <c r="E447" s="18"/>
      <c r="F447" s="18"/>
      <c r="G447" s="18"/>
      <c r="H447" s="18"/>
      <c r="I447" s="18"/>
    </row>
    <row r="448" spans="3:9" ht="15" customHeight="1" x14ac:dyDescent="0.35">
      <c r="C448" s="18"/>
      <c r="D448" s="18"/>
      <c r="E448" s="18"/>
      <c r="F448" s="18"/>
      <c r="G448" s="18"/>
      <c r="H448" s="18"/>
      <c r="I448" s="18"/>
    </row>
    <row r="449" spans="3:9" ht="15" customHeight="1" x14ac:dyDescent="0.35">
      <c r="C449" s="18"/>
      <c r="D449" s="18"/>
      <c r="E449" s="18"/>
      <c r="F449" s="18"/>
      <c r="G449" s="18"/>
      <c r="H449" s="18"/>
      <c r="I449" s="18"/>
    </row>
    <row r="450" spans="3:9" ht="15" customHeight="1" x14ac:dyDescent="0.35">
      <c r="C450" s="18"/>
      <c r="D450" s="18"/>
      <c r="E450" s="18"/>
      <c r="F450" s="18"/>
      <c r="G450" s="18"/>
      <c r="H450" s="18"/>
      <c r="I450" s="18"/>
    </row>
    <row r="451" spans="3:9" ht="15" customHeight="1" x14ac:dyDescent="0.35">
      <c r="C451" s="18"/>
      <c r="D451" s="18"/>
      <c r="E451" s="18"/>
      <c r="F451" s="18"/>
      <c r="G451" s="18"/>
      <c r="H451" s="18"/>
      <c r="I451" s="18"/>
    </row>
    <row r="452" spans="3:9" ht="15" customHeight="1" x14ac:dyDescent="0.35">
      <c r="C452" s="18"/>
      <c r="D452" s="18"/>
      <c r="E452" s="18"/>
      <c r="F452" s="18"/>
      <c r="G452" s="18"/>
      <c r="H452" s="18"/>
      <c r="I452" s="18"/>
    </row>
    <row r="453" spans="3:9" ht="15" customHeight="1" x14ac:dyDescent="0.35">
      <c r="C453" s="18"/>
      <c r="D453" s="18"/>
      <c r="E453" s="18"/>
      <c r="F453" s="18"/>
      <c r="G453" s="18"/>
      <c r="H453" s="18"/>
      <c r="I453" s="18"/>
    </row>
    <row r="454" spans="3:9" ht="15" customHeight="1" x14ac:dyDescent="0.35">
      <c r="C454" s="18"/>
      <c r="D454" s="18"/>
      <c r="E454" s="18"/>
      <c r="F454" s="18"/>
      <c r="G454" s="18"/>
      <c r="H454" s="18"/>
      <c r="I454" s="18"/>
    </row>
    <row r="455" spans="3:9" ht="15" customHeight="1" x14ac:dyDescent="0.35">
      <c r="C455" s="18"/>
      <c r="D455" s="18"/>
      <c r="E455" s="18"/>
      <c r="F455" s="18"/>
      <c r="G455" s="18"/>
      <c r="H455" s="18"/>
      <c r="I455" s="18"/>
    </row>
    <row r="456" spans="3:9" ht="15" customHeight="1" x14ac:dyDescent="0.35">
      <c r="C456" s="18"/>
      <c r="D456" s="18"/>
      <c r="E456" s="18"/>
      <c r="F456" s="18"/>
      <c r="G456" s="18"/>
      <c r="H456" s="18"/>
      <c r="I456" s="18"/>
    </row>
    <row r="457" spans="3:9" ht="15" customHeight="1" x14ac:dyDescent="0.35">
      <c r="C457" s="18"/>
      <c r="D457" s="18"/>
      <c r="E457" s="18"/>
      <c r="F457" s="18"/>
      <c r="G457" s="18"/>
      <c r="H457" s="18"/>
      <c r="I457" s="18"/>
    </row>
    <row r="458" spans="3:9" ht="15" customHeight="1" x14ac:dyDescent="0.35">
      <c r="C458" s="18"/>
      <c r="D458" s="18"/>
      <c r="E458" s="18"/>
      <c r="F458" s="18"/>
      <c r="G458" s="18"/>
      <c r="H458" s="18"/>
      <c r="I458" s="18"/>
    </row>
    <row r="459" spans="3:9" ht="15" customHeight="1" x14ac:dyDescent="0.35">
      <c r="C459" s="18"/>
      <c r="D459" s="18"/>
      <c r="E459" s="18"/>
      <c r="F459" s="18"/>
      <c r="G459" s="18"/>
      <c r="H459" s="18"/>
      <c r="I459" s="18"/>
    </row>
    <row r="460" spans="3:9" ht="15" customHeight="1" x14ac:dyDescent="0.35">
      <c r="C460" s="18"/>
      <c r="D460" s="18"/>
      <c r="E460" s="18"/>
      <c r="F460" s="18"/>
      <c r="G460" s="18"/>
      <c r="H460" s="18"/>
      <c r="I460" s="18"/>
    </row>
    <row r="461" spans="3:9" ht="15" customHeight="1" x14ac:dyDescent="0.35">
      <c r="C461" s="18"/>
      <c r="D461" s="18"/>
      <c r="E461" s="18"/>
      <c r="F461" s="18"/>
      <c r="G461" s="18"/>
      <c r="H461" s="18"/>
      <c r="I461" s="18"/>
    </row>
    <row r="462" spans="3:9" ht="15" customHeight="1" x14ac:dyDescent="0.35">
      <c r="C462" s="18"/>
      <c r="D462" s="18"/>
      <c r="E462" s="18"/>
      <c r="F462" s="18"/>
      <c r="G462" s="18"/>
      <c r="H462" s="18"/>
      <c r="I462" s="18"/>
    </row>
    <row r="463" spans="3:9" ht="15" customHeight="1" x14ac:dyDescent="0.35">
      <c r="C463" s="18"/>
      <c r="D463" s="18"/>
      <c r="E463" s="18"/>
      <c r="F463" s="18"/>
      <c r="G463" s="18"/>
      <c r="H463" s="18"/>
      <c r="I463" s="18"/>
    </row>
    <row r="464" spans="3:9" ht="15" customHeight="1" x14ac:dyDescent="0.35">
      <c r="C464" s="18"/>
      <c r="D464" s="18"/>
      <c r="E464" s="18"/>
      <c r="F464" s="18"/>
      <c r="G464" s="18"/>
      <c r="H464" s="18"/>
      <c r="I464" s="18"/>
    </row>
    <row r="465" spans="3:9" ht="15" customHeight="1" x14ac:dyDescent="0.35">
      <c r="C465" s="18"/>
      <c r="D465" s="18"/>
      <c r="E465" s="18"/>
      <c r="F465" s="18"/>
      <c r="G465" s="18"/>
      <c r="H465" s="18"/>
      <c r="I465" s="18"/>
    </row>
    <row r="466" spans="3:9" ht="15" customHeight="1" x14ac:dyDescent="0.35">
      <c r="C466" s="18"/>
      <c r="D466" s="18"/>
      <c r="E466" s="18"/>
      <c r="F466" s="18"/>
      <c r="G466" s="18"/>
      <c r="H466" s="18"/>
      <c r="I466" s="18"/>
    </row>
    <row r="467" spans="3:9" ht="15" customHeight="1" x14ac:dyDescent="0.35">
      <c r="C467" s="18"/>
      <c r="D467" s="18"/>
      <c r="E467" s="18"/>
      <c r="F467" s="18"/>
      <c r="G467" s="18"/>
      <c r="H467" s="18"/>
      <c r="I467" s="18"/>
    </row>
    <row r="468" spans="3:9" ht="15" customHeight="1" x14ac:dyDescent="0.35">
      <c r="C468" s="18"/>
      <c r="D468" s="18"/>
      <c r="E468" s="18"/>
      <c r="F468" s="18"/>
      <c r="G468" s="18"/>
      <c r="H468" s="18"/>
      <c r="I468" s="18"/>
    </row>
    <row r="469" spans="3:9" ht="15" customHeight="1" x14ac:dyDescent="0.35">
      <c r="C469" s="18"/>
      <c r="D469" s="18"/>
      <c r="E469" s="18"/>
      <c r="F469" s="18"/>
      <c r="G469" s="18"/>
      <c r="H469" s="18"/>
      <c r="I469" s="18"/>
    </row>
    <row r="470" spans="3:9" ht="15" customHeight="1" x14ac:dyDescent="0.35">
      <c r="C470" s="18"/>
      <c r="D470" s="18"/>
      <c r="E470" s="18"/>
      <c r="F470" s="18"/>
      <c r="G470" s="18"/>
      <c r="H470" s="18"/>
      <c r="I470" s="18"/>
    </row>
    <row r="471" spans="3:9" ht="15" customHeight="1" x14ac:dyDescent="0.35">
      <c r="C471" s="18"/>
      <c r="D471" s="18"/>
      <c r="E471" s="18"/>
      <c r="F471" s="18"/>
      <c r="G471" s="18"/>
      <c r="H471" s="18"/>
      <c r="I471" s="18"/>
    </row>
    <row r="472" spans="3:9" ht="15" customHeight="1" x14ac:dyDescent="0.35">
      <c r="C472" s="18"/>
      <c r="D472" s="18"/>
      <c r="E472" s="18"/>
      <c r="F472" s="18"/>
      <c r="G472" s="18"/>
      <c r="H472" s="18"/>
      <c r="I472" s="18"/>
    </row>
    <row r="473" spans="3:9" ht="15" customHeight="1" x14ac:dyDescent="0.35">
      <c r="C473" s="18"/>
      <c r="D473" s="18"/>
      <c r="E473" s="18"/>
      <c r="F473" s="18"/>
      <c r="G473" s="18"/>
      <c r="H473" s="18"/>
      <c r="I473" s="18"/>
    </row>
    <row r="474" spans="3:9" ht="15" customHeight="1" x14ac:dyDescent="0.35">
      <c r="C474" s="18"/>
      <c r="D474" s="18"/>
      <c r="E474" s="18"/>
      <c r="F474" s="18"/>
      <c r="G474" s="18"/>
      <c r="H474" s="18"/>
      <c r="I474" s="18"/>
    </row>
    <row r="475" spans="3:9" ht="15" customHeight="1" x14ac:dyDescent="0.35">
      <c r="C475" s="18"/>
      <c r="D475" s="18"/>
      <c r="E475" s="18"/>
      <c r="F475" s="18"/>
      <c r="G475" s="18"/>
      <c r="H475" s="18"/>
      <c r="I475" s="18"/>
    </row>
    <row r="476" spans="3:9" ht="15" customHeight="1" x14ac:dyDescent="0.35">
      <c r="C476" s="18"/>
      <c r="D476" s="18"/>
      <c r="E476" s="18"/>
      <c r="F476" s="18"/>
      <c r="G476" s="18"/>
      <c r="H476" s="18"/>
      <c r="I476" s="18"/>
    </row>
    <row r="477" spans="3:9" ht="15" customHeight="1" x14ac:dyDescent="0.35">
      <c r="C477" s="18"/>
      <c r="D477" s="18"/>
      <c r="E477" s="18"/>
      <c r="F477" s="18"/>
      <c r="G477" s="18"/>
      <c r="H477" s="18"/>
      <c r="I477" s="18"/>
    </row>
    <row r="478" spans="3:9" ht="15" customHeight="1" x14ac:dyDescent="0.35">
      <c r="C478" s="18"/>
      <c r="D478" s="18"/>
      <c r="E478" s="18"/>
      <c r="F478" s="18"/>
      <c r="G478" s="18"/>
      <c r="H478" s="18"/>
      <c r="I478" s="18"/>
    </row>
    <row r="479" spans="3:9" ht="15" customHeight="1" x14ac:dyDescent="0.35">
      <c r="C479" s="18"/>
      <c r="D479" s="18"/>
      <c r="E479" s="18"/>
      <c r="F479" s="18"/>
      <c r="G479" s="18"/>
      <c r="H479" s="18"/>
      <c r="I479" s="18"/>
    </row>
    <row r="480" spans="3:9" ht="15" customHeight="1" x14ac:dyDescent="0.35">
      <c r="C480" s="18"/>
      <c r="D480" s="18"/>
      <c r="E480" s="18"/>
      <c r="F480" s="18"/>
      <c r="G480" s="18"/>
      <c r="H480" s="18"/>
      <c r="I480" s="18"/>
    </row>
    <row r="481" spans="3:9" ht="15" customHeight="1" x14ac:dyDescent="0.35">
      <c r="C481" s="18"/>
      <c r="D481" s="18"/>
      <c r="E481" s="18"/>
      <c r="F481" s="18"/>
      <c r="G481" s="18"/>
      <c r="H481" s="18"/>
      <c r="I481" s="18"/>
    </row>
    <row r="482" spans="3:9" ht="15" customHeight="1" x14ac:dyDescent="0.35">
      <c r="C482" s="18"/>
      <c r="D482" s="18"/>
      <c r="E482" s="18"/>
      <c r="F482" s="18"/>
      <c r="G482" s="18"/>
      <c r="H482" s="18"/>
      <c r="I482" s="18"/>
    </row>
    <row r="483" spans="3:9" ht="15" customHeight="1" x14ac:dyDescent="0.35">
      <c r="C483" s="18"/>
      <c r="D483" s="18"/>
      <c r="E483" s="18"/>
      <c r="F483" s="18"/>
      <c r="G483" s="18"/>
      <c r="H483" s="18"/>
      <c r="I483" s="18"/>
    </row>
    <row r="484" spans="3:9" ht="15" customHeight="1" x14ac:dyDescent="0.35">
      <c r="C484" s="18"/>
      <c r="D484" s="18"/>
      <c r="E484" s="18"/>
      <c r="F484" s="18"/>
      <c r="G484" s="18"/>
      <c r="H484" s="18"/>
      <c r="I484" s="18"/>
    </row>
    <row r="485" spans="3:9" ht="15" customHeight="1" x14ac:dyDescent="0.35">
      <c r="C485" s="18"/>
      <c r="D485" s="18"/>
      <c r="E485" s="18"/>
      <c r="F485" s="18"/>
      <c r="G485" s="18"/>
      <c r="H485" s="18"/>
      <c r="I485" s="18"/>
    </row>
    <row r="486" spans="3:9" ht="15" customHeight="1" x14ac:dyDescent="0.35">
      <c r="C486" s="18"/>
      <c r="D486" s="18"/>
      <c r="E486" s="18"/>
      <c r="F486" s="18"/>
      <c r="G486" s="18"/>
      <c r="H486" s="18"/>
      <c r="I486" s="18"/>
    </row>
    <row r="487" spans="3:9" ht="15" customHeight="1" x14ac:dyDescent="0.35">
      <c r="C487" s="18"/>
      <c r="D487" s="18"/>
      <c r="E487" s="18"/>
      <c r="F487" s="18"/>
      <c r="G487" s="18"/>
      <c r="H487" s="18"/>
      <c r="I487" s="18"/>
    </row>
    <row r="488" spans="3:9" ht="15" customHeight="1" x14ac:dyDescent="0.35">
      <c r="C488" s="18"/>
      <c r="D488" s="18"/>
      <c r="E488" s="18"/>
      <c r="F488" s="18"/>
      <c r="G488" s="18"/>
      <c r="H488" s="18"/>
      <c r="I488" s="18"/>
    </row>
    <row r="489" spans="3:9" ht="15" customHeight="1" x14ac:dyDescent="0.35">
      <c r="C489" s="18"/>
      <c r="D489" s="18"/>
      <c r="E489" s="18"/>
      <c r="F489" s="18"/>
      <c r="G489" s="18"/>
      <c r="H489" s="18"/>
      <c r="I489" s="18"/>
    </row>
    <row r="490" spans="3:9" ht="15" customHeight="1" x14ac:dyDescent="0.35">
      <c r="C490" s="18"/>
      <c r="D490" s="18"/>
      <c r="E490" s="18"/>
      <c r="F490" s="18"/>
      <c r="G490" s="18"/>
      <c r="H490" s="18"/>
      <c r="I490" s="18"/>
    </row>
    <row r="491" spans="3:9" ht="15" customHeight="1" x14ac:dyDescent="0.35">
      <c r="C491" s="18"/>
      <c r="D491" s="18"/>
      <c r="E491" s="18"/>
      <c r="F491" s="18"/>
      <c r="G491" s="18"/>
      <c r="H491" s="18"/>
      <c r="I491" s="18"/>
    </row>
    <row r="492" spans="3:9" ht="15" customHeight="1" x14ac:dyDescent="0.35">
      <c r="C492" s="18"/>
      <c r="D492" s="18"/>
      <c r="E492" s="18"/>
      <c r="F492" s="18"/>
      <c r="G492" s="18"/>
      <c r="H492" s="18"/>
      <c r="I492" s="18"/>
    </row>
    <row r="493" spans="3:9" ht="15" customHeight="1" x14ac:dyDescent="0.35">
      <c r="C493" s="18"/>
      <c r="D493" s="18"/>
      <c r="E493" s="18"/>
      <c r="F493" s="18"/>
      <c r="G493" s="18"/>
      <c r="H493" s="18"/>
      <c r="I493" s="18"/>
    </row>
    <row r="494" spans="3:9" ht="15" customHeight="1" x14ac:dyDescent="0.35">
      <c r="C494" s="18"/>
      <c r="D494" s="18"/>
      <c r="E494" s="18"/>
      <c r="F494" s="18"/>
      <c r="G494" s="18"/>
      <c r="H494" s="18"/>
      <c r="I494" s="18"/>
    </row>
    <row r="495" spans="3:9" ht="15" customHeight="1" x14ac:dyDescent="0.35">
      <c r="C495" s="18"/>
      <c r="D495" s="18"/>
      <c r="E495" s="18"/>
      <c r="F495" s="18"/>
      <c r="G495" s="18"/>
      <c r="H495" s="18"/>
      <c r="I495" s="18"/>
    </row>
    <row r="496" spans="3:9" ht="15" customHeight="1" x14ac:dyDescent="0.35">
      <c r="C496" s="18"/>
      <c r="D496" s="18"/>
      <c r="E496" s="18"/>
      <c r="F496" s="18"/>
      <c r="G496" s="18"/>
      <c r="H496" s="18"/>
      <c r="I496" s="18"/>
    </row>
    <row r="497" spans="3:9" ht="15" customHeight="1" x14ac:dyDescent="0.35">
      <c r="C497" s="18"/>
      <c r="D497" s="18"/>
      <c r="E497" s="18"/>
      <c r="F497" s="18"/>
      <c r="G497" s="18"/>
      <c r="H497" s="18"/>
      <c r="I497" s="18"/>
    </row>
    <row r="498" spans="3:9" ht="15" customHeight="1" x14ac:dyDescent="0.35">
      <c r="C498" s="18"/>
      <c r="D498" s="18"/>
      <c r="E498" s="18"/>
      <c r="F498" s="18"/>
      <c r="G498" s="18"/>
      <c r="H498" s="18"/>
      <c r="I498" s="18"/>
    </row>
    <row r="499" spans="3:9" ht="15" customHeight="1" x14ac:dyDescent="0.35">
      <c r="C499" s="18"/>
      <c r="D499" s="18"/>
      <c r="E499" s="18"/>
      <c r="F499" s="18"/>
      <c r="G499" s="18"/>
      <c r="H499" s="18"/>
      <c r="I499" s="18"/>
    </row>
    <row r="500" spans="3:9" ht="15" customHeight="1" x14ac:dyDescent="0.35">
      <c r="C500" s="18"/>
      <c r="D500" s="18"/>
      <c r="E500" s="18"/>
      <c r="F500" s="18"/>
      <c r="G500" s="18"/>
      <c r="H500" s="18"/>
      <c r="I500" s="18"/>
    </row>
    <row r="501" spans="3:9" ht="15" customHeight="1" x14ac:dyDescent="0.35">
      <c r="C501" s="18"/>
      <c r="D501" s="18"/>
      <c r="E501" s="18"/>
      <c r="F501" s="18"/>
      <c r="G501" s="18"/>
      <c r="H501" s="18"/>
      <c r="I501" s="18"/>
    </row>
    <row r="502" spans="3:9" ht="15" customHeight="1" x14ac:dyDescent="0.35">
      <c r="C502" s="18"/>
      <c r="D502" s="18"/>
      <c r="E502" s="18"/>
      <c r="F502" s="18"/>
      <c r="G502" s="18"/>
      <c r="H502" s="18"/>
      <c r="I502" s="18"/>
    </row>
    <row r="503" spans="3:9" ht="15" customHeight="1" x14ac:dyDescent="0.35">
      <c r="C503" s="18"/>
      <c r="D503" s="18"/>
      <c r="E503" s="18"/>
      <c r="F503" s="18"/>
      <c r="G503" s="18"/>
      <c r="H503" s="18"/>
      <c r="I503" s="18"/>
    </row>
    <row r="504" spans="3:9" ht="15" customHeight="1" x14ac:dyDescent="0.35">
      <c r="C504" s="18"/>
      <c r="D504" s="18"/>
      <c r="E504" s="18"/>
      <c r="F504" s="18"/>
      <c r="G504" s="18"/>
      <c r="H504" s="18"/>
      <c r="I504" s="18"/>
    </row>
    <row r="505" spans="3:9" ht="15" customHeight="1" x14ac:dyDescent="0.35">
      <c r="C505" s="18"/>
      <c r="D505" s="18"/>
      <c r="E505" s="18"/>
      <c r="F505" s="18"/>
      <c r="G505" s="18"/>
      <c r="H505" s="18"/>
      <c r="I505" s="18"/>
    </row>
    <row r="506" spans="3:9" ht="15" customHeight="1" x14ac:dyDescent="0.35">
      <c r="C506" s="18"/>
      <c r="D506" s="18"/>
      <c r="E506" s="18"/>
      <c r="F506" s="18"/>
      <c r="G506" s="18"/>
      <c r="H506" s="18"/>
      <c r="I506" s="18"/>
    </row>
    <row r="507" spans="3:9" ht="15" customHeight="1" x14ac:dyDescent="0.35">
      <c r="C507" s="18"/>
      <c r="D507" s="18"/>
      <c r="E507" s="18"/>
      <c r="F507" s="18"/>
      <c r="G507" s="18"/>
      <c r="H507" s="18"/>
      <c r="I507" s="18"/>
    </row>
    <row r="508" spans="3:9" ht="15" customHeight="1" x14ac:dyDescent="0.35">
      <c r="C508" s="18"/>
      <c r="D508" s="18"/>
      <c r="E508" s="18"/>
      <c r="F508" s="18"/>
      <c r="G508" s="18"/>
      <c r="H508" s="18"/>
      <c r="I508" s="18"/>
    </row>
    <row r="509" spans="3:9" ht="15" customHeight="1" x14ac:dyDescent="0.35">
      <c r="C509" s="18"/>
      <c r="D509" s="18"/>
      <c r="E509" s="18"/>
      <c r="F509" s="18"/>
      <c r="G509" s="18"/>
      <c r="H509" s="18"/>
      <c r="I509" s="18"/>
    </row>
    <row r="510" spans="3:9" ht="15" customHeight="1" x14ac:dyDescent="0.35">
      <c r="C510" s="18"/>
      <c r="D510" s="18"/>
      <c r="E510" s="18"/>
      <c r="F510" s="18"/>
      <c r="G510" s="18"/>
      <c r="H510" s="18"/>
      <c r="I510" s="18"/>
    </row>
    <row r="511" spans="3:9" ht="15" customHeight="1" x14ac:dyDescent="0.35">
      <c r="C511" s="18"/>
      <c r="D511" s="18"/>
      <c r="E511" s="18"/>
      <c r="F511" s="18"/>
      <c r="G511" s="18"/>
      <c r="H511" s="18"/>
      <c r="I511" s="18"/>
    </row>
    <row r="512" spans="3:9" ht="15" customHeight="1" x14ac:dyDescent="0.35">
      <c r="C512" s="18"/>
      <c r="D512" s="18"/>
      <c r="E512" s="18"/>
      <c r="F512" s="18"/>
      <c r="G512" s="18"/>
      <c r="H512" s="18"/>
      <c r="I512" s="18"/>
    </row>
    <row r="513" spans="3:9" ht="15" customHeight="1" x14ac:dyDescent="0.35">
      <c r="C513" s="18"/>
      <c r="D513" s="18"/>
      <c r="E513" s="18"/>
      <c r="F513" s="18"/>
      <c r="G513" s="18"/>
      <c r="H513" s="18"/>
      <c r="I513" s="18"/>
    </row>
    <row r="514" spans="3:9" ht="15" customHeight="1" x14ac:dyDescent="0.35">
      <c r="C514" s="18"/>
      <c r="D514" s="18"/>
      <c r="E514" s="18"/>
      <c r="F514" s="18"/>
      <c r="G514" s="18"/>
      <c r="H514" s="18"/>
      <c r="I514" s="18"/>
    </row>
    <row r="515" spans="3:9" ht="15" customHeight="1" x14ac:dyDescent="0.35">
      <c r="C515" s="18"/>
      <c r="D515" s="18"/>
      <c r="E515" s="18"/>
      <c r="F515" s="18"/>
      <c r="G515" s="18"/>
      <c r="H515" s="18"/>
      <c r="I515" s="18"/>
    </row>
    <row r="516" spans="3:9" ht="15" customHeight="1" x14ac:dyDescent="0.35">
      <c r="C516" s="18"/>
      <c r="D516" s="18"/>
      <c r="E516" s="18"/>
      <c r="F516" s="18"/>
      <c r="G516" s="18"/>
      <c r="H516" s="18"/>
      <c r="I516" s="18"/>
    </row>
    <row r="517" spans="3:9" ht="15" customHeight="1" x14ac:dyDescent="0.35">
      <c r="C517" s="18"/>
      <c r="D517" s="18"/>
      <c r="E517" s="18"/>
      <c r="F517" s="18"/>
      <c r="G517" s="18"/>
      <c r="H517" s="18"/>
      <c r="I517" s="18"/>
    </row>
    <row r="518" spans="3:9" ht="15" customHeight="1" x14ac:dyDescent="0.35">
      <c r="C518" s="18"/>
      <c r="D518" s="18"/>
      <c r="E518" s="18"/>
      <c r="F518" s="18"/>
      <c r="G518" s="18"/>
      <c r="H518" s="18"/>
      <c r="I518" s="18"/>
    </row>
    <row r="519" spans="3:9" ht="15" customHeight="1" x14ac:dyDescent="0.35">
      <c r="C519" s="18"/>
      <c r="D519" s="18"/>
      <c r="E519" s="18"/>
      <c r="F519" s="18"/>
      <c r="G519" s="18"/>
      <c r="H519" s="18"/>
      <c r="I519" s="18"/>
    </row>
    <row r="520" spans="3:9" ht="15" customHeight="1" x14ac:dyDescent="0.35">
      <c r="C520" s="18"/>
      <c r="D520" s="18"/>
      <c r="E520" s="18"/>
      <c r="F520" s="18"/>
      <c r="G520" s="18"/>
      <c r="H520" s="18"/>
      <c r="I520" s="18"/>
    </row>
    <row r="521" spans="3:9" ht="15" customHeight="1" x14ac:dyDescent="0.35">
      <c r="C521" s="18"/>
      <c r="D521" s="18"/>
      <c r="E521" s="18"/>
      <c r="F521" s="18"/>
      <c r="G521" s="18"/>
      <c r="H521" s="18"/>
      <c r="I521" s="18"/>
    </row>
    <row r="522" spans="3:9" ht="15" customHeight="1" x14ac:dyDescent="0.35">
      <c r="C522" s="18"/>
      <c r="D522" s="18"/>
      <c r="E522" s="18"/>
      <c r="F522" s="18"/>
      <c r="G522" s="18"/>
      <c r="H522" s="18"/>
      <c r="I522" s="18"/>
    </row>
    <row r="523" spans="3:9" ht="15" customHeight="1" x14ac:dyDescent="0.35">
      <c r="C523" s="18"/>
      <c r="D523" s="18"/>
      <c r="E523" s="18"/>
      <c r="F523" s="18"/>
      <c r="G523" s="18"/>
      <c r="H523" s="18"/>
      <c r="I523" s="18"/>
    </row>
    <row r="524" spans="3:9" ht="15" customHeight="1" x14ac:dyDescent="0.35">
      <c r="C524" s="18"/>
      <c r="D524" s="18"/>
      <c r="E524" s="18"/>
      <c r="F524" s="18"/>
      <c r="G524" s="18"/>
      <c r="H524" s="18"/>
      <c r="I524" s="18"/>
    </row>
    <row r="525" spans="3:9" ht="15" customHeight="1" x14ac:dyDescent="0.35">
      <c r="C525" s="18"/>
      <c r="D525" s="18"/>
      <c r="E525" s="18"/>
      <c r="F525" s="18"/>
      <c r="G525" s="18"/>
      <c r="H525" s="18"/>
      <c r="I525" s="18"/>
    </row>
    <row r="526" spans="3:9" ht="15" customHeight="1" x14ac:dyDescent="0.35">
      <c r="C526" s="18"/>
      <c r="D526" s="18"/>
      <c r="E526" s="18"/>
      <c r="F526" s="18"/>
      <c r="G526" s="18"/>
      <c r="H526" s="18"/>
      <c r="I526" s="18"/>
    </row>
    <row r="527" spans="3:9" ht="15" customHeight="1" x14ac:dyDescent="0.35">
      <c r="C527" s="18"/>
      <c r="D527" s="18"/>
      <c r="E527" s="18"/>
      <c r="F527" s="18"/>
      <c r="G527" s="18"/>
      <c r="H527" s="18"/>
      <c r="I527" s="18"/>
    </row>
    <row r="528" spans="3:9" ht="15" customHeight="1" x14ac:dyDescent="0.35">
      <c r="C528" s="18"/>
      <c r="D528" s="18"/>
      <c r="E528" s="18"/>
      <c r="F528" s="18"/>
      <c r="G528" s="18"/>
      <c r="H528" s="18"/>
      <c r="I528" s="18"/>
    </row>
    <row r="529" spans="3:9" ht="15" customHeight="1" x14ac:dyDescent="0.35">
      <c r="C529" s="18"/>
      <c r="D529" s="18"/>
      <c r="E529" s="18"/>
      <c r="F529" s="18"/>
      <c r="G529" s="18"/>
      <c r="H529" s="18"/>
      <c r="I529" s="18"/>
    </row>
    <row r="530" spans="3:9" ht="15" customHeight="1" x14ac:dyDescent="0.35">
      <c r="C530" s="18"/>
      <c r="D530" s="18"/>
      <c r="E530" s="18"/>
      <c r="F530" s="18"/>
      <c r="G530" s="18"/>
      <c r="H530" s="18"/>
      <c r="I530" s="18"/>
    </row>
    <row r="531" spans="3:9" ht="15" customHeight="1" x14ac:dyDescent="0.35">
      <c r="C531" s="18"/>
      <c r="D531" s="18"/>
      <c r="E531" s="18"/>
      <c r="F531" s="18"/>
      <c r="G531" s="18"/>
      <c r="H531" s="18"/>
      <c r="I531" s="18"/>
    </row>
    <row r="532" spans="3:9" ht="15" customHeight="1" x14ac:dyDescent="0.35">
      <c r="C532" s="18"/>
      <c r="D532" s="18"/>
      <c r="E532" s="18"/>
      <c r="F532" s="18"/>
      <c r="G532" s="18"/>
      <c r="H532" s="18"/>
      <c r="I532" s="18"/>
    </row>
    <row r="533" spans="3:9" ht="15" customHeight="1" x14ac:dyDescent="0.35">
      <c r="C533" s="18"/>
      <c r="D533" s="18"/>
      <c r="E533" s="18"/>
      <c r="F533" s="18"/>
      <c r="G533" s="18"/>
      <c r="H533" s="18"/>
      <c r="I533" s="18"/>
    </row>
    <row r="534" spans="3:9" ht="15" customHeight="1" x14ac:dyDescent="0.35">
      <c r="C534" s="18"/>
      <c r="D534" s="18"/>
      <c r="E534" s="18"/>
      <c r="F534" s="18"/>
      <c r="G534" s="18"/>
      <c r="H534" s="18"/>
      <c r="I534" s="18"/>
    </row>
    <row r="535" spans="3:9" ht="15" customHeight="1" x14ac:dyDescent="0.35">
      <c r="C535" s="18"/>
      <c r="D535" s="18"/>
      <c r="E535" s="18"/>
      <c r="F535" s="18"/>
      <c r="G535" s="18"/>
      <c r="H535" s="18"/>
      <c r="I535" s="18"/>
    </row>
    <row r="536" spans="3:9" ht="15" customHeight="1" x14ac:dyDescent="0.35">
      <c r="C536" s="18"/>
      <c r="D536" s="18"/>
      <c r="E536" s="18"/>
      <c r="F536" s="18"/>
      <c r="G536" s="18"/>
      <c r="H536" s="18"/>
      <c r="I536" s="18"/>
    </row>
    <row r="537" spans="3:9" ht="15" customHeight="1" x14ac:dyDescent="0.35">
      <c r="C537" s="18"/>
      <c r="D537" s="18"/>
      <c r="E537" s="18"/>
      <c r="F537" s="18"/>
      <c r="G537" s="18"/>
      <c r="H537" s="18"/>
      <c r="I537" s="18"/>
    </row>
    <row r="538" spans="3:9" ht="15" customHeight="1" x14ac:dyDescent="0.35">
      <c r="C538" s="18"/>
      <c r="D538" s="18"/>
      <c r="E538" s="18"/>
      <c r="F538" s="18"/>
      <c r="G538" s="18"/>
      <c r="H538" s="18"/>
      <c r="I538" s="18"/>
    </row>
    <row r="539" spans="3:9" ht="15" customHeight="1" x14ac:dyDescent="0.35">
      <c r="C539" s="18"/>
      <c r="D539" s="18"/>
      <c r="E539" s="18"/>
      <c r="F539" s="18"/>
      <c r="G539" s="18"/>
      <c r="H539" s="18"/>
      <c r="I539" s="18"/>
    </row>
    <row r="540" spans="3:9" ht="15" customHeight="1" x14ac:dyDescent="0.35">
      <c r="C540" s="18"/>
      <c r="D540" s="18"/>
      <c r="E540" s="18"/>
      <c r="F540" s="18"/>
      <c r="G540" s="18"/>
      <c r="H540" s="18"/>
      <c r="I540" s="18"/>
    </row>
    <row r="541" spans="3:9" ht="15" customHeight="1" x14ac:dyDescent="0.35">
      <c r="C541" s="18"/>
      <c r="D541" s="18"/>
      <c r="E541" s="18"/>
      <c r="F541" s="18"/>
      <c r="G541" s="18"/>
      <c r="H541" s="18"/>
      <c r="I541" s="18"/>
    </row>
    <row r="542" spans="3:9" ht="15" customHeight="1" x14ac:dyDescent="0.35">
      <c r="C542" s="18"/>
      <c r="D542" s="18"/>
      <c r="E542" s="18"/>
      <c r="F542" s="18"/>
      <c r="G542" s="18"/>
      <c r="H542" s="18"/>
      <c r="I542" s="18"/>
    </row>
    <row r="543" spans="3:9" ht="15" customHeight="1" x14ac:dyDescent="0.35">
      <c r="C543" s="18"/>
      <c r="D543" s="18"/>
      <c r="E543" s="18"/>
      <c r="F543" s="18"/>
      <c r="G543" s="18"/>
      <c r="H543" s="18"/>
      <c r="I543" s="18"/>
    </row>
    <row r="544" spans="3:9" ht="15" customHeight="1" x14ac:dyDescent="0.35">
      <c r="C544" s="18"/>
      <c r="D544" s="18"/>
      <c r="E544" s="18"/>
      <c r="F544" s="18"/>
      <c r="G544" s="18"/>
      <c r="H544" s="18"/>
      <c r="I544" s="18"/>
    </row>
    <row r="545" spans="3:9" ht="15" customHeight="1" x14ac:dyDescent="0.35">
      <c r="C545" s="18"/>
      <c r="D545" s="18"/>
      <c r="E545" s="18"/>
      <c r="F545" s="18"/>
      <c r="G545" s="18"/>
      <c r="H545" s="18"/>
      <c r="I545" s="18"/>
    </row>
    <row r="546" spans="3:9" ht="15" customHeight="1" x14ac:dyDescent="0.35">
      <c r="C546" s="18"/>
      <c r="D546" s="18"/>
      <c r="E546" s="18"/>
      <c r="F546" s="18"/>
      <c r="G546" s="18"/>
      <c r="H546" s="18"/>
      <c r="I546" s="18"/>
    </row>
    <row r="547" spans="3:9" ht="15" customHeight="1" x14ac:dyDescent="0.35">
      <c r="C547" s="18"/>
      <c r="D547" s="18"/>
      <c r="E547" s="18"/>
      <c r="F547" s="18"/>
      <c r="G547" s="18"/>
      <c r="H547" s="18"/>
      <c r="I547" s="18"/>
    </row>
    <row r="548" spans="3:9" ht="15" customHeight="1" x14ac:dyDescent="0.35">
      <c r="C548" s="18"/>
      <c r="D548" s="18"/>
      <c r="E548" s="18"/>
      <c r="F548" s="18"/>
      <c r="G548" s="18"/>
      <c r="H548" s="18"/>
      <c r="I548" s="18"/>
    </row>
    <row r="549" spans="3:9" ht="15" customHeight="1" x14ac:dyDescent="0.35">
      <c r="C549" s="18"/>
      <c r="D549" s="18"/>
      <c r="E549" s="18"/>
      <c r="F549" s="18"/>
      <c r="G549" s="18"/>
      <c r="H549" s="18"/>
      <c r="I549" s="18"/>
    </row>
    <row r="550" spans="3:9" ht="15" customHeight="1" x14ac:dyDescent="0.35">
      <c r="C550" s="18"/>
      <c r="D550" s="18"/>
      <c r="E550" s="18"/>
      <c r="F550" s="18"/>
      <c r="G550" s="18"/>
      <c r="H550" s="18"/>
      <c r="I550" s="18"/>
    </row>
    <row r="551" spans="3:9" ht="15" customHeight="1" x14ac:dyDescent="0.35">
      <c r="C551" s="18"/>
      <c r="D551" s="18"/>
      <c r="E551" s="18"/>
      <c r="F551" s="18"/>
      <c r="G551" s="18"/>
      <c r="H551" s="18"/>
      <c r="I551" s="18"/>
    </row>
    <row r="552" spans="3:9" ht="15" customHeight="1" x14ac:dyDescent="0.35">
      <c r="C552" s="18"/>
      <c r="D552" s="18"/>
      <c r="E552" s="18"/>
      <c r="F552" s="18"/>
      <c r="G552" s="18"/>
      <c r="H552" s="18"/>
      <c r="I552" s="18"/>
    </row>
    <row r="553" spans="3:9" ht="15" customHeight="1" x14ac:dyDescent="0.35">
      <c r="C553" s="18"/>
      <c r="D553" s="18"/>
      <c r="E553" s="18"/>
      <c r="F553" s="18"/>
      <c r="G553" s="18"/>
      <c r="H553" s="18"/>
      <c r="I553" s="18"/>
    </row>
    <row r="554" spans="3:9" ht="15" customHeight="1" x14ac:dyDescent="0.35">
      <c r="C554" s="18"/>
      <c r="D554" s="18"/>
      <c r="E554" s="18"/>
      <c r="F554" s="18"/>
      <c r="G554" s="18"/>
      <c r="H554" s="18"/>
      <c r="I554" s="18"/>
    </row>
    <row r="555" spans="3:9" ht="15" customHeight="1" x14ac:dyDescent="0.35">
      <c r="C555" s="18"/>
      <c r="D555" s="18"/>
      <c r="E555" s="18"/>
      <c r="F555" s="18"/>
      <c r="G555" s="18"/>
      <c r="H555" s="18"/>
      <c r="I555" s="18"/>
    </row>
    <row r="556" spans="3:9" ht="15" customHeight="1" x14ac:dyDescent="0.35">
      <c r="C556" s="18"/>
      <c r="D556" s="18"/>
      <c r="E556" s="18"/>
      <c r="F556" s="18"/>
      <c r="G556" s="18"/>
      <c r="H556" s="18"/>
      <c r="I556" s="18"/>
    </row>
    <row r="557" spans="3:9" ht="15" customHeight="1" x14ac:dyDescent="0.35">
      <c r="C557" s="18"/>
      <c r="D557" s="18"/>
      <c r="E557" s="18"/>
      <c r="F557" s="18"/>
      <c r="G557" s="18"/>
      <c r="H557" s="18"/>
      <c r="I557" s="18"/>
    </row>
    <row r="558" spans="3:9" ht="15" customHeight="1" x14ac:dyDescent="0.35">
      <c r="C558" s="18"/>
      <c r="D558" s="18"/>
      <c r="E558" s="18"/>
      <c r="F558" s="18"/>
      <c r="G558" s="18"/>
      <c r="H558" s="18"/>
      <c r="I558" s="18"/>
    </row>
    <row r="559" spans="3:9" ht="15" customHeight="1" x14ac:dyDescent="0.35">
      <c r="C559" s="18"/>
      <c r="D559" s="18"/>
      <c r="E559" s="18"/>
      <c r="F559" s="18"/>
      <c r="G559" s="18"/>
      <c r="H559" s="18"/>
      <c r="I559" s="18"/>
    </row>
    <row r="560" spans="3:9" ht="15" customHeight="1" x14ac:dyDescent="0.35">
      <c r="C560" s="18"/>
      <c r="D560" s="18"/>
      <c r="E560" s="18"/>
      <c r="F560" s="18"/>
      <c r="G560" s="18"/>
      <c r="H560" s="18"/>
      <c r="I560" s="18"/>
    </row>
    <row r="561" spans="3:9" ht="15" customHeight="1" x14ac:dyDescent="0.35">
      <c r="C561" s="18"/>
      <c r="D561" s="18"/>
      <c r="E561" s="18"/>
      <c r="F561" s="18"/>
      <c r="G561" s="18"/>
      <c r="H561" s="18"/>
      <c r="I561" s="18"/>
    </row>
    <row r="562" spans="3:9" ht="15" customHeight="1" x14ac:dyDescent="0.35">
      <c r="C562" s="18"/>
      <c r="D562" s="18"/>
      <c r="E562" s="18"/>
      <c r="F562" s="18"/>
      <c r="G562" s="18"/>
      <c r="H562" s="18"/>
      <c r="I562" s="18"/>
    </row>
    <row r="563" spans="3:9" ht="15" customHeight="1" x14ac:dyDescent="0.35">
      <c r="C563" s="18"/>
      <c r="D563" s="18"/>
      <c r="E563" s="18"/>
      <c r="F563" s="18"/>
      <c r="G563" s="18"/>
      <c r="H563" s="18"/>
      <c r="I563" s="18"/>
    </row>
    <row r="564" spans="3:9" ht="15" customHeight="1" x14ac:dyDescent="0.35">
      <c r="C564" s="18"/>
      <c r="D564" s="18"/>
      <c r="E564" s="18"/>
      <c r="F564" s="18"/>
      <c r="G564" s="18"/>
      <c r="H564" s="18"/>
      <c r="I564" s="18"/>
    </row>
    <row r="565" spans="3:9" ht="15" customHeight="1" x14ac:dyDescent="0.35">
      <c r="C565" s="18"/>
      <c r="D565" s="18"/>
      <c r="E565" s="18"/>
      <c r="F565" s="18"/>
      <c r="G565" s="18"/>
      <c r="H565" s="18"/>
      <c r="I565" s="18"/>
    </row>
    <row r="566" spans="3:9" ht="15" customHeight="1" x14ac:dyDescent="0.35">
      <c r="C566" s="18"/>
      <c r="D566" s="18"/>
      <c r="E566" s="18"/>
      <c r="F566" s="18"/>
      <c r="G566" s="18"/>
      <c r="H566" s="18"/>
      <c r="I566" s="18"/>
    </row>
    <row r="567" spans="3:9" ht="15" customHeight="1" x14ac:dyDescent="0.35">
      <c r="C567" s="18"/>
      <c r="D567" s="18"/>
      <c r="E567" s="18"/>
      <c r="F567" s="18"/>
      <c r="G567" s="18"/>
      <c r="H567" s="18"/>
      <c r="I567" s="18"/>
    </row>
    <row r="568" spans="3:9" ht="15" customHeight="1" x14ac:dyDescent="0.35">
      <c r="C568" s="18"/>
      <c r="D568" s="18"/>
      <c r="E568" s="18"/>
      <c r="F568" s="18"/>
      <c r="G568" s="18"/>
      <c r="H568" s="18"/>
      <c r="I568" s="18"/>
    </row>
    <row r="569" spans="3:9" ht="15" customHeight="1" x14ac:dyDescent="0.35">
      <c r="C569" s="18"/>
      <c r="D569" s="18"/>
      <c r="E569" s="18"/>
      <c r="F569" s="18"/>
      <c r="G569" s="18"/>
      <c r="H569" s="18"/>
      <c r="I569" s="18"/>
    </row>
    <row r="570" spans="3:9" ht="15" customHeight="1" x14ac:dyDescent="0.35">
      <c r="C570" s="18"/>
      <c r="D570" s="18"/>
      <c r="E570" s="18"/>
      <c r="F570" s="18"/>
      <c r="G570" s="18"/>
      <c r="H570" s="18"/>
      <c r="I570" s="18"/>
    </row>
    <row r="571" spans="3:9" ht="15" customHeight="1" x14ac:dyDescent="0.35">
      <c r="C571" s="18"/>
      <c r="D571" s="18"/>
      <c r="E571" s="18"/>
      <c r="F571" s="18"/>
      <c r="G571" s="18"/>
      <c r="H571" s="18"/>
      <c r="I571" s="18"/>
    </row>
    <row r="572" spans="3:9" ht="15" customHeight="1" x14ac:dyDescent="0.35">
      <c r="C572" s="18"/>
      <c r="D572" s="18"/>
      <c r="E572" s="18"/>
      <c r="F572" s="18"/>
      <c r="G572" s="18"/>
      <c r="H572" s="18"/>
      <c r="I572" s="18"/>
    </row>
    <row r="573" spans="3:9" ht="15" customHeight="1" x14ac:dyDescent="0.35">
      <c r="C573" s="18"/>
      <c r="D573" s="18"/>
      <c r="E573" s="18"/>
      <c r="F573" s="18"/>
      <c r="G573" s="18"/>
      <c r="H573" s="18"/>
      <c r="I573" s="18"/>
    </row>
    <row r="574" spans="3:9" ht="15" customHeight="1" x14ac:dyDescent="0.35">
      <c r="C574" s="18"/>
      <c r="D574" s="18"/>
      <c r="E574" s="18"/>
      <c r="F574" s="18"/>
      <c r="G574" s="18"/>
      <c r="H574" s="18"/>
      <c r="I574" s="18"/>
    </row>
    <row r="575" spans="3:9" ht="15" customHeight="1" x14ac:dyDescent="0.35">
      <c r="C575" s="18"/>
      <c r="D575" s="18"/>
      <c r="E575" s="18"/>
      <c r="F575" s="18"/>
      <c r="G575" s="18"/>
      <c r="H575" s="18"/>
      <c r="I575" s="18"/>
    </row>
    <row r="576" spans="3:9" ht="15" customHeight="1" x14ac:dyDescent="0.35">
      <c r="C576" s="18"/>
      <c r="D576" s="18"/>
      <c r="E576" s="18"/>
      <c r="F576" s="18"/>
      <c r="G576" s="18"/>
      <c r="H576" s="18"/>
      <c r="I576" s="18"/>
    </row>
    <row r="577" spans="3:9" ht="15" customHeight="1" x14ac:dyDescent="0.35">
      <c r="C577" s="18"/>
      <c r="D577" s="18"/>
      <c r="E577" s="18"/>
      <c r="F577" s="18"/>
      <c r="G577" s="18"/>
      <c r="H577" s="18"/>
      <c r="I577" s="18"/>
    </row>
    <row r="578" spans="3:9" ht="15" customHeight="1" x14ac:dyDescent="0.35">
      <c r="C578" s="18"/>
      <c r="D578" s="18"/>
      <c r="E578" s="18"/>
      <c r="F578" s="18"/>
      <c r="G578" s="18"/>
      <c r="H578" s="18"/>
      <c r="I578" s="18"/>
    </row>
    <row r="579" spans="3:9" ht="15" customHeight="1" x14ac:dyDescent="0.35">
      <c r="C579" s="18"/>
      <c r="D579" s="18"/>
      <c r="E579" s="18"/>
      <c r="F579" s="18"/>
      <c r="G579" s="18"/>
      <c r="H579" s="18"/>
      <c r="I579" s="18"/>
    </row>
    <row r="580" spans="3:9" ht="15" customHeight="1" x14ac:dyDescent="0.35">
      <c r="C580" s="18"/>
      <c r="D580" s="18"/>
      <c r="E580" s="18"/>
      <c r="F580" s="18"/>
      <c r="G580" s="18"/>
      <c r="H580" s="18"/>
      <c r="I580" s="18"/>
    </row>
    <row r="581" spans="3:9" ht="15" customHeight="1" x14ac:dyDescent="0.35">
      <c r="C581" s="18"/>
      <c r="D581" s="18"/>
      <c r="E581" s="18"/>
      <c r="F581" s="18"/>
      <c r="G581" s="18"/>
      <c r="H581" s="18"/>
      <c r="I581" s="18"/>
    </row>
    <row r="582" spans="3:9" ht="15" customHeight="1" x14ac:dyDescent="0.35">
      <c r="C582" s="18"/>
      <c r="D582" s="18"/>
      <c r="E582" s="18"/>
      <c r="F582" s="18"/>
      <c r="G582" s="18"/>
      <c r="H582" s="18"/>
      <c r="I582" s="18"/>
    </row>
    <row r="583" spans="3:9" ht="15" customHeight="1" x14ac:dyDescent="0.35">
      <c r="C583" s="18"/>
      <c r="D583" s="18"/>
      <c r="E583" s="18"/>
      <c r="F583" s="18"/>
      <c r="G583" s="18"/>
      <c r="H583" s="18"/>
      <c r="I583" s="18"/>
    </row>
    <row r="584" spans="3:9" ht="15" customHeight="1" x14ac:dyDescent="0.35">
      <c r="C584" s="18"/>
      <c r="D584" s="18"/>
      <c r="E584" s="18"/>
      <c r="F584" s="18"/>
      <c r="G584" s="18"/>
      <c r="H584" s="18"/>
      <c r="I584" s="18"/>
    </row>
    <row r="585" spans="3:9" ht="15" customHeight="1" x14ac:dyDescent="0.35">
      <c r="C585" s="18"/>
      <c r="D585" s="18"/>
      <c r="E585" s="18"/>
      <c r="F585" s="18"/>
      <c r="G585" s="18"/>
      <c r="H585" s="18"/>
      <c r="I585" s="18"/>
    </row>
    <row r="586" spans="3:9" ht="15" customHeight="1" x14ac:dyDescent="0.35">
      <c r="C586" s="18"/>
      <c r="D586" s="18"/>
      <c r="E586" s="18"/>
      <c r="F586" s="18"/>
      <c r="G586" s="18"/>
      <c r="H586" s="18"/>
      <c r="I586" s="18"/>
    </row>
    <row r="587" spans="3:9" ht="15" customHeight="1" x14ac:dyDescent="0.35">
      <c r="C587" s="18"/>
      <c r="D587" s="18"/>
      <c r="E587" s="18"/>
      <c r="F587" s="18"/>
      <c r="G587" s="18"/>
      <c r="H587" s="18"/>
      <c r="I587" s="18"/>
    </row>
    <row r="588" spans="3:9" ht="15" customHeight="1" x14ac:dyDescent="0.35">
      <c r="C588" s="18"/>
      <c r="D588" s="18"/>
      <c r="E588" s="18"/>
      <c r="F588" s="18"/>
      <c r="G588" s="18"/>
      <c r="H588" s="18"/>
      <c r="I588" s="18"/>
    </row>
    <row r="589" spans="3:9" ht="15" customHeight="1" x14ac:dyDescent="0.35">
      <c r="C589" s="18"/>
      <c r="D589" s="18"/>
      <c r="E589" s="18"/>
      <c r="F589" s="18"/>
      <c r="G589" s="18"/>
      <c r="H589" s="18"/>
      <c r="I589" s="18"/>
    </row>
    <row r="590" spans="3:9" ht="15" customHeight="1" x14ac:dyDescent="0.35">
      <c r="C590" s="18"/>
      <c r="D590" s="18"/>
      <c r="E590" s="18"/>
      <c r="F590" s="18"/>
      <c r="G590" s="18"/>
      <c r="H590" s="18"/>
      <c r="I590" s="18"/>
    </row>
    <row r="591" spans="3:9" ht="15" customHeight="1" x14ac:dyDescent="0.35">
      <c r="C591" s="18"/>
      <c r="D591" s="18"/>
      <c r="E591" s="18"/>
      <c r="F591" s="18"/>
      <c r="G591" s="18"/>
      <c r="H591" s="18"/>
      <c r="I591" s="18"/>
    </row>
    <row r="592" spans="3:9" ht="15" customHeight="1" x14ac:dyDescent="0.35">
      <c r="C592" s="18"/>
      <c r="D592" s="18"/>
      <c r="E592" s="18"/>
      <c r="F592" s="18"/>
      <c r="G592" s="18"/>
      <c r="H592" s="18"/>
      <c r="I592" s="18"/>
    </row>
    <row r="593" spans="3:9" ht="15" customHeight="1" x14ac:dyDescent="0.35">
      <c r="C593" s="18"/>
      <c r="D593" s="18"/>
      <c r="E593" s="18"/>
      <c r="F593" s="18"/>
      <c r="G593" s="18"/>
      <c r="H593" s="18"/>
      <c r="I593" s="18"/>
    </row>
    <row r="594" spans="3:9" ht="15" customHeight="1" x14ac:dyDescent="0.35">
      <c r="C594" s="18"/>
      <c r="D594" s="18"/>
      <c r="E594" s="18"/>
      <c r="F594" s="18"/>
      <c r="G594" s="18"/>
      <c r="H594" s="18"/>
      <c r="I594" s="18"/>
    </row>
    <row r="595" spans="3:9" ht="15" customHeight="1" x14ac:dyDescent="0.35">
      <c r="C595" s="18"/>
      <c r="D595" s="18"/>
      <c r="E595" s="18"/>
      <c r="F595" s="18"/>
      <c r="G595" s="18"/>
      <c r="H595" s="18"/>
      <c r="I595" s="18"/>
    </row>
    <row r="596" spans="3:9" ht="15" customHeight="1" x14ac:dyDescent="0.35">
      <c r="C596" s="18"/>
      <c r="D596" s="18"/>
      <c r="E596" s="18"/>
      <c r="F596" s="18"/>
      <c r="G596" s="18"/>
      <c r="H596" s="18"/>
      <c r="I596" s="18"/>
    </row>
    <row r="597" spans="3:9" ht="15" customHeight="1" x14ac:dyDescent="0.35">
      <c r="C597" s="18"/>
      <c r="D597" s="18"/>
      <c r="E597" s="18"/>
      <c r="F597" s="18"/>
      <c r="G597" s="18"/>
      <c r="H597" s="18"/>
      <c r="I597" s="18"/>
    </row>
    <row r="598" spans="3:9" ht="15" customHeight="1" x14ac:dyDescent="0.35">
      <c r="C598" s="18"/>
      <c r="D598" s="18"/>
      <c r="E598" s="18"/>
      <c r="F598" s="18"/>
      <c r="G598" s="18"/>
      <c r="H598" s="18"/>
      <c r="I598" s="18"/>
    </row>
    <row r="599" spans="3:9" ht="15" customHeight="1" x14ac:dyDescent="0.35">
      <c r="C599" s="18"/>
      <c r="D599" s="18"/>
      <c r="E599" s="18"/>
      <c r="F599" s="18"/>
      <c r="G599" s="18"/>
      <c r="H599" s="18"/>
      <c r="I599" s="18"/>
    </row>
    <row r="600" spans="3:9" ht="15" customHeight="1" x14ac:dyDescent="0.35">
      <c r="C600" s="18"/>
      <c r="D600" s="18"/>
      <c r="E600" s="18"/>
      <c r="F600" s="18"/>
      <c r="G600" s="18"/>
      <c r="H600" s="18"/>
      <c r="I600" s="18"/>
    </row>
    <row r="601" spans="3:9" ht="15" customHeight="1" x14ac:dyDescent="0.35">
      <c r="C601" s="18"/>
      <c r="D601" s="18"/>
      <c r="E601" s="18"/>
      <c r="F601" s="18"/>
      <c r="G601" s="18"/>
      <c r="H601" s="18"/>
      <c r="I601" s="18"/>
    </row>
    <row r="602" spans="3:9" ht="15" customHeight="1" x14ac:dyDescent="0.35">
      <c r="C602" s="18"/>
      <c r="D602" s="18"/>
      <c r="E602" s="18"/>
      <c r="F602" s="18"/>
      <c r="G602" s="18"/>
      <c r="H602" s="18"/>
      <c r="I602" s="18"/>
    </row>
    <row r="603" spans="3:9" ht="15" customHeight="1" x14ac:dyDescent="0.35">
      <c r="C603" s="18"/>
      <c r="D603" s="18"/>
      <c r="E603" s="18"/>
      <c r="F603" s="18"/>
      <c r="G603" s="18"/>
      <c r="H603" s="18"/>
      <c r="I603" s="18"/>
    </row>
    <row r="604" spans="3:9" ht="15" customHeight="1" x14ac:dyDescent="0.35">
      <c r="C604" s="18"/>
      <c r="D604" s="18"/>
      <c r="E604" s="18"/>
      <c r="F604" s="18"/>
      <c r="G604" s="18"/>
      <c r="H604" s="18"/>
      <c r="I604" s="18"/>
    </row>
    <row r="605" spans="3:9" ht="15" customHeight="1" x14ac:dyDescent="0.35">
      <c r="C605" s="18"/>
      <c r="D605" s="18"/>
      <c r="E605" s="18"/>
      <c r="F605" s="18"/>
      <c r="G605" s="18"/>
      <c r="H605" s="18"/>
      <c r="I605" s="18"/>
    </row>
    <row r="606" spans="3:9" ht="15" customHeight="1" x14ac:dyDescent="0.35">
      <c r="C606" s="18"/>
      <c r="D606" s="18"/>
      <c r="E606" s="18"/>
      <c r="F606" s="18"/>
      <c r="G606" s="18"/>
      <c r="H606" s="18"/>
      <c r="I606" s="18"/>
    </row>
    <row r="607" spans="3:9" ht="15" customHeight="1" x14ac:dyDescent="0.35">
      <c r="C607" s="18"/>
      <c r="D607" s="18"/>
      <c r="E607" s="18"/>
      <c r="F607" s="18"/>
      <c r="G607" s="18"/>
      <c r="H607" s="18"/>
      <c r="I607" s="18"/>
    </row>
    <row r="608" spans="3:9" ht="15" customHeight="1" x14ac:dyDescent="0.35">
      <c r="C608" s="18"/>
      <c r="D608" s="18"/>
      <c r="E608" s="18"/>
      <c r="F608" s="18"/>
      <c r="G608" s="18"/>
      <c r="H608" s="18"/>
      <c r="I608" s="18"/>
    </row>
    <row r="609" spans="3:9" ht="15" customHeight="1" x14ac:dyDescent="0.35">
      <c r="C609" s="18"/>
      <c r="D609" s="18"/>
      <c r="E609" s="18"/>
      <c r="F609" s="18"/>
      <c r="G609" s="18"/>
      <c r="H609" s="18"/>
      <c r="I609" s="18"/>
    </row>
    <row r="610" spans="3:9" ht="15" customHeight="1" x14ac:dyDescent="0.35">
      <c r="C610" s="18"/>
      <c r="D610" s="18"/>
      <c r="E610" s="18"/>
      <c r="F610" s="18"/>
      <c r="G610" s="18"/>
      <c r="H610" s="18"/>
      <c r="I610" s="18"/>
    </row>
    <row r="611" spans="3:9" ht="15" customHeight="1" x14ac:dyDescent="0.35">
      <c r="C611" s="18"/>
      <c r="D611" s="18"/>
      <c r="E611" s="18"/>
      <c r="F611" s="18"/>
      <c r="G611" s="18"/>
      <c r="H611" s="18"/>
      <c r="I611" s="18"/>
    </row>
    <row r="612" spans="3:9" ht="15" customHeight="1" x14ac:dyDescent="0.35">
      <c r="C612" s="18"/>
      <c r="D612" s="18"/>
      <c r="E612" s="18"/>
      <c r="F612" s="18"/>
      <c r="G612" s="18"/>
      <c r="H612" s="18"/>
      <c r="I612" s="18"/>
    </row>
    <row r="613" spans="3:9" ht="15" customHeight="1" x14ac:dyDescent="0.35">
      <c r="C613" s="18"/>
      <c r="D613" s="18"/>
      <c r="E613" s="18"/>
      <c r="F613" s="18"/>
      <c r="G613" s="18"/>
      <c r="H613" s="18"/>
      <c r="I613" s="18"/>
    </row>
    <row r="614" spans="3:9" ht="15" customHeight="1" x14ac:dyDescent="0.35">
      <c r="C614" s="18"/>
      <c r="D614" s="18"/>
      <c r="E614" s="18"/>
      <c r="F614" s="18"/>
      <c r="G614" s="18"/>
      <c r="H614" s="18"/>
      <c r="I614" s="18"/>
    </row>
    <row r="615" spans="3:9" ht="15" customHeight="1" x14ac:dyDescent="0.35">
      <c r="C615" s="18"/>
      <c r="D615" s="18"/>
      <c r="E615" s="18"/>
      <c r="F615" s="18"/>
      <c r="G615" s="18"/>
      <c r="H615" s="18"/>
      <c r="I615" s="18"/>
    </row>
    <row r="616" spans="3:9" ht="15" customHeight="1" x14ac:dyDescent="0.35">
      <c r="C616" s="18"/>
      <c r="D616" s="18"/>
      <c r="E616" s="18"/>
      <c r="F616" s="18"/>
      <c r="G616" s="18"/>
      <c r="H616" s="18"/>
      <c r="I616" s="18"/>
    </row>
    <row r="617" spans="3:9" ht="15" customHeight="1" x14ac:dyDescent="0.35">
      <c r="C617" s="18"/>
      <c r="D617" s="18"/>
      <c r="E617" s="18"/>
      <c r="F617" s="18"/>
      <c r="G617" s="18"/>
      <c r="H617" s="18"/>
      <c r="I617" s="18"/>
    </row>
    <row r="618" spans="3:9" ht="15" customHeight="1" x14ac:dyDescent="0.35">
      <c r="C618" s="18"/>
      <c r="D618" s="18"/>
      <c r="E618" s="18"/>
      <c r="F618" s="18"/>
      <c r="G618" s="18"/>
      <c r="H618" s="18"/>
      <c r="I618" s="18"/>
    </row>
    <row r="619" spans="3:9" ht="15" customHeight="1" x14ac:dyDescent="0.35">
      <c r="C619" s="18"/>
      <c r="D619" s="18"/>
      <c r="E619" s="18"/>
      <c r="F619" s="18"/>
      <c r="G619" s="18"/>
      <c r="H619" s="18"/>
      <c r="I619" s="18"/>
    </row>
    <row r="620" spans="3:9" ht="15" customHeight="1" x14ac:dyDescent="0.35">
      <c r="C620" s="18"/>
      <c r="D620" s="18"/>
      <c r="E620" s="18"/>
      <c r="F620" s="18"/>
      <c r="G620" s="18"/>
      <c r="H620" s="18"/>
      <c r="I620" s="18"/>
    </row>
    <row r="621" spans="3:9" ht="15" customHeight="1" x14ac:dyDescent="0.35">
      <c r="C621" s="18"/>
      <c r="D621" s="18"/>
      <c r="E621" s="18"/>
      <c r="F621" s="18"/>
      <c r="G621" s="18"/>
      <c r="H621" s="18"/>
      <c r="I621" s="18"/>
    </row>
    <row r="622" spans="3:9" ht="15" customHeight="1" x14ac:dyDescent="0.35">
      <c r="C622" s="18"/>
      <c r="D622" s="18"/>
      <c r="E622" s="18"/>
      <c r="F622" s="18"/>
      <c r="G622" s="18"/>
      <c r="H622" s="18"/>
      <c r="I622" s="18"/>
    </row>
    <row r="623" spans="3:9" ht="15" customHeight="1" x14ac:dyDescent="0.35">
      <c r="C623" s="18"/>
      <c r="D623" s="18"/>
      <c r="E623" s="18"/>
      <c r="F623" s="18"/>
      <c r="G623" s="18"/>
      <c r="H623" s="18"/>
      <c r="I623" s="18"/>
    </row>
    <row r="624" spans="3:9" ht="15" customHeight="1" x14ac:dyDescent="0.35">
      <c r="C624" s="18"/>
      <c r="D624" s="18"/>
      <c r="E624" s="18"/>
      <c r="F624" s="18"/>
      <c r="G624" s="18"/>
      <c r="H624" s="18"/>
      <c r="I624" s="18"/>
    </row>
    <row r="625" spans="3:9" ht="15" customHeight="1" x14ac:dyDescent="0.35">
      <c r="C625" s="18"/>
      <c r="D625" s="18"/>
      <c r="E625" s="18"/>
      <c r="F625" s="18"/>
      <c r="G625" s="18"/>
      <c r="H625" s="18"/>
      <c r="I625" s="18"/>
    </row>
    <row r="626" spans="3:9" ht="15" customHeight="1" x14ac:dyDescent="0.35">
      <c r="C626" s="18"/>
      <c r="D626" s="18"/>
      <c r="E626" s="18"/>
      <c r="F626" s="18"/>
      <c r="G626" s="18"/>
      <c r="H626" s="18"/>
      <c r="I626" s="18"/>
    </row>
    <row r="627" spans="3:9" ht="15" customHeight="1" x14ac:dyDescent="0.35">
      <c r="C627" s="18"/>
      <c r="D627" s="18"/>
      <c r="E627" s="18"/>
      <c r="F627" s="18"/>
      <c r="G627" s="18"/>
      <c r="H627" s="18"/>
      <c r="I627" s="18"/>
    </row>
    <row r="628" spans="3:9" ht="15" customHeight="1" x14ac:dyDescent="0.35">
      <c r="C628" s="18"/>
      <c r="D628" s="18"/>
      <c r="E628" s="18"/>
      <c r="F628" s="18"/>
      <c r="G628" s="18"/>
      <c r="H628" s="18"/>
      <c r="I628" s="18"/>
    </row>
    <row r="629" spans="3:9" ht="15" customHeight="1" x14ac:dyDescent="0.35">
      <c r="C629" s="18"/>
      <c r="D629" s="18"/>
      <c r="E629" s="18"/>
      <c r="F629" s="18"/>
      <c r="G629" s="18"/>
      <c r="H629" s="18"/>
      <c r="I629" s="18"/>
    </row>
    <row r="630" spans="3:9" ht="15" customHeight="1" x14ac:dyDescent="0.35">
      <c r="C630" s="18"/>
      <c r="D630" s="18"/>
      <c r="E630" s="18"/>
      <c r="F630" s="18"/>
      <c r="G630" s="18"/>
      <c r="H630" s="18"/>
      <c r="I630" s="18"/>
    </row>
    <row r="631" spans="3:9" ht="15" customHeight="1" x14ac:dyDescent="0.35">
      <c r="C631" s="18"/>
      <c r="D631" s="18"/>
      <c r="E631" s="18"/>
      <c r="F631" s="18"/>
      <c r="G631" s="18"/>
      <c r="H631" s="18"/>
      <c r="I631" s="18"/>
    </row>
    <row r="632" spans="3:9" ht="15" customHeight="1" x14ac:dyDescent="0.35">
      <c r="C632" s="18"/>
      <c r="D632" s="18"/>
      <c r="E632" s="18"/>
      <c r="F632" s="18"/>
      <c r="G632" s="18"/>
      <c r="H632" s="18"/>
      <c r="I632" s="18"/>
    </row>
    <row r="633" spans="3:9" ht="15" customHeight="1" x14ac:dyDescent="0.35">
      <c r="C633" s="18"/>
      <c r="D633" s="18"/>
      <c r="E633" s="18"/>
      <c r="F633" s="18"/>
      <c r="G633" s="18"/>
      <c r="H633" s="18"/>
      <c r="I633" s="18"/>
    </row>
    <row r="634" spans="3:9" ht="15" customHeight="1" x14ac:dyDescent="0.35">
      <c r="C634" s="18"/>
      <c r="D634" s="18"/>
      <c r="E634" s="18"/>
      <c r="F634" s="18"/>
      <c r="G634" s="18"/>
      <c r="H634" s="18"/>
      <c r="I634" s="18"/>
    </row>
    <row r="635" spans="3:9" ht="15" customHeight="1" x14ac:dyDescent="0.35">
      <c r="C635" s="18"/>
      <c r="D635" s="18"/>
      <c r="E635" s="18"/>
      <c r="F635" s="18"/>
      <c r="G635" s="18"/>
      <c r="H635" s="18"/>
      <c r="I635" s="18"/>
    </row>
    <row r="636" spans="3:9" ht="15" customHeight="1" x14ac:dyDescent="0.35">
      <c r="C636" s="18"/>
      <c r="D636" s="18"/>
      <c r="E636" s="18"/>
      <c r="F636" s="18"/>
      <c r="G636" s="18"/>
      <c r="H636" s="18"/>
      <c r="I636" s="18"/>
    </row>
    <row r="637" spans="3:9" ht="15" customHeight="1" x14ac:dyDescent="0.35">
      <c r="C637" s="18"/>
      <c r="D637" s="18"/>
      <c r="E637" s="18"/>
      <c r="F637" s="18"/>
      <c r="G637" s="18"/>
      <c r="H637" s="18"/>
      <c r="I637" s="18"/>
    </row>
    <row r="638" spans="3:9" ht="15" customHeight="1" x14ac:dyDescent="0.35">
      <c r="C638" s="18"/>
      <c r="D638" s="18"/>
      <c r="E638" s="18"/>
      <c r="F638" s="18"/>
      <c r="G638" s="18"/>
      <c r="H638" s="18"/>
      <c r="I638" s="18"/>
    </row>
    <row r="639" spans="3:9" ht="15" customHeight="1" x14ac:dyDescent="0.35">
      <c r="C639" s="18"/>
      <c r="D639" s="18"/>
      <c r="E639" s="18"/>
      <c r="F639" s="18"/>
      <c r="G639" s="18"/>
      <c r="H639" s="18"/>
      <c r="I639" s="18"/>
    </row>
    <row r="640" spans="3:9" ht="15" customHeight="1" x14ac:dyDescent="0.35">
      <c r="C640" s="18"/>
      <c r="D640" s="18"/>
      <c r="E640" s="18"/>
      <c r="F640" s="18"/>
      <c r="G640" s="18"/>
      <c r="H640" s="18"/>
      <c r="I640" s="18"/>
    </row>
    <row r="641" spans="3:9" ht="15" customHeight="1" x14ac:dyDescent="0.35">
      <c r="C641" s="18"/>
      <c r="D641" s="18"/>
      <c r="E641" s="18"/>
      <c r="F641" s="18"/>
      <c r="G641" s="18"/>
      <c r="H641" s="18"/>
      <c r="I641" s="18"/>
    </row>
    <row r="642" spans="3:9" ht="15" customHeight="1" x14ac:dyDescent="0.35">
      <c r="C642" s="18"/>
      <c r="D642" s="18"/>
      <c r="E642" s="18"/>
      <c r="F642" s="18"/>
      <c r="G642" s="18"/>
      <c r="H642" s="18"/>
      <c r="I642" s="18"/>
    </row>
    <row r="643" spans="3:9" ht="15" customHeight="1" x14ac:dyDescent="0.35">
      <c r="C643" s="18"/>
      <c r="D643" s="18"/>
      <c r="E643" s="18"/>
      <c r="F643" s="18"/>
      <c r="G643" s="18"/>
      <c r="H643" s="18"/>
      <c r="I643" s="18"/>
    </row>
    <row r="644" spans="3:9" ht="15" customHeight="1" x14ac:dyDescent="0.35">
      <c r="C644" s="18"/>
      <c r="D644" s="18"/>
      <c r="E644" s="18"/>
      <c r="F644" s="18"/>
      <c r="G644" s="18"/>
      <c r="H644" s="18"/>
      <c r="I644" s="18"/>
    </row>
    <row r="645" spans="3:9" ht="15" customHeight="1" x14ac:dyDescent="0.35">
      <c r="C645" s="18"/>
      <c r="D645" s="18"/>
      <c r="E645" s="18"/>
      <c r="F645" s="18"/>
      <c r="G645" s="18"/>
      <c r="H645" s="18"/>
      <c r="I645" s="18"/>
    </row>
    <row r="646" spans="3:9" ht="15" customHeight="1" x14ac:dyDescent="0.35">
      <c r="C646" s="18"/>
      <c r="D646" s="18"/>
      <c r="E646" s="18"/>
      <c r="F646" s="18"/>
      <c r="G646" s="18"/>
      <c r="H646" s="18"/>
      <c r="I646" s="18"/>
    </row>
    <row r="647" spans="3:9" ht="15" customHeight="1" x14ac:dyDescent="0.35">
      <c r="C647" s="18"/>
      <c r="D647" s="18"/>
      <c r="E647" s="18"/>
      <c r="F647" s="18"/>
      <c r="G647" s="18"/>
      <c r="H647" s="18"/>
      <c r="I647" s="18"/>
    </row>
    <row r="648" spans="3:9" ht="15" customHeight="1" x14ac:dyDescent="0.35">
      <c r="C648" s="18"/>
      <c r="D648" s="18"/>
      <c r="E648" s="18"/>
      <c r="F648" s="18"/>
      <c r="G648" s="18"/>
      <c r="H648" s="18"/>
      <c r="I648" s="18"/>
    </row>
    <row r="649" spans="3:9" ht="15" customHeight="1" x14ac:dyDescent="0.35">
      <c r="C649" s="18"/>
      <c r="D649" s="18"/>
      <c r="E649" s="18"/>
      <c r="F649" s="18"/>
      <c r="G649" s="18"/>
      <c r="H649" s="18"/>
      <c r="I649" s="18"/>
    </row>
    <row r="650" spans="3:9" ht="15" customHeight="1" x14ac:dyDescent="0.35">
      <c r="C650" s="18"/>
      <c r="D650" s="18"/>
      <c r="E650" s="18"/>
      <c r="F650" s="18"/>
      <c r="G650" s="18"/>
      <c r="H650" s="18"/>
      <c r="I650" s="18"/>
    </row>
    <row r="651" spans="3:9" ht="15" customHeight="1" x14ac:dyDescent="0.35">
      <c r="C651" s="18"/>
      <c r="D651" s="18"/>
      <c r="E651" s="18"/>
      <c r="F651" s="18"/>
      <c r="G651" s="18"/>
      <c r="H651" s="18"/>
      <c r="I651" s="18"/>
    </row>
    <row r="652" spans="3:9" ht="15" customHeight="1" x14ac:dyDescent="0.35">
      <c r="C652" s="18"/>
      <c r="D652" s="18"/>
      <c r="E652" s="18"/>
      <c r="F652" s="18"/>
      <c r="G652" s="18"/>
      <c r="H652" s="18"/>
      <c r="I652" s="18"/>
    </row>
    <row r="653" spans="3:9" ht="15" customHeight="1" x14ac:dyDescent="0.35">
      <c r="C653" s="18"/>
      <c r="D653" s="18"/>
      <c r="E653" s="18"/>
      <c r="F653" s="18"/>
      <c r="G653" s="18"/>
      <c r="H653" s="18"/>
      <c r="I653" s="18"/>
    </row>
    <row r="654" spans="3:9" ht="15" customHeight="1" x14ac:dyDescent="0.35">
      <c r="C654" s="18"/>
      <c r="D654" s="18"/>
      <c r="E654" s="18"/>
      <c r="F654" s="18"/>
      <c r="G654" s="18"/>
      <c r="H654" s="18"/>
      <c r="I654" s="18"/>
    </row>
    <row r="655" spans="3:9" ht="15" customHeight="1" x14ac:dyDescent="0.35">
      <c r="C655" s="18"/>
      <c r="D655" s="18"/>
      <c r="E655" s="18"/>
      <c r="F655" s="18"/>
      <c r="G655" s="18"/>
      <c r="H655" s="18"/>
      <c r="I655" s="18"/>
    </row>
    <row r="656" spans="3:9" ht="15" customHeight="1" x14ac:dyDescent="0.35">
      <c r="C656" s="18"/>
      <c r="D656" s="18"/>
      <c r="E656" s="18"/>
      <c r="F656" s="18"/>
      <c r="G656" s="18"/>
      <c r="H656" s="18"/>
      <c r="I656" s="18"/>
    </row>
    <row r="657" spans="3:9" ht="15" customHeight="1" x14ac:dyDescent="0.35">
      <c r="C657" s="18"/>
      <c r="D657" s="18"/>
      <c r="E657" s="18"/>
      <c r="F657" s="18"/>
      <c r="G657" s="18"/>
      <c r="H657" s="18"/>
      <c r="I657" s="18"/>
    </row>
    <row r="658" spans="3:9" ht="15" customHeight="1" x14ac:dyDescent="0.35">
      <c r="C658" s="18"/>
      <c r="D658" s="18"/>
      <c r="E658" s="18"/>
      <c r="F658" s="18"/>
      <c r="G658" s="18"/>
      <c r="H658" s="18"/>
      <c r="I658" s="18"/>
    </row>
    <row r="659" spans="3:9" ht="15" customHeight="1" x14ac:dyDescent="0.35">
      <c r="C659" s="18"/>
      <c r="D659" s="18"/>
      <c r="E659" s="18"/>
      <c r="F659" s="18"/>
      <c r="G659" s="18"/>
      <c r="H659" s="18"/>
      <c r="I659" s="18"/>
    </row>
    <row r="660" spans="3:9" ht="15" customHeight="1" x14ac:dyDescent="0.35">
      <c r="C660" s="18"/>
      <c r="D660" s="18"/>
      <c r="E660" s="18"/>
      <c r="F660" s="18"/>
      <c r="G660" s="18"/>
      <c r="H660" s="18"/>
      <c r="I660" s="18"/>
    </row>
    <row r="661" spans="3:9" ht="15" customHeight="1" x14ac:dyDescent="0.35">
      <c r="C661" s="18"/>
      <c r="D661" s="18"/>
      <c r="E661" s="18"/>
      <c r="F661" s="18"/>
      <c r="G661" s="18"/>
      <c r="H661" s="18"/>
      <c r="I661" s="18"/>
    </row>
    <row r="662" spans="3:9" ht="15" customHeight="1" x14ac:dyDescent="0.35">
      <c r="C662" s="18"/>
      <c r="D662" s="18"/>
      <c r="E662" s="18"/>
      <c r="F662" s="18"/>
      <c r="G662" s="18"/>
      <c r="H662" s="18"/>
      <c r="I662" s="18"/>
    </row>
    <row r="663" spans="3:9" ht="15" customHeight="1" x14ac:dyDescent="0.35">
      <c r="C663" s="18"/>
      <c r="D663" s="18"/>
      <c r="E663" s="18"/>
      <c r="F663" s="18"/>
      <c r="G663" s="18"/>
      <c r="H663" s="18"/>
      <c r="I663" s="18"/>
    </row>
    <row r="664" spans="3:9" ht="15" customHeight="1" x14ac:dyDescent="0.35">
      <c r="C664" s="18"/>
      <c r="D664" s="18"/>
      <c r="E664" s="18"/>
      <c r="F664" s="18"/>
      <c r="G664" s="18"/>
      <c r="H664" s="18"/>
      <c r="I664" s="18"/>
    </row>
    <row r="665" spans="3:9" ht="15" customHeight="1" x14ac:dyDescent="0.35">
      <c r="C665" s="18"/>
      <c r="D665" s="18"/>
      <c r="E665" s="18"/>
      <c r="F665" s="18"/>
      <c r="G665" s="18"/>
      <c r="H665" s="18"/>
      <c r="I665" s="18"/>
    </row>
    <row r="666" spans="3:9" ht="15" customHeight="1" x14ac:dyDescent="0.35">
      <c r="C666" s="18"/>
      <c r="D666" s="18"/>
      <c r="E666" s="18"/>
      <c r="F666" s="18"/>
      <c r="G666" s="18"/>
      <c r="H666" s="18"/>
      <c r="I666" s="18"/>
    </row>
    <row r="667" spans="3:9" ht="15" customHeight="1" x14ac:dyDescent="0.35">
      <c r="C667" s="18"/>
      <c r="D667" s="18"/>
      <c r="E667" s="18"/>
      <c r="F667" s="18"/>
      <c r="G667" s="18"/>
      <c r="H667" s="18"/>
      <c r="I667" s="18"/>
    </row>
    <row r="668" spans="3:9" ht="15" customHeight="1" x14ac:dyDescent="0.35">
      <c r="C668" s="18"/>
      <c r="D668" s="18"/>
      <c r="E668" s="18"/>
      <c r="F668" s="18"/>
      <c r="G668" s="18"/>
      <c r="H668" s="18"/>
      <c r="I668" s="18"/>
    </row>
    <row r="669" spans="3:9" ht="15" customHeight="1" x14ac:dyDescent="0.35">
      <c r="C669" s="18"/>
      <c r="D669" s="18"/>
      <c r="E669" s="18"/>
      <c r="F669" s="18"/>
      <c r="G669" s="18"/>
      <c r="H669" s="18"/>
      <c r="I669" s="18"/>
    </row>
    <row r="670" spans="3:9" ht="15" customHeight="1" x14ac:dyDescent="0.35">
      <c r="C670" s="18"/>
      <c r="D670" s="18"/>
      <c r="E670" s="18"/>
      <c r="F670" s="18"/>
      <c r="G670" s="18"/>
      <c r="H670" s="18"/>
      <c r="I670" s="18"/>
    </row>
    <row r="671" spans="3:9" ht="15" customHeight="1" x14ac:dyDescent="0.35">
      <c r="C671" s="18"/>
      <c r="D671" s="18"/>
      <c r="E671" s="18"/>
      <c r="F671" s="18"/>
      <c r="G671" s="18"/>
      <c r="H671" s="18"/>
      <c r="I671" s="18"/>
    </row>
    <row r="672" spans="3:9" ht="15" customHeight="1" x14ac:dyDescent="0.35">
      <c r="C672" s="18"/>
      <c r="D672" s="18"/>
      <c r="E672" s="18"/>
      <c r="F672" s="18"/>
      <c r="G672" s="18"/>
      <c r="H672" s="18"/>
      <c r="I672" s="18"/>
    </row>
    <row r="673" spans="3:9" ht="15" customHeight="1" x14ac:dyDescent="0.35">
      <c r="C673" s="18"/>
      <c r="D673" s="18"/>
      <c r="E673" s="18"/>
      <c r="F673" s="18"/>
      <c r="G673" s="18"/>
      <c r="H673" s="18"/>
      <c r="I673" s="18"/>
    </row>
    <row r="674" spans="3:9" ht="15" customHeight="1" x14ac:dyDescent="0.35">
      <c r="C674" s="18"/>
      <c r="D674" s="18"/>
      <c r="E674" s="18"/>
      <c r="F674" s="18"/>
      <c r="G674" s="18"/>
      <c r="H674" s="18"/>
      <c r="I674" s="18"/>
    </row>
    <row r="675" spans="3:9" ht="15" customHeight="1" x14ac:dyDescent="0.35">
      <c r="C675" s="18"/>
      <c r="D675" s="18"/>
      <c r="E675" s="18"/>
      <c r="F675" s="18"/>
      <c r="G675" s="18"/>
      <c r="H675" s="18"/>
      <c r="I675" s="18"/>
    </row>
    <row r="676" spans="3:9" ht="15" customHeight="1" x14ac:dyDescent="0.35">
      <c r="C676" s="18"/>
      <c r="D676" s="18"/>
      <c r="E676" s="18"/>
      <c r="F676" s="18"/>
      <c r="G676" s="18"/>
      <c r="H676" s="18"/>
      <c r="I676" s="18"/>
    </row>
    <row r="677" spans="3:9" ht="15" customHeight="1" x14ac:dyDescent="0.35">
      <c r="C677" s="18"/>
      <c r="D677" s="18"/>
      <c r="E677" s="18"/>
      <c r="F677" s="18"/>
      <c r="G677" s="18"/>
      <c r="H677" s="18"/>
      <c r="I677" s="18"/>
    </row>
    <row r="678" spans="3:9" ht="15" customHeight="1" x14ac:dyDescent="0.35">
      <c r="C678" s="18"/>
      <c r="D678" s="18"/>
      <c r="E678" s="18"/>
      <c r="F678" s="18"/>
      <c r="G678" s="18"/>
      <c r="H678" s="18"/>
      <c r="I678" s="18"/>
    </row>
    <row r="679" spans="3:9" ht="15" customHeight="1" x14ac:dyDescent="0.35">
      <c r="C679" s="18"/>
      <c r="D679" s="18"/>
      <c r="E679" s="18"/>
      <c r="F679" s="18"/>
      <c r="G679" s="18"/>
      <c r="H679" s="18"/>
      <c r="I679" s="18"/>
    </row>
    <row r="680" spans="3:9" ht="15" customHeight="1" x14ac:dyDescent="0.35">
      <c r="C680" s="18"/>
      <c r="D680" s="18"/>
      <c r="E680" s="18"/>
      <c r="F680" s="18"/>
      <c r="G680" s="18"/>
      <c r="H680" s="18"/>
      <c r="I680" s="18"/>
    </row>
    <row r="681" spans="3:9" ht="15" customHeight="1" x14ac:dyDescent="0.35">
      <c r="C681" s="18"/>
      <c r="D681" s="18"/>
      <c r="E681" s="18"/>
      <c r="F681" s="18"/>
      <c r="G681" s="18"/>
      <c r="H681" s="18"/>
      <c r="I681" s="18"/>
    </row>
    <row r="682" spans="3:9" ht="15" customHeight="1" x14ac:dyDescent="0.35">
      <c r="C682" s="18"/>
      <c r="D682" s="18"/>
      <c r="E682" s="18"/>
      <c r="F682" s="18"/>
      <c r="G682" s="18"/>
      <c r="H682" s="18"/>
      <c r="I682" s="18"/>
    </row>
    <row r="683" spans="3:9" ht="15" customHeight="1" x14ac:dyDescent="0.35">
      <c r="C683" s="18"/>
      <c r="D683" s="18"/>
      <c r="E683" s="18"/>
      <c r="F683" s="18"/>
      <c r="G683" s="18"/>
      <c r="H683" s="18"/>
      <c r="I683" s="18"/>
    </row>
    <row r="684" spans="3:9" ht="15" customHeight="1" x14ac:dyDescent="0.35">
      <c r="C684" s="18"/>
      <c r="D684" s="18"/>
      <c r="E684" s="18"/>
      <c r="F684" s="18"/>
      <c r="G684" s="18"/>
      <c r="H684" s="18"/>
      <c r="I684" s="18"/>
    </row>
    <row r="685" spans="3:9" ht="15" customHeight="1" x14ac:dyDescent="0.35">
      <c r="C685" s="18"/>
      <c r="D685" s="18"/>
      <c r="E685" s="18"/>
      <c r="F685" s="18"/>
      <c r="G685" s="18"/>
      <c r="H685" s="18"/>
      <c r="I685" s="18"/>
    </row>
    <row r="686" spans="3:9" ht="15" customHeight="1" x14ac:dyDescent="0.35">
      <c r="C686" s="18"/>
      <c r="D686" s="18"/>
      <c r="E686" s="18"/>
      <c r="F686" s="18"/>
      <c r="G686" s="18"/>
      <c r="H686" s="18"/>
      <c r="I686" s="18"/>
    </row>
    <row r="687" spans="3:9" ht="15" customHeight="1" x14ac:dyDescent="0.35">
      <c r="C687" s="18"/>
      <c r="D687" s="18"/>
      <c r="E687" s="18"/>
      <c r="F687" s="18"/>
      <c r="G687" s="18"/>
      <c r="H687" s="18"/>
      <c r="I687" s="18"/>
    </row>
    <row r="688" spans="3:9" ht="15" customHeight="1" x14ac:dyDescent="0.35">
      <c r="C688" s="18"/>
      <c r="D688" s="18"/>
      <c r="E688" s="18"/>
      <c r="F688" s="18"/>
      <c r="G688" s="18"/>
      <c r="H688" s="18"/>
      <c r="I688" s="18"/>
    </row>
    <row r="689" spans="3:9" ht="15" customHeight="1" x14ac:dyDescent="0.35">
      <c r="C689" s="18"/>
      <c r="D689" s="18"/>
      <c r="E689" s="18"/>
      <c r="F689" s="18"/>
      <c r="G689" s="18"/>
      <c r="H689" s="18"/>
      <c r="I689" s="18"/>
    </row>
    <row r="690" spans="3:9" ht="15" customHeight="1" x14ac:dyDescent="0.35">
      <c r="C690" s="18"/>
      <c r="D690" s="18"/>
      <c r="E690" s="18"/>
      <c r="F690" s="18"/>
      <c r="G690" s="18"/>
      <c r="H690" s="18"/>
      <c r="I690" s="18"/>
    </row>
    <row r="691" spans="3:9" ht="15" customHeight="1" x14ac:dyDescent="0.35">
      <c r="C691" s="18"/>
      <c r="D691" s="18"/>
      <c r="E691" s="18"/>
      <c r="F691" s="18"/>
      <c r="G691" s="18"/>
      <c r="H691" s="18"/>
      <c r="I691" s="18"/>
    </row>
    <row r="692" spans="3:9" ht="15" customHeight="1" x14ac:dyDescent="0.35">
      <c r="C692" s="18"/>
      <c r="D692" s="18"/>
      <c r="E692" s="18"/>
      <c r="F692" s="18"/>
      <c r="G692" s="18"/>
      <c r="H692" s="18"/>
      <c r="I692" s="18"/>
    </row>
    <row r="693" spans="3:9" ht="15" customHeight="1" x14ac:dyDescent="0.35">
      <c r="C693" s="18"/>
      <c r="D693" s="18"/>
      <c r="E693" s="18"/>
      <c r="F693" s="18"/>
      <c r="G693" s="18"/>
      <c r="H693" s="18"/>
      <c r="I693" s="18"/>
    </row>
    <row r="694" spans="3:9" ht="15" customHeight="1" x14ac:dyDescent="0.35">
      <c r="C694" s="18"/>
      <c r="D694" s="18"/>
      <c r="E694" s="18"/>
      <c r="F694" s="18"/>
      <c r="G694" s="18"/>
      <c r="H694" s="18"/>
      <c r="I694" s="18"/>
    </row>
    <row r="695" spans="3:9" ht="15" customHeight="1" x14ac:dyDescent="0.35">
      <c r="C695" s="18"/>
      <c r="D695" s="18"/>
      <c r="E695" s="18"/>
      <c r="F695" s="18"/>
      <c r="G695" s="18"/>
      <c r="H695" s="18"/>
      <c r="I695" s="18"/>
    </row>
    <row r="696" spans="3:9" ht="15" customHeight="1" x14ac:dyDescent="0.35">
      <c r="C696" s="18"/>
      <c r="D696" s="18"/>
      <c r="E696" s="18"/>
      <c r="F696" s="18"/>
      <c r="G696" s="18"/>
      <c r="H696" s="18"/>
      <c r="I696" s="18"/>
    </row>
    <row r="697" spans="3:9" ht="15" customHeight="1" x14ac:dyDescent="0.35">
      <c r="C697" s="18"/>
      <c r="D697" s="18"/>
      <c r="E697" s="18"/>
      <c r="F697" s="18"/>
      <c r="G697" s="18"/>
      <c r="H697" s="18"/>
      <c r="I697" s="18"/>
    </row>
    <row r="698" spans="3:9" ht="15" customHeight="1" x14ac:dyDescent="0.35">
      <c r="C698" s="18"/>
      <c r="D698" s="18"/>
      <c r="E698" s="18"/>
      <c r="F698" s="18"/>
      <c r="G698" s="18"/>
      <c r="H698" s="18"/>
      <c r="I698" s="18"/>
    </row>
    <row r="699" spans="3:9" ht="15" customHeight="1" x14ac:dyDescent="0.35">
      <c r="C699" s="18"/>
      <c r="D699" s="18"/>
      <c r="E699" s="18"/>
      <c r="F699" s="18"/>
      <c r="G699" s="18"/>
      <c r="H699" s="18"/>
      <c r="I699" s="18"/>
    </row>
    <row r="700" spans="3:9" ht="15" customHeight="1" x14ac:dyDescent="0.35">
      <c r="C700" s="18"/>
      <c r="D700" s="18"/>
      <c r="E700" s="18"/>
      <c r="F700" s="18"/>
      <c r="G700" s="18"/>
      <c r="H700" s="18"/>
      <c r="I700" s="18"/>
    </row>
    <row r="701" spans="3:9" ht="15" customHeight="1" x14ac:dyDescent="0.35">
      <c r="C701" s="18"/>
      <c r="D701" s="18"/>
      <c r="E701" s="18"/>
      <c r="F701" s="18"/>
      <c r="G701" s="18"/>
      <c r="H701" s="18"/>
      <c r="I701" s="18"/>
    </row>
    <row r="702" spans="3:9" ht="15" customHeight="1" x14ac:dyDescent="0.35">
      <c r="C702" s="18"/>
      <c r="D702" s="18"/>
      <c r="E702" s="18"/>
      <c r="F702" s="18"/>
      <c r="G702" s="18"/>
      <c r="H702" s="18"/>
      <c r="I702" s="18"/>
    </row>
    <row r="703" spans="3:9" ht="15" customHeight="1" x14ac:dyDescent="0.35">
      <c r="C703" s="18"/>
      <c r="D703" s="18"/>
      <c r="E703" s="18"/>
      <c r="F703" s="18"/>
      <c r="G703" s="18"/>
      <c r="H703" s="18"/>
      <c r="I703" s="18"/>
    </row>
    <row r="704" spans="3:9" ht="15" customHeight="1" x14ac:dyDescent="0.35">
      <c r="C704" s="18"/>
      <c r="D704" s="18"/>
      <c r="E704" s="18"/>
      <c r="F704" s="18"/>
      <c r="G704" s="18"/>
      <c r="H704" s="18"/>
      <c r="I704" s="18"/>
    </row>
    <row r="705" spans="3:9" ht="15" customHeight="1" x14ac:dyDescent="0.35">
      <c r="C705" s="18"/>
      <c r="D705" s="18"/>
      <c r="E705" s="18"/>
      <c r="F705" s="18"/>
      <c r="G705" s="18"/>
      <c r="H705" s="18"/>
      <c r="I705" s="18"/>
    </row>
    <row r="706" spans="3:9" ht="15" customHeight="1" x14ac:dyDescent="0.35">
      <c r="C706" s="18"/>
      <c r="D706" s="18"/>
      <c r="E706" s="18"/>
      <c r="F706" s="18"/>
      <c r="G706" s="18"/>
      <c r="H706" s="18"/>
      <c r="I706" s="18"/>
    </row>
    <row r="707" spans="3:9" ht="15" customHeight="1" x14ac:dyDescent="0.35">
      <c r="C707" s="18"/>
      <c r="D707" s="18"/>
      <c r="E707" s="18"/>
      <c r="F707" s="18"/>
      <c r="G707" s="18"/>
      <c r="H707" s="18"/>
      <c r="I707" s="18"/>
    </row>
    <row r="708" spans="3:9" ht="15" customHeight="1" x14ac:dyDescent="0.35">
      <c r="C708" s="18"/>
      <c r="D708" s="18"/>
      <c r="E708" s="18"/>
      <c r="F708" s="18"/>
      <c r="G708" s="18"/>
      <c r="H708" s="18"/>
      <c r="I708" s="18"/>
    </row>
    <row r="709" spans="3:9" ht="15" customHeight="1" x14ac:dyDescent="0.35">
      <c r="C709" s="18"/>
      <c r="D709" s="18"/>
      <c r="E709" s="18"/>
      <c r="F709" s="18"/>
      <c r="G709" s="18"/>
      <c r="H709" s="18"/>
      <c r="I709" s="18"/>
    </row>
    <row r="710" spans="3:9" ht="15" customHeight="1" x14ac:dyDescent="0.35">
      <c r="C710" s="18"/>
      <c r="D710" s="18"/>
      <c r="E710" s="18"/>
      <c r="F710" s="18"/>
      <c r="G710" s="18"/>
      <c r="H710" s="18"/>
      <c r="I710" s="18"/>
    </row>
    <row r="711" spans="3:9" ht="15" customHeight="1" x14ac:dyDescent="0.35">
      <c r="C711" s="18"/>
      <c r="D711" s="18"/>
      <c r="E711" s="18"/>
      <c r="F711" s="18"/>
      <c r="G711" s="18"/>
      <c r="H711" s="18"/>
      <c r="I711" s="18"/>
    </row>
    <row r="712" spans="3:9" ht="15" customHeight="1" x14ac:dyDescent="0.35">
      <c r="C712" s="18"/>
      <c r="D712" s="18"/>
      <c r="E712" s="18"/>
      <c r="F712" s="18"/>
      <c r="G712" s="18"/>
      <c r="H712" s="18"/>
      <c r="I712" s="18"/>
    </row>
    <row r="713" spans="3:9" ht="15" customHeight="1" x14ac:dyDescent="0.35">
      <c r="C713" s="18"/>
      <c r="D713" s="18"/>
      <c r="E713" s="18"/>
      <c r="F713" s="18"/>
      <c r="G713" s="18"/>
      <c r="H713" s="18"/>
      <c r="I713" s="18"/>
    </row>
    <row r="714" spans="3:9" ht="15" customHeight="1" x14ac:dyDescent="0.35">
      <c r="C714" s="18"/>
      <c r="D714" s="18"/>
      <c r="E714" s="18"/>
      <c r="F714" s="18"/>
      <c r="G714" s="18"/>
      <c r="H714" s="18"/>
      <c r="I714" s="18"/>
    </row>
    <row r="715" spans="3:9" ht="15" customHeight="1" x14ac:dyDescent="0.35">
      <c r="C715" s="18"/>
      <c r="D715" s="18"/>
      <c r="E715" s="18"/>
      <c r="F715" s="18"/>
      <c r="G715" s="18"/>
      <c r="H715" s="18"/>
      <c r="I715" s="18"/>
    </row>
    <row r="716" spans="3:9" ht="15" customHeight="1" x14ac:dyDescent="0.35">
      <c r="C716" s="18"/>
      <c r="D716" s="18"/>
      <c r="E716" s="18"/>
      <c r="F716" s="18"/>
      <c r="G716" s="18"/>
      <c r="H716" s="18"/>
      <c r="I716" s="18"/>
    </row>
    <row r="717" spans="3:9" ht="15" customHeight="1" x14ac:dyDescent="0.35">
      <c r="C717" s="18"/>
      <c r="D717" s="18"/>
      <c r="E717" s="18"/>
      <c r="F717" s="18"/>
      <c r="G717" s="18"/>
      <c r="H717" s="18"/>
      <c r="I717" s="18"/>
    </row>
    <row r="718" spans="3:9" ht="15" customHeight="1" x14ac:dyDescent="0.35">
      <c r="C718" s="18"/>
      <c r="D718" s="18"/>
      <c r="E718" s="18"/>
      <c r="F718" s="18"/>
      <c r="G718" s="18"/>
      <c r="H718" s="18"/>
      <c r="I718" s="18"/>
    </row>
    <row r="719" spans="3:9" ht="15" customHeight="1" x14ac:dyDescent="0.35">
      <c r="C719" s="18"/>
      <c r="D719" s="18"/>
      <c r="E719" s="18"/>
      <c r="F719" s="18"/>
      <c r="G719" s="18"/>
      <c r="H719" s="18"/>
      <c r="I719" s="18"/>
    </row>
    <row r="720" spans="3:9" ht="15" customHeight="1" x14ac:dyDescent="0.35">
      <c r="C720" s="18"/>
      <c r="D720" s="18"/>
      <c r="E720" s="18"/>
      <c r="F720" s="18"/>
      <c r="G720" s="18"/>
      <c r="H720" s="18"/>
      <c r="I720" s="18"/>
    </row>
    <row r="721" spans="3:9" ht="15" customHeight="1" x14ac:dyDescent="0.35">
      <c r="C721" s="18"/>
      <c r="D721" s="18"/>
      <c r="E721" s="18"/>
      <c r="F721" s="18"/>
      <c r="G721" s="18"/>
      <c r="H721" s="18"/>
      <c r="I721" s="18"/>
    </row>
    <row r="722" spans="3:9" ht="15" customHeight="1" x14ac:dyDescent="0.35">
      <c r="C722" s="18"/>
      <c r="D722" s="18"/>
      <c r="E722" s="18"/>
      <c r="F722" s="18"/>
      <c r="G722" s="18"/>
      <c r="H722" s="18"/>
      <c r="I722" s="18"/>
    </row>
    <row r="723" spans="3:9" ht="15" customHeight="1" x14ac:dyDescent="0.35">
      <c r="C723" s="18"/>
      <c r="D723" s="18"/>
      <c r="E723" s="18"/>
      <c r="F723" s="18"/>
      <c r="G723" s="18"/>
      <c r="H723" s="18"/>
      <c r="I723" s="18"/>
    </row>
    <row r="724" spans="3:9" ht="15" customHeight="1" x14ac:dyDescent="0.35">
      <c r="C724" s="18"/>
      <c r="D724" s="18"/>
      <c r="E724" s="18"/>
      <c r="F724" s="18"/>
      <c r="G724" s="18"/>
      <c r="H724" s="18"/>
      <c r="I724" s="18"/>
    </row>
    <row r="725" spans="3:9" ht="15" customHeight="1" x14ac:dyDescent="0.35">
      <c r="C725" s="18"/>
      <c r="D725" s="18"/>
      <c r="E725" s="18"/>
      <c r="F725" s="18"/>
      <c r="G725" s="18"/>
      <c r="H725" s="18"/>
      <c r="I725" s="18"/>
    </row>
    <row r="726" spans="3:9" ht="15" customHeight="1" x14ac:dyDescent="0.35">
      <c r="C726" s="18"/>
      <c r="D726" s="18"/>
      <c r="E726" s="18"/>
      <c r="F726" s="18"/>
      <c r="G726" s="18"/>
      <c r="H726" s="18"/>
      <c r="I726" s="18"/>
    </row>
    <row r="727" spans="3:9" ht="15" customHeight="1" x14ac:dyDescent="0.35">
      <c r="C727" s="18"/>
      <c r="D727" s="18"/>
      <c r="E727" s="18"/>
      <c r="F727" s="18"/>
      <c r="G727" s="18"/>
      <c r="H727" s="18"/>
      <c r="I727" s="18"/>
    </row>
    <row r="728" spans="3:9" ht="15" customHeight="1" x14ac:dyDescent="0.35">
      <c r="C728" s="18"/>
      <c r="D728" s="18"/>
      <c r="E728" s="18"/>
      <c r="F728" s="18"/>
      <c r="G728" s="18"/>
      <c r="H728" s="18"/>
      <c r="I728" s="18"/>
    </row>
    <row r="729" spans="3:9" ht="15" customHeight="1" x14ac:dyDescent="0.35">
      <c r="C729" s="18"/>
      <c r="D729" s="18"/>
      <c r="E729" s="18"/>
      <c r="F729" s="18"/>
      <c r="G729" s="18"/>
      <c r="H729" s="18"/>
      <c r="I729" s="18"/>
    </row>
    <row r="730" spans="3:9" ht="15" customHeight="1" x14ac:dyDescent="0.35">
      <c r="C730" s="18"/>
      <c r="D730" s="18"/>
      <c r="E730" s="18"/>
      <c r="F730" s="18"/>
      <c r="G730" s="18"/>
      <c r="H730" s="18"/>
      <c r="I730" s="18"/>
    </row>
    <row r="731" spans="3:9" ht="15" customHeight="1" x14ac:dyDescent="0.35">
      <c r="C731" s="18"/>
      <c r="D731" s="18"/>
      <c r="E731" s="18"/>
      <c r="F731" s="18"/>
      <c r="G731" s="18"/>
      <c r="H731" s="18"/>
      <c r="I731" s="18"/>
    </row>
    <row r="732" spans="3:9" ht="15" customHeight="1" x14ac:dyDescent="0.35">
      <c r="C732" s="18"/>
      <c r="D732" s="18"/>
      <c r="E732" s="18"/>
      <c r="F732" s="18"/>
      <c r="G732" s="18"/>
      <c r="H732" s="18"/>
      <c r="I732" s="18"/>
    </row>
    <row r="733" spans="3:9" ht="15" customHeight="1" x14ac:dyDescent="0.35">
      <c r="C733" s="18"/>
      <c r="D733" s="18"/>
      <c r="E733" s="18"/>
      <c r="F733" s="18"/>
      <c r="G733" s="18"/>
      <c r="H733" s="18"/>
      <c r="I733" s="18"/>
    </row>
    <row r="734" spans="3:9" ht="15" customHeight="1" x14ac:dyDescent="0.35">
      <c r="C734" s="18"/>
      <c r="D734" s="18"/>
      <c r="E734" s="18"/>
      <c r="F734" s="18"/>
      <c r="G734" s="18"/>
      <c r="H734" s="18"/>
      <c r="I734" s="18"/>
    </row>
    <row r="735" spans="3:9" ht="15" customHeight="1" x14ac:dyDescent="0.35">
      <c r="C735" s="18"/>
      <c r="D735" s="18"/>
      <c r="E735" s="18"/>
      <c r="F735" s="18"/>
      <c r="G735" s="18"/>
      <c r="H735" s="18"/>
      <c r="I735" s="18"/>
    </row>
    <row r="736" spans="3:9" ht="15" customHeight="1" x14ac:dyDescent="0.35">
      <c r="C736" s="18"/>
      <c r="D736" s="18"/>
      <c r="E736" s="18"/>
      <c r="F736" s="18"/>
      <c r="G736" s="18"/>
      <c r="H736" s="18"/>
      <c r="I736" s="18"/>
    </row>
    <row r="737" spans="3:9" ht="15" customHeight="1" x14ac:dyDescent="0.35">
      <c r="C737" s="18"/>
      <c r="D737" s="18"/>
      <c r="E737" s="18"/>
      <c r="F737" s="18"/>
      <c r="G737" s="18"/>
      <c r="H737" s="18"/>
      <c r="I737" s="18"/>
    </row>
    <row r="738" spans="3:9" ht="15" customHeight="1" x14ac:dyDescent="0.35">
      <c r="C738" s="18"/>
      <c r="D738" s="18"/>
      <c r="E738" s="18"/>
      <c r="F738" s="18"/>
      <c r="G738" s="18"/>
      <c r="H738" s="18"/>
      <c r="I738" s="18"/>
    </row>
    <row r="739" spans="3:9" ht="15" customHeight="1" x14ac:dyDescent="0.35">
      <c r="C739" s="18"/>
      <c r="D739" s="18"/>
      <c r="E739" s="18"/>
      <c r="F739" s="18"/>
      <c r="G739" s="18"/>
      <c r="H739" s="18"/>
      <c r="I739" s="18"/>
    </row>
    <row r="740" spans="3:9" ht="15" customHeight="1" x14ac:dyDescent="0.35">
      <c r="C740" s="18"/>
      <c r="D740" s="18"/>
      <c r="E740" s="18"/>
      <c r="F740" s="18"/>
      <c r="G740" s="18"/>
      <c r="H740" s="18"/>
      <c r="I740" s="18"/>
    </row>
    <row r="741" spans="3:9" ht="15" customHeight="1" x14ac:dyDescent="0.35">
      <c r="C741" s="18"/>
      <c r="D741" s="18"/>
      <c r="E741" s="18"/>
      <c r="F741" s="18"/>
      <c r="G741" s="18"/>
      <c r="H741" s="18"/>
      <c r="I741" s="18"/>
    </row>
    <row r="742" spans="3:9" ht="15" customHeight="1" x14ac:dyDescent="0.35">
      <c r="C742" s="18"/>
      <c r="D742" s="18"/>
      <c r="E742" s="18"/>
      <c r="F742" s="18"/>
      <c r="G742" s="18"/>
      <c r="H742" s="18"/>
      <c r="I742" s="18"/>
    </row>
    <row r="743" spans="3:9" ht="15" customHeight="1" x14ac:dyDescent="0.35">
      <c r="C743" s="18"/>
      <c r="D743" s="18"/>
      <c r="E743" s="18"/>
      <c r="F743" s="18"/>
      <c r="G743" s="18"/>
      <c r="H743" s="18"/>
      <c r="I743" s="18"/>
    </row>
    <row r="744" spans="3:9" ht="15" customHeight="1" x14ac:dyDescent="0.35">
      <c r="C744" s="18"/>
      <c r="D744" s="18"/>
      <c r="E744" s="18"/>
      <c r="F744" s="18"/>
      <c r="G744" s="18"/>
      <c r="H744" s="18"/>
      <c r="I744" s="18"/>
    </row>
    <row r="745" spans="3:9" ht="15" customHeight="1" x14ac:dyDescent="0.35">
      <c r="C745" s="18"/>
      <c r="D745" s="18"/>
      <c r="E745" s="18"/>
      <c r="F745" s="18"/>
      <c r="G745" s="18"/>
      <c r="H745" s="18"/>
      <c r="I745" s="18"/>
    </row>
    <row r="746" spans="3:9" ht="15" customHeight="1" x14ac:dyDescent="0.35">
      <c r="C746" s="18"/>
      <c r="D746" s="18"/>
      <c r="E746" s="18"/>
      <c r="F746" s="18"/>
      <c r="G746" s="18"/>
      <c r="H746" s="18"/>
      <c r="I746" s="18"/>
    </row>
    <row r="747" spans="3:9" ht="15" customHeight="1" x14ac:dyDescent="0.35">
      <c r="C747" s="18"/>
      <c r="D747" s="18"/>
      <c r="E747" s="18"/>
      <c r="F747" s="18"/>
      <c r="G747" s="18"/>
      <c r="H747" s="18"/>
      <c r="I747" s="18"/>
    </row>
    <row r="748" spans="3:9" ht="15" customHeight="1" x14ac:dyDescent="0.35">
      <c r="C748" s="18"/>
      <c r="D748" s="18"/>
      <c r="E748" s="18"/>
      <c r="F748" s="18"/>
      <c r="G748" s="18"/>
      <c r="H748" s="18"/>
      <c r="I748" s="18"/>
    </row>
    <row r="749" spans="3:9" ht="15" customHeight="1" x14ac:dyDescent="0.35">
      <c r="C749" s="18"/>
      <c r="D749" s="18"/>
      <c r="E749" s="18"/>
      <c r="F749" s="18"/>
      <c r="G749" s="18"/>
      <c r="H749" s="18"/>
      <c r="I749" s="18"/>
    </row>
    <row r="750" spans="3:9" ht="15" customHeight="1" x14ac:dyDescent="0.35">
      <c r="C750" s="18"/>
      <c r="D750" s="18"/>
      <c r="E750" s="18"/>
      <c r="F750" s="18"/>
      <c r="G750" s="18"/>
      <c r="H750" s="18"/>
      <c r="I750" s="18"/>
    </row>
    <row r="751" spans="3:9" ht="15" customHeight="1" x14ac:dyDescent="0.35">
      <c r="C751" s="18"/>
      <c r="D751" s="18"/>
      <c r="E751" s="18"/>
      <c r="F751" s="18"/>
      <c r="G751" s="18"/>
      <c r="H751" s="18"/>
      <c r="I751" s="18"/>
    </row>
    <row r="752" spans="3:9" ht="15" customHeight="1" x14ac:dyDescent="0.35">
      <c r="C752" s="18"/>
      <c r="D752" s="18"/>
      <c r="E752" s="18"/>
      <c r="F752" s="18"/>
      <c r="G752" s="18"/>
      <c r="H752" s="18"/>
      <c r="I752" s="18"/>
    </row>
    <row r="753" spans="3:9" ht="15" customHeight="1" x14ac:dyDescent="0.35">
      <c r="C753" s="18"/>
      <c r="D753" s="18"/>
      <c r="E753" s="18"/>
      <c r="F753" s="18"/>
      <c r="G753" s="18"/>
      <c r="H753" s="18"/>
      <c r="I753" s="18"/>
    </row>
    <row r="754" spans="3:9" ht="15" customHeight="1" x14ac:dyDescent="0.35">
      <c r="C754" s="18"/>
      <c r="D754" s="18"/>
      <c r="E754" s="18"/>
      <c r="F754" s="18"/>
      <c r="G754" s="18"/>
      <c r="H754" s="18"/>
      <c r="I754" s="18"/>
    </row>
    <row r="755" spans="3:9" ht="15" customHeight="1" x14ac:dyDescent="0.35">
      <c r="C755" s="18"/>
      <c r="D755" s="18"/>
      <c r="E755" s="18"/>
      <c r="F755" s="18"/>
      <c r="G755" s="18"/>
      <c r="H755" s="18"/>
      <c r="I755" s="18"/>
    </row>
    <row r="756" spans="3:9" ht="15" customHeight="1" x14ac:dyDescent="0.35">
      <c r="C756" s="18"/>
      <c r="D756" s="18"/>
      <c r="E756" s="18"/>
      <c r="F756" s="18"/>
      <c r="G756" s="18"/>
      <c r="H756" s="18"/>
      <c r="I756" s="18"/>
    </row>
    <row r="757" spans="3:9" ht="15" customHeight="1" x14ac:dyDescent="0.35">
      <c r="C757" s="18"/>
      <c r="D757" s="18"/>
      <c r="E757" s="18"/>
      <c r="F757" s="18"/>
      <c r="G757" s="18"/>
      <c r="H757" s="18"/>
      <c r="I757" s="18"/>
    </row>
    <row r="758" spans="3:9" ht="15" customHeight="1" x14ac:dyDescent="0.35">
      <c r="C758" s="18"/>
      <c r="D758" s="18"/>
      <c r="E758" s="18"/>
      <c r="F758" s="18"/>
      <c r="G758" s="18"/>
      <c r="H758" s="18"/>
      <c r="I758" s="18"/>
    </row>
    <row r="759" spans="3:9" ht="15" customHeight="1" x14ac:dyDescent="0.35">
      <c r="C759" s="18"/>
      <c r="D759" s="18"/>
      <c r="E759" s="18"/>
      <c r="F759" s="18"/>
      <c r="G759" s="18"/>
      <c r="H759" s="18"/>
      <c r="I759" s="18"/>
    </row>
    <row r="760" spans="3:9" ht="15" customHeight="1" x14ac:dyDescent="0.35">
      <c r="C760" s="18"/>
      <c r="D760" s="18"/>
      <c r="E760" s="18"/>
      <c r="F760" s="18"/>
      <c r="G760" s="18"/>
      <c r="H760" s="18"/>
      <c r="I760" s="18"/>
    </row>
    <row r="761" spans="3:9" ht="15" customHeight="1" x14ac:dyDescent="0.35">
      <c r="C761" s="18"/>
      <c r="D761" s="18"/>
      <c r="E761" s="18"/>
      <c r="F761" s="18"/>
      <c r="G761" s="18"/>
      <c r="H761" s="18"/>
      <c r="I761" s="18"/>
    </row>
    <row r="762" spans="3:9" ht="15" customHeight="1" x14ac:dyDescent="0.35">
      <c r="C762" s="18"/>
      <c r="D762" s="18"/>
      <c r="E762" s="18"/>
      <c r="F762" s="18"/>
      <c r="G762" s="18"/>
      <c r="H762" s="18"/>
      <c r="I762" s="18"/>
    </row>
    <row r="763" spans="3:9" ht="15" customHeight="1" x14ac:dyDescent="0.35">
      <c r="C763" s="18"/>
      <c r="D763" s="18"/>
      <c r="E763" s="18"/>
      <c r="F763" s="18"/>
      <c r="G763" s="18"/>
      <c r="H763" s="18"/>
      <c r="I763" s="18"/>
    </row>
    <row r="764" spans="3:9" ht="15" customHeight="1" x14ac:dyDescent="0.35">
      <c r="C764" s="18"/>
      <c r="D764" s="18"/>
      <c r="E764" s="18"/>
      <c r="F764" s="18"/>
      <c r="G764" s="18"/>
      <c r="H764" s="18"/>
      <c r="I764" s="18"/>
    </row>
    <row r="765" spans="3:9" ht="15" customHeight="1" x14ac:dyDescent="0.35">
      <c r="C765" s="18"/>
      <c r="D765" s="18"/>
      <c r="E765" s="18"/>
      <c r="F765" s="18"/>
      <c r="G765" s="18"/>
      <c r="H765" s="18"/>
      <c r="I765" s="18"/>
    </row>
    <row r="766" spans="3:9" ht="15" customHeight="1" x14ac:dyDescent="0.35">
      <c r="C766" s="18"/>
      <c r="D766" s="18"/>
      <c r="E766" s="18"/>
      <c r="F766" s="18"/>
      <c r="G766" s="18"/>
      <c r="H766" s="18"/>
      <c r="I766" s="18"/>
    </row>
    <row r="767" spans="3:9" ht="15" customHeight="1" x14ac:dyDescent="0.35">
      <c r="C767" s="18"/>
      <c r="D767" s="18"/>
      <c r="E767" s="18"/>
      <c r="F767" s="18"/>
      <c r="G767" s="18"/>
      <c r="H767" s="18"/>
      <c r="I767" s="18"/>
    </row>
    <row r="768" spans="3:9" ht="15" customHeight="1" x14ac:dyDescent="0.35">
      <c r="C768" s="18"/>
      <c r="D768" s="18"/>
      <c r="E768" s="18"/>
      <c r="F768" s="18"/>
      <c r="G768" s="18"/>
      <c r="H768" s="18"/>
      <c r="I768" s="18"/>
    </row>
    <row r="769" spans="3:9" ht="15" customHeight="1" x14ac:dyDescent="0.35">
      <c r="C769" s="18"/>
      <c r="D769" s="18"/>
      <c r="E769" s="18"/>
      <c r="F769" s="18"/>
      <c r="G769" s="18"/>
      <c r="H769" s="18"/>
      <c r="I769" s="18"/>
    </row>
    <row r="770" spans="3:9" ht="15" customHeight="1" x14ac:dyDescent="0.35">
      <c r="C770" s="18"/>
      <c r="D770" s="18"/>
      <c r="E770" s="18"/>
      <c r="F770" s="18"/>
      <c r="G770" s="18"/>
      <c r="H770" s="18"/>
      <c r="I770" s="18"/>
    </row>
    <row r="771" spans="3:9" ht="15" customHeight="1" x14ac:dyDescent="0.35">
      <c r="C771" s="18"/>
      <c r="D771" s="18"/>
      <c r="E771" s="18"/>
      <c r="F771" s="18"/>
      <c r="G771" s="18"/>
      <c r="H771" s="18"/>
      <c r="I771" s="18"/>
    </row>
    <row r="772" spans="3:9" ht="15" customHeight="1" x14ac:dyDescent="0.35">
      <c r="C772" s="18"/>
      <c r="D772" s="18"/>
      <c r="E772" s="18"/>
      <c r="F772" s="18"/>
      <c r="G772" s="18"/>
      <c r="H772" s="18"/>
      <c r="I772" s="18"/>
    </row>
    <row r="773" spans="3:9" ht="15" customHeight="1" x14ac:dyDescent="0.35">
      <c r="C773" s="18"/>
      <c r="D773" s="18"/>
      <c r="E773" s="18"/>
      <c r="F773" s="18"/>
      <c r="G773" s="18"/>
      <c r="H773" s="18"/>
      <c r="I773" s="18"/>
    </row>
    <row r="774" spans="3:9" ht="15" customHeight="1" x14ac:dyDescent="0.35">
      <c r="C774" s="18"/>
      <c r="D774" s="18"/>
      <c r="E774" s="18"/>
      <c r="F774" s="18"/>
      <c r="G774" s="18"/>
      <c r="H774" s="18"/>
      <c r="I774" s="18"/>
    </row>
    <row r="775" spans="3:9" ht="15" customHeight="1" x14ac:dyDescent="0.35">
      <c r="C775" s="18"/>
      <c r="D775" s="18"/>
      <c r="E775" s="18"/>
      <c r="F775" s="18"/>
      <c r="G775" s="18"/>
      <c r="H775" s="18"/>
      <c r="I775" s="18"/>
    </row>
    <row r="776" spans="3:9" ht="15" customHeight="1" x14ac:dyDescent="0.35">
      <c r="C776" s="18"/>
      <c r="D776" s="18"/>
      <c r="E776" s="18"/>
      <c r="F776" s="18"/>
      <c r="G776" s="18"/>
      <c r="H776" s="18"/>
      <c r="I776" s="18"/>
    </row>
    <row r="777" spans="3:9" ht="15" customHeight="1" x14ac:dyDescent="0.35">
      <c r="C777" s="18"/>
      <c r="D777" s="18"/>
      <c r="E777" s="18"/>
      <c r="F777" s="18"/>
      <c r="G777" s="18"/>
      <c r="H777" s="18"/>
      <c r="I777" s="18"/>
    </row>
    <row r="778" spans="3:9" ht="15" customHeight="1" x14ac:dyDescent="0.35">
      <c r="C778" s="18"/>
      <c r="D778" s="18"/>
      <c r="E778" s="18"/>
      <c r="F778" s="18"/>
      <c r="G778" s="18"/>
      <c r="H778" s="18"/>
      <c r="I778" s="18"/>
    </row>
    <row r="779" spans="3:9" ht="15" customHeight="1" x14ac:dyDescent="0.35">
      <c r="C779" s="18"/>
      <c r="D779" s="18"/>
      <c r="E779" s="18"/>
      <c r="F779" s="18"/>
      <c r="G779" s="18"/>
      <c r="H779" s="18"/>
      <c r="I779" s="18"/>
    </row>
    <row r="780" spans="3:9" ht="15" customHeight="1" x14ac:dyDescent="0.35">
      <c r="C780" s="18"/>
      <c r="D780" s="18"/>
      <c r="E780" s="18"/>
      <c r="F780" s="18"/>
      <c r="G780" s="18"/>
      <c r="H780" s="18"/>
      <c r="I780" s="18"/>
    </row>
    <row r="781" spans="3:9" ht="15" customHeight="1" x14ac:dyDescent="0.35">
      <c r="C781" s="18"/>
      <c r="D781" s="18"/>
      <c r="E781" s="18"/>
      <c r="F781" s="18"/>
      <c r="G781" s="18"/>
      <c r="H781" s="18"/>
      <c r="I781" s="18"/>
    </row>
    <row r="782" spans="3:9" ht="15" customHeight="1" x14ac:dyDescent="0.35">
      <c r="C782" s="18"/>
      <c r="D782" s="18"/>
      <c r="E782" s="18"/>
      <c r="F782" s="18"/>
      <c r="G782" s="18"/>
      <c r="H782" s="18"/>
      <c r="I782" s="18"/>
    </row>
    <row r="783" spans="3:9" ht="15" customHeight="1" x14ac:dyDescent="0.35">
      <c r="C783" s="18"/>
      <c r="D783" s="18"/>
      <c r="E783" s="18"/>
      <c r="F783" s="18"/>
      <c r="G783" s="18"/>
      <c r="H783" s="18"/>
      <c r="I783" s="18"/>
    </row>
    <row r="784" spans="3:9" ht="15" customHeight="1" x14ac:dyDescent="0.35">
      <c r="C784" s="18"/>
      <c r="D784" s="18"/>
      <c r="E784" s="18"/>
      <c r="F784" s="18"/>
      <c r="G784" s="18"/>
      <c r="H784" s="18"/>
      <c r="I784" s="18"/>
    </row>
    <row r="785" spans="3:9" ht="15" customHeight="1" x14ac:dyDescent="0.35">
      <c r="C785" s="18"/>
      <c r="D785" s="18"/>
      <c r="E785" s="18"/>
      <c r="F785" s="18"/>
      <c r="G785" s="18"/>
      <c r="H785" s="18"/>
      <c r="I785" s="18"/>
    </row>
    <row r="786" spans="3:9" ht="15" customHeight="1" x14ac:dyDescent="0.35">
      <c r="C786" s="18"/>
      <c r="D786" s="18"/>
      <c r="E786" s="18"/>
      <c r="F786" s="18"/>
      <c r="G786" s="18"/>
      <c r="H786" s="18"/>
      <c r="I786" s="18"/>
    </row>
    <row r="787" spans="3:9" ht="15" customHeight="1" x14ac:dyDescent="0.35">
      <c r="C787" s="18"/>
      <c r="D787" s="18"/>
      <c r="E787" s="18"/>
      <c r="F787" s="18"/>
      <c r="G787" s="18"/>
      <c r="H787" s="18"/>
      <c r="I787" s="18"/>
    </row>
    <row r="788" spans="3:9" ht="15" customHeight="1" x14ac:dyDescent="0.35">
      <c r="C788" s="18"/>
      <c r="D788" s="18"/>
      <c r="E788" s="18"/>
      <c r="F788" s="18"/>
      <c r="G788" s="18"/>
      <c r="H788" s="18"/>
      <c r="I788" s="18"/>
    </row>
    <row r="789" spans="3:9" ht="15" customHeight="1" x14ac:dyDescent="0.35">
      <c r="C789" s="18"/>
      <c r="D789" s="18"/>
      <c r="E789" s="18"/>
      <c r="F789" s="18"/>
      <c r="G789" s="18"/>
      <c r="H789" s="18"/>
      <c r="I789" s="18"/>
    </row>
    <row r="790" spans="3:9" ht="15" customHeight="1" x14ac:dyDescent="0.35">
      <c r="C790" s="18"/>
      <c r="D790" s="18"/>
      <c r="E790" s="18"/>
      <c r="F790" s="18"/>
      <c r="G790" s="18"/>
      <c r="H790" s="18"/>
      <c r="I790" s="18"/>
    </row>
    <row r="791" spans="3:9" ht="15" customHeight="1" x14ac:dyDescent="0.35">
      <c r="C791" s="18"/>
      <c r="D791" s="18"/>
      <c r="E791" s="18"/>
      <c r="F791" s="18"/>
      <c r="G791" s="18"/>
      <c r="H791" s="18"/>
      <c r="I791" s="18"/>
    </row>
    <row r="792" spans="3:9" ht="15" customHeight="1" x14ac:dyDescent="0.35">
      <c r="C792" s="18"/>
      <c r="D792" s="18"/>
      <c r="E792" s="18"/>
      <c r="F792" s="18"/>
      <c r="G792" s="18"/>
      <c r="H792" s="18"/>
      <c r="I792" s="18"/>
    </row>
    <row r="793" spans="3:9" ht="15" customHeight="1" x14ac:dyDescent="0.35">
      <c r="C793" s="18"/>
      <c r="D793" s="18"/>
      <c r="E793" s="18"/>
      <c r="F793" s="18"/>
      <c r="G793" s="18"/>
      <c r="H793" s="18"/>
      <c r="I793" s="18"/>
    </row>
    <row r="794" spans="3:9" ht="15" customHeight="1" x14ac:dyDescent="0.35">
      <c r="C794" s="18"/>
      <c r="D794" s="18"/>
      <c r="E794" s="18"/>
      <c r="F794" s="18"/>
      <c r="G794" s="18"/>
      <c r="H794" s="18"/>
      <c r="I794" s="18"/>
    </row>
    <row r="795" spans="3:9" ht="15" customHeight="1" x14ac:dyDescent="0.35">
      <c r="C795" s="18"/>
      <c r="D795" s="18"/>
      <c r="E795" s="18"/>
      <c r="F795" s="18"/>
      <c r="G795" s="18"/>
      <c r="H795" s="18"/>
      <c r="I795" s="18"/>
    </row>
    <row r="796" spans="3:9" ht="15" customHeight="1" x14ac:dyDescent="0.35">
      <c r="C796" s="18"/>
      <c r="D796" s="18"/>
      <c r="E796" s="18"/>
      <c r="F796" s="18"/>
      <c r="G796" s="18"/>
      <c r="H796" s="18"/>
      <c r="I796" s="18"/>
    </row>
    <row r="797" spans="3:9" ht="15" customHeight="1" x14ac:dyDescent="0.35">
      <c r="C797" s="18"/>
      <c r="D797" s="18"/>
      <c r="E797" s="18"/>
      <c r="F797" s="18"/>
      <c r="G797" s="18"/>
      <c r="H797" s="18"/>
      <c r="I797" s="18"/>
    </row>
    <row r="798" spans="3:9" ht="15" customHeight="1" x14ac:dyDescent="0.35">
      <c r="C798" s="18"/>
      <c r="D798" s="18"/>
      <c r="E798" s="18"/>
      <c r="F798" s="18"/>
      <c r="G798" s="18"/>
      <c r="H798" s="18"/>
      <c r="I798" s="18"/>
    </row>
    <row r="799" spans="3:9" ht="15" customHeight="1" x14ac:dyDescent="0.35">
      <c r="C799" s="18"/>
      <c r="D799" s="18"/>
      <c r="E799" s="18"/>
      <c r="F799" s="18"/>
      <c r="G799" s="18"/>
      <c r="H799" s="18"/>
      <c r="I799" s="18"/>
    </row>
    <row r="800" spans="3:9" ht="15" customHeight="1" x14ac:dyDescent="0.35">
      <c r="C800" s="18"/>
      <c r="D800" s="18"/>
      <c r="E800" s="18"/>
      <c r="F800" s="18"/>
      <c r="G800" s="18"/>
      <c r="H800" s="18"/>
      <c r="I800" s="18"/>
    </row>
    <row r="801" spans="3:9" ht="15" customHeight="1" x14ac:dyDescent="0.35">
      <c r="C801" s="18"/>
      <c r="D801" s="18"/>
      <c r="E801" s="18"/>
      <c r="F801" s="18"/>
      <c r="G801" s="18"/>
      <c r="H801" s="18"/>
      <c r="I801" s="18"/>
    </row>
    <row r="802" spans="3:9" ht="15" customHeight="1" x14ac:dyDescent="0.35">
      <c r="C802" s="18"/>
      <c r="D802" s="18"/>
      <c r="E802" s="18"/>
      <c r="F802" s="18"/>
      <c r="G802" s="18"/>
      <c r="H802" s="18"/>
      <c r="I802" s="18"/>
    </row>
    <row r="803" spans="3:9" ht="15" customHeight="1" x14ac:dyDescent="0.35">
      <c r="C803" s="18"/>
      <c r="D803" s="18"/>
      <c r="E803" s="18"/>
      <c r="F803" s="18"/>
      <c r="G803" s="18"/>
      <c r="H803" s="18"/>
      <c r="I803" s="18"/>
    </row>
    <row r="804" spans="3:9" ht="15" customHeight="1" x14ac:dyDescent="0.35">
      <c r="C804" s="18"/>
      <c r="D804" s="18"/>
      <c r="E804" s="18"/>
      <c r="F804" s="18"/>
      <c r="G804" s="18"/>
      <c r="H804" s="18"/>
      <c r="I804" s="18"/>
    </row>
    <row r="805" spans="3:9" ht="15" customHeight="1" x14ac:dyDescent="0.35">
      <c r="C805" s="18"/>
      <c r="D805" s="18"/>
      <c r="E805" s="18"/>
      <c r="F805" s="18"/>
      <c r="G805" s="18"/>
      <c r="H805" s="18"/>
      <c r="I805" s="18"/>
    </row>
    <row r="806" spans="3:9" ht="15" customHeight="1" x14ac:dyDescent="0.35">
      <c r="C806" s="18"/>
      <c r="D806" s="18"/>
      <c r="E806" s="18"/>
      <c r="F806" s="18"/>
      <c r="G806" s="18"/>
      <c r="H806" s="18"/>
      <c r="I806" s="18"/>
    </row>
    <row r="807" spans="3:9" ht="15" customHeight="1" x14ac:dyDescent="0.35">
      <c r="C807" s="18"/>
      <c r="D807" s="18"/>
      <c r="E807" s="18"/>
      <c r="F807" s="18"/>
      <c r="G807" s="18"/>
      <c r="H807" s="18"/>
      <c r="I807" s="18"/>
    </row>
    <row r="808" spans="3:9" ht="15" customHeight="1" x14ac:dyDescent="0.35">
      <c r="C808" s="18"/>
      <c r="D808" s="18"/>
      <c r="E808" s="18"/>
      <c r="F808" s="18"/>
      <c r="G808" s="18"/>
      <c r="H808" s="18"/>
      <c r="I808" s="18"/>
    </row>
    <row r="809" spans="3:9" ht="15" customHeight="1" x14ac:dyDescent="0.35">
      <c r="C809" s="18"/>
      <c r="D809" s="18"/>
      <c r="E809" s="18"/>
      <c r="F809" s="18"/>
      <c r="G809" s="18"/>
      <c r="H809" s="18"/>
      <c r="I809" s="18"/>
    </row>
    <row r="810" spans="3:9" ht="15" customHeight="1" x14ac:dyDescent="0.35">
      <c r="C810" s="18"/>
      <c r="D810" s="18"/>
      <c r="E810" s="18"/>
      <c r="F810" s="18"/>
      <c r="G810" s="18"/>
      <c r="H810" s="18"/>
      <c r="I810" s="18"/>
    </row>
    <row r="811" spans="3:9" ht="15" customHeight="1" x14ac:dyDescent="0.35">
      <c r="C811" s="18"/>
      <c r="D811" s="18"/>
      <c r="E811" s="18"/>
      <c r="F811" s="18"/>
      <c r="G811" s="18"/>
      <c r="H811" s="18"/>
      <c r="I811" s="18"/>
    </row>
    <row r="812" spans="3:9" ht="15" customHeight="1" x14ac:dyDescent="0.35">
      <c r="C812" s="18"/>
      <c r="D812" s="18"/>
      <c r="E812" s="18"/>
      <c r="F812" s="18"/>
      <c r="G812" s="18"/>
      <c r="H812" s="18"/>
      <c r="I812" s="18"/>
    </row>
    <row r="813" spans="3:9" ht="15" customHeight="1" x14ac:dyDescent="0.35">
      <c r="C813" s="18"/>
      <c r="D813" s="18"/>
      <c r="E813" s="18"/>
      <c r="F813" s="18"/>
      <c r="G813" s="18"/>
      <c r="H813" s="18"/>
      <c r="I813" s="18"/>
    </row>
    <row r="814" spans="3:9" ht="15" customHeight="1" x14ac:dyDescent="0.35">
      <c r="C814" s="18"/>
      <c r="D814" s="18"/>
      <c r="E814" s="18"/>
      <c r="F814" s="18"/>
      <c r="G814" s="18"/>
      <c r="H814" s="18"/>
      <c r="I814" s="18"/>
    </row>
    <row r="815" spans="3:9" ht="15" customHeight="1" x14ac:dyDescent="0.35">
      <c r="C815" s="18"/>
      <c r="D815" s="18"/>
      <c r="E815" s="18"/>
      <c r="F815" s="18"/>
      <c r="G815" s="18"/>
      <c r="H815" s="18"/>
      <c r="I815" s="18"/>
    </row>
    <row r="816" spans="3:9" ht="15" customHeight="1" x14ac:dyDescent="0.35">
      <c r="C816" s="18"/>
      <c r="D816" s="18"/>
      <c r="E816" s="18"/>
      <c r="F816" s="18"/>
      <c r="G816" s="18"/>
      <c r="H816" s="18"/>
      <c r="I816" s="18"/>
    </row>
    <row r="817" spans="3:9" ht="15" customHeight="1" x14ac:dyDescent="0.35">
      <c r="C817" s="18"/>
      <c r="D817" s="18"/>
      <c r="E817" s="18"/>
      <c r="F817" s="18"/>
      <c r="G817" s="18"/>
      <c r="H817" s="18"/>
      <c r="I817" s="18"/>
    </row>
    <row r="818" spans="3:9" ht="15" customHeight="1" x14ac:dyDescent="0.35">
      <c r="C818" s="18"/>
      <c r="D818" s="18"/>
      <c r="E818" s="18"/>
      <c r="F818" s="18"/>
      <c r="G818" s="18"/>
      <c r="H818" s="18"/>
      <c r="I818" s="18"/>
    </row>
    <row r="819" spans="3:9" ht="15" customHeight="1" x14ac:dyDescent="0.35">
      <c r="C819" s="18"/>
      <c r="D819" s="18"/>
      <c r="E819" s="18"/>
      <c r="F819" s="18"/>
      <c r="G819" s="18"/>
      <c r="H819" s="18"/>
      <c r="I819" s="18"/>
    </row>
    <row r="820" spans="3:9" ht="15" customHeight="1" x14ac:dyDescent="0.35">
      <c r="C820" s="18"/>
      <c r="D820" s="18"/>
      <c r="E820" s="18"/>
      <c r="F820" s="18"/>
      <c r="G820" s="18"/>
      <c r="H820" s="18"/>
      <c r="I820" s="18"/>
    </row>
    <row r="821" spans="3:9" ht="15" customHeight="1" x14ac:dyDescent="0.35">
      <c r="C821" s="18"/>
      <c r="D821" s="18"/>
      <c r="E821" s="18"/>
      <c r="F821" s="18"/>
      <c r="G821" s="18"/>
      <c r="H821" s="18"/>
      <c r="I821" s="18"/>
    </row>
    <row r="822" spans="3:9" ht="15" customHeight="1" x14ac:dyDescent="0.35">
      <c r="C822" s="18"/>
      <c r="D822" s="18"/>
      <c r="E822" s="18"/>
      <c r="F822" s="18"/>
      <c r="G822" s="18"/>
      <c r="H822" s="18"/>
      <c r="I822" s="18"/>
    </row>
    <row r="823" spans="3:9" ht="15" customHeight="1" x14ac:dyDescent="0.35">
      <c r="C823" s="18"/>
      <c r="D823" s="18"/>
      <c r="E823" s="18"/>
      <c r="F823" s="18"/>
      <c r="G823" s="18"/>
      <c r="H823" s="18"/>
      <c r="I823" s="18"/>
    </row>
    <row r="824" spans="3:9" ht="15" customHeight="1" x14ac:dyDescent="0.35">
      <c r="C824" s="18"/>
      <c r="D824" s="18"/>
      <c r="E824" s="18"/>
      <c r="F824" s="18"/>
      <c r="G824" s="18"/>
      <c r="H824" s="18"/>
      <c r="I824" s="18"/>
    </row>
    <row r="825" spans="3:9" ht="15" customHeight="1" x14ac:dyDescent="0.35">
      <c r="C825" s="18"/>
      <c r="D825" s="18"/>
      <c r="E825" s="18"/>
      <c r="F825" s="18"/>
      <c r="G825" s="18"/>
      <c r="H825" s="18"/>
      <c r="I825" s="18"/>
    </row>
    <row r="826" spans="3:9" ht="15" customHeight="1" x14ac:dyDescent="0.35">
      <c r="C826" s="18"/>
      <c r="D826" s="18"/>
      <c r="E826" s="18"/>
      <c r="F826" s="18"/>
      <c r="G826" s="18"/>
      <c r="H826" s="18"/>
      <c r="I826" s="18"/>
    </row>
    <row r="827" spans="3:9" ht="15" customHeight="1" x14ac:dyDescent="0.35">
      <c r="C827" s="18"/>
      <c r="D827" s="18"/>
      <c r="E827" s="18"/>
      <c r="F827" s="18"/>
      <c r="G827" s="18"/>
      <c r="H827" s="18"/>
      <c r="I827" s="18"/>
    </row>
    <row r="828" spans="3:9" ht="15" customHeight="1" x14ac:dyDescent="0.35">
      <c r="C828" s="18"/>
      <c r="D828" s="18"/>
      <c r="E828" s="18"/>
      <c r="F828" s="18"/>
      <c r="G828" s="18"/>
      <c r="H828" s="18"/>
      <c r="I828" s="18"/>
    </row>
    <row r="829" spans="3:9" ht="15" customHeight="1" x14ac:dyDescent="0.35">
      <c r="C829" s="18"/>
      <c r="D829" s="18"/>
      <c r="E829" s="18"/>
      <c r="F829" s="18"/>
      <c r="G829" s="18"/>
      <c r="H829" s="18"/>
      <c r="I829" s="18"/>
    </row>
    <row r="830" spans="3:9" ht="15" customHeight="1" x14ac:dyDescent="0.35">
      <c r="C830" s="18"/>
      <c r="D830" s="18"/>
      <c r="E830" s="18"/>
      <c r="F830" s="18"/>
      <c r="G830" s="18"/>
      <c r="H830" s="18"/>
      <c r="I830" s="18"/>
    </row>
    <row r="831" spans="3:9" ht="15" customHeight="1" x14ac:dyDescent="0.35">
      <c r="C831" s="18"/>
      <c r="D831" s="18"/>
      <c r="E831" s="18"/>
      <c r="F831" s="18"/>
      <c r="G831" s="18"/>
      <c r="H831" s="18"/>
      <c r="I831" s="18"/>
    </row>
    <row r="832" spans="3:9" ht="15" customHeight="1" x14ac:dyDescent="0.35">
      <c r="C832" s="18"/>
      <c r="D832" s="18"/>
      <c r="E832" s="18"/>
      <c r="F832" s="18"/>
      <c r="G832" s="18"/>
      <c r="H832" s="18"/>
      <c r="I832" s="18"/>
    </row>
    <row r="833" spans="3:9" ht="15" customHeight="1" x14ac:dyDescent="0.35">
      <c r="C833" s="18"/>
      <c r="D833" s="18"/>
      <c r="E833" s="18"/>
      <c r="F833" s="18"/>
      <c r="G833" s="18"/>
      <c r="H833" s="18"/>
      <c r="I833" s="18"/>
    </row>
    <row r="834" spans="3:9" ht="15" customHeight="1" x14ac:dyDescent="0.35">
      <c r="C834" s="18"/>
      <c r="D834" s="18"/>
      <c r="E834" s="18"/>
      <c r="F834" s="18"/>
      <c r="G834" s="18"/>
      <c r="H834" s="18"/>
      <c r="I834" s="18"/>
    </row>
    <row r="835" spans="3:9" ht="15" customHeight="1" x14ac:dyDescent="0.35">
      <c r="C835" s="18"/>
      <c r="D835" s="18"/>
      <c r="E835" s="18"/>
      <c r="F835" s="18"/>
      <c r="G835" s="18"/>
      <c r="H835" s="18"/>
      <c r="I835" s="18"/>
    </row>
    <row r="836" spans="3:9" ht="15" customHeight="1" x14ac:dyDescent="0.35">
      <c r="C836" s="18"/>
      <c r="D836" s="18"/>
      <c r="E836" s="18"/>
      <c r="F836" s="18"/>
      <c r="G836" s="18"/>
      <c r="H836" s="18"/>
      <c r="I836" s="18"/>
    </row>
    <row r="837" spans="3:9" ht="15" customHeight="1" x14ac:dyDescent="0.35">
      <c r="C837" s="18"/>
      <c r="D837" s="18"/>
      <c r="E837" s="18"/>
      <c r="F837" s="18"/>
      <c r="G837" s="18"/>
      <c r="H837" s="18"/>
      <c r="I837" s="18"/>
    </row>
    <row r="838" spans="3:9" ht="15" customHeight="1" x14ac:dyDescent="0.35">
      <c r="C838" s="18"/>
      <c r="D838" s="18"/>
      <c r="E838" s="18"/>
      <c r="F838" s="18"/>
      <c r="G838" s="18"/>
      <c r="H838" s="18"/>
      <c r="I838" s="18"/>
    </row>
    <row r="839" spans="3:9" ht="15" customHeight="1" x14ac:dyDescent="0.35">
      <c r="C839" s="18"/>
      <c r="D839" s="18"/>
      <c r="E839" s="18"/>
      <c r="F839" s="18"/>
      <c r="G839" s="18"/>
      <c r="H839" s="18"/>
      <c r="I839" s="18"/>
    </row>
    <row r="840" spans="3:9" ht="15" customHeight="1" x14ac:dyDescent="0.35">
      <c r="C840" s="18"/>
      <c r="D840" s="18"/>
      <c r="E840" s="18"/>
      <c r="F840" s="18"/>
      <c r="G840" s="18"/>
      <c r="H840" s="18"/>
      <c r="I840" s="18"/>
    </row>
    <row r="841" spans="3:9" ht="15" customHeight="1" x14ac:dyDescent="0.35">
      <c r="C841" s="18"/>
      <c r="D841" s="18"/>
      <c r="E841" s="18"/>
      <c r="F841" s="18"/>
      <c r="G841" s="18"/>
      <c r="H841" s="18"/>
      <c r="I841" s="18"/>
    </row>
    <row r="842" spans="3:9" ht="15" customHeight="1" x14ac:dyDescent="0.35">
      <c r="C842" s="18"/>
      <c r="D842" s="18"/>
      <c r="E842" s="18"/>
      <c r="F842" s="18"/>
      <c r="G842" s="18"/>
      <c r="H842" s="18"/>
      <c r="I842" s="18"/>
    </row>
    <row r="843" spans="3:9" ht="15" customHeight="1" x14ac:dyDescent="0.35">
      <c r="C843" s="18"/>
      <c r="D843" s="18"/>
      <c r="E843" s="18"/>
      <c r="F843" s="18"/>
      <c r="G843" s="18"/>
      <c r="H843" s="18"/>
      <c r="I843" s="18"/>
    </row>
    <row r="844" spans="3:9" ht="15" customHeight="1" x14ac:dyDescent="0.35">
      <c r="C844" s="18"/>
      <c r="D844" s="18"/>
      <c r="E844" s="18"/>
      <c r="F844" s="18"/>
      <c r="G844" s="18"/>
      <c r="H844" s="18"/>
      <c r="I844" s="18"/>
    </row>
    <row r="845" spans="3:9" ht="15" customHeight="1" x14ac:dyDescent="0.35">
      <c r="C845" s="18"/>
      <c r="D845" s="18"/>
      <c r="E845" s="18"/>
      <c r="F845" s="18"/>
      <c r="G845" s="18"/>
      <c r="H845" s="18"/>
      <c r="I845" s="18"/>
    </row>
    <row r="846" spans="3:9" ht="15" customHeight="1" x14ac:dyDescent="0.35">
      <c r="C846" s="18"/>
      <c r="D846" s="18"/>
      <c r="E846" s="18"/>
      <c r="F846" s="18"/>
      <c r="G846" s="18"/>
      <c r="H846" s="18"/>
      <c r="I846" s="18"/>
    </row>
    <row r="847" spans="3:9" ht="15" customHeight="1" x14ac:dyDescent="0.35">
      <c r="C847" s="18"/>
      <c r="D847" s="18"/>
      <c r="E847" s="18"/>
      <c r="F847" s="18"/>
      <c r="G847" s="18"/>
      <c r="H847" s="18"/>
      <c r="I847" s="18"/>
    </row>
    <row r="848" spans="3:9" ht="15" customHeight="1" x14ac:dyDescent="0.35">
      <c r="C848" s="18"/>
      <c r="D848" s="18"/>
      <c r="E848" s="18"/>
      <c r="F848" s="18"/>
      <c r="G848" s="18"/>
      <c r="H848" s="18"/>
      <c r="I848" s="18"/>
    </row>
    <row r="849" spans="3:9" ht="15" customHeight="1" x14ac:dyDescent="0.35">
      <c r="C849" s="18"/>
      <c r="D849" s="18"/>
      <c r="E849" s="18"/>
      <c r="F849" s="18"/>
      <c r="G849" s="18"/>
      <c r="H849" s="18"/>
      <c r="I849" s="18"/>
    </row>
    <row r="850" spans="3:9" ht="15" customHeight="1" x14ac:dyDescent="0.35">
      <c r="C850" s="18"/>
      <c r="D850" s="18"/>
      <c r="E850" s="18"/>
      <c r="F850" s="18"/>
      <c r="G850" s="18"/>
      <c r="H850" s="18"/>
      <c r="I850" s="18"/>
    </row>
    <row r="851" spans="3:9" ht="15" customHeight="1" x14ac:dyDescent="0.35">
      <c r="C851" s="18"/>
      <c r="D851" s="18"/>
      <c r="E851" s="18"/>
      <c r="F851" s="18"/>
      <c r="G851" s="18"/>
      <c r="H851" s="18"/>
      <c r="I851" s="18"/>
    </row>
    <row r="852" spans="3:9" ht="15" customHeight="1" x14ac:dyDescent="0.35">
      <c r="C852" s="18"/>
      <c r="D852" s="18"/>
      <c r="E852" s="18"/>
      <c r="F852" s="18"/>
      <c r="G852" s="18"/>
      <c r="H852" s="18"/>
      <c r="I852" s="18"/>
    </row>
    <row r="853" spans="3:9" ht="15" customHeight="1" x14ac:dyDescent="0.35">
      <c r="C853" s="18"/>
      <c r="D853" s="18"/>
      <c r="E853" s="18"/>
      <c r="F853" s="18"/>
      <c r="G853" s="18"/>
      <c r="H853" s="18"/>
      <c r="I853" s="18"/>
    </row>
    <row r="854" spans="3:9" ht="15" customHeight="1" x14ac:dyDescent="0.35">
      <c r="C854" s="18"/>
      <c r="D854" s="18"/>
      <c r="E854" s="18"/>
      <c r="F854" s="18"/>
      <c r="G854" s="18"/>
      <c r="H854" s="18"/>
      <c r="I854" s="18"/>
    </row>
    <row r="855" spans="3:9" ht="15" customHeight="1" x14ac:dyDescent="0.35">
      <c r="C855" s="18"/>
      <c r="D855" s="18"/>
      <c r="E855" s="18"/>
      <c r="F855" s="18"/>
      <c r="G855" s="18"/>
      <c r="H855" s="18"/>
      <c r="I855" s="18"/>
    </row>
    <row r="856" spans="3:9" ht="15" customHeight="1" x14ac:dyDescent="0.35">
      <c r="C856" s="18"/>
      <c r="D856" s="18"/>
      <c r="E856" s="18"/>
      <c r="F856" s="18"/>
      <c r="G856" s="18"/>
      <c r="H856" s="18"/>
      <c r="I856" s="18"/>
    </row>
    <row r="857" spans="3:9" ht="15" customHeight="1" x14ac:dyDescent="0.35">
      <c r="C857" s="18"/>
      <c r="D857" s="18"/>
      <c r="E857" s="18"/>
      <c r="F857" s="18"/>
      <c r="G857" s="18"/>
      <c r="H857" s="18"/>
      <c r="I857" s="18"/>
    </row>
    <row r="858" spans="3:9" ht="15" customHeight="1" x14ac:dyDescent="0.35">
      <c r="C858" s="18"/>
      <c r="D858" s="18"/>
      <c r="E858" s="18"/>
      <c r="F858" s="18"/>
      <c r="G858" s="18"/>
      <c r="H858" s="18"/>
      <c r="I858" s="18"/>
    </row>
    <row r="859" spans="3:9" ht="15" customHeight="1" x14ac:dyDescent="0.35">
      <c r="C859" s="18"/>
      <c r="D859" s="18"/>
      <c r="E859" s="18"/>
      <c r="F859" s="18"/>
      <c r="G859" s="18"/>
      <c r="H859" s="18"/>
      <c r="I859" s="18"/>
    </row>
    <row r="860" spans="3:9" ht="15" customHeight="1" x14ac:dyDescent="0.35">
      <c r="C860" s="18"/>
      <c r="D860" s="18"/>
      <c r="E860" s="18"/>
      <c r="F860" s="18"/>
      <c r="G860" s="18"/>
      <c r="H860" s="18"/>
      <c r="I860" s="18"/>
    </row>
    <row r="861" spans="3:9" ht="15" customHeight="1" x14ac:dyDescent="0.35">
      <c r="C861" s="18"/>
      <c r="D861" s="18"/>
      <c r="E861" s="18"/>
      <c r="F861" s="18"/>
      <c r="G861" s="18"/>
      <c r="H861" s="18"/>
      <c r="I861" s="18"/>
    </row>
    <row r="862" spans="3:9" ht="15" customHeight="1" x14ac:dyDescent="0.35">
      <c r="C862" s="18"/>
      <c r="D862" s="18"/>
      <c r="E862" s="18"/>
      <c r="F862" s="18"/>
      <c r="G862" s="18"/>
      <c r="H862" s="18"/>
      <c r="I862" s="18"/>
    </row>
    <row r="863" spans="3:9" ht="15" customHeight="1" x14ac:dyDescent="0.35">
      <c r="C863" s="18"/>
      <c r="D863" s="18"/>
      <c r="E863" s="18"/>
      <c r="F863" s="18"/>
      <c r="G863" s="18"/>
      <c r="H863" s="18"/>
      <c r="I863" s="18"/>
    </row>
    <row r="864" spans="3:9" ht="15" customHeight="1" x14ac:dyDescent="0.35">
      <c r="C864" s="18"/>
      <c r="D864" s="18"/>
      <c r="E864" s="18"/>
      <c r="F864" s="18"/>
      <c r="G864" s="18"/>
      <c r="H864" s="18"/>
      <c r="I864" s="18"/>
    </row>
    <row r="865" spans="3:9" ht="15" customHeight="1" x14ac:dyDescent="0.35">
      <c r="C865" s="18"/>
      <c r="D865" s="18"/>
      <c r="E865" s="18"/>
      <c r="F865" s="18"/>
      <c r="G865" s="18"/>
      <c r="H865" s="18"/>
      <c r="I865" s="18"/>
    </row>
    <row r="866" spans="3:9" ht="15" customHeight="1" x14ac:dyDescent="0.35">
      <c r="C866" s="18"/>
      <c r="D866" s="18"/>
      <c r="E866" s="18"/>
      <c r="F866" s="18"/>
      <c r="G866" s="18"/>
      <c r="H866" s="18"/>
      <c r="I866" s="18"/>
    </row>
    <row r="867" spans="3:9" ht="15" customHeight="1" x14ac:dyDescent="0.35">
      <c r="C867" s="18"/>
      <c r="D867" s="18"/>
      <c r="E867" s="18"/>
      <c r="F867" s="18"/>
      <c r="G867" s="18"/>
      <c r="H867" s="18"/>
      <c r="I867" s="18"/>
    </row>
    <row r="868" spans="3:9" ht="15" customHeight="1" x14ac:dyDescent="0.35">
      <c r="C868" s="18"/>
      <c r="D868" s="18"/>
      <c r="E868" s="18"/>
      <c r="F868" s="18"/>
      <c r="G868" s="18"/>
      <c r="H868" s="18"/>
      <c r="I868" s="18"/>
    </row>
    <row r="869" spans="3:9" ht="15" customHeight="1" x14ac:dyDescent="0.35">
      <c r="C869" s="18"/>
      <c r="D869" s="18"/>
      <c r="E869" s="18"/>
      <c r="F869" s="18"/>
      <c r="G869" s="18"/>
      <c r="H869" s="18"/>
      <c r="I869" s="18"/>
    </row>
    <row r="870" spans="3:9" ht="15" customHeight="1" x14ac:dyDescent="0.35">
      <c r="C870" s="18"/>
      <c r="D870" s="18"/>
      <c r="E870" s="18"/>
      <c r="F870" s="18"/>
      <c r="G870" s="18"/>
      <c r="H870" s="18"/>
      <c r="I870" s="18"/>
    </row>
    <row r="871" spans="3:9" ht="15" customHeight="1" x14ac:dyDescent="0.35">
      <c r="C871" s="18"/>
      <c r="D871" s="18"/>
      <c r="E871" s="18"/>
      <c r="F871" s="18"/>
      <c r="G871" s="18"/>
      <c r="H871" s="18"/>
      <c r="I871" s="18"/>
    </row>
    <row r="872" spans="3:9" ht="15" customHeight="1" x14ac:dyDescent="0.35">
      <c r="C872" s="18"/>
      <c r="D872" s="18"/>
      <c r="E872" s="18"/>
      <c r="F872" s="18"/>
      <c r="G872" s="18"/>
      <c r="H872" s="18"/>
      <c r="I872" s="18"/>
    </row>
    <row r="873" spans="3:9" ht="15" customHeight="1" x14ac:dyDescent="0.35">
      <c r="C873" s="18"/>
      <c r="D873" s="18"/>
      <c r="E873" s="18"/>
      <c r="F873" s="18"/>
      <c r="G873" s="18"/>
      <c r="H873" s="18"/>
      <c r="I873" s="18"/>
    </row>
    <row r="874" spans="3:9" ht="15" customHeight="1" x14ac:dyDescent="0.35">
      <c r="C874" s="18"/>
      <c r="D874" s="18"/>
      <c r="E874" s="18"/>
      <c r="F874" s="18"/>
      <c r="G874" s="18"/>
      <c r="H874" s="18"/>
      <c r="I874" s="18"/>
    </row>
    <row r="875" spans="3:9" ht="15" customHeight="1" x14ac:dyDescent="0.35">
      <c r="C875" s="18"/>
      <c r="D875" s="18"/>
      <c r="E875" s="18"/>
      <c r="F875" s="18"/>
      <c r="G875" s="18"/>
      <c r="H875" s="18"/>
      <c r="I875" s="18"/>
    </row>
    <row r="876" spans="3:9" ht="15" customHeight="1" x14ac:dyDescent="0.35">
      <c r="C876" s="18"/>
      <c r="D876" s="18"/>
      <c r="E876" s="18"/>
      <c r="F876" s="18"/>
      <c r="G876" s="18"/>
      <c r="H876" s="18"/>
      <c r="I876" s="18"/>
    </row>
    <row r="877" spans="3:9" ht="15" customHeight="1" x14ac:dyDescent="0.35">
      <c r="C877" s="18"/>
      <c r="D877" s="18"/>
      <c r="E877" s="18"/>
      <c r="F877" s="18"/>
      <c r="G877" s="18"/>
      <c r="H877" s="18"/>
      <c r="I877" s="18"/>
    </row>
    <row r="878" spans="3:9" ht="15" customHeight="1" x14ac:dyDescent="0.35">
      <c r="C878" s="18"/>
      <c r="D878" s="18"/>
      <c r="E878" s="18"/>
      <c r="F878" s="18"/>
      <c r="G878" s="18"/>
      <c r="H878" s="18"/>
      <c r="I878" s="18"/>
    </row>
    <row r="879" spans="3:9" ht="15" customHeight="1" x14ac:dyDescent="0.35">
      <c r="C879" s="18"/>
      <c r="D879" s="18"/>
      <c r="E879" s="18"/>
      <c r="F879" s="18"/>
      <c r="G879" s="18"/>
      <c r="H879" s="18"/>
      <c r="I879" s="18"/>
    </row>
    <row r="880" spans="3:9" ht="15" customHeight="1" x14ac:dyDescent="0.35">
      <c r="C880" s="18"/>
      <c r="D880" s="18"/>
      <c r="E880" s="18"/>
      <c r="F880" s="18"/>
      <c r="G880" s="18"/>
      <c r="H880" s="18"/>
      <c r="I880" s="18"/>
    </row>
    <row r="881" spans="3:9" ht="15" customHeight="1" x14ac:dyDescent="0.35">
      <c r="C881" s="18"/>
      <c r="D881" s="18"/>
      <c r="E881" s="18"/>
      <c r="F881" s="18"/>
      <c r="G881" s="18"/>
      <c r="H881" s="18"/>
      <c r="I881" s="18"/>
    </row>
    <row r="882" spans="3:9" ht="15" customHeight="1" x14ac:dyDescent="0.35">
      <c r="C882" s="18"/>
      <c r="D882" s="18"/>
      <c r="E882" s="18"/>
      <c r="F882" s="18"/>
      <c r="G882" s="18"/>
      <c r="H882" s="18"/>
      <c r="I882" s="18"/>
    </row>
    <row r="883" spans="3:9" ht="15" customHeight="1" x14ac:dyDescent="0.35">
      <c r="C883" s="18"/>
      <c r="D883" s="18"/>
      <c r="E883" s="18"/>
      <c r="F883" s="18"/>
      <c r="G883" s="18"/>
      <c r="H883" s="18"/>
      <c r="I883" s="18"/>
    </row>
    <row r="884" spans="3:9" ht="15" customHeight="1" x14ac:dyDescent="0.35">
      <c r="C884" s="18"/>
      <c r="D884" s="18"/>
      <c r="E884" s="18"/>
      <c r="F884" s="18"/>
      <c r="G884" s="18"/>
      <c r="H884" s="18"/>
      <c r="I884" s="18"/>
    </row>
    <row r="885" spans="3:9" ht="15" customHeight="1" x14ac:dyDescent="0.35">
      <c r="C885" s="18"/>
      <c r="D885" s="18"/>
      <c r="E885" s="18"/>
      <c r="F885" s="18"/>
      <c r="G885" s="18"/>
      <c r="H885" s="18"/>
      <c r="I885" s="18"/>
    </row>
    <row r="886" spans="3:9" ht="15" customHeight="1" x14ac:dyDescent="0.35">
      <c r="C886" s="18"/>
      <c r="D886" s="18"/>
      <c r="E886" s="18"/>
      <c r="F886" s="18"/>
      <c r="G886" s="18"/>
      <c r="H886" s="18"/>
      <c r="I886" s="18"/>
    </row>
    <row r="887" spans="3:9" ht="15" customHeight="1" x14ac:dyDescent="0.35">
      <c r="C887" s="18"/>
      <c r="D887" s="18"/>
      <c r="E887" s="18"/>
      <c r="F887" s="18"/>
      <c r="G887" s="18"/>
      <c r="H887" s="18"/>
      <c r="I887" s="18"/>
    </row>
    <row r="888" spans="3:9" ht="15" customHeight="1" x14ac:dyDescent="0.35">
      <c r="C888" s="18"/>
      <c r="D888" s="18"/>
      <c r="E888" s="18"/>
      <c r="F888" s="18"/>
      <c r="G888" s="18"/>
      <c r="H888" s="18"/>
      <c r="I888" s="18"/>
    </row>
    <row r="889" spans="3:9" ht="15" customHeight="1" x14ac:dyDescent="0.35">
      <c r="C889" s="18"/>
      <c r="D889" s="18"/>
      <c r="E889" s="18"/>
      <c r="F889" s="18"/>
      <c r="G889" s="18"/>
      <c r="H889" s="18"/>
      <c r="I889" s="18"/>
    </row>
    <row r="890" spans="3:9" ht="15" customHeight="1" x14ac:dyDescent="0.35">
      <c r="C890" s="18"/>
      <c r="D890" s="18"/>
      <c r="E890" s="18"/>
      <c r="F890" s="18"/>
      <c r="G890" s="18"/>
      <c r="H890" s="18"/>
      <c r="I890" s="18"/>
    </row>
    <row r="891" spans="3:9" ht="15" customHeight="1" x14ac:dyDescent="0.35">
      <c r="C891" s="18"/>
      <c r="D891" s="18"/>
      <c r="E891" s="18"/>
      <c r="F891" s="18"/>
      <c r="G891" s="18"/>
      <c r="H891" s="18"/>
      <c r="I891" s="18"/>
    </row>
    <row r="892" spans="3:9" ht="15" customHeight="1" x14ac:dyDescent="0.35">
      <c r="C892" s="18"/>
      <c r="D892" s="18"/>
      <c r="E892" s="18"/>
      <c r="F892" s="18"/>
      <c r="G892" s="18"/>
      <c r="H892" s="18"/>
      <c r="I892" s="18"/>
    </row>
    <row r="893" spans="3:9" ht="15" customHeight="1" x14ac:dyDescent="0.35">
      <c r="C893" s="18"/>
      <c r="D893" s="18"/>
      <c r="E893" s="18"/>
      <c r="F893" s="18"/>
      <c r="G893" s="18"/>
      <c r="H893" s="18"/>
      <c r="I893" s="18"/>
    </row>
    <row r="894" spans="3:9" ht="15" customHeight="1" x14ac:dyDescent="0.35">
      <c r="C894" s="18"/>
      <c r="D894" s="18"/>
      <c r="E894" s="18"/>
      <c r="F894" s="18"/>
      <c r="G894" s="18"/>
      <c r="H894" s="18"/>
      <c r="I894" s="18"/>
    </row>
    <row r="895" spans="3:9" ht="15" customHeight="1" x14ac:dyDescent="0.35">
      <c r="C895" s="18"/>
      <c r="D895" s="18"/>
      <c r="E895" s="18"/>
      <c r="F895" s="18"/>
      <c r="G895" s="18"/>
      <c r="H895" s="18"/>
      <c r="I895" s="18"/>
    </row>
    <row r="896" spans="3:9" ht="15" customHeight="1" x14ac:dyDescent="0.35">
      <c r="C896" s="18"/>
      <c r="D896" s="18"/>
      <c r="E896" s="18"/>
      <c r="F896" s="18"/>
      <c r="G896" s="18"/>
      <c r="H896" s="18"/>
      <c r="I896" s="18"/>
    </row>
    <row r="897" spans="3:9" ht="15" customHeight="1" x14ac:dyDescent="0.35">
      <c r="C897" s="18"/>
      <c r="D897" s="18"/>
      <c r="E897" s="18"/>
      <c r="F897" s="18"/>
      <c r="G897" s="18"/>
      <c r="H897" s="18"/>
      <c r="I897" s="18"/>
    </row>
    <row r="898" spans="3:9" ht="15" customHeight="1" x14ac:dyDescent="0.35">
      <c r="C898" s="18"/>
      <c r="D898" s="18"/>
      <c r="E898" s="18"/>
      <c r="F898" s="18"/>
      <c r="G898" s="18"/>
      <c r="H898" s="18"/>
      <c r="I898" s="18"/>
    </row>
    <row r="899" spans="3:9" ht="15" customHeight="1" x14ac:dyDescent="0.35">
      <c r="C899" s="18"/>
      <c r="D899" s="18"/>
      <c r="E899" s="18"/>
      <c r="F899" s="18"/>
      <c r="G899" s="18"/>
      <c r="H899" s="18"/>
      <c r="I899" s="18"/>
    </row>
    <row r="900" spans="3:9" ht="15" customHeight="1" x14ac:dyDescent="0.35">
      <c r="C900" s="18"/>
      <c r="D900" s="18"/>
      <c r="E900" s="18"/>
      <c r="F900" s="18"/>
      <c r="G900" s="18"/>
      <c r="H900" s="18"/>
      <c r="I900" s="18"/>
    </row>
    <row r="901" spans="3:9" ht="15" customHeight="1" x14ac:dyDescent="0.35">
      <c r="C901" s="18"/>
      <c r="D901" s="18"/>
      <c r="E901" s="18"/>
      <c r="F901" s="18"/>
      <c r="G901" s="18"/>
      <c r="H901" s="18"/>
      <c r="I901" s="18"/>
    </row>
    <row r="902" spans="3:9" ht="15" customHeight="1" x14ac:dyDescent="0.35">
      <c r="C902" s="18"/>
      <c r="D902" s="18"/>
      <c r="E902" s="18"/>
      <c r="F902" s="18"/>
      <c r="G902" s="18"/>
      <c r="H902" s="18"/>
      <c r="I902" s="18"/>
    </row>
    <row r="903" spans="3:9" ht="15" customHeight="1" x14ac:dyDescent="0.35">
      <c r="C903" s="18"/>
      <c r="D903" s="18"/>
      <c r="E903" s="18"/>
      <c r="F903" s="18"/>
      <c r="G903" s="18"/>
      <c r="H903" s="18"/>
      <c r="I903" s="18"/>
    </row>
    <row r="904" spans="3:9" ht="15" customHeight="1" x14ac:dyDescent="0.35">
      <c r="C904" s="18"/>
      <c r="D904" s="18"/>
      <c r="E904" s="18"/>
      <c r="F904" s="18"/>
      <c r="G904" s="18"/>
      <c r="H904" s="18"/>
      <c r="I904" s="18"/>
    </row>
    <row r="905" spans="3:9" ht="15" customHeight="1" x14ac:dyDescent="0.35">
      <c r="C905" s="18"/>
      <c r="D905" s="18"/>
      <c r="E905" s="18"/>
      <c r="F905" s="18"/>
      <c r="G905" s="18"/>
      <c r="H905" s="18"/>
      <c r="I905" s="18"/>
    </row>
    <row r="906" spans="3:9" ht="15" customHeight="1" x14ac:dyDescent="0.35">
      <c r="C906" s="18"/>
      <c r="D906" s="18"/>
      <c r="E906" s="18"/>
      <c r="F906" s="18"/>
      <c r="G906" s="18"/>
      <c r="H906" s="18"/>
      <c r="I906" s="18"/>
    </row>
    <row r="907" spans="3:9" ht="15" customHeight="1" x14ac:dyDescent="0.35">
      <c r="C907" s="18"/>
      <c r="D907" s="18"/>
      <c r="E907" s="18"/>
      <c r="F907" s="18"/>
      <c r="G907" s="18"/>
      <c r="H907" s="18"/>
      <c r="I907" s="18"/>
    </row>
    <row r="908" spans="3:9" ht="15" customHeight="1" x14ac:dyDescent="0.35">
      <c r="C908" s="18"/>
      <c r="D908" s="18"/>
      <c r="E908" s="18"/>
      <c r="F908" s="18"/>
      <c r="G908" s="18"/>
      <c r="H908" s="18"/>
      <c r="I908" s="18"/>
    </row>
    <row r="909" spans="3:9" ht="15" customHeight="1" x14ac:dyDescent="0.35">
      <c r="C909" s="18"/>
      <c r="D909" s="18"/>
      <c r="E909" s="18"/>
      <c r="F909" s="18"/>
      <c r="G909" s="18"/>
      <c r="H909" s="18"/>
      <c r="I909" s="18"/>
    </row>
    <row r="910" spans="3:9" ht="15" customHeight="1" x14ac:dyDescent="0.35">
      <c r="C910" s="18"/>
      <c r="D910" s="18"/>
      <c r="E910" s="18"/>
      <c r="F910" s="18"/>
      <c r="G910" s="18"/>
      <c r="H910" s="18"/>
      <c r="I910" s="18"/>
    </row>
    <row r="911" spans="3:9" ht="15" customHeight="1" x14ac:dyDescent="0.35">
      <c r="C911" s="18"/>
      <c r="D911" s="18"/>
      <c r="E911" s="18"/>
      <c r="F911" s="18"/>
      <c r="G911" s="18"/>
      <c r="H911" s="18"/>
      <c r="I911" s="18"/>
    </row>
    <row r="912" spans="3:9" ht="15" customHeight="1" x14ac:dyDescent="0.35">
      <c r="C912" s="18"/>
      <c r="D912" s="18"/>
      <c r="E912" s="18"/>
      <c r="F912" s="18"/>
      <c r="G912" s="18"/>
      <c r="H912" s="18"/>
      <c r="I912" s="18"/>
    </row>
    <row r="913" spans="3:9" ht="15" customHeight="1" x14ac:dyDescent="0.35">
      <c r="C913" s="18"/>
      <c r="D913" s="18"/>
      <c r="E913" s="18"/>
      <c r="F913" s="18"/>
      <c r="G913" s="18"/>
      <c r="H913" s="18"/>
      <c r="I913" s="18"/>
    </row>
    <row r="914" spans="3:9" ht="15" customHeight="1" x14ac:dyDescent="0.35">
      <c r="C914" s="18"/>
      <c r="D914" s="18"/>
      <c r="E914" s="18"/>
      <c r="F914" s="18"/>
      <c r="G914" s="18"/>
      <c r="H914" s="18"/>
      <c r="I914" s="18"/>
    </row>
    <row r="915" spans="3:9" ht="15" customHeight="1" x14ac:dyDescent="0.35">
      <c r="C915" s="18"/>
      <c r="D915" s="18"/>
      <c r="E915" s="18"/>
      <c r="F915" s="18"/>
      <c r="G915" s="18"/>
      <c r="H915" s="18"/>
      <c r="I915" s="18"/>
    </row>
    <row r="916" spans="3:9" ht="15" customHeight="1" x14ac:dyDescent="0.35">
      <c r="C916" s="18"/>
      <c r="D916" s="18"/>
      <c r="E916" s="18"/>
      <c r="F916" s="18"/>
      <c r="G916" s="18"/>
      <c r="H916" s="18"/>
      <c r="I916" s="18"/>
    </row>
    <row r="917" spans="3:9" ht="15" customHeight="1" x14ac:dyDescent="0.35">
      <c r="C917" s="18"/>
      <c r="D917" s="18"/>
      <c r="E917" s="18"/>
      <c r="F917" s="18"/>
      <c r="G917" s="18"/>
      <c r="H917" s="18"/>
      <c r="I917" s="18"/>
    </row>
    <row r="918" spans="3:9" ht="15" customHeight="1" x14ac:dyDescent="0.35">
      <c r="C918" s="18"/>
      <c r="D918" s="18"/>
      <c r="E918" s="18"/>
      <c r="F918" s="18"/>
      <c r="G918" s="18"/>
      <c r="H918" s="18"/>
      <c r="I918" s="18"/>
    </row>
    <row r="919" spans="3:9" ht="15" customHeight="1" x14ac:dyDescent="0.35">
      <c r="C919" s="18"/>
      <c r="D919" s="18"/>
      <c r="E919" s="18"/>
      <c r="F919" s="18"/>
      <c r="G919" s="18"/>
      <c r="H919" s="18"/>
      <c r="I919" s="18"/>
    </row>
    <row r="920" spans="3:9" ht="15" customHeight="1" x14ac:dyDescent="0.35">
      <c r="C920" s="18"/>
      <c r="D920" s="18"/>
      <c r="E920" s="18"/>
      <c r="F920" s="18"/>
      <c r="G920" s="18"/>
      <c r="H920" s="18"/>
      <c r="I920" s="18"/>
    </row>
    <row r="921" spans="3:9" ht="15" customHeight="1" x14ac:dyDescent="0.35">
      <c r="C921" s="18"/>
      <c r="D921" s="18"/>
      <c r="E921" s="18"/>
      <c r="F921" s="18"/>
      <c r="G921" s="18"/>
      <c r="H921" s="18"/>
      <c r="I921" s="18"/>
    </row>
    <row r="922" spans="3:9" ht="15" customHeight="1" x14ac:dyDescent="0.35">
      <c r="C922" s="18"/>
      <c r="D922" s="18"/>
      <c r="E922" s="18"/>
      <c r="F922" s="18"/>
      <c r="G922" s="18"/>
      <c r="H922" s="18"/>
      <c r="I922" s="18"/>
    </row>
    <row r="923" spans="3:9" ht="15" customHeight="1" x14ac:dyDescent="0.35">
      <c r="C923" s="18"/>
      <c r="D923" s="18"/>
      <c r="E923" s="18"/>
      <c r="F923" s="18"/>
      <c r="G923" s="18"/>
      <c r="H923" s="18"/>
      <c r="I923" s="18"/>
    </row>
    <row r="924" spans="3:9" ht="15" customHeight="1" x14ac:dyDescent="0.35">
      <c r="C924" s="18"/>
      <c r="D924" s="18"/>
      <c r="E924" s="18"/>
      <c r="F924" s="18"/>
      <c r="G924" s="18"/>
      <c r="H924" s="18"/>
      <c r="I924" s="18"/>
    </row>
    <row r="925" spans="3:9" ht="15" customHeight="1" x14ac:dyDescent="0.35">
      <c r="C925" s="18"/>
      <c r="D925" s="18"/>
      <c r="E925" s="18"/>
      <c r="F925" s="18"/>
      <c r="G925" s="18"/>
      <c r="H925" s="18"/>
      <c r="I925" s="18"/>
    </row>
    <row r="926" spans="3:9" ht="15" customHeight="1" x14ac:dyDescent="0.35">
      <c r="C926" s="18"/>
      <c r="D926" s="18"/>
      <c r="E926" s="18"/>
      <c r="F926" s="18"/>
      <c r="G926" s="18"/>
      <c r="H926" s="18"/>
      <c r="I926" s="18"/>
    </row>
    <row r="927" spans="3:9" ht="15" customHeight="1" x14ac:dyDescent="0.35">
      <c r="C927" s="18"/>
      <c r="D927" s="18"/>
      <c r="E927" s="18"/>
      <c r="F927" s="18"/>
      <c r="G927" s="18"/>
      <c r="H927" s="18"/>
      <c r="I927" s="18"/>
    </row>
    <row r="928" spans="3:9" ht="15" customHeight="1" x14ac:dyDescent="0.35">
      <c r="C928" s="18"/>
      <c r="D928" s="18"/>
      <c r="E928" s="18"/>
      <c r="F928" s="18"/>
      <c r="G928" s="18"/>
      <c r="H928" s="18"/>
      <c r="I928" s="18"/>
    </row>
    <row r="929" spans="3:9" ht="15" customHeight="1" x14ac:dyDescent="0.35">
      <c r="C929" s="18"/>
      <c r="D929" s="18"/>
      <c r="E929" s="18"/>
      <c r="F929" s="18"/>
      <c r="G929" s="18"/>
      <c r="H929" s="18"/>
      <c r="I929" s="18"/>
    </row>
    <row r="930" spans="3:9" ht="15" customHeight="1" x14ac:dyDescent="0.35">
      <c r="C930" s="18"/>
      <c r="D930" s="18"/>
      <c r="E930" s="18"/>
      <c r="F930" s="18"/>
      <c r="G930" s="18"/>
      <c r="H930" s="18"/>
      <c r="I930" s="18"/>
    </row>
    <row r="931" spans="3:9" ht="15" customHeight="1" x14ac:dyDescent="0.35">
      <c r="C931" s="18"/>
      <c r="D931" s="18"/>
      <c r="E931" s="18"/>
      <c r="F931" s="18"/>
      <c r="G931" s="18"/>
      <c r="H931" s="18"/>
      <c r="I931" s="18"/>
    </row>
    <row r="932" spans="3:9" ht="15" customHeight="1" x14ac:dyDescent="0.35">
      <c r="C932" s="18"/>
      <c r="D932" s="18"/>
      <c r="E932" s="18"/>
      <c r="F932" s="18"/>
      <c r="G932" s="18"/>
      <c r="H932" s="18"/>
      <c r="I932" s="18"/>
    </row>
    <row r="933" spans="3:9" ht="15" customHeight="1" x14ac:dyDescent="0.35">
      <c r="C933" s="18"/>
      <c r="D933" s="18"/>
      <c r="E933" s="18"/>
      <c r="F933" s="18"/>
      <c r="G933" s="18"/>
      <c r="H933" s="18"/>
      <c r="I933" s="18"/>
    </row>
    <row r="934" spans="3:9" ht="15" customHeight="1" x14ac:dyDescent="0.35">
      <c r="C934" s="18"/>
      <c r="D934" s="18"/>
      <c r="E934" s="18"/>
      <c r="F934" s="18"/>
      <c r="G934" s="18"/>
      <c r="H934" s="18"/>
      <c r="I934" s="18"/>
    </row>
    <row r="935" spans="3:9" ht="15" customHeight="1" x14ac:dyDescent="0.35">
      <c r="C935" s="18"/>
      <c r="D935" s="18"/>
      <c r="E935" s="18"/>
      <c r="F935" s="18"/>
      <c r="G935" s="18"/>
      <c r="H935" s="18"/>
      <c r="I935" s="18"/>
    </row>
    <row r="936" spans="3:9" ht="15" customHeight="1" x14ac:dyDescent="0.35">
      <c r="C936" s="18"/>
      <c r="D936" s="18"/>
      <c r="E936" s="18"/>
      <c r="F936" s="18"/>
      <c r="G936" s="18"/>
      <c r="H936" s="18"/>
      <c r="I936" s="18"/>
    </row>
    <row r="937" spans="3:9" ht="15" customHeight="1" x14ac:dyDescent="0.35">
      <c r="C937" s="18"/>
      <c r="D937" s="18"/>
      <c r="E937" s="18"/>
      <c r="F937" s="18"/>
      <c r="G937" s="18"/>
      <c r="H937" s="18"/>
      <c r="I937" s="18"/>
    </row>
    <row r="938" spans="3:9" ht="15" customHeight="1" x14ac:dyDescent="0.35">
      <c r="C938" s="18"/>
      <c r="D938" s="18"/>
      <c r="E938" s="18"/>
      <c r="F938" s="18"/>
      <c r="G938" s="18"/>
      <c r="H938" s="18"/>
      <c r="I938" s="18"/>
    </row>
    <row r="939" spans="3:9" ht="15" customHeight="1" x14ac:dyDescent="0.35">
      <c r="C939" s="18"/>
      <c r="D939" s="18"/>
      <c r="E939" s="18"/>
      <c r="F939" s="18"/>
      <c r="G939" s="18"/>
      <c r="H939" s="18"/>
      <c r="I939" s="18"/>
    </row>
    <row r="940" spans="3:9" ht="15" customHeight="1" x14ac:dyDescent="0.35">
      <c r="C940" s="18"/>
      <c r="D940" s="18"/>
      <c r="E940" s="18"/>
      <c r="F940" s="18"/>
      <c r="G940" s="18"/>
      <c r="H940" s="18"/>
      <c r="I940" s="18"/>
    </row>
    <row r="941" spans="3:9" ht="15" customHeight="1" x14ac:dyDescent="0.35">
      <c r="C941" s="18"/>
      <c r="D941" s="18"/>
      <c r="E941" s="18"/>
      <c r="F941" s="18"/>
      <c r="G941" s="18"/>
      <c r="H941" s="18"/>
      <c r="I941" s="18"/>
    </row>
    <row r="942" spans="3:9" ht="15" customHeight="1" x14ac:dyDescent="0.35">
      <c r="C942" s="18"/>
      <c r="D942" s="18"/>
      <c r="E942" s="18"/>
      <c r="F942" s="18"/>
      <c r="G942" s="18"/>
      <c r="H942" s="18"/>
      <c r="I942" s="18"/>
    </row>
    <row r="943" spans="3:9" ht="15" customHeight="1" x14ac:dyDescent="0.35">
      <c r="C943" s="18"/>
      <c r="D943" s="18"/>
      <c r="E943" s="18"/>
      <c r="F943" s="18"/>
      <c r="G943" s="18"/>
      <c r="H943" s="18"/>
      <c r="I943" s="18"/>
    </row>
    <row r="944" spans="3:9" ht="15" customHeight="1" x14ac:dyDescent="0.35">
      <c r="C944" s="18"/>
      <c r="D944" s="18"/>
      <c r="E944" s="18"/>
      <c r="F944" s="18"/>
      <c r="G944" s="18"/>
      <c r="H944" s="18"/>
      <c r="I944" s="18"/>
    </row>
    <row r="945" spans="3:9" ht="15" customHeight="1" x14ac:dyDescent="0.35">
      <c r="C945" s="18"/>
      <c r="D945" s="18"/>
      <c r="E945" s="18"/>
      <c r="F945" s="18"/>
      <c r="G945" s="18"/>
      <c r="H945" s="18"/>
      <c r="I945" s="18"/>
    </row>
    <row r="946" spans="3:9" ht="15" customHeight="1" x14ac:dyDescent="0.35">
      <c r="C946" s="18"/>
      <c r="D946" s="18"/>
      <c r="E946" s="18"/>
      <c r="F946" s="18"/>
      <c r="G946" s="18"/>
      <c r="H946" s="18"/>
      <c r="I946" s="18"/>
    </row>
    <row r="947" spans="3:9" ht="15" customHeight="1" x14ac:dyDescent="0.35">
      <c r="C947" s="18"/>
      <c r="D947" s="18"/>
      <c r="E947" s="18"/>
      <c r="F947" s="18"/>
      <c r="G947" s="18"/>
      <c r="H947" s="18"/>
      <c r="I947" s="18"/>
    </row>
    <row r="948" spans="3:9" ht="15" customHeight="1" x14ac:dyDescent="0.35">
      <c r="C948" s="18"/>
      <c r="D948" s="18"/>
      <c r="E948" s="18"/>
      <c r="F948" s="18"/>
      <c r="G948" s="18"/>
      <c r="H948" s="18"/>
      <c r="I948" s="18"/>
    </row>
    <row r="949" spans="3:9" ht="15" customHeight="1" x14ac:dyDescent="0.35">
      <c r="C949" s="18"/>
      <c r="D949" s="18"/>
      <c r="E949" s="18"/>
      <c r="F949" s="18"/>
      <c r="G949" s="18"/>
      <c r="H949" s="18"/>
      <c r="I949" s="18"/>
    </row>
    <row r="950" spans="3:9" ht="15" customHeight="1" x14ac:dyDescent="0.35">
      <c r="C950" s="18"/>
      <c r="D950" s="18"/>
      <c r="E950" s="18"/>
      <c r="F950" s="18"/>
      <c r="G950" s="18"/>
      <c r="H950" s="18"/>
      <c r="I950" s="18"/>
    </row>
    <row r="951" spans="3:9" ht="15" customHeight="1" x14ac:dyDescent="0.35">
      <c r="C951" s="18"/>
      <c r="D951" s="18"/>
      <c r="E951" s="18"/>
      <c r="F951" s="18"/>
      <c r="G951" s="18"/>
      <c r="H951" s="18"/>
      <c r="I951" s="18"/>
    </row>
    <row r="952" spans="3:9" ht="15" customHeight="1" x14ac:dyDescent="0.35">
      <c r="C952" s="18"/>
      <c r="D952" s="18"/>
      <c r="E952" s="18"/>
      <c r="F952" s="18"/>
      <c r="G952" s="18"/>
      <c r="H952" s="18"/>
      <c r="I952" s="18"/>
    </row>
    <row r="953" spans="3:9" ht="15" customHeight="1" x14ac:dyDescent="0.35">
      <c r="C953" s="18"/>
      <c r="D953" s="18"/>
      <c r="E953" s="18"/>
      <c r="F953" s="18"/>
      <c r="G953" s="18"/>
      <c r="H953" s="18"/>
      <c r="I953" s="18"/>
    </row>
    <row r="954" spans="3:9" ht="15" customHeight="1" x14ac:dyDescent="0.35">
      <c r="C954" s="18"/>
      <c r="D954" s="18"/>
      <c r="E954" s="18"/>
      <c r="F954" s="18"/>
      <c r="G954" s="18"/>
      <c r="H954" s="18"/>
      <c r="I954" s="18"/>
    </row>
    <row r="955" spans="3:9" ht="15" customHeight="1" x14ac:dyDescent="0.35">
      <c r="C955" s="18"/>
      <c r="D955" s="18"/>
      <c r="E955" s="18"/>
      <c r="F955" s="18"/>
      <c r="G955" s="18"/>
      <c r="H955" s="18"/>
      <c r="I955" s="18"/>
    </row>
    <row r="956" spans="3:9" ht="15" customHeight="1" x14ac:dyDescent="0.35">
      <c r="C956" s="18"/>
      <c r="D956" s="18"/>
      <c r="E956" s="18"/>
      <c r="F956" s="18"/>
      <c r="G956" s="18"/>
      <c r="H956" s="18"/>
      <c r="I956" s="18"/>
    </row>
    <row r="957" spans="3:9" ht="15" customHeight="1" x14ac:dyDescent="0.35">
      <c r="C957" s="18"/>
      <c r="D957" s="18"/>
      <c r="E957" s="18"/>
      <c r="F957" s="18"/>
      <c r="G957" s="18"/>
      <c r="H957" s="18"/>
      <c r="I957" s="18"/>
    </row>
    <row r="958" spans="3:9" ht="15" customHeight="1" x14ac:dyDescent="0.35">
      <c r="C958" s="18"/>
      <c r="D958" s="18"/>
      <c r="E958" s="18"/>
      <c r="F958" s="18"/>
      <c r="G958" s="18"/>
      <c r="H958" s="18"/>
      <c r="I958" s="18"/>
    </row>
    <row r="959" spans="3:9" ht="15" customHeight="1" x14ac:dyDescent="0.35">
      <c r="C959" s="18"/>
      <c r="D959" s="18"/>
      <c r="E959" s="18"/>
      <c r="F959" s="18"/>
      <c r="G959" s="18"/>
      <c r="H959" s="18"/>
      <c r="I959" s="18"/>
    </row>
    <row r="960" spans="3:9" ht="15" customHeight="1" x14ac:dyDescent="0.35">
      <c r="C960" s="18"/>
      <c r="D960" s="18"/>
      <c r="E960" s="18"/>
      <c r="F960" s="18"/>
      <c r="G960" s="18"/>
      <c r="H960" s="18"/>
      <c r="I960" s="18"/>
    </row>
    <row r="961" spans="3:9" ht="15" customHeight="1" x14ac:dyDescent="0.35">
      <c r="C961" s="18"/>
      <c r="D961" s="18"/>
      <c r="E961" s="18"/>
      <c r="F961" s="18"/>
      <c r="G961" s="18"/>
      <c r="H961" s="18"/>
      <c r="I961" s="18"/>
    </row>
    <row r="962" spans="3:9" ht="15" customHeight="1" x14ac:dyDescent="0.35">
      <c r="C962" s="18"/>
      <c r="D962" s="18"/>
      <c r="E962" s="18"/>
      <c r="F962" s="18"/>
      <c r="G962" s="18"/>
      <c r="H962" s="18"/>
      <c r="I962" s="18"/>
    </row>
    <row r="963" spans="3:9" ht="15" customHeight="1" x14ac:dyDescent="0.35">
      <c r="C963" s="18"/>
      <c r="D963" s="18"/>
      <c r="E963" s="18"/>
      <c r="F963" s="18"/>
      <c r="G963" s="18"/>
      <c r="H963" s="18"/>
      <c r="I963" s="18"/>
    </row>
    <row r="964" spans="3:9" ht="15" customHeight="1" x14ac:dyDescent="0.35">
      <c r="C964" s="18"/>
      <c r="D964" s="18"/>
      <c r="E964" s="18"/>
      <c r="F964" s="18"/>
      <c r="G964" s="18"/>
      <c r="H964" s="18"/>
      <c r="I964" s="18"/>
    </row>
    <row r="965" spans="3:9" ht="15" customHeight="1" x14ac:dyDescent="0.35">
      <c r="C965" s="18"/>
      <c r="D965" s="18"/>
      <c r="E965" s="18"/>
      <c r="F965" s="18"/>
      <c r="G965" s="18"/>
      <c r="H965" s="18"/>
      <c r="I965" s="18"/>
    </row>
    <row r="966" spans="3:9" ht="15" customHeight="1" x14ac:dyDescent="0.35">
      <c r="C966" s="18"/>
      <c r="D966" s="18"/>
      <c r="E966" s="18"/>
      <c r="F966" s="18"/>
      <c r="G966" s="18"/>
      <c r="H966" s="18"/>
      <c r="I966" s="18"/>
    </row>
    <row r="967" spans="3:9" ht="15" customHeight="1" x14ac:dyDescent="0.35">
      <c r="C967" s="18"/>
      <c r="D967" s="18"/>
      <c r="E967" s="18"/>
      <c r="F967" s="18"/>
      <c r="G967" s="18"/>
      <c r="H967" s="18"/>
      <c r="I967" s="18"/>
    </row>
    <row r="968" spans="3:9" ht="15" customHeight="1" x14ac:dyDescent="0.35">
      <c r="C968" s="18"/>
      <c r="D968" s="18"/>
      <c r="E968" s="18"/>
      <c r="F968" s="18"/>
      <c r="G968" s="18"/>
      <c r="H968" s="18"/>
      <c r="I968" s="18"/>
    </row>
    <row r="969" spans="3:9" ht="15" customHeight="1" x14ac:dyDescent="0.35">
      <c r="C969" s="18"/>
      <c r="D969" s="18"/>
      <c r="E969" s="18"/>
      <c r="F969" s="18"/>
      <c r="G969" s="18"/>
      <c r="H969" s="18"/>
      <c r="I969" s="18"/>
    </row>
    <row r="970" spans="3:9" ht="15" customHeight="1" x14ac:dyDescent="0.35">
      <c r="C970" s="18"/>
      <c r="D970" s="18"/>
      <c r="E970" s="18"/>
      <c r="F970" s="18"/>
      <c r="G970" s="18"/>
      <c r="H970" s="18"/>
      <c r="I970" s="18"/>
    </row>
    <row r="971" spans="3:9" ht="15" customHeight="1" x14ac:dyDescent="0.35">
      <c r="C971" s="18"/>
      <c r="D971" s="18"/>
      <c r="E971" s="18"/>
      <c r="F971" s="18"/>
      <c r="G971" s="18"/>
      <c r="H971" s="18"/>
      <c r="I971" s="18"/>
    </row>
    <row r="972" spans="3:9" ht="15" customHeight="1" x14ac:dyDescent="0.35">
      <c r="C972" s="18"/>
      <c r="D972" s="18"/>
      <c r="E972" s="18"/>
      <c r="F972" s="18"/>
      <c r="G972" s="18"/>
      <c r="H972" s="18"/>
      <c r="I972" s="18"/>
    </row>
    <row r="973" spans="3:9" ht="15" customHeight="1" x14ac:dyDescent="0.35">
      <c r="C973" s="18"/>
      <c r="D973" s="18"/>
      <c r="E973" s="18"/>
      <c r="F973" s="18"/>
      <c r="G973" s="18"/>
      <c r="H973" s="18"/>
      <c r="I973" s="18"/>
    </row>
    <row r="974" spans="3:9" ht="15" customHeight="1" x14ac:dyDescent="0.35">
      <c r="C974" s="18"/>
      <c r="D974" s="18"/>
      <c r="E974" s="18"/>
      <c r="F974" s="18"/>
      <c r="G974" s="18"/>
      <c r="H974" s="18"/>
      <c r="I974" s="18"/>
    </row>
    <row r="975" spans="3:9" ht="15" customHeight="1" x14ac:dyDescent="0.35">
      <c r="C975" s="18"/>
      <c r="D975" s="18"/>
      <c r="E975" s="18"/>
      <c r="F975" s="18"/>
      <c r="G975" s="18"/>
      <c r="H975" s="18"/>
      <c r="I975" s="18"/>
    </row>
    <row r="976" spans="3:9" ht="15" customHeight="1" x14ac:dyDescent="0.35">
      <c r="C976" s="18"/>
      <c r="D976" s="18"/>
      <c r="E976" s="18"/>
      <c r="F976" s="18"/>
      <c r="G976" s="18"/>
      <c r="H976" s="18"/>
      <c r="I976" s="18"/>
    </row>
    <row r="977" spans="3:9" ht="15" customHeight="1" x14ac:dyDescent="0.35">
      <c r="C977" s="18"/>
      <c r="D977" s="18"/>
      <c r="E977" s="18"/>
      <c r="F977" s="18"/>
      <c r="G977" s="18"/>
      <c r="H977" s="18"/>
      <c r="I977" s="18"/>
    </row>
    <row r="978" spans="3:9" ht="15" customHeight="1" x14ac:dyDescent="0.35">
      <c r="C978" s="18"/>
      <c r="D978" s="18"/>
      <c r="E978" s="18"/>
      <c r="F978" s="18"/>
      <c r="G978" s="18"/>
      <c r="H978" s="18"/>
      <c r="I978" s="18"/>
    </row>
    <row r="979" spans="3:9" ht="15" customHeight="1" x14ac:dyDescent="0.35">
      <c r="C979" s="18"/>
      <c r="D979" s="18"/>
      <c r="E979" s="18"/>
      <c r="F979" s="18"/>
      <c r="G979" s="18"/>
      <c r="H979" s="18"/>
      <c r="I979" s="18"/>
    </row>
    <row r="980" spans="3:9" ht="15" customHeight="1" x14ac:dyDescent="0.35">
      <c r="C980" s="18"/>
      <c r="D980" s="18"/>
      <c r="E980" s="18"/>
      <c r="F980" s="18"/>
      <c r="G980" s="18"/>
      <c r="H980" s="18"/>
      <c r="I980" s="18"/>
    </row>
    <row r="981" spans="3:9" ht="15" customHeight="1" x14ac:dyDescent="0.35">
      <c r="C981" s="18"/>
      <c r="D981" s="18"/>
      <c r="E981" s="18"/>
      <c r="F981" s="18"/>
      <c r="G981" s="18"/>
      <c r="H981" s="18"/>
      <c r="I981" s="18"/>
    </row>
    <row r="982" spans="3:9" ht="15" customHeight="1" x14ac:dyDescent="0.35">
      <c r="C982" s="18"/>
      <c r="D982" s="18"/>
      <c r="E982" s="18"/>
      <c r="F982" s="18"/>
      <c r="G982" s="18"/>
      <c r="H982" s="18"/>
      <c r="I982" s="18"/>
    </row>
    <row r="983" spans="3:9" ht="15" customHeight="1" x14ac:dyDescent="0.35">
      <c r="C983" s="18"/>
      <c r="D983" s="18"/>
      <c r="E983" s="18"/>
      <c r="F983" s="18"/>
      <c r="G983" s="18"/>
      <c r="H983" s="18"/>
      <c r="I983" s="18"/>
    </row>
    <row r="984" spans="3:9" ht="15" customHeight="1" x14ac:dyDescent="0.35">
      <c r="C984" s="18"/>
      <c r="D984" s="18"/>
      <c r="E984" s="18"/>
      <c r="F984" s="18"/>
      <c r="G984" s="18"/>
      <c r="H984" s="18"/>
      <c r="I984" s="18"/>
    </row>
    <row r="985" spans="3:9" ht="15" customHeight="1" x14ac:dyDescent="0.35">
      <c r="C985" s="18"/>
      <c r="D985" s="18"/>
      <c r="E985" s="18"/>
      <c r="F985" s="18"/>
      <c r="G985" s="18"/>
      <c r="H985" s="18"/>
      <c r="I985" s="18"/>
    </row>
    <row r="986" spans="3:9" ht="15" customHeight="1" x14ac:dyDescent="0.35">
      <c r="C986" s="18"/>
      <c r="D986" s="18"/>
      <c r="E986" s="18"/>
      <c r="F986" s="18"/>
      <c r="G986" s="18"/>
      <c r="H986" s="18"/>
      <c r="I986" s="18"/>
    </row>
    <row r="987" spans="3:9" ht="15" customHeight="1" x14ac:dyDescent="0.35">
      <c r="C987" s="18"/>
      <c r="D987" s="18"/>
      <c r="E987" s="18"/>
      <c r="F987" s="18"/>
      <c r="G987" s="18"/>
      <c r="H987" s="18"/>
      <c r="I987" s="18"/>
    </row>
    <row r="988" spans="3:9" ht="15" customHeight="1" x14ac:dyDescent="0.35">
      <c r="C988" s="18"/>
      <c r="D988" s="18"/>
      <c r="E988" s="18"/>
      <c r="F988" s="18"/>
      <c r="G988" s="18"/>
      <c r="H988" s="18"/>
      <c r="I988" s="18"/>
    </row>
    <row r="989" spans="3:9" ht="15" customHeight="1" x14ac:dyDescent="0.35">
      <c r="C989" s="18"/>
      <c r="D989" s="18"/>
      <c r="E989" s="18"/>
      <c r="F989" s="18"/>
      <c r="G989" s="18"/>
      <c r="H989" s="18"/>
      <c r="I989" s="18"/>
    </row>
    <row r="990" spans="3:9" ht="15" customHeight="1" x14ac:dyDescent="0.35">
      <c r="C990" s="18"/>
      <c r="D990" s="18"/>
      <c r="E990" s="18"/>
      <c r="F990" s="18"/>
      <c r="G990" s="18"/>
      <c r="H990" s="18"/>
      <c r="I990" s="18"/>
    </row>
    <row r="991" spans="3:9" ht="15" customHeight="1" x14ac:dyDescent="0.35">
      <c r="C991" s="18"/>
      <c r="D991" s="18"/>
      <c r="E991" s="18"/>
      <c r="F991" s="18"/>
      <c r="G991" s="18"/>
      <c r="H991" s="18"/>
      <c r="I991" s="18"/>
    </row>
    <row r="992" spans="3:9" ht="15" customHeight="1" x14ac:dyDescent="0.35">
      <c r="C992" s="18"/>
      <c r="D992" s="18"/>
      <c r="E992" s="18"/>
      <c r="F992" s="18"/>
      <c r="G992" s="18"/>
      <c r="H992" s="18"/>
      <c r="I992" s="18"/>
    </row>
    <row r="993" spans="3:9" ht="15" customHeight="1" x14ac:dyDescent="0.35">
      <c r="C993" s="18"/>
      <c r="D993" s="18"/>
      <c r="E993" s="18"/>
      <c r="F993" s="18"/>
      <c r="G993" s="18"/>
      <c r="H993" s="18"/>
      <c r="I993" s="18"/>
    </row>
    <row r="994" spans="3:9" ht="15" customHeight="1" x14ac:dyDescent="0.35">
      <c r="C994" s="18"/>
      <c r="D994" s="18"/>
      <c r="E994" s="18"/>
      <c r="F994" s="18"/>
      <c r="G994" s="18"/>
      <c r="H994" s="18"/>
      <c r="I994" s="18"/>
    </row>
    <row r="995" spans="3:9" ht="15" customHeight="1" x14ac:dyDescent="0.35">
      <c r="C995" s="18"/>
      <c r="D995" s="18"/>
      <c r="E995" s="18"/>
      <c r="F995" s="18"/>
      <c r="G995" s="18"/>
      <c r="H995" s="18"/>
      <c r="I995" s="18"/>
    </row>
    <row r="996" spans="3:9" ht="15" customHeight="1" x14ac:dyDescent="0.35">
      <c r="C996" s="18"/>
      <c r="D996" s="18"/>
      <c r="E996" s="18"/>
      <c r="F996" s="18"/>
      <c r="G996" s="18"/>
      <c r="H996" s="18"/>
      <c r="I996" s="18"/>
    </row>
    <row r="997" spans="3:9" ht="15" customHeight="1" x14ac:dyDescent="0.35">
      <c r="C997" s="18"/>
      <c r="D997" s="18"/>
      <c r="E997" s="18"/>
      <c r="F997" s="18"/>
      <c r="G997" s="18"/>
      <c r="H997" s="18"/>
      <c r="I997" s="18"/>
    </row>
    <row r="998" spans="3:9" ht="15" customHeight="1" x14ac:dyDescent="0.35">
      <c r="C998" s="18"/>
      <c r="D998" s="18"/>
      <c r="E998" s="18"/>
      <c r="F998" s="18"/>
      <c r="G998" s="18"/>
      <c r="H998" s="18"/>
      <c r="I998" s="18"/>
    </row>
    <row r="999" spans="3:9" ht="15" customHeight="1" x14ac:dyDescent="0.35">
      <c r="C999" s="18"/>
      <c r="D999" s="18"/>
      <c r="E999" s="18"/>
      <c r="F999" s="18"/>
      <c r="G999" s="18"/>
      <c r="H999" s="18"/>
      <c r="I999" s="18"/>
    </row>
    <row r="1000" spans="3:9" ht="15" customHeight="1" x14ac:dyDescent="0.35">
      <c r="C1000" s="18"/>
      <c r="D1000" s="18"/>
      <c r="E1000" s="18"/>
      <c r="F1000" s="18"/>
      <c r="G1000" s="18"/>
      <c r="H1000" s="18"/>
      <c r="I1000" s="18"/>
    </row>
    <row r="1001" spans="3:9" ht="15" customHeight="1" x14ac:dyDescent="0.35">
      <c r="C1001" s="18"/>
      <c r="D1001" s="18"/>
      <c r="E1001" s="18"/>
      <c r="F1001" s="18"/>
      <c r="G1001" s="18"/>
      <c r="H1001" s="18"/>
      <c r="I1001" s="18"/>
    </row>
    <row r="1002" spans="3:9" ht="15" customHeight="1" x14ac:dyDescent="0.35">
      <c r="C1002" s="18"/>
      <c r="D1002" s="18"/>
      <c r="E1002" s="18"/>
      <c r="F1002" s="18"/>
      <c r="G1002" s="18"/>
      <c r="H1002" s="18"/>
      <c r="I1002" s="18"/>
    </row>
    <row r="1003" spans="3:9" ht="15" customHeight="1" x14ac:dyDescent="0.35">
      <c r="C1003" s="18"/>
      <c r="D1003" s="18"/>
      <c r="E1003" s="18"/>
      <c r="F1003" s="18"/>
      <c r="G1003" s="18"/>
      <c r="H1003" s="18"/>
      <c r="I1003" s="18"/>
    </row>
    <row r="1004" spans="3:9" ht="15" customHeight="1" x14ac:dyDescent="0.35">
      <c r="C1004" s="18"/>
      <c r="D1004" s="18"/>
      <c r="E1004" s="18"/>
      <c r="F1004" s="18"/>
      <c r="G1004" s="18"/>
      <c r="H1004" s="18"/>
      <c r="I1004" s="18"/>
    </row>
    <row r="1005" spans="3:9" ht="15" customHeight="1" x14ac:dyDescent="0.35">
      <c r="C1005" s="18"/>
      <c r="D1005" s="18"/>
      <c r="E1005" s="18"/>
      <c r="F1005" s="18"/>
      <c r="G1005" s="18"/>
      <c r="H1005" s="18"/>
      <c r="I1005" s="18"/>
    </row>
    <row r="1006" spans="3:9" ht="15" customHeight="1" x14ac:dyDescent="0.35">
      <c r="C1006" s="18"/>
      <c r="D1006" s="18"/>
      <c r="E1006" s="18"/>
      <c r="F1006" s="18"/>
      <c r="G1006" s="18"/>
      <c r="H1006" s="18"/>
      <c r="I1006" s="18"/>
    </row>
    <row r="1007" spans="3:9" ht="15" customHeight="1" x14ac:dyDescent="0.35">
      <c r="C1007" s="18"/>
      <c r="D1007" s="18"/>
      <c r="E1007" s="18"/>
      <c r="F1007" s="18"/>
      <c r="G1007" s="18"/>
      <c r="H1007" s="18"/>
      <c r="I1007" s="18"/>
    </row>
    <row r="1008" spans="3:9" ht="15" customHeight="1" x14ac:dyDescent="0.35">
      <c r="C1008" s="18"/>
      <c r="D1008" s="18"/>
      <c r="E1008" s="18"/>
      <c r="F1008" s="18"/>
      <c r="G1008" s="18"/>
      <c r="H1008" s="18"/>
      <c r="I1008" s="18"/>
    </row>
    <row r="1009" spans="3:9" ht="15" customHeight="1" x14ac:dyDescent="0.35">
      <c r="C1009" s="18"/>
      <c r="D1009" s="18"/>
      <c r="E1009" s="18"/>
      <c r="F1009" s="18"/>
      <c r="G1009" s="18"/>
      <c r="H1009" s="18"/>
      <c r="I1009" s="18"/>
    </row>
    <row r="1010" spans="3:9" ht="15" customHeight="1" x14ac:dyDescent="0.35">
      <c r="C1010" s="18"/>
      <c r="D1010" s="18"/>
      <c r="E1010" s="18"/>
      <c r="F1010" s="18"/>
      <c r="G1010" s="18"/>
      <c r="H1010" s="18"/>
      <c r="I1010" s="18"/>
    </row>
    <row r="1011" spans="3:9" ht="15" customHeight="1" x14ac:dyDescent="0.35">
      <c r="C1011" s="18"/>
      <c r="D1011" s="18"/>
      <c r="E1011" s="18"/>
      <c r="F1011" s="18"/>
      <c r="G1011" s="18"/>
      <c r="H1011" s="18"/>
      <c r="I1011" s="18"/>
    </row>
    <row r="1012" spans="3:9" ht="15" customHeight="1" x14ac:dyDescent="0.35">
      <c r="C1012" s="18"/>
      <c r="D1012" s="18"/>
      <c r="E1012" s="18"/>
      <c r="F1012" s="18"/>
      <c r="G1012" s="18"/>
      <c r="H1012" s="18"/>
      <c r="I1012" s="18"/>
    </row>
    <row r="1013" spans="3:9" ht="15" customHeight="1" x14ac:dyDescent="0.35">
      <c r="C1013" s="18"/>
      <c r="D1013" s="18"/>
      <c r="E1013" s="18"/>
      <c r="F1013" s="18"/>
      <c r="G1013" s="18"/>
      <c r="H1013" s="18"/>
      <c r="I1013" s="18"/>
    </row>
    <row r="1014" spans="3:9" ht="15" customHeight="1" x14ac:dyDescent="0.35">
      <c r="C1014" s="18"/>
      <c r="D1014" s="18"/>
      <c r="E1014" s="18"/>
      <c r="F1014" s="18"/>
      <c r="G1014" s="18"/>
      <c r="H1014" s="18"/>
      <c r="I1014" s="18"/>
    </row>
    <row r="1015" spans="3:9" ht="15" customHeight="1" x14ac:dyDescent="0.35">
      <c r="C1015" s="18"/>
      <c r="D1015" s="18"/>
      <c r="E1015" s="18"/>
      <c r="F1015" s="18"/>
      <c r="G1015" s="18"/>
      <c r="H1015" s="18"/>
      <c r="I1015" s="18"/>
    </row>
    <row r="1016" spans="3:9" ht="15" customHeight="1" x14ac:dyDescent="0.35">
      <c r="C1016" s="18"/>
      <c r="D1016" s="18"/>
      <c r="E1016" s="18"/>
      <c r="F1016" s="18"/>
      <c r="G1016" s="18"/>
      <c r="H1016" s="18"/>
      <c r="I1016" s="18"/>
    </row>
    <row r="1017" spans="3:9" ht="15" customHeight="1" x14ac:dyDescent="0.35">
      <c r="C1017" s="18"/>
      <c r="D1017" s="18"/>
      <c r="E1017" s="18"/>
      <c r="F1017" s="18"/>
      <c r="G1017" s="18"/>
      <c r="H1017" s="18"/>
      <c r="I1017" s="18"/>
    </row>
    <row r="1018" spans="3:9" ht="15" customHeight="1" x14ac:dyDescent="0.35">
      <c r="C1018" s="18"/>
      <c r="D1018" s="18"/>
      <c r="E1018" s="18"/>
      <c r="F1018" s="18"/>
      <c r="G1018" s="18"/>
      <c r="H1018" s="18"/>
      <c r="I1018" s="18"/>
    </row>
    <row r="1019" spans="3:9" ht="15" customHeight="1" x14ac:dyDescent="0.35">
      <c r="C1019" s="18"/>
      <c r="D1019" s="18"/>
      <c r="E1019" s="18"/>
      <c r="F1019" s="18"/>
      <c r="G1019" s="18"/>
      <c r="H1019" s="18"/>
      <c r="I1019" s="18"/>
    </row>
    <row r="1020" spans="3:9" ht="15" customHeight="1" x14ac:dyDescent="0.35">
      <c r="C1020" s="18"/>
      <c r="D1020" s="18"/>
      <c r="E1020" s="18"/>
      <c r="F1020" s="18"/>
      <c r="G1020" s="18"/>
      <c r="H1020" s="18"/>
      <c r="I1020" s="18"/>
    </row>
    <row r="1021" spans="3:9" ht="15" customHeight="1" x14ac:dyDescent="0.35">
      <c r="C1021" s="18"/>
      <c r="D1021" s="18"/>
      <c r="E1021" s="18"/>
      <c r="F1021" s="18"/>
      <c r="G1021" s="18"/>
      <c r="H1021" s="18"/>
      <c r="I1021" s="18"/>
    </row>
    <row r="1022" spans="3:9" ht="15" customHeight="1" x14ac:dyDescent="0.35">
      <c r="C1022" s="18"/>
      <c r="D1022" s="18"/>
      <c r="E1022" s="18"/>
      <c r="F1022" s="18"/>
      <c r="G1022" s="18"/>
      <c r="H1022" s="18"/>
      <c r="I1022" s="18"/>
    </row>
    <row r="1023" spans="3:9" ht="15" customHeight="1" x14ac:dyDescent="0.35">
      <c r="C1023" s="18"/>
      <c r="D1023" s="18"/>
      <c r="E1023" s="18"/>
      <c r="F1023" s="18"/>
      <c r="G1023" s="18"/>
      <c r="H1023" s="18"/>
      <c r="I1023" s="18"/>
    </row>
    <row r="1024" spans="3:9" ht="15" customHeight="1" x14ac:dyDescent="0.35">
      <c r="C1024" s="18"/>
      <c r="D1024" s="18"/>
      <c r="E1024" s="18"/>
      <c r="F1024" s="18"/>
      <c r="G1024" s="18"/>
      <c r="H1024" s="18"/>
      <c r="I1024" s="18"/>
    </row>
    <row r="1025" spans="3:9" ht="15" customHeight="1" x14ac:dyDescent="0.35">
      <c r="C1025" s="18"/>
      <c r="D1025" s="18"/>
      <c r="E1025" s="18"/>
      <c r="F1025" s="18"/>
      <c r="G1025" s="18"/>
      <c r="H1025" s="18"/>
      <c r="I1025" s="18"/>
    </row>
    <row r="1026" spans="3:9" ht="15" customHeight="1" x14ac:dyDescent="0.35">
      <c r="C1026" s="18"/>
      <c r="D1026" s="18"/>
      <c r="E1026" s="18"/>
      <c r="F1026" s="18"/>
      <c r="G1026" s="18"/>
      <c r="H1026" s="18"/>
      <c r="I1026" s="18"/>
    </row>
    <row r="1027" spans="3:9" ht="15" customHeight="1" x14ac:dyDescent="0.35">
      <c r="C1027" s="18"/>
      <c r="D1027" s="18"/>
      <c r="E1027" s="18"/>
      <c r="F1027" s="18"/>
      <c r="G1027" s="18"/>
      <c r="H1027" s="18"/>
      <c r="I1027" s="18"/>
    </row>
    <row r="1028" spans="3:9" ht="15" customHeight="1" x14ac:dyDescent="0.35">
      <c r="C1028" s="18"/>
      <c r="D1028" s="18"/>
      <c r="E1028" s="18"/>
      <c r="F1028" s="18"/>
      <c r="G1028" s="18"/>
      <c r="H1028" s="18"/>
      <c r="I1028" s="18"/>
    </row>
    <row r="1029" spans="3:9" ht="15" customHeight="1" x14ac:dyDescent="0.35">
      <c r="C1029" s="18"/>
      <c r="D1029" s="18"/>
      <c r="E1029" s="18"/>
      <c r="F1029" s="18"/>
      <c r="G1029" s="18"/>
      <c r="H1029" s="18"/>
      <c r="I1029" s="18"/>
    </row>
    <row r="1030" spans="3:9" ht="15" customHeight="1" x14ac:dyDescent="0.35">
      <c r="C1030" s="18"/>
      <c r="D1030" s="18"/>
      <c r="E1030" s="18"/>
      <c r="F1030" s="18"/>
      <c r="G1030" s="18"/>
      <c r="H1030" s="18"/>
      <c r="I1030" s="18"/>
    </row>
    <row r="1031" spans="3:9" ht="15" customHeight="1" x14ac:dyDescent="0.35">
      <c r="C1031" s="18"/>
      <c r="D1031" s="18"/>
      <c r="E1031" s="18"/>
      <c r="F1031" s="18"/>
      <c r="G1031" s="18"/>
      <c r="H1031" s="18"/>
      <c r="I1031" s="18"/>
    </row>
    <row r="1032" spans="3:9" ht="15" customHeight="1" x14ac:dyDescent="0.35">
      <c r="C1032" s="18"/>
      <c r="D1032" s="18"/>
      <c r="E1032" s="18"/>
      <c r="F1032" s="18"/>
      <c r="G1032" s="18"/>
      <c r="H1032" s="18"/>
      <c r="I1032" s="18"/>
    </row>
    <row r="1033" spans="3:9" ht="15" customHeight="1" x14ac:dyDescent="0.35">
      <c r="C1033" s="18"/>
      <c r="D1033" s="18"/>
      <c r="E1033" s="18"/>
      <c r="F1033" s="18"/>
      <c r="G1033" s="18"/>
      <c r="H1033" s="18"/>
      <c r="I1033" s="18"/>
    </row>
    <row r="1034" spans="3:9" ht="15" customHeight="1" x14ac:dyDescent="0.35">
      <c r="C1034" s="18"/>
      <c r="D1034" s="18"/>
      <c r="E1034" s="18"/>
      <c r="F1034" s="18"/>
      <c r="G1034" s="18"/>
      <c r="H1034" s="18"/>
      <c r="I1034" s="18"/>
    </row>
    <row r="1035" spans="3:9" ht="15" customHeight="1" x14ac:dyDescent="0.35">
      <c r="C1035" s="18"/>
      <c r="D1035" s="18"/>
      <c r="E1035" s="18"/>
      <c r="F1035" s="18"/>
      <c r="G1035" s="18"/>
      <c r="H1035" s="18"/>
      <c r="I1035" s="18"/>
    </row>
    <row r="1036" spans="3:9" ht="15" customHeight="1" x14ac:dyDescent="0.35">
      <c r="C1036" s="18"/>
      <c r="D1036" s="18"/>
      <c r="E1036" s="18"/>
      <c r="F1036" s="18"/>
      <c r="G1036" s="18"/>
      <c r="H1036" s="18"/>
      <c r="I1036" s="18"/>
    </row>
    <row r="1037" spans="3:9" ht="15" customHeight="1" x14ac:dyDescent="0.35">
      <c r="C1037" s="18"/>
      <c r="D1037" s="18"/>
      <c r="E1037" s="18"/>
      <c r="F1037" s="18"/>
      <c r="G1037" s="18"/>
      <c r="H1037" s="18"/>
      <c r="I1037" s="18"/>
    </row>
    <row r="1038" spans="3:9" ht="15" customHeight="1" x14ac:dyDescent="0.35">
      <c r="C1038" s="18"/>
      <c r="D1038" s="18"/>
      <c r="E1038" s="18"/>
      <c r="F1038" s="18"/>
      <c r="G1038" s="18"/>
      <c r="H1038" s="18"/>
      <c r="I1038" s="18"/>
    </row>
    <row r="1039" spans="3:9" ht="15" customHeight="1" x14ac:dyDescent="0.35">
      <c r="C1039" s="18"/>
      <c r="D1039" s="18"/>
      <c r="E1039" s="18"/>
      <c r="F1039" s="18"/>
      <c r="G1039" s="18"/>
      <c r="H1039" s="18"/>
      <c r="I1039" s="18"/>
    </row>
    <row r="1040" spans="3:9" ht="15" customHeight="1" x14ac:dyDescent="0.35">
      <c r="C1040" s="18"/>
      <c r="D1040" s="18"/>
      <c r="E1040" s="18"/>
      <c r="F1040" s="18"/>
      <c r="G1040" s="18"/>
      <c r="H1040" s="18"/>
      <c r="I1040" s="18"/>
    </row>
    <row r="1041" spans="3:9" ht="15" customHeight="1" x14ac:dyDescent="0.35">
      <c r="C1041" s="18"/>
      <c r="D1041" s="18"/>
      <c r="E1041" s="18"/>
      <c r="F1041" s="18"/>
      <c r="G1041" s="18"/>
      <c r="H1041" s="18"/>
      <c r="I1041" s="18"/>
    </row>
    <row r="1042" spans="3:9" ht="15" customHeight="1" x14ac:dyDescent="0.35">
      <c r="C1042" s="18"/>
      <c r="D1042" s="18"/>
      <c r="E1042" s="18"/>
      <c r="F1042" s="18"/>
      <c r="G1042" s="18"/>
      <c r="H1042" s="18"/>
      <c r="I1042" s="18"/>
    </row>
    <row r="1043" spans="3:9" ht="15" customHeight="1" x14ac:dyDescent="0.35">
      <c r="C1043" s="18"/>
      <c r="D1043" s="18"/>
      <c r="E1043" s="18"/>
      <c r="F1043" s="18"/>
      <c r="G1043" s="18"/>
      <c r="H1043" s="18"/>
      <c r="I1043" s="18"/>
    </row>
    <row r="1044" spans="3:9" ht="15" customHeight="1" x14ac:dyDescent="0.35">
      <c r="C1044" s="18"/>
      <c r="D1044" s="18"/>
      <c r="E1044" s="18"/>
      <c r="F1044" s="18"/>
      <c r="G1044" s="18"/>
      <c r="H1044" s="18"/>
      <c r="I1044" s="18"/>
    </row>
    <row r="1045" spans="3:9" ht="15" customHeight="1" x14ac:dyDescent="0.35">
      <c r="C1045" s="18"/>
      <c r="D1045" s="18"/>
      <c r="E1045" s="18"/>
      <c r="F1045" s="18"/>
      <c r="G1045" s="18"/>
      <c r="H1045" s="18"/>
      <c r="I1045" s="18"/>
    </row>
    <row r="1046" spans="3:9" ht="15" customHeight="1" x14ac:dyDescent="0.35">
      <c r="C1046" s="18"/>
      <c r="D1046" s="18"/>
      <c r="E1046" s="18"/>
      <c r="F1046" s="18"/>
      <c r="G1046" s="18"/>
      <c r="H1046" s="18"/>
      <c r="I1046" s="18"/>
    </row>
    <row r="1047" spans="3:9" ht="15" customHeight="1" x14ac:dyDescent="0.35">
      <c r="C1047" s="18"/>
      <c r="D1047" s="18"/>
      <c r="E1047" s="18"/>
      <c r="F1047" s="18"/>
      <c r="G1047" s="18"/>
      <c r="H1047" s="18"/>
      <c r="I1047" s="18"/>
    </row>
    <row r="1048" spans="3:9" ht="15" customHeight="1" x14ac:dyDescent="0.35">
      <c r="C1048" s="18"/>
      <c r="D1048" s="18"/>
      <c r="E1048" s="18"/>
      <c r="F1048" s="18"/>
      <c r="G1048" s="18"/>
      <c r="H1048" s="18"/>
      <c r="I1048" s="18"/>
    </row>
    <row r="1049" spans="3:9" ht="15" customHeight="1" x14ac:dyDescent="0.35">
      <c r="C1049" s="18"/>
      <c r="D1049" s="18"/>
      <c r="E1049" s="18"/>
      <c r="F1049" s="18"/>
      <c r="G1049" s="18"/>
      <c r="H1049" s="18"/>
      <c r="I1049" s="18"/>
    </row>
    <row r="1050" spans="3:9" ht="15" customHeight="1" x14ac:dyDescent="0.35">
      <c r="C1050" s="18"/>
      <c r="D1050" s="18"/>
      <c r="E1050" s="18"/>
      <c r="F1050" s="18"/>
      <c r="G1050" s="18"/>
      <c r="H1050" s="18"/>
      <c r="I1050" s="18"/>
    </row>
    <row r="1051" spans="3:9" ht="15" customHeight="1" x14ac:dyDescent="0.35">
      <c r="C1051" s="18"/>
      <c r="D1051" s="18"/>
      <c r="E1051" s="18"/>
      <c r="F1051" s="18"/>
      <c r="G1051" s="18"/>
      <c r="H1051" s="18"/>
      <c r="I1051" s="18"/>
    </row>
    <row r="1052" spans="3:9" ht="15" customHeight="1" x14ac:dyDescent="0.35">
      <c r="C1052" s="18"/>
      <c r="D1052" s="18"/>
      <c r="E1052" s="18"/>
      <c r="F1052" s="18"/>
      <c r="G1052" s="18"/>
      <c r="H1052" s="18"/>
      <c r="I1052" s="18"/>
    </row>
    <row r="1053" spans="3:9" ht="15" customHeight="1" x14ac:dyDescent="0.35">
      <c r="C1053" s="18"/>
      <c r="D1053" s="18"/>
      <c r="E1053" s="18"/>
      <c r="F1053" s="18"/>
      <c r="G1053" s="18"/>
      <c r="H1053" s="18"/>
      <c r="I1053" s="18"/>
    </row>
    <row r="1054" spans="3:9" ht="15" customHeight="1" x14ac:dyDescent="0.35">
      <c r="C1054" s="18"/>
      <c r="D1054" s="18"/>
      <c r="E1054" s="18"/>
      <c r="F1054" s="18"/>
      <c r="G1054" s="18"/>
      <c r="H1054" s="18"/>
      <c r="I1054" s="18"/>
    </row>
    <row r="1055" spans="3:9" ht="15" customHeight="1" x14ac:dyDescent="0.35">
      <c r="C1055" s="18"/>
      <c r="D1055" s="18"/>
      <c r="E1055" s="18"/>
      <c r="F1055" s="18"/>
      <c r="G1055" s="18"/>
      <c r="H1055" s="18"/>
      <c r="I1055" s="18"/>
    </row>
    <row r="1056" spans="3:9" ht="15" customHeight="1" x14ac:dyDescent="0.35">
      <c r="C1056" s="18"/>
      <c r="D1056" s="18"/>
      <c r="E1056" s="18"/>
      <c r="F1056" s="18"/>
      <c r="G1056" s="18"/>
      <c r="H1056" s="18"/>
      <c r="I1056" s="18"/>
    </row>
    <row r="1057" spans="3:9" ht="15" customHeight="1" x14ac:dyDescent="0.35">
      <c r="C1057" s="18"/>
      <c r="D1057" s="18"/>
      <c r="E1057" s="18"/>
      <c r="F1057" s="18"/>
      <c r="G1057" s="18"/>
      <c r="H1057" s="18"/>
      <c r="I1057" s="18"/>
    </row>
    <row r="1058" spans="3:9" ht="15" customHeight="1" x14ac:dyDescent="0.35">
      <c r="C1058" s="18"/>
      <c r="D1058" s="18"/>
      <c r="E1058" s="18"/>
      <c r="F1058" s="18"/>
      <c r="G1058" s="18"/>
      <c r="H1058" s="18"/>
      <c r="I1058" s="18"/>
    </row>
    <row r="1059" spans="3:9" ht="15" customHeight="1" x14ac:dyDescent="0.35">
      <c r="C1059" s="18"/>
      <c r="D1059" s="18"/>
      <c r="E1059" s="18"/>
      <c r="F1059" s="18"/>
      <c r="G1059" s="18"/>
      <c r="H1059" s="18"/>
      <c r="I1059" s="18"/>
    </row>
    <row r="1060" spans="3:9" ht="15" customHeight="1" x14ac:dyDescent="0.35">
      <c r="C1060" s="18"/>
      <c r="D1060" s="18"/>
      <c r="E1060" s="18"/>
      <c r="F1060" s="18"/>
      <c r="G1060" s="18"/>
      <c r="H1060" s="18"/>
      <c r="I1060" s="18"/>
    </row>
    <row r="1061" spans="3:9" ht="15" customHeight="1" x14ac:dyDescent="0.35">
      <c r="C1061" s="18"/>
      <c r="D1061" s="18"/>
      <c r="E1061" s="18"/>
      <c r="F1061" s="18"/>
      <c r="G1061" s="18"/>
      <c r="H1061" s="18"/>
      <c r="I1061" s="18"/>
    </row>
    <row r="1062" spans="3:9" ht="15" customHeight="1" x14ac:dyDescent="0.35">
      <c r="C1062" s="18"/>
      <c r="D1062" s="18"/>
      <c r="E1062" s="18"/>
      <c r="F1062" s="18"/>
      <c r="G1062" s="18"/>
      <c r="H1062" s="18"/>
      <c r="I1062" s="18"/>
    </row>
    <row r="1063" spans="3:9" ht="15" customHeight="1" x14ac:dyDescent="0.35">
      <c r="C1063" s="18"/>
      <c r="D1063" s="18"/>
      <c r="E1063" s="18"/>
      <c r="F1063" s="18"/>
      <c r="G1063" s="18"/>
      <c r="H1063" s="18"/>
      <c r="I1063" s="18"/>
    </row>
    <row r="1064" spans="3:9" ht="15" customHeight="1" x14ac:dyDescent="0.35">
      <c r="C1064" s="18"/>
      <c r="D1064" s="18"/>
      <c r="E1064" s="18"/>
      <c r="F1064" s="18"/>
      <c r="G1064" s="18"/>
      <c r="H1064" s="18"/>
      <c r="I1064" s="18"/>
    </row>
    <row r="1065" spans="3:9" ht="15" customHeight="1" x14ac:dyDescent="0.35">
      <c r="C1065" s="18"/>
      <c r="D1065" s="18"/>
      <c r="E1065" s="18"/>
      <c r="F1065" s="18"/>
      <c r="G1065" s="18"/>
      <c r="H1065" s="18"/>
      <c r="I1065" s="18"/>
    </row>
    <row r="1066" spans="3:9" ht="15" customHeight="1" x14ac:dyDescent="0.35">
      <c r="C1066" s="18"/>
      <c r="D1066" s="18"/>
      <c r="E1066" s="18"/>
      <c r="F1066" s="18"/>
      <c r="G1066" s="18"/>
      <c r="H1066" s="18"/>
      <c r="I1066" s="18"/>
    </row>
    <row r="1067" spans="3:9" ht="15" customHeight="1" x14ac:dyDescent="0.35">
      <c r="C1067" s="18"/>
      <c r="D1067" s="18"/>
      <c r="E1067" s="18"/>
      <c r="F1067" s="18"/>
      <c r="G1067" s="18"/>
      <c r="H1067" s="18"/>
      <c r="I1067" s="18"/>
    </row>
    <row r="1068" spans="3:9" ht="15" customHeight="1" x14ac:dyDescent="0.35">
      <c r="C1068" s="18"/>
      <c r="D1068" s="18"/>
      <c r="E1068" s="18"/>
      <c r="F1068" s="18"/>
      <c r="G1068" s="18"/>
      <c r="H1068" s="18"/>
      <c r="I1068" s="18"/>
    </row>
    <row r="1069" spans="3:9" ht="15" customHeight="1" x14ac:dyDescent="0.35">
      <c r="C1069" s="18"/>
      <c r="D1069" s="18"/>
      <c r="E1069" s="18"/>
      <c r="F1069" s="18"/>
      <c r="G1069" s="18"/>
      <c r="H1069" s="18"/>
      <c r="I1069" s="18"/>
    </row>
    <row r="1070" spans="3:9" ht="15" customHeight="1" x14ac:dyDescent="0.35">
      <c r="C1070" s="18"/>
      <c r="D1070" s="18"/>
      <c r="E1070" s="18"/>
      <c r="F1070" s="18"/>
      <c r="G1070" s="18"/>
      <c r="H1070" s="18"/>
      <c r="I1070" s="18"/>
    </row>
    <row r="1071" spans="3:9" ht="15" customHeight="1" x14ac:dyDescent="0.35">
      <c r="C1071" s="18"/>
      <c r="D1071" s="18"/>
      <c r="E1071" s="18"/>
      <c r="F1071" s="18"/>
      <c r="G1071" s="18"/>
      <c r="H1071" s="18"/>
      <c r="I1071" s="18"/>
    </row>
    <row r="1072" spans="3:9" ht="15" customHeight="1" x14ac:dyDescent="0.35">
      <c r="C1072" s="18"/>
      <c r="D1072" s="18"/>
      <c r="E1072" s="18"/>
      <c r="F1072" s="18"/>
      <c r="G1072" s="18"/>
      <c r="H1072" s="18"/>
      <c r="I1072" s="18"/>
    </row>
    <row r="1073" spans="3:9" ht="15" customHeight="1" x14ac:dyDescent="0.35">
      <c r="C1073" s="18"/>
      <c r="D1073" s="18"/>
      <c r="E1073" s="18"/>
      <c r="F1073" s="18"/>
      <c r="G1073" s="18"/>
      <c r="H1073" s="18"/>
      <c r="I1073" s="18"/>
    </row>
    <row r="1074" spans="3:9" ht="15" customHeight="1" x14ac:dyDescent="0.35">
      <c r="C1074" s="18"/>
      <c r="D1074" s="18"/>
      <c r="E1074" s="18"/>
      <c r="F1074" s="18"/>
      <c r="G1074" s="18"/>
      <c r="H1074" s="18"/>
      <c r="I1074" s="18"/>
    </row>
    <row r="1075" spans="3:9" ht="15" customHeight="1" x14ac:dyDescent="0.35">
      <c r="C1075" s="18"/>
      <c r="D1075" s="18"/>
      <c r="E1075" s="18"/>
      <c r="F1075" s="18"/>
      <c r="G1075" s="18"/>
      <c r="H1075" s="18"/>
      <c r="I1075" s="18"/>
    </row>
    <row r="1076" spans="3:9" ht="15" customHeight="1" x14ac:dyDescent="0.35">
      <c r="C1076" s="18"/>
      <c r="D1076" s="18"/>
      <c r="E1076" s="18"/>
      <c r="F1076" s="18"/>
      <c r="G1076" s="18"/>
      <c r="H1076" s="18"/>
      <c r="I1076" s="18"/>
    </row>
    <row r="1077" spans="3:9" ht="15" customHeight="1" x14ac:dyDescent="0.35">
      <c r="C1077" s="18"/>
      <c r="D1077" s="18"/>
      <c r="E1077" s="18"/>
      <c r="F1077" s="18"/>
      <c r="G1077" s="18"/>
      <c r="H1077" s="18"/>
      <c r="I1077" s="18"/>
    </row>
    <row r="1078" spans="3:9" ht="15" customHeight="1" x14ac:dyDescent="0.35">
      <c r="C1078" s="18"/>
      <c r="D1078" s="18"/>
      <c r="E1078" s="18"/>
      <c r="F1078" s="18"/>
      <c r="G1078" s="18"/>
      <c r="H1078" s="18"/>
      <c r="I1078" s="18"/>
    </row>
    <row r="1079" spans="3:9" ht="15" customHeight="1" x14ac:dyDescent="0.35">
      <c r="C1079" s="18"/>
      <c r="D1079" s="18"/>
      <c r="E1079" s="18"/>
      <c r="F1079" s="18"/>
      <c r="G1079" s="18"/>
      <c r="H1079" s="18"/>
      <c r="I1079" s="18"/>
    </row>
    <row r="1080" spans="3:9" ht="15" customHeight="1" x14ac:dyDescent="0.35">
      <c r="C1080" s="18"/>
      <c r="D1080" s="18"/>
      <c r="E1080" s="18"/>
      <c r="F1080" s="18"/>
      <c r="G1080" s="18"/>
      <c r="H1080" s="18"/>
      <c r="I1080" s="18"/>
    </row>
    <row r="1081" spans="3:9" ht="15" customHeight="1" x14ac:dyDescent="0.35">
      <c r="C1081" s="18"/>
      <c r="D1081" s="18"/>
      <c r="E1081" s="18"/>
      <c r="F1081" s="18"/>
      <c r="G1081" s="18"/>
      <c r="H1081" s="18"/>
      <c r="I1081" s="18"/>
    </row>
    <row r="1082" spans="3:9" ht="15" customHeight="1" x14ac:dyDescent="0.35">
      <c r="C1082" s="18"/>
      <c r="D1082" s="18"/>
      <c r="E1082" s="18"/>
      <c r="F1082" s="18"/>
      <c r="G1082" s="18"/>
      <c r="H1082" s="18"/>
      <c r="I1082" s="18"/>
    </row>
    <row r="1083" spans="3:9" ht="15" customHeight="1" x14ac:dyDescent="0.35">
      <c r="C1083" s="18"/>
      <c r="D1083" s="18"/>
      <c r="E1083" s="18"/>
      <c r="F1083" s="18"/>
      <c r="G1083" s="18"/>
      <c r="H1083" s="18"/>
      <c r="I1083" s="18"/>
    </row>
    <row r="1084" spans="3:9" ht="15" customHeight="1" x14ac:dyDescent="0.35">
      <c r="C1084" s="18"/>
      <c r="D1084" s="18"/>
      <c r="E1084" s="18"/>
      <c r="F1084" s="18"/>
      <c r="G1084" s="18"/>
      <c r="H1084" s="18"/>
      <c r="I1084" s="18"/>
    </row>
    <row r="1085" spans="3:9" ht="15" customHeight="1" x14ac:dyDescent="0.35">
      <c r="C1085" s="18"/>
      <c r="D1085" s="18"/>
      <c r="E1085" s="18"/>
      <c r="F1085" s="18"/>
      <c r="G1085" s="18"/>
      <c r="H1085" s="18"/>
      <c r="I1085" s="18"/>
    </row>
    <row r="1086" spans="3:9" ht="15" customHeight="1" x14ac:dyDescent="0.35">
      <c r="C1086" s="18"/>
      <c r="D1086" s="18"/>
      <c r="E1086" s="18"/>
      <c r="F1086" s="18"/>
      <c r="G1086" s="18"/>
      <c r="H1086" s="18"/>
      <c r="I1086" s="18"/>
    </row>
    <row r="1087" spans="3:9" ht="15" customHeight="1" x14ac:dyDescent="0.35">
      <c r="C1087" s="18"/>
      <c r="D1087" s="18"/>
      <c r="E1087" s="18"/>
      <c r="F1087" s="18"/>
      <c r="G1087" s="18"/>
      <c r="H1087" s="18"/>
      <c r="I1087" s="18"/>
    </row>
    <row r="1088" spans="3:9" ht="15" customHeight="1" x14ac:dyDescent="0.35">
      <c r="C1088" s="18"/>
      <c r="D1088" s="18"/>
      <c r="E1088" s="18"/>
      <c r="F1088" s="18"/>
      <c r="G1088" s="18"/>
      <c r="H1088" s="18"/>
      <c r="I1088" s="18"/>
    </row>
    <row r="1089" spans="3:9" ht="15" customHeight="1" x14ac:dyDescent="0.35">
      <c r="C1089" s="18"/>
      <c r="D1089" s="18"/>
      <c r="E1089" s="18"/>
      <c r="F1089" s="18"/>
      <c r="G1089" s="18"/>
      <c r="H1089" s="18"/>
      <c r="I1089" s="18"/>
    </row>
    <row r="1090" spans="3:9" ht="15" customHeight="1" x14ac:dyDescent="0.35">
      <c r="C1090" s="18"/>
      <c r="D1090" s="18"/>
      <c r="E1090" s="18"/>
      <c r="F1090" s="18"/>
      <c r="G1090" s="18"/>
      <c r="H1090" s="18"/>
      <c r="I1090" s="18"/>
    </row>
    <row r="1091" spans="3:9" ht="15" customHeight="1" x14ac:dyDescent="0.35">
      <c r="C1091" s="18"/>
      <c r="D1091" s="18"/>
      <c r="E1091" s="18"/>
      <c r="F1091" s="18"/>
      <c r="G1091" s="18"/>
      <c r="H1091" s="18"/>
      <c r="I1091" s="18"/>
    </row>
    <row r="1092" spans="3:9" ht="15" customHeight="1" x14ac:dyDescent="0.35">
      <c r="C1092" s="18"/>
      <c r="D1092" s="18"/>
      <c r="E1092" s="18"/>
      <c r="F1092" s="18"/>
      <c r="G1092" s="18"/>
      <c r="H1092" s="18"/>
      <c r="I1092" s="18"/>
    </row>
    <row r="1093" spans="3:9" ht="15" customHeight="1" x14ac:dyDescent="0.35">
      <c r="C1093" s="18"/>
      <c r="D1093" s="18"/>
      <c r="E1093" s="18"/>
      <c r="F1093" s="18"/>
      <c r="G1093" s="18"/>
      <c r="H1093" s="18"/>
      <c r="I1093" s="18"/>
    </row>
    <row r="1094" spans="3:9" ht="15" customHeight="1" x14ac:dyDescent="0.35">
      <c r="C1094" s="18"/>
      <c r="D1094" s="18"/>
      <c r="E1094" s="18"/>
      <c r="F1094" s="18"/>
      <c r="G1094" s="18"/>
      <c r="H1094" s="18"/>
      <c r="I1094" s="18"/>
    </row>
    <row r="1095" spans="3:9" ht="15" customHeight="1" x14ac:dyDescent="0.35">
      <c r="C1095" s="18"/>
      <c r="D1095" s="18"/>
      <c r="E1095" s="18"/>
      <c r="F1095" s="18"/>
      <c r="G1095" s="18"/>
      <c r="H1095" s="18"/>
      <c r="I1095" s="18"/>
    </row>
    <row r="1096" spans="3:9" ht="15" customHeight="1" x14ac:dyDescent="0.35">
      <c r="C1096" s="18"/>
      <c r="D1096" s="18"/>
      <c r="E1096" s="18"/>
      <c r="F1096" s="18"/>
      <c r="G1096" s="18"/>
      <c r="H1096" s="18"/>
      <c r="I1096" s="18"/>
    </row>
    <row r="1097" spans="3:9" ht="15" customHeight="1" x14ac:dyDescent="0.35">
      <c r="C1097" s="18"/>
      <c r="D1097" s="18"/>
      <c r="E1097" s="18"/>
      <c r="F1097" s="18"/>
      <c r="G1097" s="18"/>
      <c r="H1097" s="18"/>
      <c r="I1097" s="18"/>
    </row>
    <row r="1098" spans="3:9" ht="15" customHeight="1" x14ac:dyDescent="0.35">
      <c r="C1098" s="18"/>
      <c r="D1098" s="18"/>
      <c r="E1098" s="18"/>
      <c r="F1098" s="18"/>
      <c r="G1098" s="18"/>
      <c r="H1098" s="18"/>
      <c r="I1098" s="18"/>
    </row>
    <row r="1099" spans="3:9" ht="15" customHeight="1" x14ac:dyDescent="0.35">
      <c r="C1099" s="18"/>
      <c r="D1099" s="18"/>
      <c r="E1099" s="18"/>
      <c r="F1099" s="18"/>
      <c r="G1099" s="18"/>
      <c r="H1099" s="18"/>
      <c r="I1099" s="18"/>
    </row>
    <row r="1100" spans="3:9" ht="15" customHeight="1" x14ac:dyDescent="0.35">
      <c r="C1100" s="18"/>
      <c r="D1100" s="18"/>
      <c r="E1100" s="18"/>
      <c r="F1100" s="18"/>
      <c r="G1100" s="18"/>
      <c r="H1100" s="18"/>
      <c r="I1100" s="18"/>
    </row>
    <row r="1101" spans="3:9" ht="15" customHeight="1" x14ac:dyDescent="0.35">
      <c r="C1101" s="18"/>
      <c r="D1101" s="18"/>
      <c r="E1101" s="18"/>
      <c r="F1101" s="18"/>
      <c r="G1101" s="18"/>
      <c r="H1101" s="18"/>
      <c r="I1101" s="18"/>
    </row>
    <row r="1102" spans="3:9" ht="15" customHeight="1" x14ac:dyDescent="0.35">
      <c r="C1102" s="18"/>
      <c r="D1102" s="18"/>
      <c r="E1102" s="18"/>
      <c r="F1102" s="18"/>
      <c r="G1102" s="18"/>
      <c r="H1102" s="18"/>
      <c r="I1102" s="18"/>
    </row>
    <row r="1103" spans="3:9" ht="15" customHeight="1" x14ac:dyDescent="0.35">
      <c r="C1103" s="18"/>
      <c r="D1103" s="18"/>
      <c r="E1103" s="18"/>
      <c r="F1103" s="18"/>
      <c r="G1103" s="18"/>
      <c r="H1103" s="18"/>
      <c r="I1103" s="18"/>
    </row>
    <row r="1104" spans="3:9" ht="15" customHeight="1" x14ac:dyDescent="0.35">
      <c r="C1104" s="18"/>
      <c r="D1104" s="18"/>
      <c r="E1104" s="18"/>
      <c r="F1104" s="18"/>
      <c r="G1104" s="18"/>
      <c r="H1104" s="18"/>
      <c r="I1104" s="18"/>
    </row>
    <row r="1105" spans="3:9" ht="15" customHeight="1" x14ac:dyDescent="0.35">
      <c r="C1105" s="18"/>
      <c r="D1105" s="18"/>
      <c r="E1105" s="18"/>
      <c r="F1105" s="18"/>
      <c r="G1105" s="18"/>
      <c r="H1105" s="18"/>
      <c r="I1105" s="18"/>
    </row>
    <row r="1106" spans="3:9" ht="15" customHeight="1" x14ac:dyDescent="0.35">
      <c r="C1106" s="18"/>
      <c r="D1106" s="18"/>
      <c r="E1106" s="18"/>
      <c r="F1106" s="18"/>
      <c r="G1106" s="18"/>
      <c r="H1106" s="18"/>
      <c r="I1106" s="18"/>
    </row>
    <row r="1107" spans="3:9" ht="15" customHeight="1" x14ac:dyDescent="0.35">
      <c r="C1107" s="18"/>
      <c r="D1107" s="18"/>
      <c r="E1107" s="18"/>
      <c r="F1107" s="18"/>
      <c r="G1107" s="18"/>
      <c r="H1107" s="18"/>
      <c r="I1107" s="18"/>
    </row>
    <row r="1108" spans="3:9" ht="15" customHeight="1" x14ac:dyDescent="0.35">
      <c r="C1108" s="18"/>
      <c r="D1108" s="18"/>
      <c r="E1108" s="18"/>
      <c r="F1108" s="18"/>
      <c r="G1108" s="18"/>
      <c r="H1108" s="18"/>
      <c r="I1108" s="18"/>
    </row>
    <row r="1109" spans="3:9" ht="15" customHeight="1" x14ac:dyDescent="0.35">
      <c r="C1109" s="18"/>
      <c r="D1109" s="18"/>
      <c r="E1109" s="18"/>
      <c r="F1109" s="18"/>
      <c r="G1109" s="18"/>
      <c r="H1109" s="18"/>
      <c r="I1109" s="18"/>
    </row>
    <row r="1110" spans="3:9" ht="15" customHeight="1" x14ac:dyDescent="0.35">
      <c r="C1110" s="18"/>
      <c r="D1110" s="18"/>
      <c r="E1110" s="18"/>
      <c r="F1110" s="18"/>
      <c r="G1110" s="18"/>
      <c r="H1110" s="18"/>
      <c r="I1110" s="18"/>
    </row>
    <row r="1111" spans="3:9" ht="15" customHeight="1" x14ac:dyDescent="0.35">
      <c r="C1111" s="18"/>
      <c r="D1111" s="18"/>
      <c r="E1111" s="18"/>
      <c r="F1111" s="18"/>
      <c r="G1111" s="18"/>
      <c r="H1111" s="18"/>
      <c r="I1111" s="18"/>
    </row>
    <row r="1112" spans="3:9" ht="15" customHeight="1" x14ac:dyDescent="0.35">
      <c r="C1112" s="18"/>
      <c r="D1112" s="18"/>
      <c r="E1112" s="18"/>
      <c r="F1112" s="18"/>
      <c r="G1112" s="18"/>
      <c r="H1112" s="18"/>
      <c r="I1112" s="18"/>
    </row>
    <row r="1113" spans="3:9" ht="15" customHeight="1" x14ac:dyDescent="0.35">
      <c r="C1113" s="18"/>
      <c r="D1113" s="18"/>
      <c r="E1113" s="18"/>
      <c r="F1113" s="18"/>
      <c r="G1113" s="18"/>
      <c r="H1113" s="18"/>
      <c r="I1113" s="18"/>
    </row>
    <row r="1114" spans="3:9" ht="15" customHeight="1" x14ac:dyDescent="0.35">
      <c r="C1114" s="18"/>
      <c r="D1114" s="18"/>
      <c r="E1114" s="18"/>
      <c r="F1114" s="18"/>
      <c r="G1114" s="18"/>
      <c r="H1114" s="18"/>
      <c r="I1114" s="18"/>
    </row>
    <row r="1115" spans="3:9" ht="15" customHeight="1" x14ac:dyDescent="0.35">
      <c r="C1115" s="18"/>
      <c r="D1115" s="18"/>
      <c r="E1115" s="18"/>
      <c r="F1115" s="18"/>
      <c r="G1115" s="18"/>
      <c r="H1115" s="18"/>
      <c r="I1115" s="18"/>
    </row>
    <row r="1116" spans="3:9" ht="15" customHeight="1" x14ac:dyDescent="0.35">
      <c r="C1116" s="18"/>
      <c r="D1116" s="18"/>
      <c r="E1116" s="18"/>
      <c r="F1116" s="18"/>
      <c r="G1116" s="18"/>
      <c r="H1116" s="18"/>
      <c r="I1116" s="18"/>
    </row>
    <row r="1117" spans="3:9" ht="15" customHeight="1" x14ac:dyDescent="0.35">
      <c r="C1117" s="18"/>
      <c r="D1117" s="18"/>
      <c r="E1117" s="18"/>
      <c r="F1117" s="18"/>
      <c r="G1117" s="18"/>
      <c r="H1117" s="18"/>
      <c r="I1117" s="18"/>
    </row>
    <row r="1118" spans="3:9" ht="15" customHeight="1" x14ac:dyDescent="0.35">
      <c r="C1118" s="18"/>
      <c r="D1118" s="18"/>
      <c r="E1118" s="18"/>
      <c r="F1118" s="18"/>
      <c r="G1118" s="18"/>
      <c r="H1118" s="18"/>
      <c r="I1118" s="18"/>
    </row>
    <row r="1119" spans="3:9" ht="15" customHeight="1" x14ac:dyDescent="0.35">
      <c r="C1119" s="18"/>
      <c r="D1119" s="18"/>
      <c r="E1119" s="18"/>
      <c r="F1119" s="18"/>
      <c r="G1119" s="18"/>
      <c r="H1119" s="18"/>
      <c r="I1119" s="18"/>
    </row>
    <row r="1120" spans="3:9" ht="15" customHeight="1" x14ac:dyDescent="0.35">
      <c r="C1120" s="18"/>
      <c r="D1120" s="18"/>
      <c r="E1120" s="18"/>
      <c r="F1120" s="18"/>
      <c r="G1120" s="18"/>
      <c r="H1120" s="18"/>
      <c r="I1120" s="18"/>
    </row>
    <row r="1121" spans="3:9" ht="15" customHeight="1" x14ac:dyDescent="0.35">
      <c r="C1121" s="18"/>
      <c r="D1121" s="18"/>
      <c r="E1121" s="18"/>
      <c r="F1121" s="18"/>
      <c r="G1121" s="18"/>
      <c r="H1121" s="18"/>
      <c r="I1121" s="18"/>
    </row>
    <row r="1122" spans="3:9" ht="15" customHeight="1" x14ac:dyDescent="0.35">
      <c r="C1122" s="18"/>
      <c r="D1122" s="18"/>
      <c r="E1122" s="18"/>
      <c r="F1122" s="18"/>
      <c r="G1122" s="18"/>
      <c r="H1122" s="18"/>
      <c r="I1122" s="18"/>
    </row>
    <row r="1123" spans="3:9" ht="15" customHeight="1" x14ac:dyDescent="0.35">
      <c r="C1123" s="18"/>
      <c r="D1123" s="18"/>
      <c r="E1123" s="18"/>
      <c r="F1123" s="18"/>
      <c r="G1123" s="18"/>
      <c r="H1123" s="18"/>
      <c r="I1123" s="18"/>
    </row>
    <row r="1124" spans="3:9" ht="15" customHeight="1" x14ac:dyDescent="0.35">
      <c r="C1124" s="18"/>
      <c r="D1124" s="18"/>
      <c r="E1124" s="18"/>
      <c r="F1124" s="18"/>
      <c r="G1124" s="18"/>
      <c r="H1124" s="18"/>
      <c r="I1124" s="18"/>
    </row>
    <row r="1125" spans="3:9" ht="15" customHeight="1" x14ac:dyDescent="0.35">
      <c r="C1125" s="18"/>
      <c r="D1125" s="18"/>
      <c r="E1125" s="18"/>
      <c r="F1125" s="18"/>
      <c r="G1125" s="18"/>
      <c r="H1125" s="18"/>
      <c r="I1125" s="18"/>
    </row>
    <row r="1126" spans="3:9" ht="15" customHeight="1" x14ac:dyDescent="0.35">
      <c r="C1126" s="18"/>
      <c r="D1126" s="18"/>
      <c r="E1126" s="18"/>
      <c r="F1126" s="18"/>
      <c r="G1126" s="18"/>
      <c r="H1126" s="18"/>
      <c r="I1126" s="18"/>
    </row>
    <row r="1127" spans="3:9" ht="15" customHeight="1" x14ac:dyDescent="0.35">
      <c r="C1127" s="18"/>
      <c r="D1127" s="18"/>
      <c r="E1127" s="18"/>
      <c r="F1127" s="18"/>
      <c r="G1127" s="18"/>
      <c r="H1127" s="18"/>
      <c r="I1127" s="18"/>
    </row>
    <row r="1128" spans="3:9" ht="15" customHeight="1" x14ac:dyDescent="0.35">
      <c r="C1128" s="18"/>
      <c r="D1128" s="18"/>
      <c r="E1128" s="18"/>
      <c r="F1128" s="18"/>
      <c r="G1128" s="18"/>
      <c r="H1128" s="18"/>
      <c r="I1128" s="18"/>
    </row>
    <row r="1129" spans="3:9" ht="15" customHeight="1" x14ac:dyDescent="0.35">
      <c r="C1129" s="18"/>
      <c r="D1129" s="18"/>
      <c r="E1129" s="18"/>
      <c r="F1129" s="18"/>
      <c r="G1129" s="18"/>
      <c r="H1129" s="18"/>
      <c r="I1129" s="18"/>
    </row>
    <row r="1130" spans="3:9" ht="15" customHeight="1" x14ac:dyDescent="0.35">
      <c r="C1130" s="18"/>
      <c r="D1130" s="18"/>
      <c r="E1130" s="18"/>
      <c r="F1130" s="18"/>
      <c r="G1130" s="18"/>
      <c r="H1130" s="18"/>
      <c r="I1130" s="18"/>
    </row>
    <row r="1131" spans="3:9" ht="15" customHeight="1" x14ac:dyDescent="0.35">
      <c r="C1131" s="18"/>
      <c r="D1131" s="18"/>
      <c r="E1131" s="18"/>
      <c r="F1131" s="18"/>
      <c r="G1131" s="18"/>
      <c r="H1131" s="18"/>
      <c r="I1131" s="18"/>
    </row>
    <row r="1132" spans="3:9" ht="15" customHeight="1" x14ac:dyDescent="0.35">
      <c r="C1132" s="18"/>
      <c r="D1132" s="18"/>
      <c r="E1132" s="18"/>
      <c r="F1132" s="18"/>
      <c r="G1132" s="18"/>
      <c r="H1132" s="18"/>
      <c r="I1132" s="18"/>
    </row>
    <row r="1133" spans="3:9" ht="15" customHeight="1" x14ac:dyDescent="0.35">
      <c r="C1133" s="18"/>
      <c r="D1133" s="18"/>
      <c r="E1133" s="18"/>
      <c r="F1133" s="18"/>
      <c r="G1133" s="18"/>
      <c r="H1133" s="18"/>
      <c r="I1133" s="18"/>
    </row>
    <row r="1134" spans="3:9" ht="15" customHeight="1" x14ac:dyDescent="0.35">
      <c r="C1134" s="18"/>
      <c r="D1134" s="18"/>
      <c r="E1134" s="18"/>
      <c r="F1134" s="18"/>
      <c r="G1134" s="18"/>
      <c r="H1134" s="18"/>
      <c r="I1134" s="18"/>
    </row>
    <row r="1135" spans="3:9" ht="15" customHeight="1" x14ac:dyDescent="0.35">
      <c r="C1135" s="18"/>
      <c r="D1135" s="18"/>
      <c r="E1135" s="18"/>
      <c r="F1135" s="18"/>
      <c r="G1135" s="18"/>
      <c r="H1135" s="18"/>
      <c r="I1135" s="18"/>
    </row>
    <row r="1136" spans="3:9" ht="15" customHeight="1" x14ac:dyDescent="0.35">
      <c r="C1136" s="18"/>
      <c r="D1136" s="18"/>
      <c r="E1136" s="18"/>
      <c r="F1136" s="18"/>
      <c r="G1136" s="18"/>
      <c r="H1136" s="18"/>
      <c r="I1136" s="18"/>
    </row>
    <row r="1137" spans="3:9" ht="15" customHeight="1" x14ac:dyDescent="0.35">
      <c r="C1137" s="18"/>
      <c r="D1137" s="18"/>
      <c r="E1137" s="18"/>
      <c r="F1137" s="18"/>
      <c r="G1137" s="18"/>
      <c r="H1137" s="18"/>
      <c r="I1137" s="18"/>
    </row>
    <row r="1138" spans="3:9" ht="15" customHeight="1" x14ac:dyDescent="0.35">
      <c r="C1138" s="18"/>
      <c r="D1138" s="18"/>
      <c r="E1138" s="18"/>
      <c r="F1138" s="18"/>
      <c r="G1138" s="18"/>
      <c r="H1138" s="18"/>
      <c r="I1138" s="18"/>
    </row>
    <row r="1139" spans="3:9" ht="15" customHeight="1" x14ac:dyDescent="0.35">
      <c r="C1139" s="18"/>
      <c r="D1139" s="18"/>
      <c r="E1139" s="18"/>
      <c r="F1139" s="18"/>
      <c r="G1139" s="18"/>
      <c r="H1139" s="18"/>
      <c r="I1139" s="18"/>
    </row>
    <row r="1140" spans="3:9" ht="15" customHeight="1" x14ac:dyDescent="0.35">
      <c r="C1140" s="18"/>
      <c r="D1140" s="18"/>
      <c r="E1140" s="18"/>
      <c r="F1140" s="18"/>
      <c r="G1140" s="18"/>
      <c r="H1140" s="18"/>
      <c r="I1140" s="18"/>
    </row>
    <row r="1141" spans="3:9" ht="15" customHeight="1" x14ac:dyDescent="0.35">
      <c r="C1141" s="18"/>
      <c r="D1141" s="18"/>
      <c r="E1141" s="18"/>
      <c r="F1141" s="18"/>
      <c r="G1141" s="18"/>
      <c r="H1141" s="18"/>
      <c r="I1141" s="18"/>
    </row>
    <row r="1142" spans="3:9" ht="15" customHeight="1" x14ac:dyDescent="0.35">
      <c r="C1142" s="18"/>
      <c r="D1142" s="18"/>
      <c r="E1142" s="18"/>
      <c r="F1142" s="18"/>
      <c r="G1142" s="18"/>
      <c r="H1142" s="18"/>
      <c r="I1142" s="18"/>
    </row>
    <row r="1143" spans="3:9" ht="15" customHeight="1" x14ac:dyDescent="0.35">
      <c r="C1143" s="18"/>
      <c r="D1143" s="18"/>
      <c r="E1143" s="18"/>
      <c r="F1143" s="18"/>
      <c r="G1143" s="18"/>
      <c r="H1143" s="18"/>
      <c r="I1143" s="18"/>
    </row>
    <row r="1144" spans="3:9" ht="15" customHeight="1" x14ac:dyDescent="0.35">
      <c r="C1144" s="18"/>
      <c r="D1144" s="18"/>
      <c r="E1144" s="18"/>
      <c r="F1144" s="18"/>
      <c r="G1144" s="18"/>
      <c r="H1144" s="18"/>
      <c r="I1144" s="18"/>
    </row>
    <row r="1145" spans="3:9" ht="15" customHeight="1" x14ac:dyDescent="0.35">
      <c r="C1145" s="18"/>
      <c r="D1145" s="18"/>
      <c r="E1145" s="18"/>
      <c r="F1145" s="18"/>
      <c r="G1145" s="18"/>
      <c r="H1145" s="18"/>
      <c r="I1145" s="18"/>
    </row>
    <row r="1146" spans="3:9" ht="15" customHeight="1" x14ac:dyDescent="0.35">
      <c r="C1146" s="18"/>
      <c r="D1146" s="18"/>
      <c r="E1146" s="18"/>
      <c r="F1146" s="18"/>
      <c r="G1146" s="18"/>
      <c r="H1146" s="18"/>
      <c r="I1146" s="18"/>
    </row>
    <row r="1147" spans="3:9" ht="15" customHeight="1" x14ac:dyDescent="0.35">
      <c r="C1147" s="18"/>
      <c r="D1147" s="18"/>
      <c r="E1147" s="18"/>
      <c r="F1147" s="18"/>
      <c r="G1147" s="18"/>
      <c r="H1147" s="18"/>
      <c r="I1147" s="18"/>
    </row>
    <row r="1148" spans="3:9" ht="15" customHeight="1" x14ac:dyDescent="0.35">
      <c r="C1148" s="18"/>
      <c r="D1148" s="18"/>
      <c r="E1148" s="18"/>
      <c r="F1148" s="18"/>
      <c r="G1148" s="18"/>
      <c r="H1148" s="18"/>
      <c r="I1148" s="18"/>
    </row>
    <row r="1149" spans="3:9" ht="15" customHeight="1" x14ac:dyDescent="0.35">
      <c r="C1149" s="18"/>
      <c r="D1149" s="18"/>
      <c r="E1149" s="18"/>
      <c r="F1149" s="18"/>
      <c r="G1149" s="18"/>
      <c r="H1149" s="18"/>
      <c r="I1149" s="18"/>
    </row>
    <row r="1150" spans="3:9" ht="15" customHeight="1" x14ac:dyDescent="0.35">
      <c r="C1150" s="18"/>
      <c r="D1150" s="18"/>
      <c r="E1150" s="18"/>
      <c r="F1150" s="18"/>
      <c r="G1150" s="18"/>
      <c r="H1150" s="18"/>
      <c r="I1150" s="18"/>
    </row>
    <row r="1151" spans="3:9" ht="15" customHeight="1" x14ac:dyDescent="0.35">
      <c r="C1151" s="18"/>
      <c r="D1151" s="18"/>
      <c r="E1151" s="18"/>
      <c r="F1151" s="18"/>
      <c r="G1151" s="18"/>
      <c r="H1151" s="18"/>
      <c r="I1151" s="18"/>
    </row>
    <row r="1152" spans="3:9" ht="15" customHeight="1" x14ac:dyDescent="0.35">
      <c r="C1152" s="18"/>
      <c r="D1152" s="18"/>
      <c r="E1152" s="18"/>
      <c r="F1152" s="18"/>
      <c r="G1152" s="18"/>
      <c r="H1152" s="18"/>
      <c r="I1152" s="18"/>
    </row>
    <row r="1153" spans="3:9" ht="15" customHeight="1" x14ac:dyDescent="0.35">
      <c r="C1153" s="18"/>
      <c r="D1153" s="18"/>
      <c r="E1153" s="18"/>
      <c r="F1153" s="18"/>
      <c r="G1153" s="18"/>
      <c r="H1153" s="18"/>
      <c r="I1153" s="18"/>
    </row>
    <row r="1154" spans="3:9" ht="15" customHeight="1" x14ac:dyDescent="0.35">
      <c r="C1154" s="18"/>
      <c r="D1154" s="18"/>
      <c r="E1154" s="18"/>
      <c r="F1154" s="18"/>
      <c r="G1154" s="18"/>
      <c r="H1154" s="18"/>
      <c r="I1154" s="18"/>
    </row>
    <row r="1155" spans="3:9" ht="15" customHeight="1" x14ac:dyDescent="0.35">
      <c r="C1155" s="18"/>
      <c r="D1155" s="18"/>
      <c r="E1155" s="18"/>
      <c r="F1155" s="18"/>
      <c r="G1155" s="18"/>
      <c r="H1155" s="18"/>
      <c r="I1155" s="18"/>
    </row>
    <row r="1156" spans="3:9" ht="15" customHeight="1" x14ac:dyDescent="0.35">
      <c r="C1156" s="18"/>
      <c r="D1156" s="18"/>
      <c r="E1156" s="18"/>
      <c r="F1156" s="18"/>
      <c r="G1156" s="18"/>
      <c r="H1156" s="18"/>
      <c r="I1156" s="18"/>
    </row>
    <row r="1157" spans="3:9" ht="15" customHeight="1" x14ac:dyDescent="0.35">
      <c r="C1157" s="18"/>
      <c r="D1157" s="18"/>
      <c r="E1157" s="18"/>
      <c r="F1157" s="18"/>
      <c r="G1157" s="18"/>
      <c r="H1157" s="18"/>
      <c r="I1157" s="18"/>
    </row>
    <row r="1158" spans="3:9" ht="15" customHeight="1" x14ac:dyDescent="0.35">
      <c r="C1158" s="18"/>
      <c r="D1158" s="18"/>
      <c r="E1158" s="18"/>
      <c r="F1158" s="18"/>
      <c r="G1158" s="18"/>
      <c r="H1158" s="18"/>
      <c r="I1158" s="18"/>
    </row>
    <row r="1159" spans="3:9" ht="15" customHeight="1" x14ac:dyDescent="0.35">
      <c r="C1159" s="18"/>
      <c r="D1159" s="18"/>
      <c r="E1159" s="18"/>
      <c r="F1159" s="18"/>
      <c r="G1159" s="18"/>
      <c r="H1159" s="18"/>
      <c r="I1159" s="18"/>
    </row>
    <row r="1160" spans="3:9" ht="15" customHeight="1" x14ac:dyDescent="0.35">
      <c r="C1160" s="18"/>
      <c r="D1160" s="18"/>
      <c r="E1160" s="18"/>
      <c r="F1160" s="18"/>
      <c r="G1160" s="18"/>
      <c r="H1160" s="18"/>
      <c r="I1160" s="18"/>
    </row>
    <row r="1161" spans="3:9" ht="15" customHeight="1" x14ac:dyDescent="0.35">
      <c r="C1161" s="18"/>
      <c r="D1161" s="18"/>
      <c r="E1161" s="18"/>
      <c r="F1161" s="18"/>
      <c r="G1161" s="18"/>
      <c r="H1161" s="18"/>
      <c r="I1161" s="18"/>
    </row>
    <row r="1162" spans="3:9" ht="15" customHeight="1" x14ac:dyDescent="0.35">
      <c r="C1162" s="18"/>
      <c r="D1162" s="18"/>
      <c r="E1162" s="18"/>
      <c r="F1162" s="18"/>
      <c r="G1162" s="18"/>
      <c r="H1162" s="18"/>
      <c r="I1162" s="18"/>
    </row>
    <row r="1163" spans="3:9" ht="15" customHeight="1" x14ac:dyDescent="0.35">
      <c r="C1163" s="18"/>
      <c r="D1163" s="18"/>
      <c r="E1163" s="18"/>
      <c r="F1163" s="18"/>
      <c r="G1163" s="18"/>
      <c r="H1163" s="18"/>
      <c r="I1163" s="18"/>
    </row>
    <row r="1164" spans="3:9" ht="15" customHeight="1" x14ac:dyDescent="0.35">
      <c r="C1164" s="18"/>
      <c r="D1164" s="18"/>
      <c r="E1164" s="18"/>
      <c r="F1164" s="18"/>
      <c r="G1164" s="18"/>
      <c r="H1164" s="18"/>
      <c r="I1164" s="18"/>
    </row>
    <row r="1165" spans="3:9" ht="15" customHeight="1" x14ac:dyDescent="0.35">
      <c r="C1165" s="18"/>
      <c r="D1165" s="18"/>
      <c r="E1165" s="18"/>
      <c r="F1165" s="18"/>
      <c r="G1165" s="18"/>
      <c r="H1165" s="18"/>
      <c r="I1165" s="18"/>
    </row>
    <row r="1166" spans="3:9" ht="15" customHeight="1" x14ac:dyDescent="0.35">
      <c r="C1166" s="18"/>
      <c r="D1166" s="18"/>
      <c r="E1166" s="18"/>
      <c r="F1166" s="18"/>
      <c r="G1166" s="18"/>
      <c r="H1166" s="18"/>
      <c r="I1166" s="18"/>
    </row>
    <row r="1167" spans="3:9" ht="15" customHeight="1" x14ac:dyDescent="0.35">
      <c r="C1167" s="18"/>
      <c r="D1167" s="18"/>
      <c r="E1167" s="18"/>
      <c r="F1167" s="18"/>
      <c r="G1167" s="18"/>
      <c r="H1167" s="18"/>
      <c r="I1167" s="18"/>
    </row>
    <row r="1168" spans="3:9" ht="15" customHeight="1" x14ac:dyDescent="0.35">
      <c r="C1168" s="18"/>
      <c r="D1168" s="18"/>
      <c r="E1168" s="18"/>
      <c r="F1168" s="18"/>
      <c r="G1168" s="18"/>
      <c r="H1168" s="18"/>
      <c r="I1168" s="18"/>
    </row>
    <row r="1169" spans="3:9" ht="15" customHeight="1" x14ac:dyDescent="0.35">
      <c r="C1169" s="18"/>
      <c r="D1169" s="18"/>
      <c r="E1169" s="18"/>
      <c r="F1169" s="18"/>
      <c r="G1169" s="18"/>
      <c r="H1169" s="18"/>
      <c r="I1169" s="18"/>
    </row>
    <row r="1170" spans="3:9" ht="15" customHeight="1" x14ac:dyDescent="0.35">
      <c r="C1170" s="18"/>
      <c r="D1170" s="18"/>
      <c r="E1170" s="18"/>
      <c r="F1170" s="18"/>
      <c r="G1170" s="18"/>
      <c r="H1170" s="18"/>
      <c r="I1170" s="18"/>
    </row>
    <row r="1171" spans="3:9" ht="15" customHeight="1" x14ac:dyDescent="0.35">
      <c r="C1171" s="18"/>
      <c r="D1171" s="18"/>
      <c r="E1171" s="18"/>
      <c r="F1171" s="18"/>
      <c r="G1171" s="18"/>
      <c r="H1171" s="18"/>
      <c r="I1171" s="18"/>
    </row>
    <row r="1172" spans="3:9" ht="15" customHeight="1" x14ac:dyDescent="0.35">
      <c r="C1172" s="18"/>
      <c r="D1172" s="18"/>
      <c r="E1172" s="18"/>
      <c r="F1172" s="18"/>
      <c r="G1172" s="18"/>
      <c r="H1172" s="18"/>
      <c r="I1172" s="18"/>
    </row>
    <row r="1173" spans="3:9" ht="15" customHeight="1" x14ac:dyDescent="0.35">
      <c r="C1173" s="18"/>
      <c r="D1173" s="18"/>
      <c r="E1173" s="18"/>
      <c r="F1173" s="18"/>
      <c r="G1173" s="18"/>
      <c r="H1173" s="18"/>
      <c r="I1173" s="18"/>
    </row>
    <row r="1174" spans="3:9" ht="15" customHeight="1" x14ac:dyDescent="0.35">
      <c r="C1174" s="18"/>
      <c r="D1174" s="18"/>
      <c r="E1174" s="18"/>
      <c r="F1174" s="18"/>
      <c r="G1174" s="18"/>
      <c r="H1174" s="18"/>
      <c r="I1174" s="18"/>
    </row>
    <row r="1175" spans="3:9" ht="15" customHeight="1" x14ac:dyDescent="0.35">
      <c r="C1175" s="18"/>
      <c r="D1175" s="18"/>
      <c r="E1175" s="18"/>
      <c r="F1175" s="18"/>
      <c r="G1175" s="18"/>
      <c r="H1175" s="18"/>
      <c r="I1175" s="18"/>
    </row>
    <row r="1176" spans="3:9" ht="15" customHeight="1" x14ac:dyDescent="0.35">
      <c r="C1176" s="18"/>
      <c r="D1176" s="18"/>
      <c r="E1176" s="18"/>
      <c r="F1176" s="18"/>
      <c r="G1176" s="18"/>
      <c r="H1176" s="18"/>
      <c r="I1176" s="18"/>
    </row>
    <row r="1177" spans="3:9" ht="15" customHeight="1" x14ac:dyDescent="0.35">
      <c r="C1177" s="18"/>
      <c r="D1177" s="18"/>
      <c r="E1177" s="18"/>
      <c r="F1177" s="18"/>
      <c r="G1177" s="18"/>
      <c r="H1177" s="18"/>
      <c r="I1177" s="18"/>
    </row>
    <row r="1178" spans="3:9" ht="15" customHeight="1" x14ac:dyDescent="0.35">
      <c r="C1178" s="18"/>
      <c r="D1178" s="18"/>
      <c r="E1178" s="18"/>
      <c r="F1178" s="18"/>
      <c r="G1178" s="18"/>
      <c r="H1178" s="18"/>
      <c r="I1178" s="18"/>
    </row>
    <row r="1179" spans="3:9" ht="15" customHeight="1" x14ac:dyDescent="0.35">
      <c r="C1179" s="18"/>
      <c r="D1179" s="18"/>
      <c r="E1179" s="18"/>
      <c r="F1179" s="18"/>
      <c r="G1179" s="18"/>
      <c r="H1179" s="18"/>
      <c r="I1179" s="18"/>
    </row>
    <row r="1180" spans="3:9" ht="15" customHeight="1" x14ac:dyDescent="0.35">
      <c r="C1180" s="18"/>
      <c r="D1180" s="18"/>
      <c r="E1180" s="18"/>
      <c r="F1180" s="18"/>
      <c r="G1180" s="18"/>
      <c r="H1180" s="18"/>
      <c r="I1180" s="18"/>
    </row>
    <row r="1181" spans="3:9" ht="15" customHeight="1" x14ac:dyDescent="0.35">
      <c r="C1181" s="18"/>
      <c r="D1181" s="18"/>
      <c r="E1181" s="18"/>
      <c r="F1181" s="18"/>
      <c r="G1181" s="18"/>
      <c r="H1181" s="18"/>
      <c r="I1181" s="18"/>
    </row>
    <row r="1182" spans="3:9" ht="15" customHeight="1" x14ac:dyDescent="0.35">
      <c r="C1182" s="18"/>
      <c r="D1182" s="18"/>
      <c r="E1182" s="18"/>
      <c r="F1182" s="18"/>
      <c r="G1182" s="18"/>
      <c r="H1182" s="18"/>
      <c r="I1182" s="18"/>
    </row>
    <row r="1183" spans="3:9" ht="15" customHeight="1" x14ac:dyDescent="0.35">
      <c r="C1183" s="18"/>
      <c r="D1183" s="18"/>
      <c r="E1183" s="18"/>
      <c r="F1183" s="18"/>
      <c r="G1183" s="18"/>
      <c r="H1183" s="18"/>
      <c r="I1183" s="18"/>
    </row>
    <row r="1184" spans="3:9" ht="15" customHeight="1" x14ac:dyDescent="0.35">
      <c r="C1184" s="18"/>
      <c r="D1184" s="18"/>
      <c r="E1184" s="18"/>
      <c r="F1184" s="18"/>
      <c r="G1184" s="18"/>
      <c r="H1184" s="18"/>
      <c r="I1184" s="18"/>
    </row>
    <row r="1185" spans="3:9" ht="15" customHeight="1" x14ac:dyDescent="0.35">
      <c r="C1185" s="18"/>
      <c r="D1185" s="18"/>
      <c r="E1185" s="18"/>
      <c r="F1185" s="18"/>
      <c r="G1185" s="18"/>
      <c r="H1185" s="18"/>
      <c r="I1185" s="18"/>
    </row>
    <row r="1186" spans="3:9" ht="15" customHeight="1" x14ac:dyDescent="0.35">
      <c r="C1186" s="18"/>
      <c r="D1186" s="18"/>
      <c r="E1186" s="18"/>
      <c r="F1186" s="18"/>
      <c r="G1186" s="18"/>
      <c r="H1186" s="18"/>
      <c r="I1186" s="18"/>
    </row>
    <row r="1187" spans="3:9" ht="15" customHeight="1" x14ac:dyDescent="0.35">
      <c r="C1187" s="18"/>
      <c r="D1187" s="18"/>
      <c r="E1187" s="18"/>
      <c r="F1187" s="18"/>
      <c r="G1187" s="18"/>
      <c r="H1187" s="18"/>
      <c r="I1187" s="18"/>
    </row>
    <row r="1188" spans="3:9" ht="15" customHeight="1" x14ac:dyDescent="0.35">
      <c r="C1188" s="18"/>
      <c r="D1188" s="18"/>
      <c r="E1188" s="18"/>
      <c r="F1188" s="18"/>
      <c r="G1188" s="18"/>
      <c r="H1188" s="18"/>
      <c r="I1188" s="18"/>
    </row>
    <row r="1189" spans="3:9" ht="15" customHeight="1" x14ac:dyDescent="0.35">
      <c r="C1189" s="18"/>
      <c r="D1189" s="18"/>
      <c r="E1189" s="18"/>
      <c r="F1189" s="18"/>
      <c r="G1189" s="18"/>
      <c r="H1189" s="18"/>
      <c r="I1189" s="18"/>
    </row>
    <row r="1190" spans="3:9" ht="15" customHeight="1" x14ac:dyDescent="0.35">
      <c r="C1190" s="18"/>
      <c r="D1190" s="18"/>
      <c r="E1190" s="18"/>
      <c r="F1190" s="18"/>
      <c r="G1190" s="18"/>
      <c r="H1190" s="18"/>
      <c r="I1190" s="18"/>
    </row>
    <row r="1191" spans="3:9" ht="15" customHeight="1" x14ac:dyDescent="0.35">
      <c r="C1191" s="18"/>
      <c r="D1191" s="18"/>
      <c r="E1191" s="18"/>
      <c r="F1191" s="18"/>
      <c r="G1191" s="18"/>
      <c r="H1191" s="18"/>
      <c r="I1191" s="18"/>
    </row>
    <row r="1192" spans="3:9" ht="15" customHeight="1" x14ac:dyDescent="0.35">
      <c r="C1192" s="18"/>
      <c r="D1192" s="18"/>
      <c r="E1192" s="18"/>
      <c r="F1192" s="18"/>
      <c r="G1192" s="18"/>
      <c r="H1192" s="18"/>
      <c r="I1192" s="18"/>
    </row>
    <row r="1193" spans="3:9" ht="15" customHeight="1" x14ac:dyDescent="0.35">
      <c r="C1193" s="18"/>
      <c r="D1193" s="18"/>
      <c r="E1193" s="18"/>
      <c r="F1193" s="18"/>
      <c r="G1193" s="18"/>
      <c r="H1193" s="18"/>
      <c r="I1193" s="18"/>
    </row>
    <row r="1194" spans="3:9" ht="15" customHeight="1" x14ac:dyDescent="0.35">
      <c r="C1194" s="18"/>
      <c r="D1194" s="18"/>
      <c r="E1194" s="18"/>
      <c r="F1194" s="18"/>
      <c r="G1194" s="18"/>
      <c r="H1194" s="18"/>
      <c r="I1194" s="18"/>
    </row>
    <row r="1195" spans="3:9" ht="15" customHeight="1" x14ac:dyDescent="0.35">
      <c r="C1195" s="18"/>
      <c r="D1195" s="18"/>
      <c r="E1195" s="18"/>
      <c r="F1195" s="18"/>
      <c r="G1195" s="18"/>
      <c r="H1195" s="18"/>
      <c r="I1195" s="18"/>
    </row>
    <row r="1196" spans="3:9" ht="15" customHeight="1" x14ac:dyDescent="0.35">
      <c r="C1196" s="18"/>
      <c r="D1196" s="18"/>
      <c r="E1196" s="18"/>
      <c r="F1196" s="18"/>
      <c r="G1196" s="18"/>
      <c r="H1196" s="18"/>
      <c r="I1196" s="18"/>
    </row>
    <row r="1197" spans="3:9" ht="15" customHeight="1" x14ac:dyDescent="0.35">
      <c r="C1197" s="18"/>
      <c r="D1197" s="18"/>
      <c r="E1197" s="18"/>
      <c r="F1197" s="18"/>
      <c r="G1197" s="18"/>
      <c r="H1197" s="18"/>
      <c r="I1197" s="18"/>
    </row>
    <row r="1198" spans="3:9" ht="15" customHeight="1" x14ac:dyDescent="0.35">
      <c r="C1198" s="18"/>
      <c r="D1198" s="18"/>
      <c r="E1198" s="18"/>
      <c r="F1198" s="18"/>
      <c r="G1198" s="18"/>
      <c r="H1198" s="18"/>
      <c r="I1198" s="18"/>
    </row>
    <row r="1199" spans="3:9" ht="15" customHeight="1" x14ac:dyDescent="0.35">
      <c r="C1199" s="18"/>
      <c r="D1199" s="18"/>
      <c r="E1199" s="18"/>
      <c r="F1199" s="18"/>
      <c r="G1199" s="18"/>
      <c r="H1199" s="18"/>
      <c r="I1199" s="18"/>
    </row>
    <row r="1200" spans="3:9" ht="15" customHeight="1" x14ac:dyDescent="0.35">
      <c r="C1200" s="18"/>
      <c r="D1200" s="18"/>
      <c r="E1200" s="18"/>
      <c r="F1200" s="18"/>
      <c r="G1200" s="18"/>
      <c r="H1200" s="18"/>
      <c r="I1200" s="18"/>
    </row>
    <row r="1201" spans="3:9" ht="15" customHeight="1" x14ac:dyDescent="0.35">
      <c r="C1201" s="18"/>
      <c r="D1201" s="18"/>
      <c r="E1201" s="18"/>
      <c r="F1201" s="18"/>
      <c r="G1201" s="18"/>
      <c r="H1201" s="18"/>
      <c r="I1201" s="18"/>
    </row>
    <row r="1202" spans="3:9" ht="15" customHeight="1" x14ac:dyDescent="0.35">
      <c r="C1202" s="18"/>
      <c r="D1202" s="18"/>
      <c r="E1202" s="18"/>
      <c r="F1202" s="18"/>
      <c r="G1202" s="18"/>
      <c r="H1202" s="18"/>
      <c r="I1202" s="18"/>
    </row>
    <row r="1203" spans="3:9" ht="15" customHeight="1" x14ac:dyDescent="0.35">
      <c r="C1203" s="18"/>
      <c r="D1203" s="18"/>
      <c r="E1203" s="18"/>
      <c r="F1203" s="18"/>
      <c r="G1203" s="18"/>
      <c r="H1203" s="18"/>
      <c r="I1203" s="18"/>
    </row>
    <row r="1204" spans="3:9" ht="15" customHeight="1" x14ac:dyDescent="0.35">
      <c r="C1204" s="18"/>
      <c r="D1204" s="18"/>
      <c r="E1204" s="18"/>
      <c r="F1204" s="18"/>
      <c r="G1204" s="18"/>
      <c r="H1204" s="18"/>
      <c r="I1204" s="18"/>
    </row>
    <row r="1205" spans="3:9" ht="15" customHeight="1" x14ac:dyDescent="0.35">
      <c r="C1205" s="18"/>
      <c r="D1205" s="18"/>
      <c r="E1205" s="18"/>
      <c r="F1205" s="18"/>
      <c r="G1205" s="18"/>
      <c r="H1205" s="18"/>
      <c r="I1205" s="18"/>
    </row>
    <row r="1206" spans="3:9" ht="15" customHeight="1" x14ac:dyDescent="0.35">
      <c r="C1206" s="18"/>
      <c r="D1206" s="18"/>
      <c r="E1206" s="18"/>
      <c r="F1206" s="18"/>
      <c r="G1206" s="18"/>
      <c r="H1206" s="18"/>
      <c r="I1206" s="18"/>
    </row>
    <row r="1207" spans="3:9" ht="15" customHeight="1" x14ac:dyDescent="0.35">
      <c r="C1207" s="18"/>
      <c r="D1207" s="18"/>
      <c r="E1207" s="18"/>
      <c r="F1207" s="18"/>
      <c r="G1207" s="18"/>
      <c r="H1207" s="18"/>
      <c r="I1207" s="18"/>
    </row>
    <row r="1208" spans="3:9" ht="15" customHeight="1" x14ac:dyDescent="0.35">
      <c r="C1208" s="18"/>
      <c r="D1208" s="18"/>
      <c r="E1208" s="18"/>
      <c r="F1208" s="18"/>
      <c r="G1208" s="18"/>
      <c r="H1208" s="18"/>
      <c r="I1208" s="18"/>
    </row>
    <row r="1209" spans="3:9" ht="15" customHeight="1" x14ac:dyDescent="0.35">
      <c r="C1209" s="18"/>
      <c r="D1209" s="18"/>
      <c r="E1209" s="18"/>
      <c r="F1209" s="18"/>
      <c r="G1209" s="18"/>
      <c r="H1209" s="18"/>
      <c r="I1209" s="18"/>
    </row>
    <row r="1210" spans="3:9" ht="15" customHeight="1" x14ac:dyDescent="0.35">
      <c r="C1210" s="18"/>
      <c r="D1210" s="18"/>
      <c r="E1210" s="18"/>
      <c r="F1210" s="18"/>
      <c r="G1210" s="18"/>
      <c r="H1210" s="18"/>
      <c r="I1210" s="18"/>
    </row>
    <row r="1211" spans="3:9" ht="15" customHeight="1" x14ac:dyDescent="0.35">
      <c r="C1211" s="18"/>
      <c r="D1211" s="18"/>
      <c r="E1211" s="18"/>
      <c r="F1211" s="18"/>
      <c r="G1211" s="18"/>
      <c r="H1211" s="18"/>
      <c r="I1211" s="18"/>
    </row>
    <row r="1212" spans="3:9" ht="15" customHeight="1" x14ac:dyDescent="0.35">
      <c r="C1212" s="18"/>
      <c r="D1212" s="18"/>
      <c r="E1212" s="18"/>
      <c r="F1212" s="18"/>
      <c r="G1212" s="18"/>
      <c r="H1212" s="18"/>
      <c r="I1212" s="18"/>
    </row>
    <row r="1213" spans="3:9" ht="15" customHeight="1" x14ac:dyDescent="0.35">
      <c r="C1213" s="18"/>
      <c r="D1213" s="18"/>
      <c r="E1213" s="18"/>
      <c r="F1213" s="18"/>
      <c r="G1213" s="18"/>
      <c r="H1213" s="18"/>
      <c r="I1213" s="18"/>
    </row>
    <row r="1214" spans="3:9" ht="15" customHeight="1" x14ac:dyDescent="0.35">
      <c r="C1214" s="18"/>
      <c r="D1214" s="18"/>
      <c r="E1214" s="18"/>
      <c r="F1214" s="18"/>
      <c r="G1214" s="18"/>
      <c r="H1214" s="18"/>
      <c r="I1214" s="18"/>
    </row>
    <row r="1215" spans="3:9" ht="15" customHeight="1" x14ac:dyDescent="0.35">
      <c r="C1215" s="18"/>
      <c r="D1215" s="18"/>
      <c r="E1215" s="18"/>
      <c r="F1215" s="18"/>
      <c r="G1215" s="18"/>
      <c r="H1215" s="18"/>
      <c r="I1215" s="18"/>
    </row>
    <row r="1216" spans="3:9" ht="15" customHeight="1" x14ac:dyDescent="0.35">
      <c r="C1216" s="18"/>
      <c r="D1216" s="18"/>
      <c r="E1216" s="18"/>
      <c r="F1216" s="18"/>
      <c r="G1216" s="18"/>
      <c r="H1216" s="18"/>
      <c r="I1216" s="18"/>
    </row>
    <row r="1217" spans="3:9" ht="15" customHeight="1" x14ac:dyDescent="0.35">
      <c r="C1217" s="18"/>
      <c r="D1217" s="18"/>
      <c r="E1217" s="18"/>
      <c r="F1217" s="18"/>
      <c r="G1217" s="18"/>
      <c r="H1217" s="18"/>
      <c r="I1217" s="18"/>
    </row>
    <row r="1218" spans="3:9" ht="15" customHeight="1" x14ac:dyDescent="0.35">
      <c r="C1218" s="18"/>
      <c r="D1218" s="18"/>
      <c r="E1218" s="18"/>
      <c r="F1218" s="18"/>
      <c r="G1218" s="18"/>
      <c r="H1218" s="18"/>
      <c r="I1218" s="18"/>
    </row>
    <row r="1219" spans="3:9" ht="15" customHeight="1" x14ac:dyDescent="0.35">
      <c r="C1219" s="18"/>
      <c r="D1219" s="18"/>
      <c r="E1219" s="18"/>
      <c r="F1219" s="18"/>
      <c r="G1219" s="18"/>
      <c r="H1219" s="18"/>
      <c r="I1219" s="18"/>
    </row>
    <row r="1220" spans="3:9" ht="15" customHeight="1" x14ac:dyDescent="0.35">
      <c r="C1220" s="18"/>
      <c r="D1220" s="18"/>
      <c r="E1220" s="18"/>
      <c r="F1220" s="18"/>
      <c r="G1220" s="18"/>
      <c r="H1220" s="18"/>
      <c r="I1220" s="18"/>
    </row>
    <row r="1221" spans="3:9" ht="15" customHeight="1" x14ac:dyDescent="0.35">
      <c r="C1221" s="18"/>
      <c r="D1221" s="18"/>
      <c r="E1221" s="18"/>
      <c r="F1221" s="18"/>
      <c r="G1221" s="18"/>
      <c r="H1221" s="18"/>
      <c r="I1221" s="18"/>
    </row>
    <row r="1222" spans="3:9" ht="15" customHeight="1" x14ac:dyDescent="0.35">
      <c r="C1222" s="18"/>
      <c r="D1222" s="18"/>
      <c r="E1222" s="18"/>
      <c r="F1222" s="18"/>
      <c r="G1222" s="18"/>
      <c r="H1222" s="18"/>
      <c r="I1222" s="18"/>
    </row>
    <row r="1223" spans="3:9" ht="15" customHeight="1" x14ac:dyDescent="0.35">
      <c r="C1223" s="18"/>
      <c r="D1223" s="18"/>
      <c r="E1223" s="18"/>
      <c r="F1223" s="18"/>
      <c r="G1223" s="18"/>
      <c r="H1223" s="18"/>
      <c r="I1223" s="18"/>
    </row>
    <row r="1224" spans="3:9" ht="15" customHeight="1" x14ac:dyDescent="0.35">
      <c r="C1224" s="18"/>
      <c r="D1224" s="18"/>
      <c r="E1224" s="18"/>
      <c r="F1224" s="18"/>
      <c r="G1224" s="18"/>
      <c r="H1224" s="18"/>
      <c r="I1224" s="18"/>
    </row>
    <row r="1225" spans="3:9" ht="15" customHeight="1" x14ac:dyDescent="0.35">
      <c r="C1225" s="18"/>
      <c r="D1225" s="18"/>
      <c r="E1225" s="18"/>
      <c r="F1225" s="18"/>
      <c r="G1225" s="18"/>
      <c r="H1225" s="18"/>
      <c r="I1225" s="18"/>
    </row>
    <row r="1226" spans="3:9" ht="15" customHeight="1" x14ac:dyDescent="0.35">
      <c r="C1226" s="18"/>
      <c r="D1226" s="18"/>
      <c r="E1226" s="18"/>
      <c r="F1226" s="18"/>
      <c r="G1226" s="18"/>
      <c r="H1226" s="18"/>
      <c r="I1226" s="18"/>
    </row>
    <row r="1227" spans="3:9" ht="15" customHeight="1" x14ac:dyDescent="0.35">
      <c r="C1227" s="18"/>
      <c r="D1227" s="18"/>
      <c r="E1227" s="18"/>
      <c r="F1227" s="18"/>
      <c r="G1227" s="18"/>
      <c r="H1227" s="18"/>
      <c r="I1227" s="18"/>
    </row>
    <row r="1228" spans="3:9" ht="15" customHeight="1" x14ac:dyDescent="0.35">
      <c r="C1228" s="18"/>
      <c r="D1228" s="18"/>
      <c r="E1228" s="18"/>
      <c r="F1228" s="18"/>
      <c r="G1228" s="18"/>
      <c r="H1228" s="18"/>
      <c r="I1228" s="18"/>
    </row>
    <row r="1229" spans="3:9" ht="15" customHeight="1" x14ac:dyDescent="0.35">
      <c r="C1229" s="18"/>
      <c r="D1229" s="18"/>
      <c r="E1229" s="18"/>
      <c r="F1229" s="18"/>
      <c r="G1229" s="18"/>
      <c r="H1229" s="18"/>
      <c r="I1229" s="18"/>
    </row>
    <row r="1230" spans="3:9" ht="15" customHeight="1" x14ac:dyDescent="0.35">
      <c r="C1230" s="18"/>
      <c r="D1230" s="18"/>
      <c r="E1230" s="18"/>
      <c r="F1230" s="18"/>
      <c r="G1230" s="18"/>
      <c r="H1230" s="18"/>
      <c r="I1230" s="18"/>
    </row>
    <row r="1231" spans="3:9" ht="15" customHeight="1" x14ac:dyDescent="0.35">
      <c r="C1231" s="18"/>
      <c r="D1231" s="18"/>
      <c r="E1231" s="18"/>
      <c r="F1231" s="18"/>
      <c r="G1231" s="18"/>
      <c r="H1231" s="18"/>
      <c r="I1231" s="18"/>
    </row>
    <row r="1232" spans="3:9" ht="15" customHeight="1" x14ac:dyDescent="0.35">
      <c r="C1232" s="18"/>
      <c r="D1232" s="18"/>
      <c r="E1232" s="18"/>
      <c r="F1232" s="18"/>
      <c r="G1232" s="18"/>
      <c r="H1232" s="18"/>
      <c r="I1232" s="18"/>
    </row>
    <row r="1233" spans="3:9" ht="15" customHeight="1" x14ac:dyDescent="0.35">
      <c r="C1233" s="18"/>
      <c r="D1233" s="18"/>
      <c r="E1233" s="18"/>
      <c r="F1233" s="18"/>
      <c r="G1233" s="18"/>
      <c r="H1233" s="18"/>
      <c r="I1233" s="18"/>
    </row>
    <row r="1234" spans="3:9" ht="15" customHeight="1" x14ac:dyDescent="0.35">
      <c r="C1234" s="18"/>
      <c r="D1234" s="18"/>
      <c r="E1234" s="18"/>
      <c r="F1234" s="18"/>
      <c r="G1234" s="18"/>
      <c r="H1234" s="18"/>
      <c r="I1234" s="18"/>
    </row>
    <row r="1235" spans="3:9" ht="15" customHeight="1" x14ac:dyDescent="0.35">
      <c r="C1235" s="18"/>
      <c r="D1235" s="18"/>
      <c r="E1235" s="18"/>
      <c r="F1235" s="18"/>
      <c r="G1235" s="18"/>
      <c r="H1235" s="18"/>
      <c r="I1235" s="18"/>
    </row>
    <row r="1236" spans="3:9" ht="15" customHeight="1" x14ac:dyDescent="0.35">
      <c r="C1236" s="18"/>
      <c r="D1236" s="18"/>
      <c r="E1236" s="18"/>
      <c r="F1236" s="18"/>
      <c r="G1236" s="18"/>
      <c r="H1236" s="18"/>
      <c r="I1236" s="18"/>
    </row>
    <row r="1237" spans="3:9" ht="15" customHeight="1" x14ac:dyDescent="0.35">
      <c r="C1237" s="18"/>
      <c r="D1237" s="18"/>
      <c r="E1237" s="18"/>
      <c r="F1237" s="18"/>
      <c r="G1237" s="18"/>
      <c r="H1237" s="18"/>
      <c r="I1237" s="18"/>
    </row>
    <row r="1238" spans="3:9" ht="15" customHeight="1" x14ac:dyDescent="0.35">
      <c r="C1238" s="18"/>
      <c r="D1238" s="18"/>
      <c r="E1238" s="18"/>
      <c r="F1238" s="18"/>
      <c r="G1238" s="18"/>
      <c r="H1238" s="18"/>
      <c r="I1238" s="18"/>
    </row>
    <row r="1239" spans="3:9" ht="15" customHeight="1" x14ac:dyDescent="0.35">
      <c r="C1239" s="18"/>
      <c r="D1239" s="18"/>
      <c r="E1239" s="18"/>
      <c r="F1239" s="18"/>
      <c r="G1239" s="18"/>
      <c r="H1239" s="18"/>
      <c r="I1239" s="18"/>
    </row>
    <row r="1240" spans="3:9" ht="15" customHeight="1" x14ac:dyDescent="0.35">
      <c r="C1240" s="18"/>
      <c r="D1240" s="18"/>
      <c r="E1240" s="18"/>
      <c r="F1240" s="18"/>
      <c r="G1240" s="18"/>
      <c r="H1240" s="18"/>
      <c r="I1240" s="18"/>
    </row>
    <row r="1241" spans="3:9" ht="15" customHeight="1" x14ac:dyDescent="0.35">
      <c r="C1241" s="18"/>
      <c r="D1241" s="18"/>
      <c r="E1241" s="18"/>
      <c r="F1241" s="18"/>
      <c r="G1241" s="18"/>
      <c r="H1241" s="18"/>
      <c r="I1241" s="18"/>
    </row>
    <row r="1242" spans="3:9" ht="15" customHeight="1" x14ac:dyDescent="0.35">
      <c r="C1242" s="18"/>
      <c r="D1242" s="18"/>
      <c r="E1242" s="18"/>
      <c r="F1242" s="18"/>
      <c r="G1242" s="18"/>
      <c r="H1242" s="18"/>
      <c r="I1242" s="18"/>
    </row>
    <row r="1243" spans="3:9" ht="15" customHeight="1" x14ac:dyDescent="0.35">
      <c r="C1243" s="18"/>
      <c r="D1243" s="18"/>
      <c r="E1243" s="18"/>
      <c r="F1243" s="18"/>
      <c r="G1243" s="18"/>
      <c r="H1243" s="18"/>
      <c r="I1243" s="18"/>
    </row>
    <row r="1244" spans="3:9" ht="15" customHeight="1" x14ac:dyDescent="0.35">
      <c r="C1244" s="18"/>
      <c r="D1244" s="18"/>
      <c r="E1244" s="18"/>
      <c r="F1244" s="18"/>
      <c r="G1244" s="18"/>
      <c r="H1244" s="18"/>
      <c r="I1244" s="18"/>
    </row>
    <row r="1245" spans="3:9" ht="15" customHeight="1" x14ac:dyDescent="0.35">
      <c r="C1245" s="18"/>
      <c r="D1245" s="18"/>
      <c r="E1245" s="18"/>
      <c r="F1245" s="18"/>
      <c r="G1245" s="18"/>
      <c r="H1245" s="18"/>
      <c r="I1245" s="18"/>
    </row>
    <row r="1246" spans="3:9" ht="15" customHeight="1" x14ac:dyDescent="0.35">
      <c r="C1246" s="18"/>
      <c r="D1246" s="18"/>
      <c r="E1246" s="18"/>
      <c r="F1246" s="18"/>
      <c r="G1246" s="18"/>
      <c r="H1246" s="18"/>
      <c r="I1246" s="18"/>
    </row>
    <row r="1247" spans="3:9" ht="15" customHeight="1" x14ac:dyDescent="0.35">
      <c r="C1247" s="18"/>
      <c r="D1247" s="18"/>
      <c r="E1247" s="18"/>
      <c r="F1247" s="18"/>
      <c r="G1247" s="18"/>
      <c r="H1247" s="18"/>
      <c r="I1247" s="18"/>
    </row>
    <row r="1248" spans="3:9" ht="15" customHeight="1" x14ac:dyDescent="0.35">
      <c r="C1248" s="18"/>
      <c r="D1248" s="18"/>
      <c r="E1248" s="18"/>
      <c r="F1248" s="18"/>
      <c r="G1248" s="18"/>
      <c r="H1248" s="18"/>
      <c r="I1248" s="18"/>
    </row>
    <row r="1249" spans="3:9" ht="15" customHeight="1" x14ac:dyDescent="0.35">
      <c r="C1249" s="18"/>
      <c r="D1249" s="18"/>
      <c r="E1249" s="18"/>
      <c r="F1249" s="18"/>
      <c r="G1249" s="18"/>
      <c r="H1249" s="18"/>
      <c r="I1249" s="18"/>
    </row>
    <row r="1250" spans="3:9" ht="15" customHeight="1" x14ac:dyDescent="0.35">
      <c r="C1250" s="18"/>
      <c r="D1250" s="18"/>
      <c r="E1250" s="18"/>
      <c r="F1250" s="18"/>
      <c r="G1250" s="18"/>
      <c r="H1250" s="18"/>
      <c r="I1250" s="18"/>
    </row>
    <row r="1251" spans="3:9" ht="15" customHeight="1" x14ac:dyDescent="0.35">
      <c r="C1251" s="18"/>
      <c r="D1251" s="18"/>
      <c r="E1251" s="18"/>
      <c r="F1251" s="18"/>
      <c r="G1251" s="18"/>
      <c r="H1251" s="18"/>
      <c r="I1251" s="18"/>
    </row>
    <row r="1252" spans="3:9" ht="15" customHeight="1" x14ac:dyDescent="0.35">
      <c r="C1252" s="18"/>
      <c r="D1252" s="18"/>
      <c r="E1252" s="18"/>
      <c r="F1252" s="18"/>
      <c r="G1252" s="18"/>
      <c r="H1252" s="18"/>
      <c r="I1252" s="18"/>
    </row>
    <row r="1253" spans="3:9" ht="15" customHeight="1" x14ac:dyDescent="0.35">
      <c r="C1253" s="18"/>
      <c r="D1253" s="18"/>
      <c r="E1253" s="18"/>
      <c r="F1253" s="18"/>
      <c r="G1253" s="18"/>
      <c r="H1253" s="18"/>
      <c r="I1253" s="18"/>
    </row>
    <row r="1254" spans="3:9" ht="15" customHeight="1" x14ac:dyDescent="0.35">
      <c r="C1254" s="18"/>
      <c r="D1254" s="18"/>
      <c r="E1254" s="18"/>
      <c r="F1254" s="18"/>
      <c r="G1254" s="18"/>
      <c r="H1254" s="18"/>
      <c r="I1254" s="18"/>
    </row>
    <row r="1255" spans="3:9" ht="15" customHeight="1" x14ac:dyDescent="0.35">
      <c r="C1255" s="18"/>
      <c r="D1255" s="18"/>
      <c r="E1255" s="18"/>
      <c r="F1255" s="18"/>
      <c r="G1255" s="18"/>
      <c r="H1255" s="18"/>
      <c r="I1255" s="18"/>
    </row>
    <row r="1256" spans="3:9" ht="15" customHeight="1" x14ac:dyDescent="0.35">
      <c r="C1256" s="18"/>
      <c r="D1256" s="18"/>
      <c r="E1256" s="18"/>
      <c r="F1256" s="18"/>
      <c r="G1256" s="18"/>
      <c r="H1256" s="18"/>
      <c r="I1256" s="18"/>
    </row>
    <row r="1257" spans="3:9" ht="15" customHeight="1" x14ac:dyDescent="0.35">
      <c r="C1257" s="18"/>
      <c r="D1257" s="18"/>
      <c r="E1257" s="18"/>
      <c r="F1257" s="18"/>
      <c r="G1257" s="18"/>
      <c r="H1257" s="18"/>
      <c r="I1257" s="18"/>
    </row>
    <row r="1258" spans="3:9" ht="15" customHeight="1" x14ac:dyDescent="0.35">
      <c r="C1258" s="18"/>
      <c r="D1258" s="18"/>
      <c r="E1258" s="18"/>
      <c r="F1258" s="18"/>
      <c r="G1258" s="18"/>
      <c r="H1258" s="18"/>
      <c r="I1258" s="18"/>
    </row>
    <row r="1259" spans="3:9" ht="15" customHeight="1" x14ac:dyDescent="0.35">
      <c r="C1259" s="18"/>
      <c r="D1259" s="18"/>
      <c r="E1259" s="18"/>
      <c r="F1259" s="18"/>
      <c r="G1259" s="18"/>
      <c r="H1259" s="18"/>
      <c r="I1259" s="18"/>
    </row>
    <row r="1260" spans="3:9" ht="15" customHeight="1" x14ac:dyDescent="0.35">
      <c r="C1260" s="18"/>
      <c r="D1260" s="18"/>
      <c r="E1260" s="18"/>
      <c r="F1260" s="18"/>
      <c r="G1260" s="18"/>
      <c r="H1260" s="18"/>
      <c r="I1260" s="18"/>
    </row>
    <row r="1261" spans="3:9" ht="15" customHeight="1" x14ac:dyDescent="0.35">
      <c r="C1261" s="18"/>
      <c r="D1261" s="18"/>
      <c r="E1261" s="18"/>
      <c r="F1261" s="18"/>
      <c r="G1261" s="18"/>
      <c r="H1261" s="18"/>
      <c r="I1261" s="18"/>
    </row>
    <row r="1262" spans="3:9" ht="15" customHeight="1" x14ac:dyDescent="0.35">
      <c r="C1262" s="18"/>
      <c r="D1262" s="18"/>
      <c r="E1262" s="18"/>
      <c r="F1262" s="18"/>
      <c r="G1262" s="18"/>
      <c r="H1262" s="18"/>
      <c r="I1262" s="18"/>
    </row>
    <row r="1263" spans="3:9" ht="15" customHeight="1" x14ac:dyDescent="0.35">
      <c r="C1263" s="18"/>
      <c r="D1263" s="18"/>
      <c r="E1263" s="18"/>
      <c r="F1263" s="18"/>
      <c r="G1263" s="18"/>
      <c r="H1263" s="18"/>
      <c r="I1263" s="18"/>
    </row>
    <row r="1264" spans="3:9" ht="15" customHeight="1" x14ac:dyDescent="0.35">
      <c r="C1264" s="18"/>
      <c r="D1264" s="18"/>
      <c r="E1264" s="18"/>
      <c r="F1264" s="18"/>
      <c r="G1264" s="18"/>
      <c r="H1264" s="18"/>
      <c r="I1264" s="18"/>
    </row>
    <row r="1265" spans="3:9" ht="15" customHeight="1" x14ac:dyDescent="0.35">
      <c r="C1265" s="18"/>
      <c r="D1265" s="18"/>
      <c r="E1265" s="18"/>
      <c r="F1265" s="18"/>
      <c r="G1265" s="18"/>
      <c r="H1265" s="18"/>
      <c r="I1265" s="18"/>
    </row>
    <row r="1266" spans="3:9" ht="15" customHeight="1" x14ac:dyDescent="0.35">
      <c r="C1266" s="18"/>
      <c r="D1266" s="18"/>
      <c r="E1266" s="18"/>
      <c r="F1266" s="18"/>
      <c r="G1266" s="18"/>
      <c r="H1266" s="18"/>
      <c r="I1266" s="18"/>
    </row>
    <row r="1267" spans="3:9" ht="15" customHeight="1" x14ac:dyDescent="0.35">
      <c r="C1267" s="18"/>
      <c r="D1267" s="18"/>
      <c r="E1267" s="18"/>
      <c r="F1267" s="18"/>
      <c r="G1267" s="18"/>
      <c r="H1267" s="18"/>
      <c r="I1267" s="18"/>
    </row>
    <row r="1268" spans="3:9" ht="15" customHeight="1" x14ac:dyDescent="0.35">
      <c r="C1268" s="18"/>
      <c r="D1268" s="18"/>
      <c r="E1268" s="18"/>
      <c r="F1268" s="18"/>
      <c r="G1268" s="18"/>
      <c r="H1268" s="18"/>
      <c r="I1268" s="18"/>
    </row>
    <row r="1269" spans="3:9" ht="15" customHeight="1" x14ac:dyDescent="0.35">
      <c r="C1269" s="18"/>
      <c r="D1269" s="18"/>
      <c r="E1269" s="18"/>
      <c r="F1269" s="18"/>
      <c r="G1269" s="18"/>
      <c r="H1269" s="18"/>
      <c r="I1269" s="18"/>
    </row>
    <row r="1270" spans="3:9" ht="15" customHeight="1" x14ac:dyDescent="0.35">
      <c r="C1270" s="18"/>
      <c r="D1270" s="18"/>
      <c r="E1270" s="18"/>
      <c r="F1270" s="18"/>
      <c r="G1270" s="18"/>
      <c r="H1270" s="18"/>
      <c r="I1270" s="18"/>
    </row>
    <row r="1271" spans="3:9" ht="15" customHeight="1" x14ac:dyDescent="0.35">
      <c r="C1271" s="18"/>
      <c r="D1271" s="18"/>
      <c r="E1271" s="18"/>
      <c r="F1271" s="18"/>
      <c r="G1271" s="18"/>
      <c r="H1271" s="18"/>
      <c r="I1271" s="18"/>
    </row>
    <row r="1272" spans="3:9" ht="15" customHeight="1" x14ac:dyDescent="0.35">
      <c r="C1272" s="18"/>
      <c r="D1272" s="18"/>
      <c r="E1272" s="18"/>
      <c r="F1272" s="18"/>
      <c r="G1272" s="18"/>
      <c r="H1272" s="18"/>
      <c r="I1272" s="18"/>
    </row>
    <row r="1273" spans="3:9" ht="15" customHeight="1" x14ac:dyDescent="0.35">
      <c r="C1273" s="18"/>
      <c r="D1273" s="18"/>
      <c r="E1273" s="18"/>
      <c r="F1273" s="18"/>
      <c r="G1273" s="18"/>
      <c r="H1273" s="18"/>
      <c r="I1273" s="18"/>
    </row>
    <row r="1274" spans="3:9" ht="15" customHeight="1" x14ac:dyDescent="0.35">
      <c r="C1274" s="18"/>
      <c r="D1274" s="18"/>
      <c r="E1274" s="18"/>
      <c r="F1274" s="18"/>
      <c r="G1274" s="18"/>
      <c r="H1274" s="18"/>
      <c r="I1274" s="18"/>
    </row>
    <row r="1275" spans="3:9" ht="15" customHeight="1" x14ac:dyDescent="0.35">
      <c r="C1275" s="18"/>
      <c r="D1275" s="18"/>
      <c r="E1275" s="18"/>
      <c r="F1275" s="18"/>
      <c r="G1275" s="18"/>
      <c r="H1275" s="18"/>
      <c r="I1275" s="18"/>
    </row>
    <row r="1276" spans="3:9" ht="15" customHeight="1" x14ac:dyDescent="0.35">
      <c r="C1276" s="18"/>
      <c r="D1276" s="18"/>
      <c r="E1276" s="18"/>
      <c r="F1276" s="18"/>
      <c r="G1276" s="18"/>
      <c r="H1276" s="18"/>
      <c r="I1276" s="18"/>
    </row>
    <row r="1277" spans="3:9" ht="15" customHeight="1" x14ac:dyDescent="0.35">
      <c r="C1277" s="18"/>
      <c r="D1277" s="18"/>
      <c r="E1277" s="18"/>
      <c r="F1277" s="18"/>
      <c r="G1277" s="18"/>
      <c r="H1277" s="18"/>
      <c r="I1277" s="18"/>
    </row>
    <row r="1278" spans="3:9" ht="15" customHeight="1" x14ac:dyDescent="0.35">
      <c r="C1278" s="18"/>
      <c r="D1278" s="18"/>
      <c r="E1278" s="18"/>
      <c r="F1278" s="18"/>
      <c r="G1278" s="18"/>
      <c r="H1278" s="18"/>
      <c r="I1278" s="18"/>
    </row>
    <row r="1279" spans="3:9" ht="15" customHeight="1" x14ac:dyDescent="0.35">
      <c r="C1279" s="18"/>
      <c r="D1279" s="18"/>
      <c r="E1279" s="18"/>
      <c r="F1279" s="18"/>
      <c r="G1279" s="18"/>
      <c r="H1279" s="18"/>
      <c r="I1279" s="18"/>
    </row>
    <row r="1280" spans="3:9" ht="15" customHeight="1" x14ac:dyDescent="0.35">
      <c r="C1280" s="18"/>
      <c r="D1280" s="18"/>
      <c r="E1280" s="18"/>
      <c r="F1280" s="18"/>
      <c r="G1280" s="18"/>
      <c r="H1280" s="18"/>
      <c r="I1280" s="18"/>
    </row>
    <row r="1281" spans="3:9" ht="15" customHeight="1" x14ac:dyDescent="0.35">
      <c r="C1281" s="18"/>
      <c r="D1281" s="18"/>
      <c r="E1281" s="18"/>
      <c r="F1281" s="18"/>
      <c r="G1281" s="18"/>
      <c r="H1281" s="18"/>
      <c r="I1281" s="18"/>
    </row>
    <row r="1282" spans="3:9" ht="15" customHeight="1" x14ac:dyDescent="0.35">
      <c r="C1282" s="18"/>
      <c r="D1282" s="18"/>
      <c r="E1282" s="18"/>
      <c r="F1282" s="18"/>
      <c r="G1282" s="18"/>
      <c r="H1282" s="18"/>
      <c r="I1282" s="18"/>
    </row>
  </sheetData>
  <mergeCells count="52">
    <mergeCell ref="A1:K1"/>
    <mergeCell ref="A56:Q56"/>
    <mergeCell ref="A57:Q57"/>
    <mergeCell ref="J100:Q100"/>
    <mergeCell ref="S83:W83"/>
    <mergeCell ref="O77:Q77"/>
    <mergeCell ref="B2:C2"/>
    <mergeCell ref="F2:G2"/>
    <mergeCell ref="J2:K2"/>
    <mergeCell ref="S80:W80"/>
    <mergeCell ref="S81:W81"/>
    <mergeCell ref="S82:W82"/>
    <mergeCell ref="O78:Q78"/>
    <mergeCell ref="S64:W64"/>
    <mergeCell ref="T78:W78"/>
    <mergeCell ref="S59:W59"/>
    <mergeCell ref="A65:K65"/>
    <mergeCell ref="B66:C66"/>
    <mergeCell ref="F66:G66"/>
    <mergeCell ref="S108:W108"/>
    <mergeCell ref="S105:W105"/>
    <mergeCell ref="S106:W106"/>
    <mergeCell ref="S107:W107"/>
    <mergeCell ref="S92:W92"/>
    <mergeCell ref="S97:W97"/>
    <mergeCell ref="S98:W98"/>
    <mergeCell ref="S99:W99"/>
    <mergeCell ref="S100:W100"/>
    <mergeCell ref="S101:W101"/>
    <mergeCell ref="S102:W102"/>
    <mergeCell ref="J101:Q101"/>
    <mergeCell ref="S90:W90"/>
    <mergeCell ref="S91:W91"/>
    <mergeCell ref="V67:W67"/>
    <mergeCell ref="T67:U67"/>
    <mergeCell ref="I118:M118"/>
    <mergeCell ref="I99:Q99"/>
    <mergeCell ref="I98:Q98"/>
    <mergeCell ref="I107:Q107"/>
    <mergeCell ref="I112:Q112"/>
    <mergeCell ref="I97:Q97"/>
    <mergeCell ref="I108:Q108"/>
    <mergeCell ref="I109:Q109"/>
    <mergeCell ref="I110:Q110"/>
    <mergeCell ref="I111:Q111"/>
    <mergeCell ref="S109:W109"/>
    <mergeCell ref="S89:W89"/>
    <mergeCell ref="A119:Q119"/>
    <mergeCell ref="A120:Q120"/>
    <mergeCell ref="I66:K66"/>
    <mergeCell ref="I78:L78"/>
    <mergeCell ref="I80:K80"/>
  </mergeCells>
  <conditionalFormatting sqref="T73">
    <cfRule type="expression" dxfId="209" priority="117">
      <formula>#REF!="3rd"</formula>
    </cfRule>
  </conditionalFormatting>
  <conditionalFormatting sqref="T74">
    <cfRule type="expression" dxfId="208" priority="118">
      <formula>#REF!="2nd"</formula>
    </cfRule>
  </conditionalFormatting>
  <conditionalFormatting sqref="T75">
    <cfRule type="expression" dxfId="207" priority="119">
      <formula>#REF!="1st"</formula>
    </cfRule>
  </conditionalFormatting>
  <conditionalFormatting sqref="T71">
    <cfRule type="expression" dxfId="206" priority="120">
      <formula>#REF!="KO"</formula>
    </cfRule>
  </conditionalFormatting>
  <conditionalFormatting sqref="T72">
    <cfRule type="expression" dxfId="205" priority="122">
      <formula>#REF!="QF"</formula>
    </cfRule>
  </conditionalFormatting>
  <conditionalFormatting sqref="V71">
    <cfRule type="expression" dxfId="204" priority="123">
      <formula>#REF!="KO"</formula>
    </cfRule>
  </conditionalFormatting>
  <conditionalFormatting sqref="V72">
    <cfRule type="expression" dxfId="203" priority="124">
      <formula>#REF!="QF"</formula>
    </cfRule>
  </conditionalFormatting>
  <conditionalFormatting sqref="V73">
    <cfRule type="expression" dxfId="202" priority="126">
      <formula>#REF!="3rd"</formula>
    </cfRule>
  </conditionalFormatting>
  <conditionalFormatting sqref="V74">
    <cfRule type="expression" dxfId="201" priority="127">
      <formula>#REF!="2nd"</formula>
    </cfRule>
  </conditionalFormatting>
  <conditionalFormatting sqref="V75">
    <cfRule type="expression" dxfId="200" priority="128">
      <formula>#REF!="1st"</formula>
    </cfRule>
  </conditionalFormatting>
  <conditionalFormatting sqref="J34">
    <cfRule type="expression" dxfId="199" priority="129">
      <formula>#REF!="3rd"</formula>
    </cfRule>
  </conditionalFormatting>
  <conditionalFormatting sqref="J35">
    <cfRule type="expression" dxfId="198" priority="130">
      <formula>#REF!="2nd"</formula>
    </cfRule>
  </conditionalFormatting>
  <conditionalFormatting sqref="J36 F36 F38:F41 F46 F48:F50">
    <cfRule type="expression" dxfId="197" priority="131">
      <formula>#REF!="1st"</formula>
    </cfRule>
  </conditionalFormatting>
  <conditionalFormatting sqref="J39">
    <cfRule type="expression" dxfId="196" priority="132">
      <formula>#REF!="3rd"</formula>
    </cfRule>
  </conditionalFormatting>
  <conditionalFormatting sqref="J40">
    <cfRule type="expression" dxfId="195" priority="133">
      <formula>#REF!="2nd"</formula>
    </cfRule>
  </conditionalFormatting>
  <conditionalFormatting sqref="J41">
    <cfRule type="expression" dxfId="194" priority="134">
      <formula>#REF!="1st"</formula>
    </cfRule>
  </conditionalFormatting>
  <conditionalFormatting sqref="F36 F38:F41 F46 F48:F50">
    <cfRule type="expression" dxfId="193" priority="135">
      <formula>#REF!="SF"</formula>
    </cfRule>
  </conditionalFormatting>
  <conditionalFormatting sqref="F38">
    <cfRule type="expression" dxfId="192" priority="88">
      <formula>#REF!="SF"</formula>
    </cfRule>
  </conditionalFormatting>
  <conditionalFormatting sqref="J24">
    <cfRule type="expression" dxfId="191" priority="43">
      <formula>#REF!="1st"</formula>
    </cfRule>
  </conditionalFormatting>
  <conditionalFormatting sqref="F38">
    <cfRule type="expression" dxfId="190" priority="89">
      <formula>#REF!="3rd"</formula>
    </cfRule>
  </conditionalFormatting>
  <conditionalFormatting sqref="F39">
    <cfRule type="expression" dxfId="189" priority="90">
      <formula>#REF!="2nd"</formula>
    </cfRule>
  </conditionalFormatting>
  <conditionalFormatting sqref="F40">
    <cfRule type="expression" dxfId="188" priority="91">
      <formula>#REF!="1st"</formula>
    </cfRule>
  </conditionalFormatting>
  <conditionalFormatting sqref="F39">
    <cfRule type="expression" dxfId="187" priority="85">
      <formula>#REF!="3rd"</formula>
    </cfRule>
  </conditionalFormatting>
  <conditionalFormatting sqref="F40">
    <cfRule type="expression" dxfId="186" priority="86">
      <formula>#REF!="2nd"</formula>
    </cfRule>
  </conditionalFormatting>
  <conditionalFormatting sqref="F35">
    <cfRule type="expression" dxfId="185" priority="83">
      <formula>#REF!="QF"</formula>
    </cfRule>
  </conditionalFormatting>
  <conditionalFormatting sqref="F34">
    <cfRule type="expression" dxfId="184" priority="84">
      <formula>#REF!="KO"</formula>
    </cfRule>
  </conditionalFormatting>
  <conditionalFormatting sqref="F34">
    <cfRule type="expression" dxfId="183" priority="79">
      <formula>#REF!="3rd"</formula>
    </cfRule>
  </conditionalFormatting>
  <conditionalFormatting sqref="F35">
    <cfRule type="expression" dxfId="182" priority="80">
      <formula>#REF!="2nd"</formula>
    </cfRule>
  </conditionalFormatting>
  <conditionalFormatting sqref="G51">
    <cfRule type="expression" dxfId="181" priority="77">
      <formula>#REF!="1st"</formula>
    </cfRule>
  </conditionalFormatting>
  <conditionalFormatting sqref="G51">
    <cfRule type="expression" dxfId="180" priority="78">
      <formula>#REF!="SF"</formula>
    </cfRule>
  </conditionalFormatting>
  <conditionalFormatting sqref="J43">
    <cfRule type="expression" dxfId="179" priority="71">
      <formula>#REF!="1st"</formula>
    </cfRule>
  </conditionalFormatting>
  <conditionalFormatting sqref="J43">
    <cfRule type="expression" dxfId="178" priority="72">
      <formula>#REF!="SF"</formula>
    </cfRule>
  </conditionalFormatting>
  <conditionalFormatting sqref="J42">
    <cfRule type="expression" dxfId="177" priority="69">
      <formula>#REF!="1st"</formula>
    </cfRule>
  </conditionalFormatting>
  <conditionalFormatting sqref="J42">
    <cfRule type="expression" dxfId="176" priority="70">
      <formula>#REF!="SF"</formula>
    </cfRule>
  </conditionalFormatting>
  <conditionalFormatting sqref="K42">
    <cfRule type="expression" dxfId="175" priority="67">
      <formula>#REF!="1st"</formula>
    </cfRule>
  </conditionalFormatting>
  <conditionalFormatting sqref="K42">
    <cfRule type="expression" dxfId="174" priority="68">
      <formula>#REF!="SF"</formula>
    </cfRule>
  </conditionalFormatting>
  <conditionalFormatting sqref="K37">
    <cfRule type="expression" dxfId="173" priority="65">
      <formula>#REF!="1st"</formula>
    </cfRule>
  </conditionalFormatting>
  <conditionalFormatting sqref="K37">
    <cfRule type="expression" dxfId="172" priority="66">
      <formula>#REF!="SF"</formula>
    </cfRule>
  </conditionalFormatting>
  <conditionalFormatting sqref="J37">
    <cfRule type="expression" dxfId="171" priority="63">
      <formula>#REF!="1st"</formula>
    </cfRule>
  </conditionalFormatting>
  <conditionalFormatting sqref="J37">
    <cfRule type="expression" dxfId="170" priority="64">
      <formula>#REF!="SF"</formula>
    </cfRule>
  </conditionalFormatting>
  <conditionalFormatting sqref="G32">
    <cfRule type="expression" dxfId="169" priority="59">
      <formula>#REF!="1st"</formula>
    </cfRule>
  </conditionalFormatting>
  <conditionalFormatting sqref="G32">
    <cfRule type="expression" dxfId="168" priority="60">
      <formula>#REF!="SF"</formula>
    </cfRule>
  </conditionalFormatting>
  <conditionalFormatting sqref="J32">
    <cfRule type="expression" dxfId="167" priority="57">
      <formula>#REF!="1st"</formula>
    </cfRule>
  </conditionalFormatting>
  <conditionalFormatting sqref="J32">
    <cfRule type="expression" dxfId="166" priority="58">
      <formula>#REF!="SF"</formula>
    </cfRule>
  </conditionalFormatting>
  <conditionalFormatting sqref="K32">
    <cfRule type="expression" dxfId="165" priority="55">
      <formula>#REF!="1st"</formula>
    </cfRule>
  </conditionalFormatting>
  <conditionalFormatting sqref="K32">
    <cfRule type="expression" dxfId="164" priority="56">
      <formula>#REF!="SF"</formula>
    </cfRule>
  </conditionalFormatting>
  <conditionalFormatting sqref="G29">
    <cfRule type="expression" dxfId="163" priority="53">
      <formula>#REF!="1st"</formula>
    </cfRule>
  </conditionalFormatting>
  <conditionalFormatting sqref="G29">
    <cfRule type="expression" dxfId="162" priority="54">
      <formula>#REF!="SF"</formula>
    </cfRule>
  </conditionalFormatting>
  <conditionalFormatting sqref="G26">
    <cfRule type="expression" dxfId="161" priority="51">
      <formula>#REF!="1st"</formula>
    </cfRule>
  </conditionalFormatting>
  <conditionalFormatting sqref="G26">
    <cfRule type="expression" dxfId="160" priority="52">
      <formula>#REF!="SF"</formula>
    </cfRule>
  </conditionalFormatting>
  <conditionalFormatting sqref="J26">
    <cfRule type="expression" dxfId="159" priority="49">
      <formula>#REF!="1st"</formula>
    </cfRule>
  </conditionalFormatting>
  <conditionalFormatting sqref="J26">
    <cfRule type="expression" dxfId="158" priority="50">
      <formula>#REF!="SF"</formula>
    </cfRule>
  </conditionalFormatting>
  <conditionalFormatting sqref="K26">
    <cfRule type="expression" dxfId="157" priority="47">
      <formula>#REF!="1st"</formula>
    </cfRule>
  </conditionalFormatting>
  <conditionalFormatting sqref="K26">
    <cfRule type="expression" dxfId="156" priority="48">
      <formula>#REF!="SF"</formula>
    </cfRule>
  </conditionalFormatting>
  <conditionalFormatting sqref="K24">
    <cfRule type="expression" dxfId="155" priority="45">
      <formula>#REF!="1st"</formula>
    </cfRule>
  </conditionalFormatting>
  <conditionalFormatting sqref="K24">
    <cfRule type="expression" dxfId="154" priority="46">
      <formula>#REF!="SF"</formula>
    </cfRule>
  </conditionalFormatting>
  <conditionalFormatting sqref="J24">
    <cfRule type="expression" dxfId="153" priority="44">
      <formula>#REF!="SF"</formula>
    </cfRule>
  </conditionalFormatting>
  <conditionalFormatting sqref="G24">
    <cfRule type="expression" dxfId="152" priority="41">
      <formula>#REF!="1st"</formula>
    </cfRule>
  </conditionalFormatting>
  <conditionalFormatting sqref="G24">
    <cfRule type="expression" dxfId="151" priority="42">
      <formula>#REF!="SF"</formula>
    </cfRule>
  </conditionalFormatting>
  <conditionalFormatting sqref="G18">
    <cfRule type="expression" dxfId="150" priority="37">
      <formula>#REF!="1st"</formula>
    </cfRule>
  </conditionalFormatting>
  <conditionalFormatting sqref="G18">
    <cfRule type="expression" dxfId="149" priority="38">
      <formula>#REF!="SF"</formula>
    </cfRule>
  </conditionalFormatting>
  <conditionalFormatting sqref="K18">
    <cfRule type="expression" dxfId="148" priority="35">
      <formula>#REF!="1st"</formula>
    </cfRule>
  </conditionalFormatting>
  <conditionalFormatting sqref="K18">
    <cfRule type="expression" dxfId="147" priority="36">
      <formula>#REF!="SF"</formula>
    </cfRule>
  </conditionalFormatting>
  <conditionalFormatting sqref="K15:K16">
    <cfRule type="expression" dxfId="146" priority="33">
      <formula>#REF!="1st"</formula>
    </cfRule>
  </conditionalFormatting>
  <conditionalFormatting sqref="K15:K16">
    <cfRule type="expression" dxfId="145" priority="34">
      <formula>#REF!="SF"</formula>
    </cfRule>
  </conditionalFormatting>
  <conditionalFormatting sqref="J15">
    <cfRule type="expression" dxfId="144" priority="31">
      <formula>#REF!="1st"</formula>
    </cfRule>
  </conditionalFormatting>
  <conditionalFormatting sqref="J15">
    <cfRule type="expression" dxfId="143" priority="32">
      <formula>#REF!="SF"</formula>
    </cfRule>
  </conditionalFormatting>
  <conditionalFormatting sqref="G15:G16">
    <cfRule type="expression" dxfId="142" priority="29">
      <formula>#REF!="1st"</formula>
    </cfRule>
  </conditionalFormatting>
  <conditionalFormatting sqref="G15:G16">
    <cfRule type="expression" dxfId="141" priority="30">
      <formula>#REF!="SF"</formula>
    </cfRule>
  </conditionalFormatting>
  <conditionalFormatting sqref="B48">
    <cfRule type="expression" dxfId="140" priority="13">
      <formula>#REF!="1st"</formula>
    </cfRule>
  </conditionalFormatting>
  <conditionalFormatting sqref="B48">
    <cfRule type="expression" dxfId="139" priority="14">
      <formula>#REF!="SF"</formula>
    </cfRule>
  </conditionalFormatting>
  <conditionalFormatting sqref="F45">
    <cfRule type="expression" dxfId="138" priority="17">
      <formula>#REF!="1st"</formula>
    </cfRule>
  </conditionalFormatting>
  <conditionalFormatting sqref="F45">
    <cfRule type="expression" dxfId="137" priority="18">
      <formula>#REF!="SF"</formula>
    </cfRule>
  </conditionalFormatting>
  <conditionalFormatting sqref="B44">
    <cfRule type="expression" dxfId="136" priority="15">
      <formula>#REF!="1st"</formula>
    </cfRule>
  </conditionalFormatting>
  <conditionalFormatting sqref="B44">
    <cfRule type="expression" dxfId="135" priority="16">
      <formula>#REF!="SF"</formula>
    </cfRule>
  </conditionalFormatting>
  <conditionalFormatting sqref="F44">
    <cfRule type="expression" dxfId="134" priority="11">
      <formula>#REF!="1st"</formula>
    </cfRule>
  </conditionalFormatting>
  <conditionalFormatting sqref="F44">
    <cfRule type="expression" dxfId="133" priority="12">
      <formula>#REF!="SF"</formula>
    </cfRule>
  </conditionalFormatting>
  <conditionalFormatting sqref="J44:J50">
    <cfRule type="expression" dxfId="132" priority="9">
      <formula>#REF!="1st"</formula>
    </cfRule>
  </conditionalFormatting>
  <conditionalFormatting sqref="J44:J50">
    <cfRule type="expression" dxfId="131" priority="10">
      <formula>#REF!="SF"</formula>
    </cfRule>
  </conditionalFormatting>
  <hyperlinks>
    <hyperlink ref="A57" r:id="rId1" xr:uid="{1D1452E1-B486-4CCC-A97E-5A89F01AEAD7}"/>
    <hyperlink ref="A120" r:id="rId2" xr:uid="{5E0FE8EF-5D51-430B-A00F-334F0D67EFF5}"/>
    <hyperlink ref="I78" r:id="rId3" xr:uid="{47B4A6C9-68FC-4285-92B1-50D22C22F1D9}"/>
  </hyperlinks>
  <pageMargins left="0.7" right="0.7" top="0.75" bottom="0.75" header="0" footer="0"/>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5F539-A1A5-46D9-8BA6-47804B74E0B3}">
  <sheetPr>
    <pageSetUpPr fitToPage="1"/>
  </sheetPr>
  <dimension ref="A1:M53"/>
  <sheetViews>
    <sheetView workbookViewId="0">
      <selection activeCell="A32" sqref="A32"/>
    </sheetView>
  </sheetViews>
  <sheetFormatPr defaultRowHeight="12.75" x14ac:dyDescent="0.35"/>
  <cols>
    <col min="1" max="1" width="5.19921875" style="37" customWidth="1"/>
    <col min="2" max="2" width="9.06640625" style="37"/>
    <col min="3" max="3" width="10.9296875" style="37" customWidth="1"/>
    <col min="4" max="4" width="9.1328125" style="37" bestFit="1" customWidth="1"/>
    <col min="5" max="5" width="13.46484375" style="37" customWidth="1"/>
    <col min="6" max="6" width="14.1328125" style="37" customWidth="1"/>
    <col min="7" max="7" width="11.6640625" style="37" customWidth="1"/>
    <col min="8" max="8" width="13.1328125" style="37" customWidth="1"/>
    <col min="9" max="9" width="7.796875" style="37" customWidth="1"/>
    <col min="10" max="10" width="13.86328125" style="37" customWidth="1"/>
    <col min="11" max="11" width="11.46484375" style="37" customWidth="1"/>
    <col min="12" max="12" width="12" style="37" customWidth="1"/>
    <col min="13" max="13" width="33.46484375" style="37" customWidth="1"/>
  </cols>
  <sheetData>
    <row r="1" spans="1:13" s="38" customFormat="1" ht="17.649999999999999" x14ac:dyDescent="0.5">
      <c r="A1" s="893" t="s">
        <v>269</v>
      </c>
      <c r="B1" s="893"/>
      <c r="C1" s="893"/>
      <c r="D1" s="893"/>
      <c r="E1" s="893"/>
      <c r="F1" s="893"/>
      <c r="G1" s="893"/>
      <c r="H1" s="893"/>
      <c r="I1" s="893"/>
      <c r="J1" s="893"/>
      <c r="K1" s="893"/>
      <c r="L1" s="893"/>
      <c r="M1" s="198"/>
    </row>
    <row r="2" spans="1:13" s="38" customFormat="1" x14ac:dyDescent="0.35">
      <c r="A2" s="894" t="s">
        <v>363</v>
      </c>
      <c r="B2" s="894"/>
      <c r="C2" s="894"/>
      <c r="D2" s="894"/>
      <c r="E2" s="894"/>
      <c r="F2" s="894"/>
      <c r="G2" s="894"/>
      <c r="H2" s="894"/>
      <c r="I2" s="894"/>
      <c r="J2" s="894"/>
      <c r="K2" s="894"/>
      <c r="L2" s="894"/>
      <c r="M2" s="198"/>
    </row>
    <row r="3" spans="1:13" s="38" customFormat="1" x14ac:dyDescent="0.35">
      <c r="A3" s="895" t="s">
        <v>365</v>
      </c>
      <c r="B3" s="895"/>
      <c r="C3" s="895"/>
      <c r="D3" s="895"/>
      <c r="E3" s="895"/>
      <c r="F3" s="895"/>
      <c r="G3" s="895"/>
      <c r="H3" s="895"/>
      <c r="I3" s="895"/>
      <c r="J3" s="895"/>
      <c r="K3" s="895"/>
      <c r="L3" s="895"/>
    </row>
    <row r="4" spans="1:13" s="38" customFormat="1" x14ac:dyDescent="0.35">
      <c r="A4" s="894" t="s">
        <v>270</v>
      </c>
      <c r="B4" s="894"/>
      <c r="C4" s="894"/>
      <c r="D4" s="894"/>
      <c r="E4" s="894"/>
      <c r="F4" s="894"/>
      <c r="G4" s="894"/>
      <c r="H4" s="894"/>
      <c r="I4" s="894"/>
      <c r="J4" s="894"/>
      <c r="K4" s="894"/>
      <c r="L4" s="894"/>
      <c r="M4" s="198"/>
    </row>
    <row r="5" spans="1:13" s="38" customFormat="1" x14ac:dyDescent="0.35">
      <c r="A5" s="896" t="s">
        <v>366</v>
      </c>
      <c r="B5" s="896"/>
      <c r="C5" s="896"/>
      <c r="D5" s="896"/>
      <c r="E5" s="896"/>
      <c r="F5" s="896"/>
      <c r="G5" s="896"/>
      <c r="H5" s="896"/>
      <c r="I5" s="896"/>
      <c r="J5" s="896"/>
      <c r="K5" s="896"/>
      <c r="L5" s="896"/>
      <c r="M5" s="198"/>
    </row>
    <row r="6" spans="1:13" x14ac:dyDescent="0.35">
      <c r="A6" s="199"/>
      <c r="B6" s="199"/>
      <c r="C6" s="199"/>
      <c r="D6" s="199"/>
      <c r="E6" s="199"/>
      <c r="F6" s="199"/>
      <c r="G6" s="199"/>
      <c r="H6" s="199"/>
      <c r="I6" s="200" t="s">
        <v>207</v>
      </c>
      <c r="J6" s="200"/>
      <c r="K6" s="201"/>
      <c r="L6" s="201"/>
      <c r="M6" s="199"/>
    </row>
    <row r="7" spans="1:13" s="32" customFormat="1" ht="13.15" x14ac:dyDescent="0.4">
      <c r="A7" s="35" t="s">
        <v>185</v>
      </c>
      <c r="B7" s="35" t="s">
        <v>194</v>
      </c>
      <c r="C7" s="35" t="s">
        <v>213</v>
      </c>
      <c r="D7" s="35" t="s">
        <v>196</v>
      </c>
      <c r="E7" s="35" t="s">
        <v>197</v>
      </c>
      <c r="F7" s="35" t="s">
        <v>214</v>
      </c>
      <c r="G7" s="35" t="s">
        <v>200</v>
      </c>
      <c r="H7" s="35" t="s">
        <v>215</v>
      </c>
      <c r="I7" s="200" t="s">
        <v>213</v>
      </c>
      <c r="J7" s="200" t="s">
        <v>210</v>
      </c>
      <c r="K7" s="200" t="s">
        <v>197</v>
      </c>
      <c r="L7" s="200" t="s">
        <v>215</v>
      </c>
      <c r="M7" s="35" t="s">
        <v>364</v>
      </c>
    </row>
    <row r="8" spans="1:13" x14ac:dyDescent="0.35">
      <c r="A8" s="199" t="s">
        <v>186</v>
      </c>
      <c r="B8" s="199" t="s">
        <v>195</v>
      </c>
      <c r="C8" s="202">
        <v>20000</v>
      </c>
      <c r="D8" s="203">
        <v>55</v>
      </c>
      <c r="E8" s="203">
        <v>1100000</v>
      </c>
      <c r="F8" s="203">
        <v>-379251</v>
      </c>
      <c r="G8" s="203">
        <v>-517609</v>
      </c>
      <c r="H8" s="204">
        <f>E8+F8+G8</f>
        <v>203140</v>
      </c>
      <c r="I8" s="205">
        <v>11882</v>
      </c>
      <c r="J8" s="205">
        <f>G8+F8</f>
        <v>-896860</v>
      </c>
      <c r="K8" s="206">
        <f>I8*D8</f>
        <v>653510</v>
      </c>
      <c r="L8" s="207">
        <f>K8+J8</f>
        <v>-243350</v>
      </c>
      <c r="M8" s="199"/>
    </row>
    <row r="9" spans="1:13" x14ac:dyDescent="0.35">
      <c r="A9" s="199" t="s">
        <v>187</v>
      </c>
      <c r="B9" s="199" t="s">
        <v>195</v>
      </c>
      <c r="C9" s="202">
        <v>17000</v>
      </c>
      <c r="D9" s="203">
        <v>60</v>
      </c>
      <c r="E9" s="203">
        <v>1020000</v>
      </c>
      <c r="F9" s="203">
        <v>-371201</v>
      </c>
      <c r="G9" s="203">
        <v>-601983</v>
      </c>
      <c r="H9" s="204">
        <f t="shared" ref="H9:H22" si="0">E9+F9+G9</f>
        <v>46816</v>
      </c>
      <c r="I9" s="205">
        <v>0</v>
      </c>
      <c r="J9" s="205"/>
      <c r="K9" s="206">
        <f>I9*D9</f>
        <v>0</v>
      </c>
      <c r="L9" s="207">
        <f t="shared" ref="L9:L22" si="1">K9+J9</f>
        <v>0</v>
      </c>
      <c r="M9" s="199" t="s">
        <v>208</v>
      </c>
    </row>
    <row r="10" spans="1:13" x14ac:dyDescent="0.35">
      <c r="A10" s="199" t="s">
        <v>187</v>
      </c>
      <c r="B10" s="199" t="s">
        <v>198</v>
      </c>
      <c r="C10" s="199"/>
      <c r="D10" s="203"/>
      <c r="E10" s="203">
        <v>75000</v>
      </c>
      <c r="F10" s="203"/>
      <c r="G10" s="203">
        <v>-522468</v>
      </c>
      <c r="H10" s="204">
        <f t="shared" si="0"/>
        <v>-447468</v>
      </c>
      <c r="I10" s="205"/>
      <c r="J10" s="205">
        <f t="shared" ref="J10:J44" si="2">G10+F10</f>
        <v>-522468</v>
      </c>
      <c r="K10" s="206">
        <v>75000</v>
      </c>
      <c r="L10" s="207">
        <f t="shared" si="1"/>
        <v>-447468</v>
      </c>
      <c r="M10" s="199"/>
    </row>
    <row r="11" spans="1:13" x14ac:dyDescent="0.35">
      <c r="A11" s="199" t="s">
        <v>187</v>
      </c>
      <c r="B11" s="199" t="s">
        <v>198</v>
      </c>
      <c r="C11" s="199"/>
      <c r="D11" s="203"/>
      <c r="E11" s="203">
        <v>75000</v>
      </c>
      <c r="F11" s="203"/>
      <c r="G11" s="203">
        <v>-522468</v>
      </c>
      <c r="H11" s="204">
        <f t="shared" si="0"/>
        <v>-447468</v>
      </c>
      <c r="I11" s="205"/>
      <c r="J11" s="205">
        <f t="shared" si="2"/>
        <v>-522468</v>
      </c>
      <c r="K11" s="206">
        <v>75000</v>
      </c>
      <c r="L11" s="207">
        <f t="shared" si="1"/>
        <v>-447468</v>
      </c>
      <c r="M11" s="199"/>
    </row>
    <row r="12" spans="1:13" x14ac:dyDescent="0.35">
      <c r="A12" s="199" t="s">
        <v>188</v>
      </c>
      <c r="B12" s="199" t="s">
        <v>195</v>
      </c>
      <c r="C12" s="202">
        <v>35000</v>
      </c>
      <c r="D12" s="203">
        <v>65</v>
      </c>
      <c r="E12" s="203">
        <v>2275000</v>
      </c>
      <c r="F12" s="203">
        <v>-541499</v>
      </c>
      <c r="G12" s="203">
        <v>-719648</v>
      </c>
      <c r="H12" s="204">
        <f t="shared" si="0"/>
        <v>1013853</v>
      </c>
      <c r="I12" s="205">
        <v>32489</v>
      </c>
      <c r="J12" s="205">
        <f t="shared" si="2"/>
        <v>-1261147</v>
      </c>
      <c r="K12" s="206">
        <f>I12*D12</f>
        <v>2111785</v>
      </c>
      <c r="L12" s="207">
        <f t="shared" si="1"/>
        <v>850638</v>
      </c>
      <c r="M12" s="199"/>
    </row>
    <row r="13" spans="1:13" x14ac:dyDescent="0.35">
      <c r="A13" s="199" t="s">
        <v>188</v>
      </c>
      <c r="B13" s="199" t="s">
        <v>195</v>
      </c>
      <c r="C13" s="202">
        <v>45000</v>
      </c>
      <c r="D13" s="203">
        <v>70</v>
      </c>
      <c r="E13" s="203">
        <v>3150000</v>
      </c>
      <c r="F13" s="203">
        <v>-541499</v>
      </c>
      <c r="G13" s="203">
        <v>-499648</v>
      </c>
      <c r="H13" s="204">
        <f t="shared" si="0"/>
        <v>2108853</v>
      </c>
      <c r="I13" s="205">
        <v>40194</v>
      </c>
      <c r="J13" s="205">
        <f t="shared" si="2"/>
        <v>-1041147</v>
      </c>
      <c r="K13" s="206">
        <f>I13*D13</f>
        <v>2813580</v>
      </c>
      <c r="L13" s="207">
        <f t="shared" si="1"/>
        <v>1772433</v>
      </c>
      <c r="M13" s="199"/>
    </row>
    <row r="14" spans="1:13" x14ac:dyDescent="0.35">
      <c r="A14" s="199" t="s">
        <v>189</v>
      </c>
      <c r="B14" s="199" t="s">
        <v>195</v>
      </c>
      <c r="C14" s="202">
        <v>17000</v>
      </c>
      <c r="D14" s="203">
        <v>45</v>
      </c>
      <c r="E14" s="203">
        <v>765000</v>
      </c>
      <c r="F14" s="203">
        <v>-295544</v>
      </c>
      <c r="G14" s="203">
        <v>-475609</v>
      </c>
      <c r="H14" s="204">
        <f t="shared" si="0"/>
        <v>-6153</v>
      </c>
      <c r="I14" s="205">
        <v>38631</v>
      </c>
      <c r="J14" s="205">
        <f t="shared" si="2"/>
        <v>-771153</v>
      </c>
      <c r="K14" s="206">
        <f>I14*D14</f>
        <v>1738395</v>
      </c>
      <c r="L14" s="207">
        <f t="shared" si="1"/>
        <v>967242</v>
      </c>
      <c r="M14" s="199"/>
    </row>
    <row r="15" spans="1:13" x14ac:dyDescent="0.35">
      <c r="A15" s="199" t="s">
        <v>189</v>
      </c>
      <c r="B15" s="199" t="s">
        <v>195</v>
      </c>
      <c r="C15" s="202">
        <v>17000</v>
      </c>
      <c r="D15" s="203">
        <v>45</v>
      </c>
      <c r="E15" s="203">
        <v>765000</v>
      </c>
      <c r="F15" s="203">
        <v>-295544</v>
      </c>
      <c r="G15" s="203">
        <v>-475609</v>
      </c>
      <c r="H15" s="204">
        <f t="shared" si="0"/>
        <v>-6153</v>
      </c>
      <c r="I15" s="205">
        <v>24959</v>
      </c>
      <c r="J15" s="205">
        <f t="shared" si="2"/>
        <v>-771153</v>
      </c>
      <c r="K15" s="206">
        <f>I15*D15</f>
        <v>1123155</v>
      </c>
      <c r="L15" s="207">
        <f t="shared" si="1"/>
        <v>352002</v>
      </c>
      <c r="M15" s="199"/>
    </row>
    <row r="16" spans="1:13" x14ac:dyDescent="0.35">
      <c r="A16" s="199" t="s">
        <v>190</v>
      </c>
      <c r="B16" s="199" t="s">
        <v>198</v>
      </c>
      <c r="C16" s="199"/>
      <c r="D16" s="203"/>
      <c r="E16" s="203">
        <v>75000</v>
      </c>
      <c r="F16" s="203"/>
      <c r="G16" s="203">
        <v>-433594</v>
      </c>
      <c r="H16" s="204">
        <f t="shared" si="0"/>
        <v>-358594</v>
      </c>
      <c r="I16" s="205"/>
      <c r="J16" s="205">
        <f t="shared" si="2"/>
        <v>-433594</v>
      </c>
      <c r="K16" s="206">
        <v>75000</v>
      </c>
      <c r="L16" s="207">
        <f t="shared" si="1"/>
        <v>-358594</v>
      </c>
      <c r="M16" s="199"/>
    </row>
    <row r="17" spans="1:13" x14ac:dyDescent="0.35">
      <c r="A17" s="199" t="s">
        <v>190</v>
      </c>
      <c r="B17" s="199" t="s">
        <v>198</v>
      </c>
      <c r="C17" s="199"/>
      <c r="D17" s="203"/>
      <c r="E17" s="203">
        <v>75000</v>
      </c>
      <c r="F17" s="203"/>
      <c r="G17" s="203">
        <v>-433594</v>
      </c>
      <c r="H17" s="204">
        <f t="shared" si="0"/>
        <v>-358594</v>
      </c>
      <c r="I17" s="205"/>
      <c r="J17" s="205">
        <f t="shared" si="2"/>
        <v>-433594</v>
      </c>
      <c r="K17" s="206">
        <v>75000</v>
      </c>
      <c r="L17" s="207">
        <f t="shared" si="1"/>
        <v>-358594</v>
      </c>
      <c r="M17" s="199"/>
    </row>
    <row r="18" spans="1:13" x14ac:dyDescent="0.35">
      <c r="A18" s="199" t="s">
        <v>191</v>
      </c>
      <c r="B18" s="199" t="s">
        <v>195</v>
      </c>
      <c r="C18" s="202">
        <v>12000</v>
      </c>
      <c r="D18" s="203">
        <v>45</v>
      </c>
      <c r="E18" s="203">
        <v>540000</v>
      </c>
      <c r="F18" s="203">
        <v>-322904</v>
      </c>
      <c r="G18" s="203">
        <v>-505609</v>
      </c>
      <c r="H18" s="204">
        <f t="shared" si="0"/>
        <v>-288513</v>
      </c>
      <c r="I18" s="205">
        <v>9040</v>
      </c>
      <c r="J18" s="205">
        <f t="shared" si="2"/>
        <v>-828513</v>
      </c>
      <c r="K18" s="206">
        <f>I18*D18</f>
        <v>406800</v>
      </c>
      <c r="L18" s="207">
        <f t="shared" si="1"/>
        <v>-421713</v>
      </c>
      <c r="M18" s="199"/>
    </row>
    <row r="19" spans="1:13" x14ac:dyDescent="0.35">
      <c r="A19" s="199" t="s">
        <v>192</v>
      </c>
      <c r="B19" s="199" t="s">
        <v>195</v>
      </c>
      <c r="C19" s="202">
        <v>12000</v>
      </c>
      <c r="D19" s="203">
        <v>45</v>
      </c>
      <c r="E19" s="203">
        <v>480000</v>
      </c>
      <c r="F19" s="203">
        <v>-316867</v>
      </c>
      <c r="G19" s="203">
        <v>-505609</v>
      </c>
      <c r="H19" s="204">
        <f t="shared" si="0"/>
        <v>-342476</v>
      </c>
      <c r="I19" s="205">
        <v>13656</v>
      </c>
      <c r="J19" s="205">
        <f t="shared" si="2"/>
        <v>-822476</v>
      </c>
      <c r="K19" s="206">
        <f>I19*D19</f>
        <v>614520</v>
      </c>
      <c r="L19" s="207">
        <f t="shared" si="1"/>
        <v>-207956</v>
      </c>
      <c r="M19" s="199"/>
    </row>
    <row r="20" spans="1:13" x14ac:dyDescent="0.35">
      <c r="A20" s="199" t="s">
        <v>193</v>
      </c>
      <c r="B20" s="199" t="s">
        <v>198</v>
      </c>
      <c r="C20" s="199"/>
      <c r="D20" s="203">
        <v>45</v>
      </c>
      <c r="E20" s="203">
        <v>75000</v>
      </c>
      <c r="F20" s="203"/>
      <c r="G20" s="203">
        <v>-425093</v>
      </c>
      <c r="H20" s="204">
        <f t="shared" si="0"/>
        <v>-350093</v>
      </c>
      <c r="I20" s="205">
        <v>17422</v>
      </c>
      <c r="J20" s="205">
        <f>G20-400000</f>
        <v>-825093</v>
      </c>
      <c r="K20" s="206">
        <f>I20*D20</f>
        <v>783990</v>
      </c>
      <c r="L20" s="207">
        <f t="shared" si="1"/>
        <v>-41103</v>
      </c>
      <c r="M20" s="199" t="s">
        <v>195</v>
      </c>
    </row>
    <row r="21" spans="1:13" x14ac:dyDescent="0.35">
      <c r="A21" s="199" t="s">
        <v>193</v>
      </c>
      <c r="B21" s="199" t="s">
        <v>198</v>
      </c>
      <c r="C21" s="199"/>
      <c r="D21" s="203">
        <v>45</v>
      </c>
      <c r="E21" s="203">
        <v>75000</v>
      </c>
      <c r="F21" s="203"/>
      <c r="G21" s="203">
        <v>-353223</v>
      </c>
      <c r="H21" s="204">
        <f t="shared" si="0"/>
        <v>-278223</v>
      </c>
      <c r="I21" s="205">
        <v>18033</v>
      </c>
      <c r="J21" s="205">
        <f>G21-400000</f>
        <v>-753223</v>
      </c>
      <c r="K21" s="206">
        <f>I21*D21</f>
        <v>811485</v>
      </c>
      <c r="L21" s="207">
        <f t="shared" si="1"/>
        <v>58262</v>
      </c>
      <c r="M21" s="199" t="s">
        <v>212</v>
      </c>
    </row>
    <row r="22" spans="1:13" x14ac:dyDescent="0.35">
      <c r="A22" s="199"/>
      <c r="B22" s="199" t="s">
        <v>201</v>
      </c>
      <c r="C22" s="199"/>
      <c r="D22" s="203"/>
      <c r="E22" s="203"/>
      <c r="F22" s="203"/>
      <c r="G22" s="203">
        <v>-276910</v>
      </c>
      <c r="H22" s="204">
        <f t="shared" si="0"/>
        <v>-276910</v>
      </c>
      <c r="I22" s="205"/>
      <c r="J22" s="205">
        <f t="shared" si="2"/>
        <v>-276910</v>
      </c>
      <c r="K22" s="206">
        <f>I22*D22</f>
        <v>0</v>
      </c>
      <c r="L22" s="207">
        <f t="shared" si="1"/>
        <v>-276910</v>
      </c>
      <c r="M22" s="199"/>
    </row>
    <row r="23" spans="1:13" x14ac:dyDescent="0.35">
      <c r="A23" s="35" t="s">
        <v>90</v>
      </c>
      <c r="B23" s="199"/>
      <c r="C23" s="199"/>
      <c r="D23" s="199"/>
      <c r="E23" s="208">
        <f>SUM(E8:E22)</f>
        <v>10545000</v>
      </c>
      <c r="F23" s="208">
        <f>SUM(F8:F22)</f>
        <v>-3064309</v>
      </c>
      <c r="G23" s="208">
        <f>SUM(G8:G22)</f>
        <v>-7268674</v>
      </c>
      <c r="H23" s="208">
        <f>SUM(H8:H22)</f>
        <v>212017</v>
      </c>
      <c r="I23" s="209"/>
      <c r="J23" s="210">
        <f>SUM(J8:J22)</f>
        <v>-10159799</v>
      </c>
      <c r="K23" s="210">
        <f>SUM(K8:K22)</f>
        <v>11357220</v>
      </c>
      <c r="L23" s="210">
        <f>SUM(L8:L22)</f>
        <v>1197421</v>
      </c>
      <c r="M23" s="199"/>
    </row>
    <row r="24" spans="1:13" x14ac:dyDescent="0.35">
      <c r="A24" s="199"/>
      <c r="B24" s="199"/>
      <c r="C24" s="199"/>
      <c r="D24" s="199"/>
      <c r="F24" s="199"/>
      <c r="G24" s="199"/>
      <c r="H24" s="199"/>
      <c r="I24" s="205"/>
      <c r="J24" s="206"/>
      <c r="K24" s="206"/>
      <c r="L24" s="207"/>
      <c r="M24" s="199"/>
    </row>
    <row r="25" spans="1:13" x14ac:dyDescent="0.35">
      <c r="A25" s="35" t="s">
        <v>184</v>
      </c>
      <c r="B25" s="35" t="s">
        <v>194</v>
      </c>
      <c r="C25" s="35" t="s">
        <v>213</v>
      </c>
      <c r="D25" s="35" t="s">
        <v>196</v>
      </c>
      <c r="E25" s="35" t="s">
        <v>197</v>
      </c>
      <c r="F25" s="35" t="s">
        <v>199</v>
      </c>
      <c r="G25" s="35" t="s">
        <v>200</v>
      </c>
      <c r="H25" s="35" t="s">
        <v>215</v>
      </c>
      <c r="I25" s="200" t="s">
        <v>213</v>
      </c>
      <c r="J25" s="200" t="s">
        <v>210</v>
      </c>
      <c r="K25" s="200" t="s">
        <v>197</v>
      </c>
      <c r="L25" s="200" t="s">
        <v>215</v>
      </c>
      <c r="M25" s="199"/>
    </row>
    <row r="26" spans="1:13" x14ac:dyDescent="0.35">
      <c r="A26" s="199" t="s">
        <v>202</v>
      </c>
      <c r="B26" s="199" t="s">
        <v>195</v>
      </c>
      <c r="C26" s="202">
        <v>11000</v>
      </c>
      <c r="D26" s="203">
        <v>47</v>
      </c>
      <c r="E26" s="203">
        <f t="shared" ref="E26:E35" si="3">C26*D26</f>
        <v>517000</v>
      </c>
      <c r="F26" s="203">
        <v>-174417</v>
      </c>
      <c r="G26" s="203">
        <v>-244677</v>
      </c>
      <c r="H26" s="204">
        <f>E26+F26+G26</f>
        <v>97906</v>
      </c>
      <c r="I26" s="205">
        <v>14360</v>
      </c>
      <c r="J26" s="205">
        <f t="shared" si="2"/>
        <v>-419094</v>
      </c>
      <c r="K26" s="206">
        <f t="shared" ref="K26:K37" si="4">I26*D26</f>
        <v>674920</v>
      </c>
      <c r="L26" s="207">
        <f>K26+J26</f>
        <v>255826</v>
      </c>
      <c r="M26" s="199"/>
    </row>
    <row r="27" spans="1:13" x14ac:dyDescent="0.35">
      <c r="A27" s="199" t="s">
        <v>202</v>
      </c>
      <c r="B27" s="199" t="s">
        <v>195</v>
      </c>
      <c r="C27" s="202">
        <v>11000</v>
      </c>
      <c r="D27" s="203">
        <v>47</v>
      </c>
      <c r="E27" s="203">
        <f t="shared" si="3"/>
        <v>517000</v>
      </c>
      <c r="F27" s="203">
        <v>-174417</v>
      </c>
      <c r="G27" s="203">
        <v>-244677</v>
      </c>
      <c r="H27" s="204">
        <f t="shared" ref="H27:H44" si="5">E27+F27+G27</f>
        <v>97906</v>
      </c>
      <c r="I27" s="205">
        <v>15349</v>
      </c>
      <c r="J27" s="205">
        <f t="shared" si="2"/>
        <v>-419094</v>
      </c>
      <c r="K27" s="206">
        <f t="shared" si="4"/>
        <v>721403</v>
      </c>
      <c r="L27" s="207">
        <f t="shared" ref="L27:L37" si="6">K27+G27+F27</f>
        <v>302309</v>
      </c>
      <c r="M27" s="199"/>
    </row>
    <row r="28" spans="1:13" x14ac:dyDescent="0.35">
      <c r="A28" s="199" t="s">
        <v>187</v>
      </c>
      <c r="B28" s="199" t="s">
        <v>195</v>
      </c>
      <c r="C28" s="202">
        <v>11500</v>
      </c>
      <c r="D28" s="203">
        <v>48</v>
      </c>
      <c r="E28" s="203">
        <f t="shared" si="3"/>
        <v>552000</v>
      </c>
      <c r="F28" s="203">
        <v>-244296</v>
      </c>
      <c r="G28" s="203">
        <v>-245427</v>
      </c>
      <c r="H28" s="204">
        <f t="shared" si="5"/>
        <v>62277</v>
      </c>
      <c r="I28" s="205">
        <v>13230</v>
      </c>
      <c r="J28" s="205">
        <f t="shared" si="2"/>
        <v>-489723</v>
      </c>
      <c r="K28" s="206">
        <f t="shared" si="4"/>
        <v>635040</v>
      </c>
      <c r="L28" s="207">
        <f t="shared" si="6"/>
        <v>145317</v>
      </c>
      <c r="M28" s="199"/>
    </row>
    <row r="29" spans="1:13" x14ac:dyDescent="0.35">
      <c r="A29" s="199" t="s">
        <v>187</v>
      </c>
      <c r="B29" s="199" t="s">
        <v>195</v>
      </c>
      <c r="C29" s="202">
        <v>11500</v>
      </c>
      <c r="D29" s="203">
        <v>48</v>
      </c>
      <c r="E29" s="203">
        <f t="shared" si="3"/>
        <v>552000</v>
      </c>
      <c r="F29" s="203">
        <v>-244296</v>
      </c>
      <c r="G29" s="203">
        <v>-245427</v>
      </c>
      <c r="H29" s="204">
        <f t="shared" si="5"/>
        <v>62277</v>
      </c>
      <c r="I29" s="205">
        <v>12335</v>
      </c>
      <c r="J29" s="205">
        <f t="shared" si="2"/>
        <v>-489723</v>
      </c>
      <c r="K29" s="206">
        <f t="shared" si="4"/>
        <v>592080</v>
      </c>
      <c r="L29" s="207">
        <f t="shared" si="6"/>
        <v>102357</v>
      </c>
      <c r="M29" s="199"/>
    </row>
    <row r="30" spans="1:13" s="36" customFormat="1" x14ac:dyDescent="0.35">
      <c r="A30" s="199" t="s">
        <v>203</v>
      </c>
      <c r="B30" s="199" t="s">
        <v>204</v>
      </c>
      <c r="C30" s="211">
        <f>52500/3</f>
        <v>17500</v>
      </c>
      <c r="D30" s="203">
        <v>50</v>
      </c>
      <c r="E30" s="203">
        <f t="shared" si="3"/>
        <v>875000</v>
      </c>
      <c r="F30" s="203">
        <f>1230030/-3</f>
        <v>-410010</v>
      </c>
      <c r="G30" s="203">
        <f>675994/-3</f>
        <v>-225331.33333333334</v>
      </c>
      <c r="H30" s="204">
        <f>E30+F30+G30</f>
        <v>239658.66666666666</v>
      </c>
      <c r="I30" s="205">
        <v>18467</v>
      </c>
      <c r="J30" s="205">
        <f t="shared" si="2"/>
        <v>-635341.33333333337</v>
      </c>
      <c r="K30" s="206">
        <f t="shared" si="4"/>
        <v>923350</v>
      </c>
      <c r="L30" s="207">
        <f t="shared" si="6"/>
        <v>288008.66666666663</v>
      </c>
      <c r="M30" s="199"/>
    </row>
    <row r="31" spans="1:13" s="36" customFormat="1" x14ac:dyDescent="0.35">
      <c r="A31" s="199" t="s">
        <v>203</v>
      </c>
      <c r="B31" s="199" t="s">
        <v>204</v>
      </c>
      <c r="C31" s="211">
        <f>52500/3</f>
        <v>17500</v>
      </c>
      <c r="D31" s="203">
        <v>50</v>
      </c>
      <c r="E31" s="203">
        <f t="shared" si="3"/>
        <v>875000</v>
      </c>
      <c r="F31" s="203">
        <f>1230030/-3</f>
        <v>-410010</v>
      </c>
      <c r="G31" s="203">
        <f>675994/-3</f>
        <v>-225331.33333333334</v>
      </c>
      <c r="H31" s="204">
        <f>E31+F31+G31</f>
        <v>239658.66666666666</v>
      </c>
      <c r="I31" s="205">
        <v>21570</v>
      </c>
      <c r="J31" s="205">
        <f t="shared" si="2"/>
        <v>-635341.33333333337</v>
      </c>
      <c r="K31" s="206">
        <f t="shared" si="4"/>
        <v>1078500</v>
      </c>
      <c r="L31" s="207">
        <f t="shared" si="6"/>
        <v>443158.66666666663</v>
      </c>
      <c r="M31" s="199"/>
    </row>
    <row r="32" spans="1:13" s="36" customFormat="1" x14ac:dyDescent="0.35">
      <c r="A32" s="199" t="s">
        <v>203</v>
      </c>
      <c r="B32" s="199" t="s">
        <v>204</v>
      </c>
      <c r="C32" s="211">
        <f>52500/3</f>
        <v>17500</v>
      </c>
      <c r="D32" s="203">
        <v>50</v>
      </c>
      <c r="E32" s="203">
        <f t="shared" si="3"/>
        <v>875000</v>
      </c>
      <c r="F32" s="203">
        <f>1230030/-3</f>
        <v>-410010</v>
      </c>
      <c r="G32" s="203">
        <f>675994/-3</f>
        <v>-225331.33333333334</v>
      </c>
      <c r="H32" s="204">
        <f>E32+F32+G32</f>
        <v>239658.66666666666</v>
      </c>
      <c r="I32" s="205">
        <v>18309</v>
      </c>
      <c r="J32" s="205">
        <f t="shared" si="2"/>
        <v>-635341.33333333337</v>
      </c>
      <c r="K32" s="206">
        <f t="shared" si="4"/>
        <v>915450</v>
      </c>
      <c r="L32" s="207">
        <f t="shared" si="6"/>
        <v>280108.66666666663</v>
      </c>
      <c r="M32" s="199"/>
    </row>
    <row r="33" spans="1:13" x14ac:dyDescent="0.35">
      <c r="A33" s="199" t="s">
        <v>203</v>
      </c>
      <c r="B33" s="199" t="s">
        <v>195</v>
      </c>
      <c r="C33" s="202">
        <v>11500</v>
      </c>
      <c r="D33" s="203">
        <v>48</v>
      </c>
      <c r="E33" s="203">
        <f t="shared" si="3"/>
        <v>552000</v>
      </c>
      <c r="F33" s="203">
        <v>-244296</v>
      </c>
      <c r="G33" s="203">
        <v>-425906</v>
      </c>
      <c r="H33" s="204">
        <f t="shared" si="5"/>
        <v>-118202</v>
      </c>
      <c r="I33" s="205">
        <v>23544</v>
      </c>
      <c r="J33" s="205">
        <f t="shared" si="2"/>
        <v>-670202</v>
      </c>
      <c r="K33" s="206">
        <f t="shared" si="4"/>
        <v>1130112</v>
      </c>
      <c r="L33" s="207">
        <f t="shared" si="6"/>
        <v>459910</v>
      </c>
      <c r="M33" s="199"/>
    </row>
    <row r="34" spans="1:13" x14ac:dyDescent="0.35">
      <c r="A34" s="199" t="s">
        <v>188</v>
      </c>
      <c r="B34" s="199" t="s">
        <v>195</v>
      </c>
      <c r="C34" s="202">
        <v>11500</v>
      </c>
      <c r="D34" s="203">
        <v>48</v>
      </c>
      <c r="E34" s="203">
        <f t="shared" si="3"/>
        <v>552000</v>
      </c>
      <c r="F34" s="203">
        <v>-244296</v>
      </c>
      <c r="G34" s="203">
        <v>-347156</v>
      </c>
      <c r="H34" s="204">
        <f t="shared" si="5"/>
        <v>-39452</v>
      </c>
      <c r="I34" s="205">
        <v>14340</v>
      </c>
      <c r="J34" s="205">
        <f t="shared" si="2"/>
        <v>-591452</v>
      </c>
      <c r="K34" s="206">
        <f t="shared" si="4"/>
        <v>688320</v>
      </c>
      <c r="L34" s="207">
        <f t="shared" si="6"/>
        <v>96868</v>
      </c>
      <c r="M34" s="199"/>
    </row>
    <row r="35" spans="1:13" x14ac:dyDescent="0.35">
      <c r="A35" s="199" t="s">
        <v>189</v>
      </c>
      <c r="B35" s="199" t="s">
        <v>205</v>
      </c>
      <c r="C35" s="202"/>
      <c r="D35" s="203"/>
      <c r="E35" s="203">
        <f t="shared" si="3"/>
        <v>0</v>
      </c>
      <c r="F35" s="203"/>
      <c r="G35" s="203">
        <v>-1299069</v>
      </c>
      <c r="H35" s="204">
        <f t="shared" si="5"/>
        <v>-1299069</v>
      </c>
      <c r="I35" s="205"/>
      <c r="J35" s="205">
        <f t="shared" si="2"/>
        <v>-1299069</v>
      </c>
      <c r="K35" s="206">
        <f t="shared" si="4"/>
        <v>0</v>
      </c>
      <c r="L35" s="207">
        <f t="shared" si="6"/>
        <v>-1299069</v>
      </c>
      <c r="M35" s="199"/>
    </row>
    <row r="36" spans="1:13" x14ac:dyDescent="0.35">
      <c r="A36" s="199" t="s">
        <v>190</v>
      </c>
      <c r="B36" s="199" t="s">
        <v>198</v>
      </c>
      <c r="C36" s="199"/>
      <c r="D36" s="203"/>
      <c r="E36" s="203"/>
      <c r="F36" s="203"/>
      <c r="G36" s="203">
        <v>-187294</v>
      </c>
      <c r="H36" s="204">
        <f t="shared" si="5"/>
        <v>-187294</v>
      </c>
      <c r="I36" s="205"/>
      <c r="J36" s="205">
        <f t="shared" si="2"/>
        <v>-187294</v>
      </c>
      <c r="K36" s="206">
        <f t="shared" si="4"/>
        <v>0</v>
      </c>
      <c r="L36" s="207">
        <f t="shared" si="6"/>
        <v>-187294</v>
      </c>
      <c r="M36" s="199"/>
    </row>
    <row r="37" spans="1:13" x14ac:dyDescent="0.35">
      <c r="A37" s="199" t="s">
        <v>190</v>
      </c>
      <c r="B37" s="199" t="s">
        <v>198</v>
      </c>
      <c r="C37" s="199"/>
      <c r="D37" s="203"/>
      <c r="E37" s="203"/>
      <c r="F37" s="203"/>
      <c r="G37" s="203">
        <v>-187294</v>
      </c>
      <c r="H37" s="204">
        <f t="shared" si="5"/>
        <v>-187294</v>
      </c>
      <c r="I37" s="205"/>
      <c r="J37" s="205">
        <f t="shared" si="2"/>
        <v>-187294</v>
      </c>
      <c r="K37" s="206">
        <f t="shared" si="4"/>
        <v>0</v>
      </c>
      <c r="L37" s="207">
        <f t="shared" si="6"/>
        <v>-187294</v>
      </c>
      <c r="M37" s="199"/>
    </row>
    <row r="38" spans="1:13" s="36" customFormat="1" x14ac:dyDescent="0.35">
      <c r="A38" s="199" t="s">
        <v>191</v>
      </c>
      <c r="B38" s="199" t="s">
        <v>198</v>
      </c>
      <c r="C38" s="199"/>
      <c r="D38" s="203"/>
      <c r="E38" s="203"/>
      <c r="F38" s="203"/>
      <c r="G38" s="203">
        <v>-187294</v>
      </c>
      <c r="H38" s="204">
        <f>E38+F38+G38</f>
        <v>-187294</v>
      </c>
      <c r="I38" s="205"/>
      <c r="J38" s="205">
        <f t="shared" si="2"/>
        <v>-187294</v>
      </c>
      <c r="K38" s="206">
        <f>I38*D38</f>
        <v>0</v>
      </c>
      <c r="L38" s="207">
        <f>K38+G38+F38</f>
        <v>-187294</v>
      </c>
      <c r="M38" s="199" t="s">
        <v>209</v>
      </c>
    </row>
    <row r="39" spans="1:13" s="36" customFormat="1" x14ac:dyDescent="0.35">
      <c r="A39" s="199" t="s">
        <v>191</v>
      </c>
      <c r="B39" s="199" t="s">
        <v>198</v>
      </c>
      <c r="C39" s="199"/>
      <c r="D39" s="203"/>
      <c r="E39" s="203"/>
      <c r="F39" s="203"/>
      <c r="G39" s="203">
        <v>-187294</v>
      </c>
      <c r="H39" s="204">
        <f>E39+F39+G39</f>
        <v>-187294</v>
      </c>
      <c r="I39" s="205"/>
      <c r="J39" s="205">
        <f t="shared" si="2"/>
        <v>-187294</v>
      </c>
      <c r="K39" s="206">
        <f>I39*D39</f>
        <v>0</v>
      </c>
      <c r="L39" s="207">
        <f>K39+G39+F39</f>
        <v>-187294</v>
      </c>
      <c r="M39" s="199" t="s">
        <v>209</v>
      </c>
    </row>
    <row r="40" spans="1:13" x14ac:dyDescent="0.35">
      <c r="A40" s="199" t="s">
        <v>191</v>
      </c>
      <c r="B40" s="199" t="s">
        <v>195</v>
      </c>
      <c r="C40" s="202">
        <v>12000</v>
      </c>
      <c r="D40" s="203">
        <v>50</v>
      </c>
      <c r="E40" s="203">
        <f>C40*D40</f>
        <v>600000</v>
      </c>
      <c r="F40" s="203">
        <v>-247772</v>
      </c>
      <c r="G40" s="203">
        <v>-347906</v>
      </c>
      <c r="H40" s="204">
        <f t="shared" si="5"/>
        <v>4322</v>
      </c>
      <c r="I40" s="205"/>
      <c r="J40" s="205"/>
      <c r="K40" s="206"/>
      <c r="L40" s="207"/>
      <c r="M40" s="199" t="s">
        <v>208</v>
      </c>
    </row>
    <row r="41" spans="1:13" x14ac:dyDescent="0.35">
      <c r="A41" s="199" t="s">
        <v>193</v>
      </c>
      <c r="B41" s="199" t="s">
        <v>206</v>
      </c>
      <c r="C41" s="211">
        <f>52500/3</f>
        <v>17500</v>
      </c>
      <c r="D41" s="203">
        <v>55</v>
      </c>
      <c r="E41" s="203">
        <f>C41*D41</f>
        <v>962500</v>
      </c>
      <c r="F41" s="203">
        <f>1450405/-3</f>
        <v>-483468.33333333331</v>
      </c>
      <c r="G41" s="203">
        <f>1185890/-3</f>
        <v>-395296.66666666669</v>
      </c>
      <c r="H41" s="204">
        <f t="shared" si="5"/>
        <v>83735</v>
      </c>
      <c r="I41" s="205">
        <v>14555</v>
      </c>
      <c r="J41" s="205">
        <f t="shared" si="2"/>
        <v>-878765</v>
      </c>
      <c r="K41" s="206">
        <f>I41*D41</f>
        <v>800525</v>
      </c>
      <c r="L41" s="207">
        <f>K41+G41+F41</f>
        <v>-78240</v>
      </c>
      <c r="M41" s="199"/>
    </row>
    <row r="42" spans="1:13" x14ac:dyDescent="0.35">
      <c r="A42" s="199" t="s">
        <v>193</v>
      </c>
      <c r="B42" s="199" t="s">
        <v>206</v>
      </c>
      <c r="C42" s="211">
        <f>52500/3</f>
        <v>17500</v>
      </c>
      <c r="D42" s="203">
        <v>55</v>
      </c>
      <c r="E42" s="203">
        <f>C42*D42</f>
        <v>962500</v>
      </c>
      <c r="F42" s="203">
        <f>1450405/-3</f>
        <v>-483468.33333333331</v>
      </c>
      <c r="G42" s="203">
        <f>1185890/-3</f>
        <v>-395296.66666666669</v>
      </c>
      <c r="H42" s="204">
        <f t="shared" si="5"/>
        <v>83735</v>
      </c>
      <c r="I42" s="205">
        <v>22125</v>
      </c>
      <c r="J42" s="205">
        <f t="shared" si="2"/>
        <v>-878765</v>
      </c>
      <c r="K42" s="206">
        <f>I42*D42</f>
        <v>1216875</v>
      </c>
      <c r="L42" s="207">
        <f>K42+G42+F42</f>
        <v>338109.99999999994</v>
      </c>
      <c r="M42" s="199"/>
    </row>
    <row r="43" spans="1:13" x14ac:dyDescent="0.35">
      <c r="A43" s="199" t="s">
        <v>193</v>
      </c>
      <c r="B43" s="199" t="s">
        <v>206</v>
      </c>
      <c r="C43" s="211">
        <f>52500/3</f>
        <v>17500</v>
      </c>
      <c r="D43" s="203">
        <v>55</v>
      </c>
      <c r="E43" s="203">
        <f>C43*D43</f>
        <v>962500</v>
      </c>
      <c r="F43" s="203">
        <f>1450405/-3</f>
        <v>-483468.33333333331</v>
      </c>
      <c r="G43" s="203">
        <f>1185890/-3</f>
        <v>-395296.66666666669</v>
      </c>
      <c r="H43" s="204">
        <f t="shared" si="5"/>
        <v>83735</v>
      </c>
      <c r="I43" s="205">
        <v>14009</v>
      </c>
      <c r="J43" s="205">
        <f t="shared" si="2"/>
        <v>-878765</v>
      </c>
      <c r="K43" s="206">
        <f>I43*D43</f>
        <v>770495</v>
      </c>
      <c r="L43" s="207">
        <f>K43+G43+F43</f>
        <v>-108270</v>
      </c>
      <c r="M43" s="199"/>
    </row>
    <row r="44" spans="1:13" x14ac:dyDescent="0.35">
      <c r="A44" s="199"/>
      <c r="B44" s="199" t="s">
        <v>201</v>
      </c>
      <c r="C44" s="199"/>
      <c r="D44" s="203"/>
      <c r="E44" s="203"/>
      <c r="F44" s="203"/>
      <c r="G44" s="203">
        <v>-125295</v>
      </c>
      <c r="H44" s="204">
        <f t="shared" si="5"/>
        <v>-125295</v>
      </c>
      <c r="I44" s="201"/>
      <c r="J44" s="205">
        <f t="shared" si="2"/>
        <v>-125295</v>
      </c>
      <c r="K44" s="201"/>
      <c r="L44" s="207">
        <f>K44+G44+F44</f>
        <v>-125295</v>
      </c>
      <c r="M44" s="199"/>
    </row>
    <row r="45" spans="1:13" x14ac:dyDescent="0.35">
      <c r="A45" s="35" t="s">
        <v>90</v>
      </c>
      <c r="B45" s="199"/>
      <c r="C45" s="199"/>
      <c r="D45" s="199"/>
      <c r="E45" s="204">
        <f>SUM(E26:E44)</f>
        <v>9354500</v>
      </c>
      <c r="F45" s="204">
        <f>SUM(F26:F44)</f>
        <v>-4254225</v>
      </c>
      <c r="G45" s="204">
        <f>SUM(G26:G44)</f>
        <v>-6136600.0000000009</v>
      </c>
      <c r="H45" s="204">
        <f>SUM(H26:H44)</f>
        <v>-1036325</v>
      </c>
      <c r="I45" s="201"/>
      <c r="J45" s="210">
        <f>SUM(J26:J44)</f>
        <v>-9795147</v>
      </c>
      <c r="K45" s="210">
        <f>SUM(K26:K44)</f>
        <v>10147070</v>
      </c>
      <c r="L45" s="210">
        <f>SUM(L26:L44)</f>
        <v>351922.99999999953</v>
      </c>
      <c r="M45" s="199"/>
    </row>
    <row r="46" spans="1:13" x14ac:dyDescent="0.35">
      <c r="A46" s="199"/>
      <c r="B46" s="199"/>
      <c r="C46" s="199"/>
      <c r="D46" s="199"/>
      <c r="E46" s="199"/>
      <c r="F46" s="199"/>
      <c r="G46" s="199"/>
      <c r="H46" s="199"/>
      <c r="I46" s="199"/>
      <c r="J46" s="203"/>
      <c r="K46" s="203"/>
      <c r="L46" s="199"/>
      <c r="M46" s="199"/>
    </row>
    <row r="47" spans="1:13" x14ac:dyDescent="0.35">
      <c r="A47" s="212" t="s">
        <v>367</v>
      </c>
      <c r="B47" s="212"/>
      <c r="C47" s="213"/>
      <c r="D47" s="213"/>
      <c r="E47" s="213"/>
      <c r="F47" s="213"/>
      <c r="G47" s="213"/>
      <c r="H47" s="213"/>
      <c r="I47" s="214"/>
      <c r="J47" s="214"/>
      <c r="K47" s="214"/>
      <c r="L47" s="214"/>
      <c r="M47" s="199"/>
    </row>
    <row r="48" spans="1:13" x14ac:dyDescent="0.35">
      <c r="A48" s="199"/>
      <c r="B48" s="199"/>
      <c r="C48" s="858" t="s">
        <v>368</v>
      </c>
      <c r="D48" s="858"/>
      <c r="E48" s="858"/>
      <c r="G48" s="199"/>
      <c r="H48" s="199"/>
      <c r="I48" s="199"/>
      <c r="J48" s="199"/>
      <c r="K48" s="892"/>
      <c r="L48" s="892"/>
      <c r="M48" s="199"/>
    </row>
    <row r="49" spans="1:13" x14ac:dyDescent="0.35">
      <c r="A49" s="199"/>
      <c r="B49" s="199" t="s">
        <v>185</v>
      </c>
      <c r="C49" s="203">
        <v>-734319</v>
      </c>
      <c r="D49" s="199"/>
      <c r="E49" s="199"/>
      <c r="F49" s="199"/>
      <c r="G49" s="199"/>
      <c r="H49" s="199"/>
      <c r="I49" s="199"/>
      <c r="J49" s="199"/>
      <c r="K49" s="199"/>
      <c r="L49" s="203"/>
      <c r="M49" s="199"/>
    </row>
    <row r="50" spans="1:13" x14ac:dyDescent="0.35">
      <c r="A50" s="199"/>
      <c r="B50" s="199" t="s">
        <v>184</v>
      </c>
      <c r="C50" s="203">
        <v>-5752311</v>
      </c>
      <c r="D50" s="199"/>
      <c r="E50" s="199"/>
      <c r="F50" s="199"/>
      <c r="G50" s="199"/>
      <c r="H50" s="199"/>
      <c r="I50" s="199"/>
      <c r="J50" s="199"/>
      <c r="K50" s="199"/>
      <c r="L50" s="203"/>
      <c r="M50" s="199"/>
    </row>
    <row r="51" spans="1:13" x14ac:dyDescent="0.35">
      <c r="A51" s="199"/>
      <c r="B51" s="199" t="s">
        <v>211</v>
      </c>
      <c r="C51" s="203">
        <v>600000</v>
      </c>
      <c r="D51" s="199"/>
      <c r="E51" s="199"/>
      <c r="F51" s="199"/>
      <c r="G51" s="199"/>
      <c r="H51" s="199"/>
      <c r="I51" s="199"/>
      <c r="J51" s="199"/>
      <c r="K51" s="199"/>
      <c r="L51" s="203"/>
      <c r="M51" s="199"/>
    </row>
    <row r="53" spans="1:13" x14ac:dyDescent="0.35">
      <c r="B53" s="891" t="s">
        <v>369</v>
      </c>
      <c r="C53" s="891"/>
      <c r="D53" s="891"/>
      <c r="E53" s="891"/>
      <c r="F53" s="891"/>
      <c r="G53" s="891"/>
      <c r="H53" s="891"/>
      <c r="I53" s="891"/>
      <c r="J53" s="891"/>
    </row>
  </sheetData>
  <mergeCells count="8">
    <mergeCell ref="B53:J53"/>
    <mergeCell ref="K48:L48"/>
    <mergeCell ref="A1:L1"/>
    <mergeCell ref="A2:L2"/>
    <mergeCell ref="A4:L4"/>
    <mergeCell ref="A3:L3"/>
    <mergeCell ref="A5:L5"/>
    <mergeCell ref="C48:E48"/>
  </mergeCells>
  <hyperlinks>
    <hyperlink ref="A3" r:id="rId1" xr:uid="{9FB9C2A2-0413-42CC-94FA-5E6A22DAF6E1}"/>
  </hyperlinks>
  <pageMargins left="0.7" right="0.7" top="0.75" bottom="0.75" header="0.3" footer="0.3"/>
  <pageSetup scale="84" orientation="landscape" horizontalDpi="4294967293"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A454-B301-45B4-A87F-BF3EE5A03BD5}">
  <dimension ref="A1:BL365"/>
  <sheetViews>
    <sheetView tabSelected="1" topLeftCell="A17" workbookViewId="0">
      <pane xSplit="1" topLeftCell="J1" activePane="topRight" state="frozen"/>
      <selection activeCell="A36" sqref="A36"/>
      <selection pane="topRight" activeCell="Q43" sqref="Q43"/>
    </sheetView>
  </sheetViews>
  <sheetFormatPr defaultRowHeight="13.15" x14ac:dyDescent="0.4"/>
  <cols>
    <col min="1" max="1" width="32.6640625" style="905" customWidth="1"/>
    <col min="2" max="3" width="12.9296875" style="905" customWidth="1"/>
    <col min="4" max="4" width="12.3984375" style="905" customWidth="1"/>
    <col min="5" max="5" width="1.6640625" style="1055" customWidth="1"/>
    <col min="6" max="6" width="13.19921875" style="905" customWidth="1"/>
    <col min="7" max="7" width="1.86328125" style="1056" customWidth="1"/>
    <col min="8" max="15" width="13.19921875" style="905" customWidth="1"/>
    <col min="16" max="16" width="12.6640625" style="845" customWidth="1"/>
    <col min="17" max="17" width="13.46484375" style="905" customWidth="1"/>
    <col min="18" max="18" width="17.796875" style="336" customWidth="1"/>
  </cols>
  <sheetData>
    <row r="1" spans="1:18" s="11" customFormat="1" ht="18" x14ac:dyDescent="0.4">
      <c r="A1" s="903" t="s">
        <v>527</v>
      </c>
      <c r="B1" s="903"/>
      <c r="C1" s="903"/>
      <c r="D1" s="903"/>
      <c r="E1" s="903"/>
      <c r="F1" s="903"/>
      <c r="G1" s="903"/>
      <c r="H1" s="903"/>
      <c r="I1" s="903"/>
      <c r="J1" s="903"/>
      <c r="K1" s="904"/>
      <c r="L1" s="904"/>
      <c r="M1" s="904"/>
      <c r="N1" s="904"/>
      <c r="O1" s="904"/>
      <c r="P1" s="904"/>
      <c r="Q1" s="905"/>
      <c r="R1" s="336"/>
    </row>
    <row r="2" spans="1:18" x14ac:dyDescent="0.4">
      <c r="A2" s="906" t="s">
        <v>592</v>
      </c>
      <c r="B2" s="906"/>
      <c r="C2" s="906"/>
      <c r="D2" s="906"/>
      <c r="E2" s="906"/>
      <c r="F2" s="906"/>
      <c r="G2" s="906"/>
      <c r="H2" s="906"/>
      <c r="I2" s="906"/>
      <c r="J2" s="906"/>
      <c r="K2" s="906"/>
      <c r="L2" s="906"/>
      <c r="M2" s="906"/>
      <c r="N2" s="906"/>
      <c r="O2" s="906"/>
      <c r="P2" s="906"/>
    </row>
    <row r="3" spans="1:18" s="333" customFormat="1" ht="13.05" customHeight="1" x14ac:dyDescent="0.4">
      <c r="A3" s="907" t="s">
        <v>591</v>
      </c>
      <c r="B3" s="907"/>
      <c r="C3" s="907"/>
      <c r="D3" s="907"/>
      <c r="E3" s="907"/>
      <c r="F3" s="907"/>
      <c r="G3" s="907"/>
      <c r="H3" s="907"/>
      <c r="I3" s="907"/>
      <c r="J3" s="907"/>
      <c r="K3" s="907"/>
      <c r="L3" s="907"/>
      <c r="M3" s="907"/>
      <c r="N3" s="907"/>
      <c r="O3" s="907"/>
      <c r="P3" s="907"/>
      <c r="Q3" s="905"/>
      <c r="R3" s="336"/>
    </row>
    <row r="4" spans="1:18" s="333" customFormat="1" ht="13.05" customHeight="1" x14ac:dyDescent="0.4">
      <c r="A4" s="908" t="s">
        <v>892</v>
      </c>
      <c r="B4" s="908"/>
      <c r="C4" s="908"/>
      <c r="D4" s="908"/>
      <c r="E4" s="908"/>
      <c r="F4" s="908"/>
      <c r="G4" s="908"/>
      <c r="H4" s="908"/>
      <c r="I4" s="908"/>
      <c r="J4" s="908"/>
      <c r="K4" s="908"/>
      <c r="L4" s="908"/>
      <c r="M4" s="908"/>
      <c r="N4" s="908"/>
      <c r="O4" s="908"/>
      <c r="P4" s="908"/>
      <c r="Q4" s="905"/>
      <c r="R4" s="336"/>
    </row>
    <row r="5" spans="1:18" s="18" customFormat="1" ht="13.05" customHeight="1" x14ac:dyDescent="0.45">
      <c r="A5" s="909" t="s">
        <v>152</v>
      </c>
      <c r="B5" s="909"/>
      <c r="C5" s="909"/>
      <c r="D5" s="909"/>
      <c r="E5" s="909"/>
      <c r="F5" s="909"/>
      <c r="G5" s="909"/>
      <c r="H5" s="909"/>
      <c r="I5" s="909"/>
      <c r="J5" s="909"/>
      <c r="K5" s="909"/>
      <c r="L5" s="909"/>
      <c r="M5" s="909"/>
      <c r="N5" s="909"/>
      <c r="O5" s="909"/>
      <c r="P5" s="909"/>
      <c r="Q5" s="910"/>
      <c r="R5" s="359"/>
    </row>
    <row r="6" spans="1:18" s="33" customFormat="1" ht="13.05" customHeight="1" x14ac:dyDescent="0.35">
      <c r="A6" s="911" t="s">
        <v>98</v>
      </c>
      <c r="B6" s="912">
        <v>37134</v>
      </c>
      <c r="C6" s="912">
        <v>37499</v>
      </c>
      <c r="D6" s="912">
        <v>37864</v>
      </c>
      <c r="E6" s="913"/>
      <c r="F6" s="914">
        <v>38807</v>
      </c>
      <c r="G6" s="915"/>
      <c r="H6" s="914">
        <v>40633</v>
      </c>
      <c r="I6" s="916">
        <v>40999</v>
      </c>
      <c r="J6" s="914">
        <v>41364</v>
      </c>
      <c r="K6" s="917">
        <v>41729</v>
      </c>
      <c r="L6" s="917">
        <v>42094</v>
      </c>
      <c r="M6" s="917">
        <v>42460</v>
      </c>
      <c r="N6" s="917">
        <v>42825</v>
      </c>
      <c r="O6" s="917">
        <v>43190</v>
      </c>
      <c r="P6" s="917">
        <v>43555</v>
      </c>
      <c r="Q6" s="918" t="s">
        <v>127</v>
      </c>
      <c r="R6" s="354"/>
    </row>
    <row r="7" spans="1:18" s="428" customFormat="1" ht="13.05" customHeight="1" x14ac:dyDescent="0.35">
      <c r="A7" s="919" t="s">
        <v>105</v>
      </c>
      <c r="B7" s="919">
        <v>31050569</v>
      </c>
      <c r="C7" s="919">
        <v>41963664</v>
      </c>
      <c r="D7" s="919">
        <v>32222362</v>
      </c>
      <c r="E7" s="920"/>
      <c r="F7" s="921">
        <v>39102876</v>
      </c>
      <c r="G7" s="922"/>
      <c r="H7" s="921">
        <v>67313612</v>
      </c>
      <c r="I7" s="923">
        <v>56597261</v>
      </c>
      <c r="J7" s="921">
        <v>65138738</v>
      </c>
      <c r="K7" s="924">
        <v>77304477</v>
      </c>
      <c r="L7" s="924">
        <v>102127196</v>
      </c>
      <c r="M7" s="924">
        <v>126685090</v>
      </c>
      <c r="N7" s="924">
        <v>152393266</v>
      </c>
      <c r="O7" s="924">
        <v>123592803</v>
      </c>
      <c r="P7" s="925"/>
      <c r="Q7" s="926" t="s">
        <v>869</v>
      </c>
      <c r="R7" s="355"/>
    </row>
    <row r="8" spans="1:18" s="135" customFormat="1" ht="13.05" customHeight="1" x14ac:dyDescent="0.35">
      <c r="A8" s="927" t="s">
        <v>110</v>
      </c>
      <c r="B8" s="927">
        <v>-23335527</v>
      </c>
      <c r="C8" s="927">
        <v>-30333864</v>
      </c>
      <c r="D8" s="927">
        <v>-23611678</v>
      </c>
      <c r="E8" s="920"/>
      <c r="F8" s="928">
        <v>-35047107</v>
      </c>
      <c r="G8" s="920"/>
      <c r="H8" s="928">
        <v>-64981068</v>
      </c>
      <c r="I8" s="928">
        <v>-59681470</v>
      </c>
      <c r="J8" s="928">
        <v>-60858907</v>
      </c>
      <c r="K8" s="928">
        <v>-70312831</v>
      </c>
      <c r="L8" s="928">
        <v>-93531264</v>
      </c>
      <c r="M8" s="928">
        <v>-110011376</v>
      </c>
      <c r="N8" s="928">
        <v>-106085153</v>
      </c>
      <c r="O8" s="928">
        <v>-112678501</v>
      </c>
      <c r="P8" s="929"/>
      <c r="Q8" s="926" t="s">
        <v>869</v>
      </c>
      <c r="R8" s="355"/>
    </row>
    <row r="9" spans="1:18" s="135" customFormat="1" ht="13.05" customHeight="1" x14ac:dyDescent="0.35">
      <c r="A9" s="930" t="s">
        <v>108</v>
      </c>
      <c r="B9" s="930">
        <v>7715042</v>
      </c>
      <c r="C9" s="930">
        <v>11629800</v>
      </c>
      <c r="D9" s="930">
        <v>8610684</v>
      </c>
      <c r="E9" s="920"/>
      <c r="F9" s="931">
        <v>4055769</v>
      </c>
      <c r="G9" s="922"/>
      <c r="H9" s="931">
        <v>2332544</v>
      </c>
      <c r="I9" s="932">
        <v>-3084209</v>
      </c>
      <c r="J9" s="931">
        <v>4279831</v>
      </c>
      <c r="K9" s="933">
        <v>6991646</v>
      </c>
      <c r="L9" s="933">
        <v>8595932</v>
      </c>
      <c r="M9" s="933">
        <v>16673714</v>
      </c>
      <c r="N9" s="933">
        <v>46037506</v>
      </c>
      <c r="O9" s="933">
        <v>10914302</v>
      </c>
      <c r="P9" s="934"/>
      <c r="Q9" s="926" t="s">
        <v>869</v>
      </c>
      <c r="R9" s="204"/>
    </row>
    <row r="10" spans="1:18" s="135" customFormat="1" ht="13.05" customHeight="1" x14ac:dyDescent="0.35">
      <c r="A10" s="935" t="s">
        <v>109</v>
      </c>
      <c r="B10" s="935">
        <v>14054712</v>
      </c>
      <c r="C10" s="935">
        <v>25056444</v>
      </c>
      <c r="D10" s="935">
        <v>33879469</v>
      </c>
      <c r="E10" s="920"/>
      <c r="F10" s="935">
        <v>42115402</v>
      </c>
      <c r="G10" s="920"/>
      <c r="H10" s="935">
        <v>59384346</v>
      </c>
      <c r="I10" s="935">
        <v>57169891</v>
      </c>
      <c r="J10" s="935">
        <v>64094906</v>
      </c>
      <c r="K10" s="936">
        <v>73619126</v>
      </c>
      <c r="L10" s="935">
        <v>83082674</v>
      </c>
      <c r="M10" s="935">
        <v>98004402</v>
      </c>
      <c r="N10" s="935">
        <v>148996396</v>
      </c>
      <c r="O10" s="935">
        <v>162738719</v>
      </c>
      <c r="P10" s="935"/>
      <c r="Q10" s="926" t="s">
        <v>869</v>
      </c>
      <c r="R10" s="355"/>
    </row>
    <row r="11" spans="1:18" s="18" customFormat="1" ht="13.05" customHeight="1" x14ac:dyDescent="0.35">
      <c r="A11" s="937" t="s">
        <v>536</v>
      </c>
      <c r="B11" s="937"/>
      <c r="C11" s="937"/>
      <c r="D11" s="937"/>
      <c r="E11" s="937"/>
      <c r="F11" s="937"/>
      <c r="G11" s="937"/>
      <c r="H11" s="937"/>
      <c r="I11" s="937"/>
      <c r="J11" s="937"/>
      <c r="K11" s="937"/>
      <c r="L11" s="937"/>
      <c r="M11" s="937"/>
      <c r="N11" s="937"/>
      <c r="O11" s="937"/>
      <c r="P11" s="937"/>
      <c r="Q11" s="938"/>
      <c r="R11" s="356"/>
    </row>
    <row r="12" spans="1:18" s="11" customFormat="1" ht="13.05" customHeight="1" x14ac:dyDescent="0.35">
      <c r="A12" s="939"/>
      <c r="B12" s="939"/>
      <c r="C12" s="939"/>
      <c r="D12" s="939"/>
      <c r="E12" s="940"/>
      <c r="F12" s="939"/>
      <c r="G12" s="939"/>
      <c r="H12" s="939"/>
      <c r="I12" s="939"/>
      <c r="J12" s="939"/>
      <c r="K12" s="941"/>
      <c r="L12" s="939"/>
      <c r="M12" s="939"/>
      <c r="N12" s="939"/>
      <c r="O12" s="939"/>
      <c r="P12" s="939"/>
      <c r="Q12" s="938"/>
      <c r="R12" s="356"/>
    </row>
    <row r="13" spans="1:18" s="433" customFormat="1" ht="18" customHeight="1" x14ac:dyDescent="0.35">
      <c r="A13" s="942" t="s">
        <v>154</v>
      </c>
      <c r="B13" s="942"/>
      <c r="C13" s="942"/>
      <c r="D13" s="942"/>
      <c r="E13" s="942"/>
      <c r="F13" s="942"/>
      <c r="G13" s="942"/>
      <c r="H13" s="942"/>
      <c r="I13" s="942"/>
      <c r="J13" s="942"/>
      <c r="K13" s="942"/>
      <c r="L13" s="942"/>
      <c r="M13" s="942"/>
      <c r="N13" s="942"/>
      <c r="O13" s="942"/>
      <c r="P13" s="942"/>
      <c r="Q13" s="943"/>
      <c r="R13" s="569"/>
    </row>
    <row r="14" spans="1:18" s="11" customFormat="1" ht="13.05" customHeight="1" x14ac:dyDescent="0.35">
      <c r="A14" s="944" t="s">
        <v>161</v>
      </c>
      <c r="B14" s="944"/>
      <c r="C14" s="944"/>
      <c r="D14" s="944"/>
      <c r="E14" s="944"/>
      <c r="F14" s="944"/>
      <c r="G14" s="944"/>
      <c r="H14" s="944"/>
      <c r="I14" s="944"/>
      <c r="J14" s="944"/>
      <c r="K14" s="944"/>
      <c r="L14" s="944"/>
      <c r="M14" s="944"/>
      <c r="N14" s="944"/>
      <c r="O14" s="944"/>
      <c r="P14" s="944"/>
      <c r="Q14" s="938"/>
      <c r="R14" s="356"/>
    </row>
    <row r="15" spans="1:18" s="13" customFormat="1" ht="13.05" customHeight="1" x14ac:dyDescent="0.4">
      <c r="A15" s="945" t="s">
        <v>160</v>
      </c>
      <c r="B15" s="945"/>
      <c r="C15" s="945"/>
      <c r="D15" s="945"/>
      <c r="E15" s="945"/>
      <c r="F15" s="945"/>
      <c r="G15" s="945"/>
      <c r="H15" s="945"/>
      <c r="I15" s="945"/>
      <c r="J15" s="945"/>
      <c r="K15" s="945"/>
      <c r="L15" s="945"/>
      <c r="M15" s="945"/>
      <c r="N15" s="945"/>
      <c r="O15" s="945"/>
      <c r="P15" s="945"/>
      <c r="Q15" s="905"/>
      <c r="R15" s="356"/>
    </row>
    <row r="16" spans="1:18" s="13" customFormat="1" ht="13.05" customHeight="1" x14ac:dyDescent="0.35">
      <c r="A16" s="911" t="s">
        <v>98</v>
      </c>
      <c r="B16" s="914">
        <v>37134</v>
      </c>
      <c r="C16" s="912">
        <v>37499</v>
      </c>
      <c r="D16" s="912">
        <v>37864</v>
      </c>
      <c r="E16" s="915"/>
      <c r="F16" s="914">
        <v>38807</v>
      </c>
      <c r="G16" s="915"/>
      <c r="H16" s="914">
        <v>40633</v>
      </c>
      <c r="I16" s="916">
        <v>40999</v>
      </c>
      <c r="J16" s="914">
        <v>41364</v>
      </c>
      <c r="K16" s="917">
        <v>41729</v>
      </c>
      <c r="L16" s="917">
        <v>42094</v>
      </c>
      <c r="M16" s="917">
        <v>42460</v>
      </c>
      <c r="N16" s="917">
        <v>42825</v>
      </c>
      <c r="O16" s="917">
        <v>43190</v>
      </c>
      <c r="P16" s="917">
        <v>43555</v>
      </c>
      <c r="Q16" s="938"/>
      <c r="R16" s="356"/>
    </row>
    <row r="17" spans="1:19" s="11" customFormat="1" ht="13.05" customHeight="1" x14ac:dyDescent="0.35">
      <c r="A17" s="939" t="s">
        <v>105</v>
      </c>
      <c r="B17" s="946" t="s">
        <v>235</v>
      </c>
      <c r="C17" s="946" t="s">
        <v>235</v>
      </c>
      <c r="D17" s="946" t="s">
        <v>235</v>
      </c>
      <c r="E17" s="920"/>
      <c r="F17" s="939">
        <v>39496267</v>
      </c>
      <c r="G17" s="920"/>
      <c r="H17" s="939">
        <v>66705367</v>
      </c>
      <c r="I17" s="939">
        <v>55951686</v>
      </c>
      <c r="J17" s="939">
        <v>64923037</v>
      </c>
      <c r="K17" s="941">
        <v>76565492</v>
      </c>
      <c r="L17" s="939">
        <v>100543862</v>
      </c>
      <c r="M17" s="939">
        <v>125301588</v>
      </c>
      <c r="N17" s="947">
        <v>290738512</v>
      </c>
      <c r="O17" s="939">
        <v>102664601</v>
      </c>
      <c r="P17" s="939">
        <v>104727219</v>
      </c>
      <c r="Q17" s="938"/>
      <c r="R17" s="356"/>
      <c r="S17" s="12"/>
    </row>
    <row r="18" spans="1:19" s="11" customFormat="1" ht="13.05" customHeight="1" x14ac:dyDescent="0.35">
      <c r="A18" s="927" t="s">
        <v>153</v>
      </c>
      <c r="B18" s="928" t="s">
        <v>235</v>
      </c>
      <c r="C18" s="928" t="s">
        <v>235</v>
      </c>
      <c r="D18" s="928" t="s">
        <v>235</v>
      </c>
      <c r="E18" s="920"/>
      <c r="F18" s="927">
        <v>-35047105</v>
      </c>
      <c r="G18" s="920"/>
      <c r="H18" s="927">
        <v>-64981068</v>
      </c>
      <c r="I18" s="927">
        <v>-59441348</v>
      </c>
      <c r="J18" s="927">
        <v>-60399248</v>
      </c>
      <c r="K18" s="927">
        <v>-70030472</v>
      </c>
      <c r="L18" s="927">
        <v>-93256159</v>
      </c>
      <c r="M18" s="927">
        <v>-109809361</v>
      </c>
      <c r="N18" s="927">
        <v>-221826583</v>
      </c>
      <c r="O18" s="927">
        <v>-109192197</v>
      </c>
      <c r="P18" s="927">
        <v>131804573</v>
      </c>
      <c r="Q18" s="938"/>
      <c r="R18" s="356"/>
    </row>
    <row r="19" spans="1:19" s="11" customFormat="1" ht="13.05" customHeight="1" x14ac:dyDescent="0.35">
      <c r="A19" s="939" t="s">
        <v>891</v>
      </c>
      <c r="B19" s="946" t="s">
        <v>235</v>
      </c>
      <c r="C19" s="946" t="s">
        <v>235</v>
      </c>
      <c r="D19" s="946" t="s">
        <v>235</v>
      </c>
      <c r="E19" s="920"/>
      <c r="F19" s="939">
        <v>4449162</v>
      </c>
      <c r="G19" s="920"/>
      <c r="H19" s="939">
        <v>1724300</v>
      </c>
      <c r="I19" s="939">
        <v>-3489662</v>
      </c>
      <c r="J19" s="939">
        <v>4523789</v>
      </c>
      <c r="K19" s="941">
        <v>6535020</v>
      </c>
      <c r="L19" s="939">
        <v>7307703</v>
      </c>
      <c r="M19" s="939">
        <v>15492227</v>
      </c>
      <c r="N19" s="939">
        <v>68911929</v>
      </c>
      <c r="O19" s="939">
        <v>-6527598</v>
      </c>
      <c r="P19" s="939">
        <v>-27077354</v>
      </c>
      <c r="Q19" s="948"/>
      <c r="R19" s="356"/>
    </row>
    <row r="20" spans="1:19" s="13" customFormat="1" ht="13.05" customHeight="1" x14ac:dyDescent="0.35">
      <c r="A20" s="937" t="s">
        <v>175</v>
      </c>
      <c r="B20" s="937"/>
      <c r="C20" s="937"/>
      <c r="D20" s="937"/>
      <c r="E20" s="937"/>
      <c r="F20" s="937"/>
      <c r="G20" s="937"/>
      <c r="H20" s="937"/>
      <c r="I20" s="937"/>
      <c r="J20" s="937"/>
      <c r="K20" s="937"/>
      <c r="L20" s="937"/>
      <c r="M20" s="937"/>
      <c r="N20" s="937"/>
      <c r="O20" s="937"/>
      <c r="P20" s="937"/>
      <c r="Q20" s="948"/>
      <c r="R20" s="356"/>
    </row>
    <row r="21" spans="1:19" s="11" customFormat="1" ht="13.05" customHeight="1" x14ac:dyDescent="0.4">
      <c r="A21" s="949"/>
      <c r="B21" s="949"/>
      <c r="C21" s="949"/>
      <c r="D21" s="949"/>
      <c r="E21" s="940"/>
      <c r="F21" s="949"/>
      <c r="G21" s="949"/>
      <c r="H21" s="949"/>
      <c r="I21" s="949"/>
      <c r="J21" s="949"/>
      <c r="K21" s="950"/>
      <c r="L21" s="951"/>
      <c r="M21" s="951"/>
      <c r="N21" s="951"/>
      <c r="O21" s="951"/>
      <c r="P21" s="951"/>
      <c r="Q21" s="905"/>
      <c r="R21" s="291"/>
    </row>
    <row r="22" spans="1:19" s="433" customFormat="1" ht="18" customHeight="1" x14ac:dyDescent="0.35">
      <c r="A22" s="942" t="s">
        <v>880</v>
      </c>
      <c r="B22" s="942"/>
      <c r="C22" s="942"/>
      <c r="D22" s="942"/>
      <c r="E22" s="942"/>
      <c r="F22" s="942"/>
      <c r="G22" s="942"/>
      <c r="H22" s="942"/>
      <c r="I22" s="942"/>
      <c r="J22" s="942"/>
      <c r="K22" s="942"/>
      <c r="L22" s="942"/>
      <c r="M22" s="942"/>
      <c r="N22" s="942"/>
      <c r="O22" s="942"/>
      <c r="P22" s="942"/>
      <c r="Q22" s="952"/>
      <c r="R22" s="570"/>
    </row>
    <row r="23" spans="1:19" s="338" customFormat="1" ht="15.75" customHeight="1" x14ac:dyDescent="0.4">
      <c r="A23" s="953" t="s">
        <v>883</v>
      </c>
      <c r="B23" s="953"/>
      <c r="C23" s="953"/>
      <c r="D23" s="953"/>
      <c r="E23" s="953"/>
      <c r="F23" s="953"/>
      <c r="G23" s="953"/>
      <c r="H23" s="953"/>
      <c r="I23" s="953"/>
      <c r="J23" s="953"/>
      <c r="K23" s="953"/>
      <c r="L23" s="953"/>
      <c r="M23" s="953"/>
      <c r="N23" s="953"/>
      <c r="O23" s="953"/>
      <c r="P23" s="953"/>
      <c r="Q23" s="905"/>
      <c r="R23" s="291"/>
    </row>
    <row r="24" spans="1:19" s="338" customFormat="1" ht="13.05" customHeight="1" x14ac:dyDescent="0.35">
      <c r="A24" s="911" t="s">
        <v>98</v>
      </c>
      <c r="B24" s="914">
        <v>37134</v>
      </c>
      <c r="C24" s="912">
        <v>37499</v>
      </c>
      <c r="D24" s="912">
        <v>37864</v>
      </c>
      <c r="E24" s="915"/>
      <c r="F24" s="914">
        <v>38807</v>
      </c>
      <c r="G24" s="915"/>
      <c r="H24" s="914">
        <v>40633</v>
      </c>
      <c r="I24" s="916">
        <v>40999</v>
      </c>
      <c r="J24" s="914">
        <v>41364</v>
      </c>
      <c r="K24" s="917">
        <v>41729</v>
      </c>
      <c r="L24" s="917">
        <v>42094</v>
      </c>
      <c r="M24" s="917">
        <v>42460</v>
      </c>
      <c r="N24" s="917">
        <v>42825</v>
      </c>
      <c r="O24" s="917">
        <v>43190</v>
      </c>
      <c r="P24" s="917">
        <v>43555</v>
      </c>
      <c r="Q24" s="845"/>
      <c r="R24" s="354"/>
    </row>
    <row r="25" spans="1:19" s="338" customFormat="1" ht="13.05" customHeight="1" x14ac:dyDescent="0.35">
      <c r="A25" s="954" t="s">
        <v>555</v>
      </c>
      <c r="B25" s="954">
        <v>6109212</v>
      </c>
      <c r="C25" s="955" t="s">
        <v>560</v>
      </c>
      <c r="D25" s="954">
        <v>6719041</v>
      </c>
      <c r="E25" s="920"/>
      <c r="F25" s="955">
        <v>10553078</v>
      </c>
      <c r="G25" s="922"/>
      <c r="H25" s="955">
        <v>33047082</v>
      </c>
      <c r="I25" s="955">
        <v>18430799</v>
      </c>
      <c r="J25" s="955">
        <v>22285102</v>
      </c>
      <c r="K25" s="956">
        <v>24692600</v>
      </c>
      <c r="L25" s="956">
        <v>37558657</v>
      </c>
      <c r="M25" s="955">
        <v>49911967</v>
      </c>
      <c r="N25" s="956">
        <v>31406215</v>
      </c>
      <c r="O25" s="956">
        <v>27885547</v>
      </c>
      <c r="P25" s="957"/>
      <c r="Q25" s="958" t="s">
        <v>132</v>
      </c>
    </row>
    <row r="26" spans="1:19" s="338" customFormat="1" ht="13.05" customHeight="1" x14ac:dyDescent="0.35">
      <c r="A26" s="954" t="s">
        <v>546</v>
      </c>
      <c r="B26" s="954">
        <v>15255458</v>
      </c>
      <c r="C26" s="954">
        <v>20997672</v>
      </c>
      <c r="D26" s="954">
        <v>14862632</v>
      </c>
      <c r="E26" s="920"/>
      <c r="F26" s="955">
        <v>24336245</v>
      </c>
      <c r="G26" s="922"/>
      <c r="H26" s="955">
        <v>45350478</v>
      </c>
      <c r="I26" s="955">
        <v>42764901</v>
      </c>
      <c r="J26" s="955">
        <v>45829416</v>
      </c>
      <c r="K26" s="956">
        <v>50823920</v>
      </c>
      <c r="L26" s="956">
        <v>69718886</v>
      </c>
      <c r="M26" s="956">
        <v>80849218</v>
      </c>
      <c r="N26" s="956">
        <v>75628186</v>
      </c>
      <c r="O26" s="956">
        <v>71893738</v>
      </c>
      <c r="P26" s="957"/>
      <c r="Q26" s="958" t="s">
        <v>132</v>
      </c>
    </row>
    <row r="27" spans="1:19" s="338" customFormat="1" ht="13.05" customHeight="1" x14ac:dyDescent="0.4">
      <c r="A27" s="954"/>
      <c r="B27" s="954"/>
      <c r="C27" s="954"/>
      <c r="D27" s="954"/>
      <c r="E27" s="940"/>
      <c r="F27" s="954"/>
      <c r="G27" s="949"/>
      <c r="H27" s="954"/>
      <c r="I27" s="954"/>
      <c r="J27" s="954"/>
      <c r="K27" s="957"/>
      <c r="L27" s="954"/>
      <c r="M27" s="954"/>
      <c r="N27" s="954"/>
      <c r="O27" s="954"/>
      <c r="P27" s="954"/>
      <c r="Q27" s="905"/>
      <c r="R27" s="203"/>
    </row>
    <row r="28" spans="1:19" s="433" customFormat="1" ht="18" customHeight="1" x14ac:dyDescent="0.35">
      <c r="A28" s="942" t="s">
        <v>530</v>
      </c>
      <c r="B28" s="942"/>
      <c r="C28" s="942"/>
      <c r="D28" s="942"/>
      <c r="E28" s="942"/>
      <c r="F28" s="942"/>
      <c r="G28" s="942"/>
      <c r="H28" s="942"/>
      <c r="I28" s="942"/>
      <c r="J28" s="942"/>
      <c r="K28" s="942"/>
      <c r="L28" s="942"/>
      <c r="M28" s="942"/>
      <c r="N28" s="942"/>
      <c r="O28" s="942"/>
      <c r="P28" s="942"/>
      <c r="Q28" s="952"/>
      <c r="R28" s="570"/>
    </row>
    <row r="29" spans="1:19" s="18" customFormat="1" x14ac:dyDescent="0.4">
      <c r="A29" s="907" t="s">
        <v>868</v>
      </c>
      <c r="B29" s="907"/>
      <c r="C29" s="907"/>
      <c r="D29" s="907"/>
      <c r="E29" s="907"/>
      <c r="F29" s="907"/>
      <c r="G29" s="907"/>
      <c r="H29" s="907"/>
      <c r="I29" s="907"/>
      <c r="J29" s="907"/>
      <c r="K29" s="907"/>
      <c r="L29" s="907"/>
      <c r="M29" s="907"/>
      <c r="N29" s="907"/>
      <c r="O29" s="907"/>
      <c r="P29" s="907"/>
      <c r="Q29" s="910"/>
      <c r="R29" s="369"/>
    </row>
    <row r="30" spans="1:19" s="11" customFormat="1" ht="15.75" customHeight="1" x14ac:dyDescent="0.4">
      <c r="A30" s="953" t="s">
        <v>593</v>
      </c>
      <c r="B30" s="953"/>
      <c r="C30" s="953"/>
      <c r="D30" s="953"/>
      <c r="E30" s="953"/>
      <c r="F30" s="953"/>
      <c r="G30" s="953"/>
      <c r="H30" s="953"/>
      <c r="I30" s="953"/>
      <c r="J30" s="953"/>
      <c r="K30" s="953"/>
      <c r="L30" s="953"/>
      <c r="M30" s="953"/>
      <c r="N30" s="953"/>
      <c r="O30" s="953"/>
      <c r="P30" s="953"/>
      <c r="Q30" s="905"/>
      <c r="R30" s="291"/>
    </row>
    <row r="31" spans="1:19" s="11" customFormat="1" ht="13.05" customHeight="1" x14ac:dyDescent="0.35">
      <c r="A31" s="911" t="s">
        <v>98</v>
      </c>
      <c r="B31" s="914">
        <v>37134</v>
      </c>
      <c r="C31" s="912">
        <v>37499</v>
      </c>
      <c r="D31" s="912">
        <v>37864</v>
      </c>
      <c r="E31" s="915"/>
      <c r="F31" s="914">
        <v>38807</v>
      </c>
      <c r="G31" s="915"/>
      <c r="H31" s="914">
        <v>40633</v>
      </c>
      <c r="I31" s="916">
        <v>40999</v>
      </c>
      <c r="J31" s="914">
        <v>41364</v>
      </c>
      <c r="K31" s="917">
        <v>41729</v>
      </c>
      <c r="L31" s="917">
        <v>42094</v>
      </c>
      <c r="M31" s="917">
        <v>42460</v>
      </c>
      <c r="N31" s="917">
        <v>42825</v>
      </c>
      <c r="O31" s="917">
        <v>43190</v>
      </c>
      <c r="P31" s="917">
        <v>43555</v>
      </c>
      <c r="Q31" s="845"/>
      <c r="R31" s="291"/>
    </row>
    <row r="32" spans="1:19" s="11" customFormat="1" ht="13.05" customHeight="1" x14ac:dyDescent="0.35">
      <c r="A32" s="954" t="s">
        <v>99</v>
      </c>
      <c r="B32" s="954"/>
      <c r="C32" s="954"/>
      <c r="D32" s="954"/>
      <c r="E32" s="920"/>
      <c r="F32" s="955"/>
      <c r="G32" s="922"/>
      <c r="H32" s="955">
        <v>31720210</v>
      </c>
      <c r="I32" s="955">
        <v>10492239</v>
      </c>
      <c r="J32" s="955">
        <v>11476938</v>
      </c>
      <c r="K32" s="956">
        <v>15251025</v>
      </c>
      <c r="L32" s="956">
        <v>14867576</v>
      </c>
      <c r="M32" s="956">
        <v>22244353</v>
      </c>
      <c r="N32" s="956">
        <v>10844743</v>
      </c>
      <c r="O32" s="437">
        <v>10638489</v>
      </c>
      <c r="P32" s="437">
        <v>14956685</v>
      </c>
      <c r="Q32" s="959"/>
      <c r="R32" s="347"/>
    </row>
    <row r="33" spans="1:64" s="430" customFormat="1" ht="13.05" customHeight="1" x14ac:dyDescent="0.35">
      <c r="A33" s="954" t="s">
        <v>862</v>
      </c>
      <c r="B33" s="954"/>
      <c r="C33" s="954"/>
      <c r="D33" s="954"/>
      <c r="E33" s="920"/>
      <c r="F33" s="955"/>
      <c r="G33" s="922"/>
      <c r="H33" s="955"/>
      <c r="I33" s="955"/>
      <c r="J33" s="955"/>
      <c r="K33" s="956"/>
      <c r="L33" s="956"/>
      <c r="M33" s="956"/>
      <c r="N33" s="956">
        <v>3767875</v>
      </c>
      <c r="O33" s="956">
        <v>2227362</v>
      </c>
      <c r="P33" s="437">
        <v>1086143</v>
      </c>
      <c r="Q33" s="959"/>
      <c r="R33" s="347"/>
    </row>
    <row r="34" spans="1:64" s="11" customFormat="1" ht="13.05" customHeight="1" x14ac:dyDescent="0.35">
      <c r="A34" s="927" t="s">
        <v>100</v>
      </c>
      <c r="B34" s="927"/>
      <c r="C34" s="927"/>
      <c r="D34" s="927"/>
      <c r="E34" s="920"/>
      <c r="F34" s="928"/>
      <c r="G34" s="920"/>
      <c r="H34" s="928">
        <v>23279648</v>
      </c>
      <c r="I34" s="928">
        <v>11999518</v>
      </c>
      <c r="J34" s="928">
        <v>12680034</v>
      </c>
      <c r="K34" s="960">
        <v>16114041</v>
      </c>
      <c r="L34" s="960">
        <v>14515877</v>
      </c>
      <c r="M34" s="960">
        <v>19574315</v>
      </c>
      <c r="N34" s="960">
        <v>15995008</v>
      </c>
      <c r="O34" s="960">
        <v>14220640</v>
      </c>
      <c r="P34" s="961">
        <v>19114464</v>
      </c>
      <c r="Q34" s="959"/>
      <c r="R34" s="203"/>
    </row>
    <row r="35" spans="1:64" s="32" customFormat="1" ht="13.05" customHeight="1" x14ac:dyDescent="0.4">
      <c r="A35" s="962" t="s">
        <v>101</v>
      </c>
      <c r="B35" s="962"/>
      <c r="C35" s="962"/>
      <c r="D35" s="962"/>
      <c r="E35" s="963"/>
      <c r="F35" s="964"/>
      <c r="G35" s="965"/>
      <c r="H35" s="964">
        <f>H32+H33-H34</f>
        <v>8440562</v>
      </c>
      <c r="I35" s="964">
        <f t="shared" ref="I35:P35" si="0">I32+I33-I34</f>
        <v>-1507279</v>
      </c>
      <c r="J35" s="964">
        <f t="shared" si="0"/>
        <v>-1203096</v>
      </c>
      <c r="K35" s="964">
        <f t="shared" si="0"/>
        <v>-863016</v>
      </c>
      <c r="L35" s="964">
        <f t="shared" si="0"/>
        <v>351699</v>
      </c>
      <c r="M35" s="964">
        <f t="shared" si="0"/>
        <v>2670038</v>
      </c>
      <c r="N35" s="964">
        <f t="shared" si="0"/>
        <v>-1382390</v>
      </c>
      <c r="O35" s="964">
        <f t="shared" si="0"/>
        <v>-1354789</v>
      </c>
      <c r="P35" s="964">
        <f t="shared" si="0"/>
        <v>-3071636</v>
      </c>
      <c r="Q35" s="966"/>
      <c r="R35" s="346"/>
      <c r="BL35" s="564"/>
    </row>
    <row r="36" spans="1:64" s="11" customFormat="1" ht="13.05" customHeight="1" x14ac:dyDescent="0.35">
      <c r="A36" s="954" t="s">
        <v>102</v>
      </c>
      <c r="B36" s="954"/>
      <c r="C36" s="954"/>
      <c r="D36" s="954"/>
      <c r="E36" s="920"/>
      <c r="F36" s="955"/>
      <c r="G36" s="922"/>
      <c r="H36" s="955">
        <v>1056575</v>
      </c>
      <c r="I36" s="955">
        <v>3081793</v>
      </c>
      <c r="J36" s="955">
        <v>9982955</v>
      </c>
      <c r="K36" s="956">
        <v>6937008</v>
      </c>
      <c r="L36" s="956">
        <v>3160386</v>
      </c>
      <c r="M36" s="956">
        <v>24110974</v>
      </c>
      <c r="N36" s="956">
        <v>14612481</v>
      </c>
      <c r="O36" s="437">
        <v>12093135</v>
      </c>
      <c r="P36" s="437">
        <v>12074448</v>
      </c>
      <c r="Q36" s="967"/>
      <c r="R36" s="355"/>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row>
    <row r="37" spans="1:64" s="11" customFormat="1" ht="13.05" customHeight="1" x14ac:dyDescent="0.35">
      <c r="A37" s="927" t="s">
        <v>103</v>
      </c>
      <c r="B37" s="927"/>
      <c r="C37" s="927"/>
      <c r="D37" s="927"/>
      <c r="E37" s="920"/>
      <c r="F37" s="928"/>
      <c r="G37" s="920"/>
      <c r="H37" s="928">
        <v>4565926</v>
      </c>
      <c r="I37" s="928">
        <v>6086854</v>
      </c>
      <c r="J37" s="928">
        <v>11333050</v>
      </c>
      <c r="K37" s="960">
        <v>8158506</v>
      </c>
      <c r="L37" s="960">
        <v>8569556</v>
      </c>
      <c r="M37" s="960">
        <v>16078961</v>
      </c>
      <c r="N37" s="960">
        <v>13549986</v>
      </c>
      <c r="O37" s="960">
        <v>16905666</v>
      </c>
      <c r="P37" s="961">
        <v>18578838</v>
      </c>
      <c r="Q37" s="967"/>
      <c r="R37" s="355"/>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row>
    <row r="38" spans="1:64" s="32" customFormat="1" ht="13.05" customHeight="1" x14ac:dyDescent="0.4">
      <c r="A38" s="962" t="s">
        <v>104</v>
      </c>
      <c r="B38" s="962"/>
      <c r="C38" s="962"/>
      <c r="D38" s="962"/>
      <c r="E38" s="963"/>
      <c r="F38" s="964"/>
      <c r="G38" s="965"/>
      <c r="H38" s="964">
        <v>-3509351</v>
      </c>
      <c r="I38" s="964">
        <v>-4462384</v>
      </c>
      <c r="J38" s="964">
        <v>-1350095</v>
      </c>
      <c r="K38" s="968">
        <v>-1221498</v>
      </c>
      <c r="L38" s="968">
        <v>-3160463</v>
      </c>
      <c r="M38" s="968">
        <v>12493618</v>
      </c>
      <c r="N38" s="964">
        <f>N36-N37</f>
        <v>1062495</v>
      </c>
      <c r="O38" s="964">
        <f>O36-O37</f>
        <v>-4812531</v>
      </c>
      <c r="P38" s="964">
        <f>P36-P37</f>
        <v>-6504390</v>
      </c>
      <c r="Q38" s="969"/>
      <c r="R38" s="565"/>
      <c r="S38" s="564"/>
      <c r="T38" s="564"/>
      <c r="U38" s="564"/>
      <c r="V38" s="564"/>
      <c r="W38" s="564"/>
      <c r="X38" s="564"/>
      <c r="Y38" s="564"/>
      <c r="Z38" s="564"/>
      <c r="AA38" s="564"/>
      <c r="AB38" s="564"/>
      <c r="AC38" s="564"/>
      <c r="AD38" s="564"/>
      <c r="AE38" s="564"/>
      <c r="AF38" s="564"/>
      <c r="AG38" s="564"/>
      <c r="AH38" s="564"/>
      <c r="AI38" s="564"/>
      <c r="AJ38" s="564"/>
      <c r="AK38" s="564"/>
      <c r="AL38" s="564"/>
      <c r="AM38" s="564"/>
      <c r="AN38" s="564"/>
      <c r="AO38" s="564"/>
      <c r="AP38" s="564"/>
      <c r="AQ38" s="564"/>
      <c r="AR38" s="564"/>
      <c r="AS38" s="564"/>
      <c r="AT38" s="564"/>
      <c r="AU38" s="564"/>
      <c r="AV38" s="564"/>
      <c r="AW38" s="564"/>
      <c r="AX38" s="564"/>
      <c r="AY38" s="564"/>
      <c r="AZ38" s="564"/>
      <c r="BA38" s="564"/>
      <c r="BB38" s="564"/>
      <c r="BC38" s="564"/>
    </row>
    <row r="39" spans="1:64" s="18" customFormat="1" ht="13.05" customHeight="1" x14ac:dyDescent="0.35">
      <c r="A39" s="939" t="s">
        <v>860</v>
      </c>
      <c r="B39" s="939"/>
      <c r="C39" s="939"/>
      <c r="D39" s="939"/>
      <c r="E39" s="920"/>
      <c r="F39" s="946"/>
      <c r="G39" s="922"/>
      <c r="H39" s="946"/>
      <c r="I39" s="946"/>
      <c r="J39" s="946"/>
      <c r="K39" s="970">
        <v>2137464</v>
      </c>
      <c r="L39" s="970">
        <v>12892819</v>
      </c>
      <c r="M39" s="970"/>
      <c r="N39" s="970"/>
      <c r="O39" s="970"/>
      <c r="P39" s="437">
        <v>328003</v>
      </c>
      <c r="Q39" s="967"/>
      <c r="R39" s="355"/>
    </row>
    <row r="40" spans="1:64" s="18" customFormat="1" ht="13.05" customHeight="1" x14ac:dyDescent="0.35">
      <c r="A40" s="939" t="s">
        <v>861</v>
      </c>
      <c r="B40" s="939"/>
      <c r="C40" s="939"/>
      <c r="D40" s="939"/>
      <c r="E40" s="920"/>
      <c r="F40" s="946"/>
      <c r="G40" s="922"/>
      <c r="H40" s="946"/>
      <c r="I40" s="946">
        <v>1552191</v>
      </c>
      <c r="J40" s="946"/>
      <c r="K40" s="970"/>
      <c r="L40" s="970"/>
      <c r="M40" s="970">
        <v>3215379</v>
      </c>
      <c r="N40" s="970"/>
      <c r="O40" s="970"/>
      <c r="P40" s="437">
        <v>480000</v>
      </c>
      <c r="Q40" s="967"/>
      <c r="R40" s="355"/>
    </row>
    <row r="41" spans="1:64" s="18" customFormat="1" ht="13.05" customHeight="1" x14ac:dyDescent="0.35">
      <c r="A41" s="939" t="s">
        <v>867</v>
      </c>
      <c r="B41" s="939"/>
      <c r="C41" s="939"/>
      <c r="D41" s="939"/>
      <c r="E41" s="920"/>
      <c r="F41" s="946"/>
      <c r="G41" s="922"/>
      <c r="H41" s="946"/>
      <c r="I41" s="946"/>
      <c r="J41" s="946"/>
      <c r="K41" s="970"/>
      <c r="L41" s="970">
        <v>2248707</v>
      </c>
      <c r="M41" s="970">
        <v>2595978</v>
      </c>
      <c r="N41" s="970"/>
      <c r="O41" s="970"/>
      <c r="P41" s="941"/>
      <c r="Q41" s="967"/>
      <c r="R41" s="355"/>
    </row>
    <row r="42" spans="1:64" s="18" customFormat="1" ht="13.05" customHeight="1" x14ac:dyDescent="0.35">
      <c r="A42" s="927" t="s">
        <v>863</v>
      </c>
      <c r="B42" s="927"/>
      <c r="C42" s="927"/>
      <c r="D42" s="927"/>
      <c r="E42" s="920"/>
      <c r="F42" s="928"/>
      <c r="G42" s="920"/>
      <c r="H42" s="928"/>
      <c r="I42" s="928"/>
      <c r="J42" s="928"/>
      <c r="K42" s="960"/>
      <c r="L42" s="960">
        <v>1577823</v>
      </c>
      <c r="M42" s="960">
        <v>1294759</v>
      </c>
      <c r="N42" s="960"/>
      <c r="O42" s="960"/>
      <c r="P42" s="961">
        <v>900000</v>
      </c>
      <c r="Q42" s="967"/>
      <c r="R42" s="355"/>
    </row>
    <row r="43" spans="1:64" s="18" customFormat="1" ht="13.05" customHeight="1" x14ac:dyDescent="0.35">
      <c r="A43" s="927" t="s">
        <v>1085</v>
      </c>
      <c r="B43" s="927"/>
      <c r="C43" s="927"/>
      <c r="D43" s="927"/>
      <c r="E43" s="920"/>
      <c r="F43" s="928"/>
      <c r="G43" s="920"/>
      <c r="H43" s="928"/>
      <c r="I43" s="928">
        <v>3009514</v>
      </c>
      <c r="J43" s="928"/>
      <c r="K43" s="960">
        <v>2407862</v>
      </c>
      <c r="L43" s="960">
        <v>16426622</v>
      </c>
      <c r="M43" s="960">
        <v>5635451</v>
      </c>
      <c r="N43" s="960"/>
      <c r="O43" s="960">
        <v>2911</v>
      </c>
      <c r="P43" s="961">
        <v>1564788</v>
      </c>
      <c r="Q43" s="967"/>
      <c r="R43" s="355"/>
    </row>
    <row r="44" spans="1:64" s="563" customFormat="1" ht="13.05" customHeight="1" x14ac:dyDescent="0.35">
      <c r="A44" s="962" t="s">
        <v>866</v>
      </c>
      <c r="B44" s="919"/>
      <c r="C44" s="919"/>
      <c r="D44" s="919"/>
      <c r="E44" s="920"/>
      <c r="F44" s="921"/>
      <c r="G44" s="922"/>
      <c r="H44" s="921">
        <f>H39+H40+H41-H42-H43</f>
        <v>0</v>
      </c>
      <c r="I44" s="921">
        <f t="shared" ref="I44:P44" si="1">I39+I40+I41-I42-I43</f>
        <v>-1457323</v>
      </c>
      <c r="J44" s="921">
        <f t="shared" si="1"/>
        <v>0</v>
      </c>
      <c r="K44" s="921">
        <f t="shared" si="1"/>
        <v>-270398</v>
      </c>
      <c r="L44" s="921">
        <f t="shared" si="1"/>
        <v>-2862919</v>
      </c>
      <c r="M44" s="921">
        <f t="shared" si="1"/>
        <v>-1118853</v>
      </c>
      <c r="N44" s="921">
        <f t="shared" si="1"/>
        <v>0</v>
      </c>
      <c r="O44" s="921">
        <f t="shared" si="1"/>
        <v>-2911</v>
      </c>
      <c r="P44" s="921">
        <f t="shared" si="1"/>
        <v>-1656785</v>
      </c>
      <c r="Q44" s="967"/>
      <c r="R44" s="355"/>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row>
    <row r="45" spans="1:64" s="562" customFormat="1" ht="13.05" customHeight="1" x14ac:dyDescent="0.4">
      <c r="A45" s="972" t="s">
        <v>865</v>
      </c>
      <c r="B45" s="972"/>
      <c r="C45" s="972"/>
      <c r="D45" s="972"/>
      <c r="E45" s="920"/>
      <c r="F45" s="973"/>
      <c r="G45" s="922"/>
      <c r="H45" s="973">
        <f>H35+H38+H44</f>
        <v>4931211</v>
      </c>
      <c r="I45" s="973">
        <f t="shared" ref="I45:P45" si="2">I35+I38+I44</f>
        <v>-7426986</v>
      </c>
      <c r="J45" s="973">
        <f t="shared" si="2"/>
        <v>-2553191</v>
      </c>
      <c r="K45" s="973">
        <f t="shared" si="2"/>
        <v>-2354912</v>
      </c>
      <c r="L45" s="973">
        <f t="shared" si="2"/>
        <v>-5671683</v>
      </c>
      <c r="M45" s="973">
        <f t="shared" si="2"/>
        <v>14044803</v>
      </c>
      <c r="N45" s="973">
        <f t="shared" si="2"/>
        <v>-319895</v>
      </c>
      <c r="O45" s="973">
        <f t="shared" si="2"/>
        <v>-6170231</v>
      </c>
      <c r="P45" s="973">
        <f t="shared" si="2"/>
        <v>-11232811</v>
      </c>
      <c r="Q45" s="969"/>
      <c r="R45" s="565"/>
      <c r="S45" s="564"/>
      <c r="T45" s="564"/>
      <c r="U45" s="564"/>
      <c r="V45" s="564"/>
      <c r="W45" s="564"/>
      <c r="X45" s="564"/>
      <c r="Y45" s="564"/>
      <c r="Z45" s="564"/>
      <c r="AA45" s="564"/>
      <c r="AB45" s="564"/>
      <c r="AC45" s="564"/>
      <c r="AD45" s="564"/>
      <c r="AE45" s="564"/>
      <c r="AF45" s="564"/>
      <c r="AG45" s="564"/>
      <c r="AH45" s="564"/>
      <c r="AI45" s="564"/>
      <c r="AJ45" s="564"/>
      <c r="AK45" s="564"/>
      <c r="AL45" s="564"/>
      <c r="AM45" s="564"/>
      <c r="AN45" s="564"/>
      <c r="AO45" s="564"/>
      <c r="AP45" s="564"/>
      <c r="AQ45" s="564"/>
      <c r="AR45" s="564"/>
      <c r="AS45" s="564"/>
      <c r="AT45" s="564"/>
      <c r="AU45" s="564"/>
      <c r="AV45" s="564"/>
      <c r="AW45" s="564"/>
      <c r="AX45" s="564"/>
      <c r="AY45" s="564"/>
      <c r="AZ45" s="564"/>
      <c r="BA45" s="564"/>
      <c r="BB45" s="564"/>
      <c r="BC45" s="564"/>
    </row>
    <row r="46" spans="1:64" s="11" customFormat="1" ht="13.05" customHeight="1" x14ac:dyDescent="0.35">
      <c r="A46" s="974" t="s">
        <v>176</v>
      </c>
      <c r="B46" s="974"/>
      <c r="C46" s="974"/>
      <c r="D46" s="974"/>
      <c r="E46" s="963"/>
      <c r="F46" s="975"/>
      <c r="G46" s="965"/>
      <c r="H46" s="975">
        <f t="shared" ref="H46:M46" si="3">H32+H39+H36+H40</f>
        <v>32776785</v>
      </c>
      <c r="I46" s="975">
        <f t="shared" si="3"/>
        <v>15126223</v>
      </c>
      <c r="J46" s="975">
        <f t="shared" si="3"/>
        <v>21459893</v>
      </c>
      <c r="K46" s="975">
        <f t="shared" si="3"/>
        <v>24325497</v>
      </c>
      <c r="L46" s="975">
        <f t="shared" si="3"/>
        <v>30920781</v>
      </c>
      <c r="M46" s="975">
        <f t="shared" si="3"/>
        <v>49570706</v>
      </c>
      <c r="N46" s="975">
        <f>N32+N33+N39+N36+N40</f>
        <v>29225099</v>
      </c>
      <c r="O46" s="975">
        <f>O32+O33+O39+O36+O40</f>
        <v>24958986</v>
      </c>
      <c r="P46" s="975">
        <f>P32+P36</f>
        <v>27031133</v>
      </c>
      <c r="Q46" s="959"/>
      <c r="R46" s="203"/>
    </row>
    <row r="47" spans="1:64" s="13" customFormat="1" ht="13.05" customHeight="1" x14ac:dyDescent="0.35">
      <c r="A47" s="974" t="s">
        <v>177</v>
      </c>
      <c r="B47" s="974"/>
      <c r="C47" s="974"/>
      <c r="D47" s="974"/>
      <c r="E47" s="963"/>
      <c r="F47" s="975"/>
      <c r="G47" s="965"/>
      <c r="H47" s="975">
        <v>33047082</v>
      </c>
      <c r="I47" s="975">
        <v>18430799</v>
      </c>
      <c r="J47" s="975">
        <v>22285102</v>
      </c>
      <c r="K47" s="975">
        <v>24692600</v>
      </c>
      <c r="L47" s="975">
        <v>34009091</v>
      </c>
      <c r="M47" s="975">
        <v>55532014</v>
      </c>
      <c r="N47" s="975">
        <v>29593775</v>
      </c>
      <c r="O47" s="975">
        <v>25313047</v>
      </c>
      <c r="P47" s="975">
        <v>29498265</v>
      </c>
      <c r="Q47" s="845"/>
      <c r="R47" s="203"/>
    </row>
    <row r="48" spans="1:64" s="11" customFormat="1" ht="13.05" customHeight="1" x14ac:dyDescent="0.4">
      <c r="A48" s="954"/>
      <c r="B48" s="954"/>
      <c r="C48" s="954"/>
      <c r="D48" s="954"/>
      <c r="E48" s="940"/>
      <c r="F48" s="954"/>
      <c r="G48" s="949"/>
      <c r="H48" s="954"/>
      <c r="I48" s="954"/>
      <c r="J48" s="954"/>
      <c r="K48" s="957"/>
      <c r="L48" s="954"/>
      <c r="M48" s="954"/>
      <c r="N48" s="954"/>
      <c r="O48" s="954"/>
      <c r="P48" s="954"/>
      <c r="Q48" s="905"/>
      <c r="R48" s="203"/>
    </row>
    <row r="49" spans="1:18" s="433" customFormat="1" ht="18" customHeight="1" x14ac:dyDescent="0.35">
      <c r="A49" s="942" t="s">
        <v>896</v>
      </c>
      <c r="B49" s="942"/>
      <c r="C49" s="942"/>
      <c r="D49" s="942"/>
      <c r="E49" s="942"/>
      <c r="F49" s="942"/>
      <c r="G49" s="942"/>
      <c r="H49" s="942"/>
      <c r="I49" s="942"/>
      <c r="J49" s="942"/>
      <c r="K49" s="942"/>
      <c r="L49" s="942"/>
      <c r="M49" s="942"/>
      <c r="N49" s="942"/>
      <c r="O49" s="942"/>
      <c r="P49" s="942"/>
      <c r="Q49" s="952"/>
      <c r="R49" s="357"/>
    </row>
    <row r="50" spans="1:18" s="13" customFormat="1" ht="13.05" customHeight="1" x14ac:dyDescent="0.4">
      <c r="A50" s="953" t="s">
        <v>529</v>
      </c>
      <c r="B50" s="953"/>
      <c r="C50" s="953"/>
      <c r="D50" s="953"/>
      <c r="E50" s="953"/>
      <c r="F50" s="953"/>
      <c r="G50" s="953"/>
      <c r="H50" s="953"/>
      <c r="I50" s="953"/>
      <c r="J50" s="953"/>
      <c r="K50" s="953"/>
      <c r="L50" s="953"/>
      <c r="M50" s="953"/>
      <c r="N50" s="953"/>
      <c r="O50" s="953"/>
      <c r="P50" s="953"/>
      <c r="Q50" s="905"/>
      <c r="R50" s="336"/>
    </row>
    <row r="51" spans="1:18" s="11" customFormat="1" ht="13.05" customHeight="1" x14ac:dyDescent="0.35">
      <c r="A51" s="911" t="s">
        <v>98</v>
      </c>
      <c r="B51" s="914">
        <v>37134</v>
      </c>
      <c r="C51" s="912">
        <v>37499</v>
      </c>
      <c r="D51" s="912">
        <v>37864</v>
      </c>
      <c r="E51" s="915"/>
      <c r="F51" s="914">
        <v>38807</v>
      </c>
      <c r="G51" s="915"/>
      <c r="H51" s="914">
        <v>40633</v>
      </c>
      <c r="I51" s="916">
        <v>40999</v>
      </c>
      <c r="J51" s="914">
        <v>41364</v>
      </c>
      <c r="K51" s="917">
        <v>41729</v>
      </c>
      <c r="L51" s="917">
        <v>42094</v>
      </c>
      <c r="M51" s="917">
        <v>42460</v>
      </c>
      <c r="N51" s="917">
        <v>42825</v>
      </c>
      <c r="O51" s="917">
        <v>43190</v>
      </c>
      <c r="P51" s="917">
        <v>43555</v>
      </c>
      <c r="Q51" s="918" t="s">
        <v>127</v>
      </c>
      <c r="R51" s="354" t="s">
        <v>533</v>
      </c>
    </row>
    <row r="52" spans="1:18" s="13" customFormat="1" ht="13.05" customHeight="1" x14ac:dyDescent="0.35">
      <c r="A52" s="919" t="s">
        <v>111</v>
      </c>
      <c r="B52" s="919">
        <v>0</v>
      </c>
      <c r="C52" s="919">
        <v>0</v>
      </c>
      <c r="D52" s="919"/>
      <c r="E52" s="920"/>
      <c r="F52" s="921"/>
      <c r="G52" s="922"/>
      <c r="H52" s="921">
        <v>3144478</v>
      </c>
      <c r="I52" s="921">
        <v>3081193</v>
      </c>
      <c r="J52" s="921">
        <v>3088609</v>
      </c>
      <c r="K52" s="976">
        <v>2902803</v>
      </c>
      <c r="L52" s="976">
        <v>2933217</v>
      </c>
      <c r="M52" s="976">
        <v>3082803</v>
      </c>
      <c r="N52" s="976">
        <v>3154018</v>
      </c>
      <c r="O52" s="976">
        <v>2880194</v>
      </c>
      <c r="P52" s="971"/>
      <c r="Q52" s="938" t="s">
        <v>132</v>
      </c>
      <c r="R52" s="347" t="s">
        <v>554</v>
      </c>
    </row>
    <row r="53" spans="1:18" s="13" customFormat="1" ht="13.05" customHeight="1" x14ac:dyDescent="0.35">
      <c r="A53" s="927" t="s">
        <v>112</v>
      </c>
      <c r="B53" s="927">
        <v>-1356761</v>
      </c>
      <c r="C53" s="927">
        <v>-1345725</v>
      </c>
      <c r="D53" s="927">
        <v>-1557511</v>
      </c>
      <c r="E53" s="920"/>
      <c r="F53" s="928">
        <v>-1834023</v>
      </c>
      <c r="G53" s="922"/>
      <c r="H53" s="928">
        <v>-2217492</v>
      </c>
      <c r="I53" s="928">
        <v>-2493479</v>
      </c>
      <c r="J53" s="928">
        <v>-2486198</v>
      </c>
      <c r="K53" s="928">
        <v>-2788204</v>
      </c>
      <c r="L53" s="928">
        <v>-3536783</v>
      </c>
      <c r="M53" s="928">
        <v>-2736266</v>
      </c>
      <c r="N53" s="928">
        <v>-3637419</v>
      </c>
      <c r="O53" s="928">
        <v>-4458679</v>
      </c>
      <c r="P53" s="977"/>
      <c r="Q53" s="938" t="s">
        <v>132</v>
      </c>
      <c r="R53" s="347" t="s">
        <v>545</v>
      </c>
    </row>
    <row r="54" spans="1:18" s="11" customFormat="1" ht="12.75" x14ac:dyDescent="0.35">
      <c r="A54" s="919" t="s">
        <v>113</v>
      </c>
      <c r="B54" s="919">
        <v>957309</v>
      </c>
      <c r="C54" s="919"/>
      <c r="D54" s="919">
        <v>917401</v>
      </c>
      <c r="E54" s="920"/>
      <c r="F54" s="921">
        <v>849250</v>
      </c>
      <c r="G54" s="922"/>
      <c r="H54" s="921">
        <v>1186568</v>
      </c>
      <c r="I54" s="921">
        <v>1610317</v>
      </c>
      <c r="J54" s="921">
        <v>1932479</v>
      </c>
      <c r="K54" s="921">
        <v>1990579</v>
      </c>
      <c r="L54" s="921">
        <v>2177934</v>
      </c>
      <c r="M54" s="921">
        <v>2261196</v>
      </c>
      <c r="N54" s="921">
        <v>2857245</v>
      </c>
      <c r="O54" s="921">
        <v>3293404</v>
      </c>
      <c r="P54" s="919"/>
      <c r="Q54" s="938" t="s">
        <v>132</v>
      </c>
      <c r="R54" s="347" t="s">
        <v>554</v>
      </c>
    </row>
    <row r="55" spans="1:18" s="11" customFormat="1" ht="13.05" customHeight="1" x14ac:dyDescent="0.35">
      <c r="A55" s="927" t="s">
        <v>114</v>
      </c>
      <c r="B55" s="927">
        <v>-1329606</v>
      </c>
      <c r="C55" s="927">
        <v>-1490047</v>
      </c>
      <c r="D55" s="927">
        <v>-1470818</v>
      </c>
      <c r="E55" s="920"/>
      <c r="F55" s="928">
        <v>-1672363</v>
      </c>
      <c r="G55" s="922"/>
      <c r="H55" s="928">
        <v>-1901632</v>
      </c>
      <c r="I55" s="928">
        <v>-2418491</v>
      </c>
      <c r="J55" s="928">
        <v>-1886364</v>
      </c>
      <c r="K55" s="928">
        <v>-2437392</v>
      </c>
      <c r="L55" s="928">
        <v>-2761294</v>
      </c>
      <c r="M55" s="928">
        <v>-3489835</v>
      </c>
      <c r="N55" s="928">
        <v>-4662249</v>
      </c>
      <c r="O55" s="928">
        <v>-6491586</v>
      </c>
      <c r="P55" s="977"/>
      <c r="Q55" s="938" t="s">
        <v>132</v>
      </c>
      <c r="R55" s="347" t="s">
        <v>545</v>
      </c>
    </row>
    <row r="56" spans="1:18" s="11" customFormat="1" ht="12.75" customHeight="1" x14ac:dyDescent="0.35">
      <c r="A56" s="962" t="s">
        <v>150</v>
      </c>
      <c r="B56" s="962"/>
      <c r="C56" s="962"/>
      <c r="D56" s="962"/>
      <c r="E56" s="963"/>
      <c r="F56" s="921"/>
      <c r="G56" s="922"/>
      <c r="H56" s="921">
        <v>28064048</v>
      </c>
      <c r="I56" s="921">
        <v>31599813</v>
      </c>
      <c r="J56" s="921">
        <v>36341139</v>
      </c>
      <c r="K56" s="921">
        <v>44928448</v>
      </c>
      <c r="L56" s="921">
        <v>52200991</v>
      </c>
      <c r="M56" s="921">
        <v>67367470</v>
      </c>
      <c r="N56" s="921">
        <v>59458746</v>
      </c>
      <c r="O56" s="921">
        <v>65064678</v>
      </c>
      <c r="P56" s="919"/>
      <c r="Q56" s="938" t="s">
        <v>132</v>
      </c>
      <c r="R56" s="355"/>
    </row>
    <row r="57" spans="1:18" s="11" customFormat="1" ht="13.05" customHeight="1" x14ac:dyDescent="0.35">
      <c r="A57" s="978" t="s">
        <v>145</v>
      </c>
      <c r="B57" s="978">
        <v>647818</v>
      </c>
      <c r="C57" s="978"/>
      <c r="D57" s="978">
        <v>2313187</v>
      </c>
      <c r="E57" s="979"/>
      <c r="F57" s="980">
        <v>2007479</v>
      </c>
      <c r="G57" s="981"/>
      <c r="H57" s="980">
        <v>2717796</v>
      </c>
      <c r="I57" s="980">
        <v>2361582</v>
      </c>
      <c r="J57" s="980">
        <v>4444512</v>
      </c>
      <c r="K57" s="980">
        <v>5225021</v>
      </c>
      <c r="L57" s="980">
        <v>8024177</v>
      </c>
      <c r="M57" s="980">
        <v>4241754</v>
      </c>
      <c r="N57" s="980">
        <v>2528723</v>
      </c>
      <c r="O57" s="980">
        <v>4669534</v>
      </c>
      <c r="P57" s="982">
        <v>3198406</v>
      </c>
      <c r="Q57" s="938" t="s">
        <v>159</v>
      </c>
      <c r="R57" s="347" t="s">
        <v>554</v>
      </c>
    </row>
    <row r="58" spans="1:18" s="11" customFormat="1" ht="13.05" customHeight="1" x14ac:dyDescent="0.35">
      <c r="A58" s="978" t="s">
        <v>146</v>
      </c>
      <c r="B58" s="978">
        <v>340165</v>
      </c>
      <c r="C58" s="978"/>
      <c r="D58" s="978">
        <v>196560</v>
      </c>
      <c r="E58" s="979"/>
      <c r="F58" s="980">
        <v>188004</v>
      </c>
      <c r="G58" s="981"/>
      <c r="H58" s="980">
        <v>442772</v>
      </c>
      <c r="I58" s="980">
        <v>629978</v>
      </c>
      <c r="J58" s="980">
        <v>1120596</v>
      </c>
      <c r="K58" s="980">
        <v>1193912</v>
      </c>
      <c r="L58" s="980">
        <v>1080298</v>
      </c>
      <c r="M58" s="980">
        <v>1327523</v>
      </c>
      <c r="N58" s="980">
        <v>999519</v>
      </c>
      <c r="O58" s="980">
        <v>1501411</v>
      </c>
      <c r="P58" s="982">
        <v>1075674</v>
      </c>
      <c r="Q58" s="938" t="s">
        <v>159</v>
      </c>
      <c r="R58" s="347" t="s">
        <v>554</v>
      </c>
    </row>
    <row r="59" spans="1:18" s="11" customFormat="1" ht="13.05" customHeight="1" x14ac:dyDescent="0.35">
      <c r="A59" s="983" t="s">
        <v>151</v>
      </c>
      <c r="B59" s="984"/>
      <c r="C59" s="984"/>
      <c r="D59" s="984"/>
      <c r="E59" s="963"/>
      <c r="F59" s="928">
        <v>-1213242</v>
      </c>
      <c r="G59" s="922"/>
      <c r="H59" s="928">
        <v>-8482439</v>
      </c>
      <c r="I59" s="928">
        <v>-4392386</v>
      </c>
      <c r="J59" s="928">
        <v>-2455192</v>
      </c>
      <c r="K59" s="928">
        <v>-2297144</v>
      </c>
      <c r="L59" s="928">
        <v>-2716299</v>
      </c>
      <c r="M59" s="928">
        <v>-4514702</v>
      </c>
      <c r="N59" s="928">
        <v>-2881173</v>
      </c>
      <c r="O59" s="928">
        <v>-3900142</v>
      </c>
      <c r="P59" s="977"/>
      <c r="Q59" s="938" t="s">
        <v>132</v>
      </c>
      <c r="R59" s="355"/>
    </row>
    <row r="60" spans="1:18" s="11" customFormat="1" ht="13.05" customHeight="1" x14ac:dyDescent="0.35">
      <c r="A60" s="985" t="s">
        <v>179</v>
      </c>
      <c r="B60" s="986"/>
      <c r="C60" s="986"/>
      <c r="D60" s="986"/>
      <c r="E60" s="987"/>
      <c r="F60" s="977"/>
      <c r="G60" s="981"/>
      <c r="H60" s="977"/>
      <c r="I60" s="977"/>
      <c r="J60" s="977"/>
      <c r="K60" s="977"/>
      <c r="L60" s="977"/>
      <c r="M60" s="977"/>
      <c r="N60" s="977"/>
      <c r="O60" s="977"/>
      <c r="P60" s="977"/>
      <c r="Q60" s="938" t="s">
        <v>159</v>
      </c>
      <c r="R60" s="355"/>
    </row>
    <row r="61" spans="1:18" s="11" customFormat="1" ht="13.05" customHeight="1" x14ac:dyDescent="0.35">
      <c r="A61" s="985" t="s">
        <v>146</v>
      </c>
      <c r="B61" s="986"/>
      <c r="C61" s="986"/>
      <c r="D61" s="986"/>
      <c r="E61" s="987"/>
      <c r="F61" s="977">
        <v>-402911</v>
      </c>
      <c r="G61" s="981"/>
      <c r="H61" s="977">
        <v>-371151</v>
      </c>
      <c r="I61" s="977">
        <v>-377678</v>
      </c>
      <c r="J61" s="977">
        <v>-593886</v>
      </c>
      <c r="K61" s="977">
        <v>-959038</v>
      </c>
      <c r="L61" s="977">
        <v>-1002711</v>
      </c>
      <c r="M61" s="977">
        <v>-1072601</v>
      </c>
      <c r="N61" s="977">
        <v>-922519</v>
      </c>
      <c r="O61" s="977">
        <v>-1138863</v>
      </c>
      <c r="P61" s="977">
        <v>-1192013</v>
      </c>
      <c r="Q61" s="938" t="s">
        <v>159</v>
      </c>
      <c r="R61" s="355"/>
    </row>
    <row r="62" spans="1:18" s="11" customFormat="1" ht="13.05" customHeight="1" x14ac:dyDescent="0.4">
      <c r="A62" s="988" t="s">
        <v>178</v>
      </c>
      <c r="B62" s="988"/>
      <c r="C62" s="988"/>
      <c r="D62" s="988"/>
      <c r="E62" s="988"/>
      <c r="F62" s="988"/>
      <c r="G62" s="988"/>
      <c r="H62" s="988"/>
      <c r="I62" s="988"/>
      <c r="J62" s="988"/>
      <c r="K62" s="988"/>
      <c r="L62" s="988"/>
      <c r="M62" s="988"/>
      <c r="N62" s="988"/>
      <c r="O62" s="988"/>
      <c r="P62" s="988"/>
      <c r="Q62" s="905"/>
      <c r="R62" s="355"/>
    </row>
    <row r="63" spans="1:18" s="13" customFormat="1" ht="13.05" customHeight="1" x14ac:dyDescent="0.35">
      <c r="A63" s="937" t="s">
        <v>181</v>
      </c>
      <c r="B63" s="937"/>
      <c r="C63" s="937"/>
      <c r="D63" s="937"/>
      <c r="E63" s="937"/>
      <c r="F63" s="937"/>
      <c r="G63" s="937"/>
      <c r="H63" s="937"/>
      <c r="I63" s="937"/>
      <c r="J63" s="937"/>
      <c r="K63" s="937"/>
      <c r="L63" s="937"/>
      <c r="M63" s="937"/>
      <c r="N63" s="937"/>
      <c r="O63" s="937"/>
      <c r="P63" s="937"/>
      <c r="Q63" s="938"/>
      <c r="R63" s="355"/>
    </row>
    <row r="64" spans="1:18" s="11" customFormat="1" ht="13.05" customHeight="1" x14ac:dyDescent="0.4">
      <c r="A64" s="905"/>
      <c r="B64" s="905"/>
      <c r="C64" s="905"/>
      <c r="D64" s="905"/>
      <c r="E64" s="940"/>
      <c r="F64" s="905"/>
      <c r="G64" s="905"/>
      <c r="H64" s="905"/>
      <c r="I64" s="905"/>
      <c r="J64" s="905"/>
      <c r="K64" s="905"/>
      <c r="L64" s="905"/>
      <c r="M64" s="905"/>
      <c r="N64" s="905"/>
      <c r="O64" s="905"/>
      <c r="P64" s="845"/>
      <c r="Q64" s="905"/>
      <c r="R64" s="336"/>
    </row>
    <row r="65" spans="1:18" s="333" customFormat="1" ht="18" x14ac:dyDescent="0.4">
      <c r="A65" s="903" t="s">
        <v>528</v>
      </c>
      <c r="B65" s="903"/>
      <c r="C65" s="903"/>
      <c r="D65" s="903"/>
      <c r="E65" s="903"/>
      <c r="F65" s="903"/>
      <c r="G65" s="903"/>
      <c r="H65" s="903"/>
      <c r="I65" s="903"/>
      <c r="J65" s="903"/>
      <c r="K65" s="904"/>
      <c r="L65" s="904"/>
      <c r="M65" s="904"/>
      <c r="N65" s="904"/>
      <c r="O65" s="904"/>
      <c r="P65" s="904"/>
      <c r="Q65" s="905"/>
      <c r="R65" s="336"/>
    </row>
    <row r="66" spans="1:18" s="433" customFormat="1" ht="18" customHeight="1" x14ac:dyDescent="0.35">
      <c r="A66" s="942" t="s">
        <v>882</v>
      </c>
      <c r="B66" s="942"/>
      <c r="C66" s="942"/>
      <c r="D66" s="942"/>
      <c r="E66" s="942"/>
      <c r="F66" s="942"/>
      <c r="G66" s="942"/>
      <c r="H66" s="942"/>
      <c r="I66" s="942"/>
      <c r="J66" s="942"/>
      <c r="K66" s="942"/>
      <c r="L66" s="942"/>
      <c r="M66" s="942"/>
      <c r="N66" s="942"/>
      <c r="O66" s="942"/>
      <c r="P66" s="942"/>
      <c r="Q66" s="952"/>
      <c r="R66" s="357"/>
    </row>
    <row r="67" spans="1:18" s="334" customFormat="1" ht="13.05" customHeight="1" x14ac:dyDescent="0.35">
      <c r="A67" s="953" t="s">
        <v>878</v>
      </c>
      <c r="B67" s="953"/>
      <c r="C67" s="953"/>
      <c r="D67" s="953"/>
      <c r="E67" s="953"/>
      <c r="F67" s="953"/>
      <c r="G67" s="953"/>
      <c r="H67" s="953"/>
      <c r="I67" s="953"/>
      <c r="J67" s="953"/>
      <c r="K67" s="953"/>
      <c r="L67" s="953"/>
      <c r="M67" s="953"/>
      <c r="N67" s="953"/>
      <c r="O67" s="953"/>
      <c r="P67" s="953"/>
      <c r="Q67" s="952"/>
      <c r="R67" s="357"/>
    </row>
    <row r="68" spans="1:18" s="334" customFormat="1" ht="13.05" customHeight="1" x14ac:dyDescent="0.35">
      <c r="A68" s="989" t="s">
        <v>879</v>
      </c>
      <c r="B68" s="989"/>
      <c r="C68" s="989"/>
      <c r="D68" s="989"/>
      <c r="E68" s="989"/>
      <c r="F68" s="989"/>
      <c r="G68" s="989"/>
      <c r="H68" s="989"/>
      <c r="I68" s="989"/>
      <c r="J68" s="989"/>
      <c r="K68" s="989"/>
      <c r="L68" s="989"/>
      <c r="M68" s="989"/>
      <c r="N68" s="989"/>
      <c r="O68" s="989"/>
      <c r="P68" s="989"/>
      <c r="Q68" s="952"/>
      <c r="R68" s="357"/>
    </row>
    <row r="69" spans="1:18" s="334" customFormat="1" ht="13.05" customHeight="1" x14ac:dyDescent="0.35">
      <c r="A69" s="990" t="s">
        <v>98</v>
      </c>
      <c r="B69" s="914">
        <v>37134</v>
      </c>
      <c r="C69" s="912">
        <v>37499</v>
      </c>
      <c r="D69" s="912">
        <v>37864</v>
      </c>
      <c r="E69" s="915"/>
      <c r="F69" s="914">
        <v>38807</v>
      </c>
      <c r="G69" s="991"/>
      <c r="H69" s="992">
        <v>40633</v>
      </c>
      <c r="I69" s="993">
        <v>40999</v>
      </c>
      <c r="J69" s="992">
        <v>41364</v>
      </c>
      <c r="K69" s="994">
        <v>41729</v>
      </c>
      <c r="L69" s="994">
        <v>42094</v>
      </c>
      <c r="M69" s="994">
        <v>42460</v>
      </c>
      <c r="N69" s="994">
        <v>42825</v>
      </c>
      <c r="O69" s="994">
        <v>43190</v>
      </c>
      <c r="P69" s="994">
        <v>43555</v>
      </c>
      <c r="Q69" s="995" t="s">
        <v>127</v>
      </c>
      <c r="R69" s="354" t="s">
        <v>533</v>
      </c>
    </row>
    <row r="70" spans="1:18" s="334" customFormat="1" ht="13.05" customHeight="1" x14ac:dyDescent="0.35">
      <c r="A70" s="996" t="s">
        <v>147</v>
      </c>
      <c r="B70" s="996">
        <v>10266960</v>
      </c>
      <c r="C70" s="996" t="s">
        <v>560</v>
      </c>
      <c r="D70" s="996">
        <v>11200820</v>
      </c>
      <c r="E70" s="997"/>
      <c r="F70" s="998">
        <v>14720385</v>
      </c>
      <c r="G70" s="999"/>
      <c r="H70" s="998">
        <v>18453471</v>
      </c>
      <c r="I70" s="998">
        <v>22559940</v>
      </c>
      <c r="J70" s="998">
        <v>23484920</v>
      </c>
      <c r="K70" s="998">
        <v>28696884</v>
      </c>
      <c r="L70" s="998">
        <v>37558657</v>
      </c>
      <c r="M70" s="998">
        <v>49911967</v>
      </c>
      <c r="N70" s="998">
        <v>48887978</v>
      </c>
      <c r="O70" s="998">
        <v>51985903</v>
      </c>
      <c r="P70" s="996"/>
      <c r="Q70" s="1000" t="s">
        <v>128</v>
      </c>
      <c r="R70" s="347" t="s">
        <v>554</v>
      </c>
    </row>
    <row r="71" spans="1:18" s="334" customFormat="1" ht="13.05" customHeight="1" x14ac:dyDescent="0.35">
      <c r="A71" s="1001" t="s">
        <v>155</v>
      </c>
      <c r="B71" s="1001"/>
      <c r="C71" s="1001"/>
      <c r="D71" s="1001"/>
      <c r="E71" s="1002"/>
      <c r="F71" s="1003"/>
      <c r="G71" s="1004"/>
      <c r="H71" s="1003">
        <v>5627615</v>
      </c>
      <c r="I71" s="1003">
        <v>8504767</v>
      </c>
      <c r="J71" s="1003">
        <v>11110170</v>
      </c>
      <c r="K71" s="1003">
        <v>15433754</v>
      </c>
      <c r="L71" s="1003">
        <v>18305000</v>
      </c>
      <c r="M71" s="1003">
        <v>25250000</v>
      </c>
      <c r="N71" s="1003">
        <v>26250000</v>
      </c>
      <c r="O71" s="1003">
        <v>27250000</v>
      </c>
      <c r="P71" s="1001">
        <v>28500000</v>
      </c>
      <c r="Q71" s="1000" t="s">
        <v>158</v>
      </c>
      <c r="R71" s="358"/>
    </row>
    <row r="72" spans="1:18" s="334" customFormat="1" ht="13.05" customHeight="1" x14ac:dyDescent="0.35">
      <c r="A72" s="1001" t="s">
        <v>156</v>
      </c>
      <c r="B72" s="1001"/>
      <c r="C72" s="1001"/>
      <c r="D72" s="1001"/>
      <c r="E72" s="1002"/>
      <c r="F72" s="1003"/>
      <c r="G72" s="1004"/>
      <c r="H72" s="1003">
        <v>11001362</v>
      </c>
      <c r="I72" s="1003">
        <v>12631033</v>
      </c>
      <c r="J72" s="1003">
        <v>13606812</v>
      </c>
      <c r="K72" s="1003">
        <v>15056470</v>
      </c>
      <c r="L72" s="1003">
        <v>20356000</v>
      </c>
      <c r="M72" s="1003">
        <v>24196000</v>
      </c>
      <c r="N72" s="1003">
        <v>22177000</v>
      </c>
      <c r="O72" s="1003">
        <v>24624000</v>
      </c>
      <c r="P72" s="1001">
        <v>22531000</v>
      </c>
      <c r="Q72" s="1000" t="s">
        <v>158</v>
      </c>
      <c r="R72" s="358"/>
    </row>
    <row r="73" spans="1:18" s="334" customFormat="1" ht="13.05" customHeight="1" x14ac:dyDescent="0.35">
      <c r="A73" s="996" t="s">
        <v>131</v>
      </c>
      <c r="B73" s="996"/>
      <c r="C73" s="996"/>
      <c r="D73" s="996"/>
      <c r="E73" s="997"/>
      <c r="F73" s="998"/>
      <c r="G73" s="999"/>
      <c r="H73" s="998">
        <v>28064048</v>
      </c>
      <c r="I73" s="998">
        <v>21422359</v>
      </c>
      <c r="J73" s="998">
        <v>27850210</v>
      </c>
      <c r="K73" s="998">
        <v>31111533</v>
      </c>
      <c r="L73" s="998">
        <v>43113566</v>
      </c>
      <c r="M73" s="998">
        <v>61133320</v>
      </c>
      <c r="N73" s="998">
        <v>33122460</v>
      </c>
      <c r="O73" s="998">
        <v>31483992</v>
      </c>
      <c r="P73" s="1005"/>
      <c r="Q73" s="1000" t="s">
        <v>128</v>
      </c>
      <c r="R73" s="358"/>
    </row>
    <row r="74" spans="1:18" s="334" customFormat="1" ht="13.05" customHeight="1" x14ac:dyDescent="0.35">
      <c r="A74" s="1001" t="s">
        <v>148</v>
      </c>
      <c r="B74" s="1001"/>
      <c r="C74" s="1001"/>
      <c r="D74" s="1001"/>
      <c r="E74" s="1002"/>
      <c r="F74" s="1003">
        <v>10553078</v>
      </c>
      <c r="G74" s="1004"/>
      <c r="H74" s="1003">
        <v>33047082</v>
      </c>
      <c r="I74" s="1003">
        <v>18430799</v>
      </c>
      <c r="J74" s="1003">
        <v>22285102</v>
      </c>
      <c r="K74" s="1003">
        <v>24692600</v>
      </c>
      <c r="L74" s="1003">
        <v>34009091</v>
      </c>
      <c r="M74" s="1003">
        <v>55532014</v>
      </c>
      <c r="N74" s="1003">
        <v>29593775</v>
      </c>
      <c r="O74" s="1003">
        <v>25313047</v>
      </c>
      <c r="P74" s="1006">
        <v>29498265</v>
      </c>
      <c r="Q74" s="1000" t="s">
        <v>159</v>
      </c>
      <c r="R74" s="358"/>
    </row>
    <row r="75" spans="1:18" s="334" customFormat="1" ht="13.05" customHeight="1" x14ac:dyDescent="0.35">
      <c r="A75" s="1007" t="s">
        <v>183</v>
      </c>
      <c r="B75" s="1007"/>
      <c r="C75" s="1007"/>
      <c r="D75" s="1007"/>
      <c r="E75" s="997"/>
      <c r="F75" s="1003"/>
      <c r="G75" s="1004"/>
      <c r="H75" s="1003"/>
      <c r="I75" s="1003"/>
      <c r="J75" s="1003"/>
      <c r="K75" s="951">
        <v>2500000</v>
      </c>
      <c r="L75" s="1008">
        <v>9000000</v>
      </c>
      <c r="M75" s="1008">
        <v>4150000</v>
      </c>
      <c r="N75" s="1008">
        <v>2500000</v>
      </c>
      <c r="O75" s="1008">
        <v>1000000</v>
      </c>
      <c r="P75" s="1006"/>
      <c r="Q75" s="1000"/>
      <c r="R75" s="358"/>
    </row>
    <row r="76" spans="1:18" s="334" customFormat="1" ht="13.05" customHeight="1" x14ac:dyDescent="0.35">
      <c r="A76" s="1009" t="s">
        <v>182</v>
      </c>
      <c r="B76" s="1009" t="s">
        <v>917</v>
      </c>
      <c r="C76" s="1009"/>
      <c r="D76" s="1009"/>
      <c r="E76" s="1010"/>
      <c r="F76" s="1011"/>
      <c r="G76" s="1012"/>
      <c r="H76" s="1011"/>
      <c r="I76" s="1011"/>
      <c r="J76" s="1013">
        <f t="shared" ref="J76:O76" si="4">(J71+(J72*0.75)+J74)-J75</f>
        <v>43600381</v>
      </c>
      <c r="K76" s="1013">
        <f t="shared" si="4"/>
        <v>48918706.5</v>
      </c>
      <c r="L76" s="1013">
        <f t="shared" si="4"/>
        <v>58581091</v>
      </c>
      <c r="M76" s="1013">
        <f t="shared" si="4"/>
        <v>94779014</v>
      </c>
      <c r="N76" s="1013">
        <f t="shared" si="4"/>
        <v>69976525</v>
      </c>
      <c r="O76" s="1013">
        <f t="shared" si="4"/>
        <v>70031047</v>
      </c>
      <c r="P76" s="1011"/>
      <c r="Q76" s="952"/>
      <c r="R76" s="357"/>
    </row>
    <row r="77" spans="1:18" s="334" customFormat="1" ht="13.05" customHeight="1" x14ac:dyDescent="0.35">
      <c r="A77" s="1014"/>
      <c r="B77" s="1014"/>
      <c r="C77" s="1014"/>
      <c r="D77" s="1014"/>
      <c r="E77" s="1014"/>
      <c r="F77" s="1014"/>
      <c r="G77" s="1014"/>
      <c r="H77" s="1014"/>
      <c r="I77" s="1014"/>
      <c r="J77" s="1014"/>
      <c r="K77" s="1014"/>
      <c r="L77" s="1014"/>
      <c r="M77" s="1014"/>
      <c r="N77" s="1014"/>
      <c r="O77" s="1014"/>
      <c r="P77" s="1014"/>
      <c r="Q77" s="1000"/>
      <c r="R77" s="358"/>
    </row>
    <row r="78" spans="1:18" s="333" customFormat="1" ht="14.65" customHeight="1" x14ac:dyDescent="0.45">
      <c r="A78" s="909" t="s">
        <v>876</v>
      </c>
      <c r="B78" s="909"/>
      <c r="C78" s="909"/>
      <c r="D78" s="909"/>
      <c r="E78" s="909"/>
      <c r="F78" s="909"/>
      <c r="G78" s="909"/>
      <c r="H78" s="909"/>
      <c r="I78" s="909"/>
      <c r="J78" s="909"/>
      <c r="K78" s="909"/>
      <c r="L78" s="909"/>
      <c r="M78" s="909"/>
      <c r="N78" s="909"/>
      <c r="O78" s="909"/>
      <c r="P78" s="909"/>
      <c r="Q78" s="905"/>
      <c r="R78" s="336"/>
    </row>
    <row r="79" spans="1:18" s="334" customFormat="1" ht="13.05" customHeight="1" x14ac:dyDescent="0.35">
      <c r="A79" s="989" t="s">
        <v>157</v>
      </c>
      <c r="B79" s="989"/>
      <c r="C79" s="989"/>
      <c r="D79" s="989"/>
      <c r="E79" s="989"/>
      <c r="F79" s="989"/>
      <c r="G79" s="989"/>
      <c r="H79" s="989"/>
      <c r="I79" s="989"/>
      <c r="J79" s="989"/>
      <c r="K79" s="989"/>
      <c r="L79" s="989"/>
      <c r="M79" s="989"/>
      <c r="N79" s="989"/>
      <c r="O79" s="989"/>
      <c r="P79" s="989"/>
      <c r="Q79" s="952"/>
      <c r="R79" s="357"/>
    </row>
    <row r="80" spans="1:18" s="334" customFormat="1" ht="13.05" customHeight="1" x14ac:dyDescent="0.35">
      <c r="A80" s="990" t="s">
        <v>98</v>
      </c>
      <c r="B80" s="914">
        <v>37134</v>
      </c>
      <c r="C80" s="912">
        <v>37499</v>
      </c>
      <c r="D80" s="912">
        <v>37864</v>
      </c>
      <c r="E80" s="915"/>
      <c r="F80" s="914">
        <v>38807</v>
      </c>
      <c r="G80" s="991"/>
      <c r="H80" s="992">
        <v>40633</v>
      </c>
      <c r="I80" s="993">
        <v>40999</v>
      </c>
      <c r="J80" s="992">
        <v>41364</v>
      </c>
      <c r="K80" s="994">
        <v>41729</v>
      </c>
      <c r="L80" s="994">
        <v>42094</v>
      </c>
      <c r="M80" s="994">
        <v>42460</v>
      </c>
      <c r="N80" s="994">
        <v>42825</v>
      </c>
      <c r="O80" s="994">
        <v>43190</v>
      </c>
      <c r="P80" s="994">
        <v>43555</v>
      </c>
      <c r="Q80" s="995" t="s">
        <v>127</v>
      </c>
      <c r="R80" s="354" t="s">
        <v>533</v>
      </c>
    </row>
    <row r="81" spans="1:19" s="333" customFormat="1" ht="13.05" customHeight="1" x14ac:dyDescent="0.35">
      <c r="A81" s="919" t="s">
        <v>138</v>
      </c>
      <c r="B81" s="919">
        <v>4652186</v>
      </c>
      <c r="C81" s="919">
        <v>7336354</v>
      </c>
      <c r="D81" s="919">
        <v>7616601</v>
      </c>
      <c r="E81" s="920"/>
      <c r="F81" s="921">
        <v>7420249</v>
      </c>
      <c r="G81" s="922"/>
      <c r="H81" s="921">
        <v>9235278</v>
      </c>
      <c r="I81" s="921">
        <v>9208106</v>
      </c>
      <c r="J81" s="921">
        <v>8719702</v>
      </c>
      <c r="K81" s="921">
        <v>8939119</v>
      </c>
      <c r="L81" s="921">
        <v>9121818</v>
      </c>
      <c r="M81" s="921">
        <v>10193538</v>
      </c>
      <c r="N81" s="921">
        <v>10158292</v>
      </c>
      <c r="O81" s="921">
        <v>10014479</v>
      </c>
      <c r="P81" s="919"/>
      <c r="Q81" s="938" t="s">
        <v>140</v>
      </c>
      <c r="R81" s="355" t="s">
        <v>535</v>
      </c>
    </row>
    <row r="82" spans="1:19" s="333" customFormat="1" ht="13.05" customHeight="1" x14ac:dyDescent="0.35">
      <c r="A82" s="919" t="s">
        <v>149</v>
      </c>
      <c r="B82" s="919"/>
      <c r="C82" s="919"/>
      <c r="D82" s="919"/>
      <c r="E82" s="920"/>
      <c r="F82" s="921">
        <v>1091750</v>
      </c>
      <c r="G82" s="922"/>
      <c r="H82" s="921">
        <v>595395</v>
      </c>
      <c r="I82" s="921">
        <v>442772</v>
      </c>
      <c r="J82" s="921">
        <v>745886</v>
      </c>
      <c r="K82" s="976">
        <v>885452</v>
      </c>
      <c r="L82" s="976">
        <v>761617</v>
      </c>
      <c r="M82" s="976">
        <v>737029</v>
      </c>
      <c r="N82" s="976">
        <v>749471</v>
      </c>
      <c r="O82" s="976">
        <v>749636</v>
      </c>
      <c r="P82" s="971">
        <v>705000</v>
      </c>
      <c r="Q82" s="938" t="s">
        <v>159</v>
      </c>
      <c r="R82" s="355"/>
    </row>
    <row r="83" spans="1:19" s="333" customFormat="1" ht="13.05" customHeight="1" x14ac:dyDescent="0.35">
      <c r="A83" s="919" t="s">
        <v>174</v>
      </c>
      <c r="B83" s="919"/>
      <c r="C83" s="919"/>
      <c r="D83" s="919"/>
      <c r="E83" s="920"/>
      <c r="F83" s="921"/>
      <c r="G83" s="922"/>
      <c r="H83" s="921"/>
      <c r="I83" s="921"/>
      <c r="J83" s="921"/>
      <c r="K83" s="921"/>
      <c r="L83" s="921"/>
      <c r="M83" s="921"/>
      <c r="N83" s="921">
        <v>50000000</v>
      </c>
      <c r="O83" s="921"/>
      <c r="P83" s="919"/>
      <c r="Q83" s="938" t="s">
        <v>159</v>
      </c>
      <c r="R83" s="355"/>
    </row>
    <row r="84" spans="1:19" s="334" customFormat="1" ht="13.05" customHeight="1" x14ac:dyDescent="0.35">
      <c r="A84" s="1015"/>
      <c r="B84" s="1015"/>
      <c r="C84" s="1015"/>
      <c r="D84" s="1015"/>
      <c r="E84" s="1015"/>
      <c r="F84" s="1015"/>
      <c r="G84" s="1015"/>
      <c r="H84" s="1015"/>
      <c r="I84" s="1015"/>
      <c r="J84" s="1015"/>
      <c r="K84" s="1015"/>
      <c r="L84" s="1015"/>
      <c r="M84" s="1015"/>
      <c r="N84" s="1015"/>
      <c r="O84" s="1015"/>
      <c r="P84" s="1015"/>
      <c r="Q84" s="1016"/>
      <c r="R84" s="358"/>
      <c r="S84" s="353"/>
    </row>
    <row r="85" spans="1:19" s="333" customFormat="1" ht="18" x14ac:dyDescent="0.4">
      <c r="A85" s="903" t="s">
        <v>534</v>
      </c>
      <c r="B85" s="903"/>
      <c r="C85" s="903"/>
      <c r="D85" s="903"/>
      <c r="E85" s="903"/>
      <c r="F85" s="903"/>
      <c r="G85" s="903"/>
      <c r="H85" s="903"/>
      <c r="I85" s="903"/>
      <c r="J85" s="903"/>
      <c r="K85" s="904"/>
      <c r="L85" s="904"/>
      <c r="M85" s="904"/>
      <c r="N85" s="904"/>
      <c r="O85" s="904"/>
      <c r="P85" s="904"/>
      <c r="Q85" s="905"/>
      <c r="R85" s="336"/>
    </row>
    <row r="86" spans="1:19" s="433" customFormat="1" ht="18" customHeight="1" x14ac:dyDescent="0.35">
      <c r="A86" s="942" t="s">
        <v>162</v>
      </c>
      <c r="B86" s="942"/>
      <c r="C86" s="942"/>
      <c r="D86" s="942"/>
      <c r="E86" s="942"/>
      <c r="F86" s="942"/>
      <c r="G86" s="942"/>
      <c r="H86" s="942"/>
      <c r="I86" s="942"/>
      <c r="J86" s="942"/>
      <c r="K86" s="942"/>
      <c r="L86" s="942"/>
      <c r="M86" s="942"/>
      <c r="N86" s="942"/>
      <c r="O86" s="942"/>
      <c r="P86" s="942"/>
      <c r="Q86" s="952"/>
      <c r="R86" s="571"/>
    </row>
    <row r="87" spans="1:19" s="17" customFormat="1" ht="11.65" x14ac:dyDescent="0.35">
      <c r="A87" s="907" t="s">
        <v>180</v>
      </c>
      <c r="B87" s="907"/>
      <c r="C87" s="907"/>
      <c r="D87" s="907"/>
      <c r="E87" s="907"/>
      <c r="F87" s="907"/>
      <c r="G87" s="907"/>
      <c r="H87" s="907"/>
      <c r="I87" s="907"/>
      <c r="J87" s="907"/>
      <c r="K87" s="907"/>
      <c r="L87" s="907"/>
      <c r="M87" s="907"/>
      <c r="N87" s="907"/>
      <c r="O87" s="907"/>
      <c r="P87" s="907"/>
      <c r="Q87" s="940"/>
      <c r="R87" s="337"/>
    </row>
    <row r="88" spans="1:19" s="11" customFormat="1" ht="13.05" customHeight="1" x14ac:dyDescent="0.4">
      <c r="A88" s="990" t="s">
        <v>98</v>
      </c>
      <c r="B88" s="992">
        <v>37134</v>
      </c>
      <c r="C88" s="1017">
        <v>37499</v>
      </c>
      <c r="D88" s="1017">
        <v>37864</v>
      </c>
      <c r="E88" s="991"/>
      <c r="F88" s="992">
        <v>38807</v>
      </c>
      <c r="G88" s="991"/>
      <c r="H88" s="992">
        <v>40633</v>
      </c>
      <c r="I88" s="993">
        <v>40999</v>
      </c>
      <c r="J88" s="992">
        <v>41364</v>
      </c>
      <c r="K88" s="994">
        <v>41729</v>
      </c>
      <c r="L88" s="994">
        <v>42094</v>
      </c>
      <c r="M88" s="994">
        <v>42460</v>
      </c>
      <c r="N88" s="994">
        <v>42825</v>
      </c>
      <c r="O88" s="994">
        <v>43190</v>
      </c>
      <c r="P88" s="994">
        <v>43555</v>
      </c>
      <c r="Q88" s="905"/>
      <c r="R88" s="336"/>
    </row>
    <row r="89" spans="1:19" ht="13.05" customHeight="1" x14ac:dyDescent="0.35">
      <c r="A89" s="1007" t="s">
        <v>163</v>
      </c>
      <c r="B89" s="1008" t="s">
        <v>235</v>
      </c>
      <c r="C89" s="1008" t="s">
        <v>235</v>
      </c>
      <c r="D89" s="1008" t="s">
        <v>235</v>
      </c>
      <c r="E89" s="997"/>
      <c r="F89" s="1008">
        <v>-5903999</v>
      </c>
      <c r="G89" s="999"/>
      <c r="H89" s="1008">
        <v>-11540282</v>
      </c>
      <c r="I89" s="1008">
        <v>-12376459</v>
      </c>
      <c r="J89" s="1008">
        <v>-11859798</v>
      </c>
      <c r="K89" s="1008">
        <v>-12518368</v>
      </c>
      <c r="L89" s="1008">
        <v>-14394385</v>
      </c>
      <c r="M89" s="1008">
        <v>-21574242</v>
      </c>
      <c r="N89" s="1008">
        <v>-23185639</v>
      </c>
      <c r="O89" s="1008">
        <v>-27352300</v>
      </c>
      <c r="P89" s="1007">
        <v>-29907544</v>
      </c>
      <c r="Q89" s="938" t="s">
        <v>159</v>
      </c>
    </row>
    <row r="90" spans="1:19" s="13" customFormat="1" ht="13.05" customHeight="1" x14ac:dyDescent="0.4">
      <c r="A90" s="1018" t="s">
        <v>164</v>
      </c>
      <c r="B90" s="1018"/>
      <c r="C90" s="1018"/>
      <c r="D90" s="1018"/>
      <c r="E90" s="997"/>
      <c r="F90" s="1019">
        <v>-9254244</v>
      </c>
      <c r="G90" s="997"/>
      <c r="H90" s="1019">
        <v>-13651220</v>
      </c>
      <c r="I90" s="1019">
        <v>12219215</v>
      </c>
      <c r="J90" s="1019">
        <v>-12836045</v>
      </c>
      <c r="K90" s="1019">
        <v>-18725425</v>
      </c>
      <c r="L90" s="1019">
        <v>-31116527</v>
      </c>
      <c r="M90" s="1019">
        <v>-19927614</v>
      </c>
      <c r="N90" s="1019">
        <v>-22431110</v>
      </c>
      <c r="O90" s="1019">
        <v>-14629768</v>
      </c>
      <c r="P90" s="1018">
        <v>-15013438</v>
      </c>
      <c r="Q90" s="905"/>
      <c r="R90" s="336"/>
    </row>
    <row r="91" spans="1:19" s="13" customFormat="1" ht="13.05" customHeight="1" x14ac:dyDescent="0.4">
      <c r="A91" s="1018" t="s">
        <v>165</v>
      </c>
      <c r="B91" s="1018"/>
      <c r="C91" s="1018"/>
      <c r="D91" s="1018"/>
      <c r="E91" s="997"/>
      <c r="F91" s="1019">
        <v>-3181485</v>
      </c>
      <c r="G91" s="997"/>
      <c r="H91" s="1019">
        <v>-4300690</v>
      </c>
      <c r="I91" s="1019">
        <v>-6086854</v>
      </c>
      <c r="J91" s="1019">
        <v>-9478322</v>
      </c>
      <c r="K91" s="1019">
        <v>-8267453</v>
      </c>
      <c r="L91" s="1019">
        <v>-10307142</v>
      </c>
      <c r="M91" s="1019">
        <v>-23145171</v>
      </c>
      <c r="N91" s="1019">
        <v>-13711236</v>
      </c>
      <c r="O91" s="1019">
        <v>-17132303</v>
      </c>
      <c r="P91" s="1018">
        <v>-20261891</v>
      </c>
      <c r="Q91" s="905"/>
      <c r="R91" s="336"/>
    </row>
    <row r="92" spans="1:19" s="432" customFormat="1" ht="13.05" customHeight="1" x14ac:dyDescent="0.4">
      <c r="A92" s="1018" t="s">
        <v>893</v>
      </c>
      <c r="B92" s="1018"/>
      <c r="C92" s="1018"/>
      <c r="D92" s="1018"/>
      <c r="E92" s="997"/>
      <c r="F92" s="1019"/>
      <c r="G92" s="997"/>
      <c r="H92" s="1019">
        <v>-9628427</v>
      </c>
      <c r="I92" s="1019"/>
      <c r="J92" s="1019"/>
      <c r="K92" s="1019"/>
      <c r="L92" s="1019"/>
      <c r="M92" s="1019"/>
      <c r="N92" s="1019"/>
      <c r="O92" s="1019"/>
      <c r="P92" s="1018"/>
      <c r="Q92" s="905"/>
      <c r="R92" s="434"/>
    </row>
    <row r="93" spans="1:19" s="432" customFormat="1" ht="13.05" customHeight="1" x14ac:dyDescent="0.4">
      <c r="A93" s="1018" t="s">
        <v>894</v>
      </c>
      <c r="B93" s="1018"/>
      <c r="C93" s="1018"/>
      <c r="D93" s="1018"/>
      <c r="E93" s="997"/>
      <c r="F93" s="1019"/>
      <c r="G93" s="997"/>
      <c r="H93" s="1019">
        <v>-265236</v>
      </c>
      <c r="I93" s="1019">
        <v>-3009514</v>
      </c>
      <c r="J93" s="1019"/>
      <c r="K93" s="1019"/>
      <c r="L93" s="1019"/>
      <c r="M93" s="1019"/>
      <c r="N93" s="1019"/>
      <c r="O93" s="1019"/>
      <c r="P93" s="1018"/>
      <c r="Q93" s="905"/>
      <c r="R93" s="434"/>
    </row>
    <row r="94" spans="1:19" s="13" customFormat="1" ht="13.05" customHeight="1" x14ac:dyDescent="0.4">
      <c r="A94" s="1007" t="s">
        <v>166</v>
      </c>
      <c r="B94" s="1007"/>
      <c r="C94" s="1007"/>
      <c r="D94" s="1007"/>
      <c r="E94" s="997"/>
      <c r="F94" s="1008">
        <v>-1687455</v>
      </c>
      <c r="G94" s="999"/>
      <c r="H94" s="1008">
        <v>-2085599</v>
      </c>
      <c r="I94" s="1008">
        <v>-4229267</v>
      </c>
      <c r="J94" s="1008">
        <v>-4956006</v>
      </c>
      <c r="K94" s="1008">
        <v>-5413708</v>
      </c>
      <c r="L94" s="1008">
        <v>-6422583</v>
      </c>
      <c r="M94" s="951">
        <v>-7235536</v>
      </c>
      <c r="N94" s="1008">
        <v>-7878540</v>
      </c>
      <c r="O94" s="1008">
        <v>-5048815</v>
      </c>
      <c r="P94" s="1007">
        <v>-4386180</v>
      </c>
      <c r="Q94" s="905"/>
      <c r="R94" s="336"/>
    </row>
    <row r="95" spans="1:19" s="731" customFormat="1" ht="13.05" customHeight="1" x14ac:dyDescent="0.4">
      <c r="A95" s="1007" t="s">
        <v>994</v>
      </c>
      <c r="B95" s="1007"/>
      <c r="C95" s="1007"/>
      <c r="D95" s="1007"/>
      <c r="E95" s="997"/>
      <c r="F95" s="1008"/>
      <c r="G95" s="999"/>
      <c r="H95" s="1008"/>
      <c r="I95" s="1008"/>
      <c r="J95" s="1008"/>
      <c r="K95" s="1008"/>
      <c r="L95" s="1008"/>
      <c r="M95" s="951"/>
      <c r="N95" s="1008"/>
      <c r="O95" s="1008">
        <v>-875624</v>
      </c>
      <c r="P95" s="1007">
        <v>-5506724</v>
      </c>
      <c r="Q95" s="905"/>
      <c r="R95" s="732"/>
    </row>
    <row r="96" spans="1:19" s="13" customFormat="1" ht="13.05" customHeight="1" x14ac:dyDescent="0.4">
      <c r="A96" s="1007" t="s">
        <v>167</v>
      </c>
      <c r="B96" s="1007"/>
      <c r="C96" s="1007"/>
      <c r="D96" s="1007"/>
      <c r="E96" s="997"/>
      <c r="F96" s="1008">
        <v>-1469440</v>
      </c>
      <c r="G96" s="999"/>
      <c r="H96" s="1008">
        <v>-2251362</v>
      </c>
      <c r="I96" s="1008">
        <v>-2381033</v>
      </c>
      <c r="J96" s="1008">
        <v>-2450000</v>
      </c>
      <c r="K96" s="1008">
        <v>-3467657</v>
      </c>
      <c r="L96" s="1008">
        <v>-3862043</v>
      </c>
      <c r="M96" s="951">
        <v>-4946600</v>
      </c>
      <c r="N96" s="1008">
        <v>-3177732</v>
      </c>
      <c r="O96" s="1008">
        <v>-3412546</v>
      </c>
      <c r="P96" s="1007">
        <v>-3531250</v>
      </c>
      <c r="Q96" s="905"/>
      <c r="R96" s="336"/>
    </row>
    <row r="97" spans="1:18" s="13" customFormat="1" ht="13.05" customHeight="1" x14ac:dyDescent="0.4">
      <c r="A97" s="1007" t="s">
        <v>890</v>
      </c>
      <c r="B97" s="1007"/>
      <c r="C97" s="1007"/>
      <c r="D97" s="1007"/>
      <c r="E97" s="997"/>
      <c r="F97" s="1008">
        <v>-573256</v>
      </c>
      <c r="G97" s="999"/>
      <c r="H97" s="1008">
        <v>-984710</v>
      </c>
      <c r="I97" s="1008">
        <v>-670873</v>
      </c>
      <c r="J97" s="1008">
        <v>-609195</v>
      </c>
      <c r="K97" s="1008">
        <v>-706408</v>
      </c>
      <c r="L97" s="1008">
        <v>-740631</v>
      </c>
      <c r="M97" s="1008">
        <v>-614727</v>
      </c>
      <c r="N97" s="1008">
        <v>-580771</v>
      </c>
      <c r="O97" s="1008">
        <v>-810339</v>
      </c>
      <c r="P97" s="1007">
        <v>-902397</v>
      </c>
      <c r="Q97" s="905"/>
      <c r="R97" s="336"/>
    </row>
    <row r="98" spans="1:18" s="11" customFormat="1" ht="13.05" customHeight="1" x14ac:dyDescent="0.4">
      <c r="A98" s="1007" t="s">
        <v>172</v>
      </c>
      <c r="B98" s="1007"/>
      <c r="C98" s="1007"/>
      <c r="D98" s="1007"/>
      <c r="E98" s="997"/>
      <c r="F98" s="1008">
        <v>-433990</v>
      </c>
      <c r="G98" s="999"/>
      <c r="H98" s="1008">
        <v>-353601</v>
      </c>
      <c r="I98" s="1008">
        <v>-369329</v>
      </c>
      <c r="J98" s="1008">
        <v>-371251</v>
      </c>
      <c r="K98" s="1008">
        <v>-388913</v>
      </c>
      <c r="L98" s="1008">
        <v>-487214</v>
      </c>
      <c r="M98" s="1008">
        <v>-490400</v>
      </c>
      <c r="N98" s="1008">
        <v>-634883</v>
      </c>
      <c r="O98" s="1008">
        <v>-526403</v>
      </c>
      <c r="P98" s="1007">
        <v>-521689</v>
      </c>
      <c r="Q98" s="905"/>
      <c r="R98" s="336"/>
    </row>
    <row r="99" spans="1:18" s="432" customFormat="1" ht="13.05" customHeight="1" x14ac:dyDescent="0.4">
      <c r="A99" s="1007" t="s">
        <v>895</v>
      </c>
      <c r="B99" s="1007"/>
      <c r="C99" s="1007"/>
      <c r="D99" s="1007"/>
      <c r="E99" s="997"/>
      <c r="F99" s="1008"/>
      <c r="G99" s="999"/>
      <c r="H99" s="1008">
        <v>40000</v>
      </c>
      <c r="I99" s="1008">
        <v>-989262</v>
      </c>
      <c r="J99" s="1008"/>
      <c r="K99" s="1008"/>
      <c r="L99" s="1008"/>
      <c r="M99" s="1008"/>
      <c r="N99" s="1008"/>
      <c r="O99" s="1008"/>
      <c r="P99" s="1007"/>
      <c r="Q99" s="905"/>
      <c r="R99" s="434"/>
    </row>
    <row r="100" spans="1:18" ht="13.05" customHeight="1" x14ac:dyDescent="0.4">
      <c r="A100" s="1007" t="s">
        <v>169</v>
      </c>
      <c r="B100" s="1007"/>
      <c r="C100" s="1007"/>
      <c r="D100" s="1007"/>
      <c r="E100" s="997"/>
      <c r="F100" s="1008"/>
      <c r="G100" s="999"/>
      <c r="H100" s="1008"/>
      <c r="I100" s="1008"/>
      <c r="J100" s="1008">
        <v>-247830</v>
      </c>
      <c r="K100" s="1008">
        <v>-670678</v>
      </c>
      <c r="L100" s="1008">
        <v>-1431892</v>
      </c>
      <c r="M100" s="1008">
        <v>-2030565</v>
      </c>
      <c r="N100" s="1008">
        <v>-2390703</v>
      </c>
      <c r="O100" s="1008">
        <v>-1663430</v>
      </c>
      <c r="P100" s="1007">
        <v>-843019</v>
      </c>
    </row>
    <row r="101" spans="1:18" ht="13.05" customHeight="1" x14ac:dyDescent="0.4">
      <c r="A101" s="1018" t="s">
        <v>168</v>
      </c>
      <c r="B101" s="1018"/>
      <c r="C101" s="1018"/>
      <c r="D101" s="1018"/>
      <c r="E101" s="997"/>
      <c r="F101" s="1019"/>
      <c r="G101" s="997"/>
      <c r="H101" s="1019">
        <v>-208968</v>
      </c>
      <c r="I101" s="1019">
        <v>-246473</v>
      </c>
      <c r="J101" s="1019">
        <v>-282396</v>
      </c>
      <c r="K101" s="1019">
        <v>-380335</v>
      </c>
      <c r="L101" s="1019">
        <v>-507643</v>
      </c>
      <c r="M101" s="1019">
        <v>-559425</v>
      </c>
      <c r="N101" s="1019">
        <v>-858399</v>
      </c>
      <c r="O101" s="1019">
        <v>-1183212</v>
      </c>
      <c r="P101" s="1018">
        <v>-1210686</v>
      </c>
    </row>
    <row r="102" spans="1:18" ht="13.05" customHeight="1" x14ac:dyDescent="0.4">
      <c r="A102" s="1018" t="s">
        <v>170</v>
      </c>
      <c r="B102" s="1018"/>
      <c r="C102" s="1018"/>
      <c r="D102" s="1018"/>
      <c r="E102" s="997"/>
      <c r="F102" s="1019"/>
      <c r="G102" s="997"/>
      <c r="H102" s="1019"/>
      <c r="I102" s="1019">
        <v>-115531</v>
      </c>
      <c r="J102" s="1019">
        <v>-187146</v>
      </c>
      <c r="K102" s="1019">
        <v>-70595</v>
      </c>
      <c r="L102" s="1019">
        <v>-195795</v>
      </c>
      <c r="M102" s="1019">
        <v>-225278</v>
      </c>
      <c r="N102" s="1019">
        <v>-127690</v>
      </c>
      <c r="O102" s="1019">
        <v>0</v>
      </c>
      <c r="P102" s="1018">
        <v>-9368</v>
      </c>
    </row>
    <row r="103" spans="1:18" ht="13.05" customHeight="1" x14ac:dyDescent="0.4">
      <c r="A103" s="1018" t="s">
        <v>171</v>
      </c>
      <c r="B103" s="1018"/>
      <c r="C103" s="1018"/>
      <c r="D103" s="1018"/>
      <c r="E103" s="997"/>
      <c r="F103" s="1019"/>
      <c r="G103" s="997"/>
      <c r="H103" s="1019">
        <v>-124973</v>
      </c>
      <c r="I103" s="1019">
        <v>-78091</v>
      </c>
      <c r="J103" s="1019">
        <v>-101857</v>
      </c>
      <c r="K103" s="1019">
        <v>-214380</v>
      </c>
      <c r="L103" s="1019">
        <v>-253031</v>
      </c>
      <c r="M103" s="1019">
        <v>-99660</v>
      </c>
      <c r="N103" s="1019">
        <v>-651483</v>
      </c>
      <c r="O103" s="1019">
        <v>-134622</v>
      </c>
      <c r="P103" s="1018">
        <v>-529002</v>
      </c>
    </row>
    <row r="104" spans="1:18" s="13" customFormat="1" ht="13.05" customHeight="1" x14ac:dyDescent="0.4">
      <c r="A104" s="1020" t="s">
        <v>173</v>
      </c>
      <c r="B104" s="1020"/>
      <c r="C104" s="1020"/>
      <c r="D104" s="1020"/>
      <c r="E104" s="1021"/>
      <c r="F104" s="1022">
        <v>-24336245</v>
      </c>
      <c r="G104" s="999"/>
      <c r="H104" s="1022">
        <v>-45355078</v>
      </c>
      <c r="I104" s="1022">
        <v>-42764901</v>
      </c>
      <c r="J104" s="1022">
        <v>-45372048</v>
      </c>
      <c r="K104" s="1022">
        <v>-50823920</v>
      </c>
      <c r="L104" s="1022">
        <v>-69718886</v>
      </c>
      <c r="M104" s="1022">
        <v>-80849218</v>
      </c>
      <c r="N104" s="1022">
        <f>(SUM(N89:N103))</f>
        <v>-75628186</v>
      </c>
      <c r="O104" s="1022">
        <f>(SUM(O89:O103))</f>
        <v>-72769362</v>
      </c>
      <c r="P104" s="1022">
        <f>(SUM(P89:P103))</f>
        <v>-82623188</v>
      </c>
      <c r="Q104" s="905"/>
      <c r="R104" s="336"/>
    </row>
    <row r="105" spans="1:18" ht="13.05" customHeight="1" x14ac:dyDescent="0.4">
      <c r="A105" s="954"/>
      <c r="B105" s="954"/>
      <c r="C105" s="954"/>
      <c r="D105" s="954"/>
      <c r="E105" s="954"/>
      <c r="F105" s="954"/>
      <c r="G105" s="954"/>
      <c r="H105" s="954"/>
      <c r="I105" s="954"/>
      <c r="J105" s="954"/>
      <c r="K105" s="957"/>
      <c r="L105" s="954"/>
      <c r="M105" s="954"/>
      <c r="N105" s="954"/>
      <c r="O105" s="954"/>
      <c r="P105" s="954"/>
    </row>
    <row r="106" spans="1:18" s="433" customFormat="1" ht="18" customHeight="1" x14ac:dyDescent="0.35">
      <c r="A106" s="942" t="s">
        <v>875</v>
      </c>
      <c r="B106" s="942"/>
      <c r="C106" s="942"/>
      <c r="D106" s="942"/>
      <c r="E106" s="942"/>
      <c r="F106" s="942"/>
      <c r="G106" s="942"/>
      <c r="H106" s="942"/>
      <c r="I106" s="942"/>
      <c r="J106" s="942"/>
      <c r="K106" s="942"/>
      <c r="L106" s="942"/>
      <c r="M106" s="942"/>
      <c r="N106" s="942"/>
      <c r="O106" s="942"/>
      <c r="P106" s="942"/>
      <c r="Q106" s="952"/>
      <c r="R106" s="357"/>
    </row>
    <row r="107" spans="1:18" s="11" customFormat="1" ht="13.05" customHeight="1" x14ac:dyDescent="0.35">
      <c r="A107" s="911" t="s">
        <v>98</v>
      </c>
      <c r="B107" s="914">
        <v>37134</v>
      </c>
      <c r="C107" s="912">
        <v>37499</v>
      </c>
      <c r="D107" s="912">
        <v>37864</v>
      </c>
      <c r="E107" s="915"/>
      <c r="F107" s="914">
        <v>38807</v>
      </c>
      <c r="G107" s="915"/>
      <c r="H107" s="914">
        <v>40633</v>
      </c>
      <c r="I107" s="916">
        <v>40999</v>
      </c>
      <c r="J107" s="914">
        <v>41364</v>
      </c>
      <c r="K107" s="917">
        <v>41729</v>
      </c>
      <c r="L107" s="917">
        <v>42094</v>
      </c>
      <c r="M107" s="917">
        <v>42460</v>
      </c>
      <c r="N107" s="917">
        <v>42825</v>
      </c>
      <c r="O107" s="917">
        <v>43190</v>
      </c>
      <c r="P107" s="917">
        <v>43555</v>
      </c>
      <c r="Q107" s="918" t="s">
        <v>127</v>
      </c>
      <c r="R107" s="354" t="s">
        <v>533</v>
      </c>
    </row>
    <row r="108" spans="1:18" s="11" customFormat="1" ht="13.05" customHeight="1" x14ac:dyDescent="0.35">
      <c r="A108" s="953" t="s">
        <v>549</v>
      </c>
      <c r="B108" s="953"/>
      <c r="C108" s="953"/>
      <c r="D108" s="953"/>
      <c r="E108" s="953"/>
      <c r="F108" s="953"/>
      <c r="G108" s="953"/>
      <c r="H108" s="953"/>
      <c r="I108" s="953"/>
      <c r="J108" s="953"/>
      <c r="K108" s="953"/>
      <c r="L108" s="953"/>
      <c r="M108" s="953"/>
      <c r="N108" s="953"/>
      <c r="O108" s="953"/>
      <c r="P108" s="953"/>
      <c r="Q108" s="938" t="s">
        <v>139</v>
      </c>
      <c r="R108" s="355" t="s">
        <v>548</v>
      </c>
    </row>
    <row r="109" spans="1:18" s="13" customFormat="1" ht="13.5" customHeight="1" x14ac:dyDescent="0.35">
      <c r="A109" s="939" t="s">
        <v>106</v>
      </c>
      <c r="B109" s="939">
        <v>1015555</v>
      </c>
      <c r="C109" s="939">
        <v>992567</v>
      </c>
      <c r="D109" s="939">
        <v>1103101</v>
      </c>
      <c r="E109" s="920"/>
      <c r="F109" s="946">
        <v>1392360</v>
      </c>
      <c r="G109" s="922"/>
      <c r="H109" s="946">
        <v>1330983</v>
      </c>
      <c r="I109" s="946">
        <v>1389714</v>
      </c>
      <c r="J109" s="946">
        <v>1434143</v>
      </c>
      <c r="K109" s="946">
        <v>1680720</v>
      </c>
      <c r="L109" s="946">
        <v>5339675</v>
      </c>
      <c r="M109" s="946">
        <v>6179927</v>
      </c>
      <c r="N109" s="946">
        <v>12476338</v>
      </c>
      <c r="O109" s="946">
        <v>8690301</v>
      </c>
      <c r="P109" s="1023"/>
      <c r="Q109" s="1024" t="s">
        <v>129</v>
      </c>
      <c r="R109" s="347"/>
    </row>
    <row r="110" spans="1:18" ht="13.5" customHeight="1" x14ac:dyDescent="0.35">
      <c r="A110" s="939" t="s">
        <v>107</v>
      </c>
      <c r="B110" s="939">
        <v>6364576</v>
      </c>
      <c r="C110" s="939">
        <v>11658115</v>
      </c>
      <c r="D110" s="939">
        <v>5936285</v>
      </c>
      <c r="E110" s="920"/>
      <c r="F110" s="946">
        <v>10831075</v>
      </c>
      <c r="G110" s="922"/>
      <c r="H110" s="946">
        <v>15196801</v>
      </c>
      <c r="I110" s="946">
        <v>14038933</v>
      </c>
      <c r="J110" s="946">
        <v>18471029</v>
      </c>
      <c r="K110" s="946">
        <v>20704835</v>
      </c>
      <c r="L110" s="946">
        <v>22885302</v>
      </c>
      <c r="M110" s="946">
        <v>23297912</v>
      </c>
      <c r="N110" s="946">
        <v>21656502</v>
      </c>
      <c r="O110" s="946">
        <v>4447424</v>
      </c>
      <c r="P110" s="1023"/>
      <c r="Q110" s="1024" t="s">
        <v>130</v>
      </c>
      <c r="R110" s="347"/>
    </row>
    <row r="111" spans="1:18" s="36" customFormat="1" ht="13.5" customHeight="1" x14ac:dyDescent="0.35">
      <c r="A111" s="1025" t="s">
        <v>216</v>
      </c>
      <c r="B111" s="1025">
        <f>B109+B110</f>
        <v>7380131</v>
      </c>
      <c r="C111" s="1025">
        <f>C109+C110</f>
        <v>12650682</v>
      </c>
      <c r="D111" s="1025">
        <f>D109+D110</f>
        <v>7039386</v>
      </c>
      <c r="E111" s="920"/>
      <c r="F111" s="1025">
        <f>F109+F110</f>
        <v>12223435</v>
      </c>
      <c r="G111" s="922"/>
      <c r="H111" s="1026">
        <f t="shared" ref="H111:M111" si="5">H109+H110</f>
        <v>16527784</v>
      </c>
      <c r="I111" s="1026">
        <f t="shared" si="5"/>
        <v>15428647</v>
      </c>
      <c r="J111" s="1026">
        <f t="shared" si="5"/>
        <v>19905172</v>
      </c>
      <c r="K111" s="1026">
        <f t="shared" si="5"/>
        <v>22385555</v>
      </c>
      <c r="L111" s="1026">
        <f t="shared" si="5"/>
        <v>28224977</v>
      </c>
      <c r="M111" s="1026">
        <f t="shared" si="5"/>
        <v>29477839</v>
      </c>
      <c r="N111" s="1026">
        <v>38748813</v>
      </c>
      <c r="O111" s="1026">
        <v>36463417</v>
      </c>
      <c r="P111" s="1027"/>
      <c r="Q111" s="1024"/>
      <c r="R111" s="347"/>
    </row>
    <row r="112" spans="1:18" s="18" customFormat="1" ht="13.5" customHeight="1" x14ac:dyDescent="0.35">
      <c r="A112" s="939" t="s">
        <v>115</v>
      </c>
      <c r="B112" s="939">
        <v>322224</v>
      </c>
      <c r="C112" s="939">
        <v>366843</v>
      </c>
      <c r="D112" s="939">
        <v>373053</v>
      </c>
      <c r="E112" s="920"/>
      <c r="F112" s="946">
        <v>417072</v>
      </c>
      <c r="G112" s="922"/>
      <c r="H112" s="946">
        <v>582683</v>
      </c>
      <c r="I112" s="946">
        <v>591651</v>
      </c>
      <c r="J112" s="946">
        <v>604056</v>
      </c>
      <c r="K112" s="946">
        <v>630459</v>
      </c>
      <c r="L112" s="946">
        <v>654907</v>
      </c>
      <c r="M112" s="946">
        <v>694745</v>
      </c>
      <c r="N112" s="946">
        <v>807640</v>
      </c>
      <c r="O112" s="946">
        <v>814617</v>
      </c>
      <c r="P112" s="939"/>
      <c r="Q112" s="1024"/>
      <c r="R112" s="355"/>
    </row>
    <row r="113" spans="1:18" s="18" customFormat="1" ht="13.5" customHeight="1" x14ac:dyDescent="0.35">
      <c r="A113" s="939" t="s">
        <v>556</v>
      </c>
      <c r="B113" s="939">
        <v>177333</v>
      </c>
      <c r="C113" s="939">
        <v>227038</v>
      </c>
      <c r="D113" s="939">
        <v>246068</v>
      </c>
      <c r="E113" s="920"/>
      <c r="F113" s="946">
        <v>285114</v>
      </c>
      <c r="G113" s="922"/>
      <c r="H113" s="946"/>
      <c r="I113" s="946"/>
      <c r="J113" s="946"/>
      <c r="K113" s="946">
        <v>68666</v>
      </c>
      <c r="L113" s="946">
        <v>373838</v>
      </c>
      <c r="M113" s="946">
        <v>531601</v>
      </c>
      <c r="N113" s="946">
        <v>749790</v>
      </c>
      <c r="O113" s="946">
        <v>581758</v>
      </c>
      <c r="P113" s="939"/>
      <c r="Q113" s="1028" t="s">
        <v>550</v>
      </c>
      <c r="R113" s="355"/>
    </row>
    <row r="114" spans="1:18" s="18" customFormat="1" ht="13.5" customHeight="1" x14ac:dyDescent="0.35">
      <c r="A114" s="1029" t="s">
        <v>116</v>
      </c>
      <c r="B114" s="941">
        <v>140998</v>
      </c>
      <c r="C114" s="941"/>
      <c r="D114" s="1029"/>
      <c r="E114" s="1030"/>
      <c r="F114" s="946"/>
      <c r="G114" s="922"/>
      <c r="H114" s="946">
        <v>168039</v>
      </c>
      <c r="I114" s="946">
        <v>205489</v>
      </c>
      <c r="J114" s="946">
        <v>227994</v>
      </c>
      <c r="K114" s="946">
        <v>228815</v>
      </c>
      <c r="L114" s="946">
        <v>274610</v>
      </c>
      <c r="M114" s="946">
        <v>287329</v>
      </c>
      <c r="N114" s="946">
        <v>309644</v>
      </c>
      <c r="O114" s="946">
        <v>304642</v>
      </c>
      <c r="P114" s="946"/>
      <c r="Q114" s="1031"/>
      <c r="R114" s="355"/>
    </row>
    <row r="115" spans="1:18" s="18" customFormat="1" ht="13.5" customHeight="1" x14ac:dyDescent="0.35">
      <c r="A115" s="1029" t="s">
        <v>551</v>
      </c>
      <c r="B115" s="1029">
        <v>140998</v>
      </c>
      <c r="C115" s="1029">
        <v>137376</v>
      </c>
      <c r="D115" s="1029">
        <v>134885</v>
      </c>
      <c r="E115" s="1030"/>
      <c r="F115" s="946">
        <v>145298</v>
      </c>
      <c r="G115" s="922"/>
      <c r="H115" s="946"/>
      <c r="I115" s="946"/>
      <c r="J115" s="946"/>
      <c r="K115" s="946"/>
      <c r="L115" s="946"/>
      <c r="M115" s="946"/>
      <c r="N115" s="946"/>
      <c r="O115" s="946"/>
      <c r="P115" s="946"/>
      <c r="Q115" s="1031"/>
      <c r="R115" s="355"/>
    </row>
    <row r="116" spans="1:18" s="18" customFormat="1" ht="13.5" customHeight="1" x14ac:dyDescent="0.35">
      <c r="A116" s="939" t="s">
        <v>117</v>
      </c>
      <c r="B116" s="939"/>
      <c r="C116" s="939"/>
      <c r="D116" s="939"/>
      <c r="E116" s="920"/>
      <c r="F116" s="946"/>
      <c r="G116" s="922"/>
      <c r="H116" s="946">
        <v>166767</v>
      </c>
      <c r="I116" s="946">
        <v>174449</v>
      </c>
      <c r="J116" s="946">
        <v>181511</v>
      </c>
      <c r="K116" s="970">
        <v>181715</v>
      </c>
      <c r="L116" s="970">
        <v>181658</v>
      </c>
      <c r="M116" s="970">
        <v>188086</v>
      </c>
      <c r="N116" s="970">
        <v>236991</v>
      </c>
      <c r="O116" s="970">
        <v>198776</v>
      </c>
      <c r="P116" s="941"/>
      <c r="Q116" s="938"/>
    </row>
    <row r="117" spans="1:18" s="18" customFormat="1" ht="13.5" customHeight="1" x14ac:dyDescent="0.35">
      <c r="A117" s="1032" t="s">
        <v>552</v>
      </c>
      <c r="B117" s="1033">
        <v>98720</v>
      </c>
      <c r="C117" s="1033"/>
      <c r="D117" s="1032"/>
      <c r="E117" s="920"/>
      <c r="F117" s="1034"/>
      <c r="G117" s="922"/>
      <c r="H117" s="1034"/>
      <c r="I117" s="1034"/>
      <c r="J117" s="1034"/>
      <c r="K117" s="1035"/>
      <c r="L117" s="1035"/>
      <c r="M117" s="1035"/>
      <c r="N117" s="1035"/>
      <c r="O117" s="1035"/>
      <c r="P117" s="1033"/>
      <c r="Q117" s="1036" t="s">
        <v>553</v>
      </c>
    </row>
    <row r="118" spans="1:18" s="18" customFormat="1" ht="13.5" customHeight="1" x14ac:dyDescent="0.35">
      <c r="A118" s="1032" t="s">
        <v>547</v>
      </c>
      <c r="B118" s="1032">
        <v>74999</v>
      </c>
      <c r="C118" s="1032">
        <v>138032</v>
      </c>
      <c r="D118" s="1032">
        <v>152637</v>
      </c>
      <c r="E118" s="920"/>
      <c r="F118" s="1034"/>
      <c r="G118" s="922"/>
      <c r="H118" s="1034"/>
      <c r="I118" s="1034"/>
      <c r="J118" s="1034"/>
      <c r="K118" s="1035"/>
      <c r="L118" s="1035"/>
      <c r="M118" s="1035"/>
      <c r="N118" s="1035"/>
      <c r="O118" s="1035"/>
      <c r="P118" s="1033"/>
      <c r="Q118" s="938"/>
      <c r="R118" s="355"/>
    </row>
    <row r="119" spans="1:18" s="18" customFormat="1" ht="13.5" customHeight="1" x14ac:dyDescent="0.35">
      <c r="A119" s="1032" t="s">
        <v>559</v>
      </c>
      <c r="B119" s="1032"/>
      <c r="C119" s="1032">
        <v>123278</v>
      </c>
      <c r="D119" s="1032">
        <v>134833</v>
      </c>
      <c r="E119" s="920"/>
      <c r="F119" s="1034">
        <v>167475</v>
      </c>
      <c r="G119" s="922"/>
      <c r="H119" s="1034"/>
      <c r="I119" s="1034"/>
      <c r="J119" s="1034"/>
      <c r="K119" s="1035"/>
      <c r="L119" s="1035"/>
      <c r="M119" s="1035"/>
      <c r="N119" s="1035"/>
      <c r="O119" s="1035"/>
      <c r="P119" s="1033"/>
      <c r="Q119" s="938"/>
      <c r="R119" s="355"/>
    </row>
    <row r="120" spans="1:18" s="18" customFormat="1" ht="13.5" customHeight="1" x14ac:dyDescent="0.35">
      <c r="A120" s="1032" t="s">
        <v>118</v>
      </c>
      <c r="B120" s="1032"/>
      <c r="C120" s="1032"/>
      <c r="D120" s="1032"/>
      <c r="E120" s="920"/>
      <c r="F120" s="1034"/>
      <c r="G120" s="922"/>
      <c r="H120" s="1034">
        <v>192800</v>
      </c>
      <c r="I120" s="1034">
        <v>195460</v>
      </c>
      <c r="J120" s="1034">
        <v>197385</v>
      </c>
      <c r="K120" s="1035">
        <v>203659</v>
      </c>
      <c r="L120" s="1035">
        <v>201198</v>
      </c>
      <c r="M120" s="1035">
        <v>208095</v>
      </c>
      <c r="N120" s="1035">
        <v>238821</v>
      </c>
      <c r="O120" s="1035">
        <v>220193</v>
      </c>
      <c r="P120" s="1033"/>
      <c r="Q120" s="938"/>
      <c r="R120" s="355"/>
    </row>
    <row r="121" spans="1:18" s="18" customFormat="1" ht="13.5" customHeight="1" x14ac:dyDescent="0.35">
      <c r="A121" s="1032" t="s">
        <v>119</v>
      </c>
      <c r="B121" s="1032"/>
      <c r="C121" s="1032"/>
      <c r="D121" s="1032"/>
      <c r="E121" s="920"/>
      <c r="F121" s="1034"/>
      <c r="G121" s="922"/>
      <c r="H121" s="1034"/>
      <c r="I121" s="1034"/>
      <c r="J121" s="1034"/>
      <c r="K121" s="1035"/>
      <c r="L121" s="1035"/>
      <c r="M121" s="1035"/>
      <c r="N121" s="1035"/>
      <c r="O121" s="1035">
        <v>200712</v>
      </c>
      <c r="P121" s="1033"/>
      <c r="Q121" s="938"/>
    </row>
    <row r="122" spans="1:18" s="18" customFormat="1" ht="13.5" customHeight="1" x14ac:dyDescent="0.35">
      <c r="A122" s="1032" t="s">
        <v>137</v>
      </c>
      <c r="B122" s="1032"/>
      <c r="C122" s="1032"/>
      <c r="D122" s="1032"/>
      <c r="E122" s="920"/>
      <c r="F122" s="1034">
        <v>127169</v>
      </c>
      <c r="G122" s="922"/>
      <c r="H122" s="1034"/>
      <c r="I122" s="1034">
        <v>163948</v>
      </c>
      <c r="J122" s="1034"/>
      <c r="K122" s="1035"/>
      <c r="L122" s="1035"/>
      <c r="M122" s="1035"/>
      <c r="N122" s="1035">
        <v>293967</v>
      </c>
      <c r="O122" s="1035"/>
      <c r="P122" s="1033"/>
      <c r="Q122" s="938"/>
      <c r="R122" s="355"/>
    </row>
    <row r="123" spans="1:18" s="18" customFormat="1" ht="13.5" customHeight="1" x14ac:dyDescent="0.35">
      <c r="A123" s="939" t="s">
        <v>120</v>
      </c>
      <c r="B123" s="941">
        <v>201281</v>
      </c>
      <c r="C123" s="941">
        <v>201381</v>
      </c>
      <c r="D123" s="939">
        <v>196458</v>
      </c>
      <c r="E123" s="920"/>
      <c r="F123" s="946">
        <v>201547</v>
      </c>
      <c r="G123" s="922"/>
      <c r="H123" s="946">
        <v>220694</v>
      </c>
      <c r="I123" s="946">
        <v>222665</v>
      </c>
      <c r="J123" s="946">
        <v>223197</v>
      </c>
      <c r="K123" s="970">
        <v>251298</v>
      </c>
      <c r="L123" s="970">
        <v>297299</v>
      </c>
      <c r="M123" s="970">
        <v>300101</v>
      </c>
      <c r="N123" s="970">
        <v>310215</v>
      </c>
      <c r="O123" s="970">
        <v>318550</v>
      </c>
      <c r="P123" s="941"/>
      <c r="Q123" s="1037" t="s">
        <v>564</v>
      </c>
      <c r="R123" s="355"/>
    </row>
    <row r="124" spans="1:18" s="18" customFormat="1" ht="13.5" customHeight="1" x14ac:dyDescent="0.35">
      <c r="A124" s="1038" t="s">
        <v>537</v>
      </c>
      <c r="B124" s="1038">
        <v>605630</v>
      </c>
      <c r="C124" s="1038">
        <v>961802</v>
      </c>
      <c r="D124" s="1038">
        <v>451388</v>
      </c>
      <c r="E124" s="920"/>
      <c r="F124" s="1039">
        <v>899644</v>
      </c>
      <c r="G124" s="922"/>
      <c r="H124" s="1039"/>
      <c r="I124" s="1040"/>
      <c r="J124" s="1039"/>
      <c r="K124" s="1041"/>
      <c r="L124" s="1041"/>
      <c r="M124" s="1041"/>
      <c r="N124" s="1041">
        <v>400000</v>
      </c>
      <c r="O124" s="1041">
        <v>1249348</v>
      </c>
      <c r="P124" s="1042"/>
      <c r="Q124" s="938"/>
      <c r="R124" s="355"/>
    </row>
    <row r="125" spans="1:18" s="18" customFormat="1" ht="13.5" customHeight="1" x14ac:dyDescent="0.35">
      <c r="A125" s="1038" t="s">
        <v>143</v>
      </c>
      <c r="B125" s="1038"/>
      <c r="C125" s="1038"/>
      <c r="D125" s="1038"/>
      <c r="E125" s="920"/>
      <c r="F125" s="1039"/>
      <c r="G125" s="922"/>
      <c r="H125" s="1039">
        <v>915647</v>
      </c>
      <c r="I125" s="1039">
        <v>852254</v>
      </c>
      <c r="J125" s="1039">
        <v>508333</v>
      </c>
      <c r="K125" s="1041"/>
      <c r="L125" s="1041"/>
      <c r="M125" s="1041"/>
      <c r="N125" s="1041"/>
      <c r="O125" s="1041"/>
      <c r="P125" s="1042"/>
      <c r="Q125" s="938"/>
      <c r="R125" s="355"/>
    </row>
    <row r="126" spans="1:18" s="18" customFormat="1" ht="13.5" customHeight="1" x14ac:dyDescent="0.35">
      <c r="A126" s="1038" t="s">
        <v>134</v>
      </c>
      <c r="B126" s="1038"/>
      <c r="C126" s="1038"/>
      <c r="D126" s="1038"/>
      <c r="E126" s="920"/>
      <c r="F126" s="1039"/>
      <c r="G126" s="922"/>
      <c r="H126" s="1039"/>
      <c r="I126" s="1039">
        <v>1041667</v>
      </c>
      <c r="J126" s="1039">
        <v>2498876</v>
      </c>
      <c r="K126" s="1041">
        <v>2498815</v>
      </c>
      <c r="L126" s="1041">
        <v>3207110</v>
      </c>
      <c r="M126" s="1041">
        <v>3050813</v>
      </c>
      <c r="N126" s="1041">
        <v>3275885</v>
      </c>
      <c r="O126" s="1041">
        <v>3354167</v>
      </c>
      <c r="P126" s="1042"/>
      <c r="Q126" s="938"/>
      <c r="R126" s="355"/>
    </row>
    <row r="127" spans="1:18" s="18" customFormat="1" ht="13.5" customHeight="1" x14ac:dyDescent="0.35">
      <c r="A127" s="1038" t="s">
        <v>540</v>
      </c>
      <c r="B127" s="1038">
        <v>135632</v>
      </c>
      <c r="C127" s="1038">
        <v>185988</v>
      </c>
      <c r="D127" s="1038"/>
      <c r="E127" s="920"/>
      <c r="F127" s="1039"/>
      <c r="G127" s="922"/>
      <c r="H127" s="1039"/>
      <c r="I127" s="1040"/>
      <c r="J127" s="1039"/>
      <c r="K127" s="1041"/>
      <c r="L127" s="1041"/>
      <c r="M127" s="1041"/>
      <c r="N127" s="1041"/>
      <c r="O127" s="1041"/>
      <c r="P127" s="1042"/>
      <c r="Q127" s="938"/>
      <c r="R127" s="355"/>
    </row>
    <row r="128" spans="1:18" s="18" customFormat="1" ht="13.5" customHeight="1" x14ac:dyDescent="0.35">
      <c r="A128" s="1038" t="s">
        <v>133</v>
      </c>
      <c r="B128" s="1038"/>
      <c r="C128" s="1038"/>
      <c r="D128" s="1038"/>
      <c r="E128" s="920"/>
      <c r="F128" s="1039"/>
      <c r="G128" s="922"/>
      <c r="H128" s="1039"/>
      <c r="I128" s="1040"/>
      <c r="J128" s="1039"/>
      <c r="K128" s="1041"/>
      <c r="L128" s="1041"/>
      <c r="M128" s="1041"/>
      <c r="N128" s="1041"/>
      <c r="O128" s="1041">
        <v>223656</v>
      </c>
      <c r="P128" s="1042"/>
      <c r="Q128" s="938"/>
      <c r="R128" s="355"/>
    </row>
    <row r="129" spans="1:18" s="18" customFormat="1" ht="13.5" customHeight="1" x14ac:dyDescent="0.35">
      <c r="A129" s="1038" t="s">
        <v>135</v>
      </c>
      <c r="B129" s="1038"/>
      <c r="C129" s="1038"/>
      <c r="D129" s="1038"/>
      <c r="E129" s="920"/>
      <c r="F129" s="1039"/>
      <c r="G129" s="922"/>
      <c r="H129" s="1039"/>
      <c r="I129" s="1040"/>
      <c r="J129" s="1039"/>
      <c r="K129" s="1041">
        <v>302500</v>
      </c>
      <c r="L129" s="1041"/>
      <c r="M129" s="1041">
        <v>398993</v>
      </c>
      <c r="N129" s="1041">
        <v>418690</v>
      </c>
      <c r="O129" s="1041">
        <v>355537</v>
      </c>
      <c r="P129" s="1042"/>
      <c r="Q129" s="938"/>
      <c r="R129" s="355"/>
    </row>
    <row r="130" spans="1:18" s="18" customFormat="1" ht="13.5" customHeight="1" x14ac:dyDescent="0.35">
      <c r="A130" s="1038" t="s">
        <v>871</v>
      </c>
      <c r="B130" s="1038"/>
      <c r="C130" s="1038"/>
      <c r="D130" s="1038">
        <v>135000</v>
      </c>
      <c r="E130" s="920"/>
      <c r="F130" s="1039">
        <v>134669</v>
      </c>
      <c r="G130" s="922"/>
      <c r="H130" s="1039"/>
      <c r="I130" s="1039"/>
      <c r="J130" s="1039"/>
      <c r="K130" s="1041"/>
      <c r="L130" s="1041"/>
      <c r="M130" s="1041"/>
      <c r="N130" s="1041"/>
      <c r="O130" s="1041"/>
      <c r="P130" s="1042"/>
      <c r="Q130" s="938"/>
      <c r="R130" s="355"/>
    </row>
    <row r="131" spans="1:18" s="18" customFormat="1" ht="13.5" customHeight="1" x14ac:dyDescent="0.35">
      <c r="A131" s="939" t="s">
        <v>870</v>
      </c>
      <c r="B131" s="939"/>
      <c r="C131" s="939"/>
      <c r="D131" s="939"/>
      <c r="E131" s="920"/>
      <c r="F131" s="946">
        <v>109080</v>
      </c>
      <c r="G131" s="922"/>
      <c r="H131" s="946"/>
      <c r="I131" s="946"/>
      <c r="J131" s="946"/>
      <c r="K131" s="970"/>
      <c r="L131" s="970"/>
      <c r="M131" s="970"/>
      <c r="N131" s="970"/>
      <c r="O131" s="970"/>
      <c r="P131" s="941"/>
      <c r="Q131" s="938"/>
      <c r="R131" s="355"/>
    </row>
    <row r="132" spans="1:18" s="18" customFormat="1" ht="13.5" customHeight="1" x14ac:dyDescent="0.35">
      <c r="A132" s="939" t="s">
        <v>123</v>
      </c>
      <c r="B132" s="939"/>
      <c r="C132" s="939"/>
      <c r="D132" s="939"/>
      <c r="E132" s="920"/>
      <c r="F132" s="946"/>
      <c r="G132" s="922"/>
      <c r="H132" s="946"/>
      <c r="I132" s="1043"/>
      <c r="J132" s="946"/>
      <c r="K132" s="970"/>
      <c r="L132" s="970"/>
      <c r="M132" s="970"/>
      <c r="N132" s="970">
        <v>228067</v>
      </c>
      <c r="O132" s="970">
        <v>325558</v>
      </c>
      <c r="P132" s="941"/>
      <c r="Q132" s="938"/>
      <c r="R132" s="355"/>
    </row>
    <row r="133" spans="1:18" s="18" customFormat="1" ht="13.5" customHeight="1" x14ac:dyDescent="0.35">
      <c r="A133" s="939" t="s">
        <v>144</v>
      </c>
      <c r="B133" s="939"/>
      <c r="C133" s="939"/>
      <c r="D133" s="939"/>
      <c r="E133" s="920"/>
      <c r="F133" s="946"/>
      <c r="G133" s="922"/>
      <c r="H133" s="946"/>
      <c r="I133" s="946">
        <v>144395</v>
      </c>
      <c r="J133" s="946"/>
      <c r="K133" s="970"/>
      <c r="L133" s="970"/>
      <c r="M133" s="970"/>
      <c r="N133" s="970"/>
      <c r="O133" s="970"/>
      <c r="P133" s="941"/>
      <c r="Q133" s="938"/>
      <c r="R133" s="355"/>
    </row>
    <row r="134" spans="1:18" s="18" customFormat="1" ht="13.5" customHeight="1" x14ac:dyDescent="0.35">
      <c r="A134" s="939" t="s">
        <v>541</v>
      </c>
      <c r="B134" s="939">
        <v>102033</v>
      </c>
      <c r="C134" s="939">
        <v>109246</v>
      </c>
      <c r="D134" s="939">
        <v>130474</v>
      </c>
      <c r="E134" s="920"/>
      <c r="F134" s="946"/>
      <c r="G134" s="922"/>
      <c r="H134" s="946"/>
      <c r="I134" s="946"/>
      <c r="J134" s="946"/>
      <c r="K134" s="970"/>
      <c r="L134" s="970"/>
      <c r="M134" s="970"/>
      <c r="N134" s="970"/>
      <c r="O134" s="970"/>
      <c r="P134" s="941"/>
      <c r="Q134" s="938"/>
      <c r="R134" s="355"/>
    </row>
    <row r="135" spans="1:18" s="18" customFormat="1" ht="13.5" customHeight="1" x14ac:dyDescent="0.35">
      <c r="A135" s="1044" t="s">
        <v>538</v>
      </c>
      <c r="B135" s="1044">
        <v>159206</v>
      </c>
      <c r="C135" s="1044">
        <v>211500</v>
      </c>
      <c r="D135" s="1044">
        <v>204989</v>
      </c>
      <c r="E135" s="920"/>
      <c r="F135" s="1045"/>
      <c r="G135" s="922"/>
      <c r="H135" s="1045"/>
      <c r="I135" s="1045"/>
      <c r="J135" s="1045"/>
      <c r="K135" s="1046"/>
      <c r="L135" s="1046"/>
      <c r="M135" s="1046"/>
      <c r="N135" s="1046"/>
      <c r="O135" s="1046"/>
      <c r="P135" s="1047"/>
      <c r="Q135" s="938"/>
      <c r="R135" s="355"/>
    </row>
    <row r="136" spans="1:18" s="18" customFormat="1" ht="13.5" customHeight="1" x14ac:dyDescent="0.35">
      <c r="A136" s="1044" t="s">
        <v>872</v>
      </c>
      <c r="B136" s="1044"/>
      <c r="C136" s="1044"/>
      <c r="D136" s="1044"/>
      <c r="E136" s="920"/>
      <c r="F136" s="1045">
        <v>152864</v>
      </c>
      <c r="G136" s="922"/>
      <c r="H136" s="1045"/>
      <c r="I136" s="1045"/>
      <c r="J136" s="1045"/>
      <c r="K136" s="1046"/>
      <c r="L136" s="1046"/>
      <c r="M136" s="1046"/>
      <c r="N136" s="1046"/>
      <c r="O136" s="1046"/>
      <c r="P136" s="1047"/>
      <c r="Q136" s="938"/>
      <c r="R136" s="355"/>
    </row>
    <row r="137" spans="1:18" s="18" customFormat="1" ht="13.5" customHeight="1" x14ac:dyDescent="0.35">
      <c r="A137" s="1047" t="s">
        <v>142</v>
      </c>
      <c r="B137" s="1047"/>
      <c r="C137" s="1047"/>
      <c r="D137" s="1047"/>
      <c r="E137" s="920"/>
      <c r="F137" s="1047"/>
      <c r="G137" s="920"/>
      <c r="H137" s="1047"/>
      <c r="I137" s="1047">
        <v>286808</v>
      </c>
      <c r="J137" s="1047">
        <v>309526</v>
      </c>
      <c r="K137" s="1047"/>
      <c r="L137" s="1047"/>
      <c r="M137" s="1047"/>
      <c r="N137" s="1047"/>
      <c r="O137" s="1047"/>
      <c r="P137" s="1047"/>
      <c r="Q137" s="1024"/>
      <c r="R137" s="355"/>
    </row>
    <row r="138" spans="1:18" s="18" customFormat="1" ht="13.5" customHeight="1" x14ac:dyDescent="0.35">
      <c r="A138" s="1047" t="s">
        <v>141</v>
      </c>
      <c r="B138" s="1047"/>
      <c r="C138" s="1047"/>
      <c r="D138" s="1047"/>
      <c r="E138" s="920"/>
      <c r="F138" s="1047"/>
      <c r="G138" s="920"/>
      <c r="H138" s="1047"/>
      <c r="I138" s="1047"/>
      <c r="J138" s="1047"/>
      <c r="K138" s="1047">
        <v>204035</v>
      </c>
      <c r="L138" s="1047"/>
      <c r="M138" s="1047"/>
      <c r="N138" s="1047"/>
      <c r="O138" s="1047"/>
      <c r="P138" s="1047"/>
      <c r="Q138" s="1024"/>
      <c r="R138" s="355"/>
    </row>
    <row r="139" spans="1:18" s="18" customFormat="1" ht="13.5" customHeight="1" x14ac:dyDescent="0.35">
      <c r="A139" s="1047" t="s">
        <v>121</v>
      </c>
      <c r="B139" s="1047"/>
      <c r="C139" s="1047"/>
      <c r="D139" s="1047"/>
      <c r="E139" s="920"/>
      <c r="F139" s="1047"/>
      <c r="G139" s="920"/>
      <c r="H139" s="1047"/>
      <c r="I139" s="1047"/>
      <c r="J139" s="1047"/>
      <c r="K139" s="1047"/>
      <c r="L139" s="1047"/>
      <c r="M139" s="1047">
        <v>306407</v>
      </c>
      <c r="N139" s="1047">
        <v>271060</v>
      </c>
      <c r="O139" s="1047">
        <v>291029</v>
      </c>
      <c r="P139" s="1047"/>
      <c r="Q139" s="1024"/>
      <c r="R139" s="355"/>
    </row>
    <row r="140" spans="1:18" s="18" customFormat="1" ht="13.5" customHeight="1" x14ac:dyDescent="0.35">
      <c r="A140" s="939" t="s">
        <v>122</v>
      </c>
      <c r="B140" s="939"/>
      <c r="C140" s="939"/>
      <c r="D140" s="939"/>
      <c r="E140" s="920"/>
      <c r="F140" s="946"/>
      <c r="G140" s="922"/>
      <c r="H140" s="946"/>
      <c r="I140" s="1043"/>
      <c r="J140" s="946"/>
      <c r="K140" s="970"/>
      <c r="L140" s="970"/>
      <c r="M140" s="970"/>
      <c r="N140" s="970">
        <v>315000</v>
      </c>
      <c r="O140" s="970">
        <v>334500</v>
      </c>
      <c r="P140" s="941"/>
      <c r="Q140" s="938"/>
      <c r="R140" s="355"/>
    </row>
    <row r="141" spans="1:18" s="18" customFormat="1" ht="13.5" customHeight="1" x14ac:dyDescent="0.35">
      <c r="A141" s="939" t="s">
        <v>539</v>
      </c>
      <c r="B141" s="939">
        <v>141000</v>
      </c>
      <c r="C141" s="939"/>
      <c r="D141" s="939"/>
      <c r="E141" s="920"/>
      <c r="F141" s="946"/>
      <c r="G141" s="922"/>
      <c r="H141" s="946"/>
      <c r="I141" s="1043"/>
      <c r="J141" s="946"/>
      <c r="K141" s="970"/>
      <c r="L141" s="970"/>
      <c r="M141" s="970"/>
      <c r="N141" s="970"/>
      <c r="O141" s="970"/>
      <c r="P141" s="941"/>
      <c r="Q141" s="938"/>
      <c r="R141" s="355"/>
    </row>
    <row r="142" spans="1:18" s="18" customFormat="1" ht="13.5" customHeight="1" x14ac:dyDescent="0.35">
      <c r="A142" s="939" t="s">
        <v>136</v>
      </c>
      <c r="B142" s="939"/>
      <c r="C142" s="939"/>
      <c r="D142" s="939"/>
      <c r="E142" s="920"/>
      <c r="F142" s="946"/>
      <c r="G142" s="922"/>
      <c r="H142" s="946"/>
      <c r="I142" s="1043"/>
      <c r="J142" s="946"/>
      <c r="K142" s="970"/>
      <c r="L142" s="970"/>
      <c r="M142" s="970"/>
      <c r="N142" s="970">
        <v>326025</v>
      </c>
      <c r="O142" s="970"/>
      <c r="P142" s="941"/>
      <c r="Q142" s="938"/>
      <c r="R142" s="355"/>
    </row>
    <row r="143" spans="1:18" s="11" customFormat="1" ht="13.5" customHeight="1" x14ac:dyDescent="0.35">
      <c r="A143" s="939" t="s">
        <v>124</v>
      </c>
      <c r="B143" s="939"/>
      <c r="C143" s="939"/>
      <c r="D143" s="939"/>
      <c r="E143" s="920"/>
      <c r="F143" s="939"/>
      <c r="G143" s="922"/>
      <c r="H143" s="1048">
        <v>347583</v>
      </c>
      <c r="I143" s="1043"/>
      <c r="J143" s="1046">
        <v>282564</v>
      </c>
      <c r="K143" s="1048">
        <v>187600</v>
      </c>
      <c r="L143" s="1048">
        <v>428002</v>
      </c>
      <c r="M143" s="1046">
        <v>225450</v>
      </c>
      <c r="N143" s="970"/>
      <c r="O143" s="1046">
        <v>257920</v>
      </c>
      <c r="P143" s="941"/>
      <c r="Q143" s="938"/>
      <c r="R143" s="355"/>
    </row>
    <row r="144" spans="1:18" s="11" customFormat="1" ht="13.5" customHeight="1" x14ac:dyDescent="0.35">
      <c r="A144" s="939" t="s">
        <v>125</v>
      </c>
      <c r="B144" s="939" t="s">
        <v>542</v>
      </c>
      <c r="C144" s="939" t="s">
        <v>562</v>
      </c>
      <c r="D144" s="939" t="s">
        <v>561</v>
      </c>
      <c r="E144" s="920"/>
      <c r="F144" s="1049"/>
      <c r="G144" s="1050"/>
      <c r="H144" s="1049">
        <v>35</v>
      </c>
      <c r="I144" s="1049">
        <v>36</v>
      </c>
      <c r="J144" s="1049">
        <v>43</v>
      </c>
      <c r="K144" s="1051">
        <v>67</v>
      </c>
      <c r="L144" s="1051">
        <v>66</v>
      </c>
      <c r="M144" s="1051">
        <v>65</v>
      </c>
      <c r="N144" s="1051">
        <v>86</v>
      </c>
      <c r="O144" s="1051">
        <v>88</v>
      </c>
      <c r="P144" s="1052"/>
      <c r="Q144" s="938" t="s">
        <v>126</v>
      </c>
      <c r="R144" s="359"/>
    </row>
    <row r="145" spans="1:18" s="11" customFormat="1" x14ac:dyDescent="0.4">
      <c r="A145" s="845"/>
      <c r="B145" s="845"/>
      <c r="C145" s="845"/>
      <c r="D145" s="845"/>
      <c r="E145" s="952"/>
      <c r="F145" s="845"/>
      <c r="G145" s="845"/>
      <c r="H145" s="845"/>
      <c r="I145" s="845"/>
      <c r="J145" s="845"/>
      <c r="K145" s="845"/>
      <c r="L145" s="845"/>
      <c r="M145" s="845"/>
      <c r="N145" s="845"/>
      <c r="O145" s="845"/>
      <c r="P145" s="845"/>
      <c r="Q145" s="905"/>
      <c r="R145" s="336"/>
    </row>
    <row r="146" spans="1:18" s="433" customFormat="1" ht="18" customHeight="1" x14ac:dyDescent="0.35">
      <c r="A146" s="942" t="s">
        <v>874</v>
      </c>
      <c r="B146" s="942"/>
      <c r="C146" s="942"/>
      <c r="D146" s="942"/>
      <c r="E146" s="942"/>
      <c r="F146" s="942"/>
      <c r="G146" s="942"/>
      <c r="H146" s="942"/>
      <c r="I146" s="942"/>
      <c r="J146" s="942"/>
      <c r="K146" s="942"/>
      <c r="L146" s="942"/>
      <c r="M146" s="942"/>
      <c r="N146" s="942"/>
      <c r="O146" s="942"/>
      <c r="P146" s="942"/>
      <c r="Q146" s="952"/>
      <c r="R146" s="571"/>
    </row>
    <row r="147" spans="1:18" s="333" customFormat="1" ht="13.5" customHeight="1" x14ac:dyDescent="0.4">
      <c r="A147" s="911" t="s">
        <v>98</v>
      </c>
      <c r="B147" s="914">
        <v>37134</v>
      </c>
      <c r="C147" s="912">
        <v>37499</v>
      </c>
      <c r="D147" s="912">
        <v>37864</v>
      </c>
      <c r="E147" s="915"/>
      <c r="F147" s="914">
        <v>38807</v>
      </c>
      <c r="G147" s="915"/>
      <c r="H147" s="914">
        <v>40633</v>
      </c>
      <c r="I147" s="916">
        <v>40999</v>
      </c>
      <c r="J147" s="914">
        <v>41364</v>
      </c>
      <c r="K147" s="917">
        <v>41729</v>
      </c>
      <c r="L147" s="917">
        <v>42094</v>
      </c>
      <c r="M147" s="917">
        <v>42460</v>
      </c>
      <c r="N147" s="917">
        <v>42825</v>
      </c>
      <c r="O147" s="917">
        <v>43190</v>
      </c>
      <c r="P147" s="917">
        <v>43555</v>
      </c>
      <c r="Q147" s="905"/>
      <c r="R147" s="336"/>
    </row>
    <row r="148" spans="1:18" s="338" customFormat="1" ht="13.5" customHeight="1" x14ac:dyDescent="0.35">
      <c r="A148" s="957" t="s">
        <v>557</v>
      </c>
      <c r="B148" s="957"/>
      <c r="C148" s="957">
        <v>528704</v>
      </c>
      <c r="D148" s="957"/>
      <c r="E148" s="915"/>
      <c r="F148" s="957">
        <v>167735</v>
      </c>
      <c r="G148" s="920"/>
      <c r="H148" s="957">
        <v>3036254</v>
      </c>
      <c r="I148" s="957">
        <v>6360213</v>
      </c>
      <c r="J148" s="957">
        <v>1383943</v>
      </c>
      <c r="K148" s="957"/>
      <c r="L148" s="957"/>
      <c r="M148" s="957">
        <v>3206539</v>
      </c>
      <c r="N148" s="957">
        <v>3531087</v>
      </c>
      <c r="O148" s="957">
        <v>2453972</v>
      </c>
      <c r="P148" s="957"/>
      <c r="Q148" s="845" t="s">
        <v>139</v>
      </c>
      <c r="R148" s="339"/>
    </row>
    <row r="149" spans="1:18" s="333" customFormat="1" ht="13.5" customHeight="1" x14ac:dyDescent="0.4">
      <c r="A149" s="957" t="s">
        <v>543</v>
      </c>
      <c r="B149" s="957">
        <v>182580</v>
      </c>
      <c r="C149" s="957"/>
      <c r="D149" s="957"/>
      <c r="E149" s="1053"/>
      <c r="F149" s="957"/>
      <c r="G149" s="920"/>
      <c r="H149" s="957"/>
      <c r="I149" s="957"/>
      <c r="J149" s="957"/>
      <c r="K149" s="957"/>
      <c r="L149" s="957"/>
      <c r="M149" s="957"/>
      <c r="N149" s="957"/>
      <c r="O149" s="957"/>
      <c r="P149" s="957"/>
      <c r="Q149" s="905"/>
      <c r="R149" s="336"/>
    </row>
    <row r="150" spans="1:18" s="338" customFormat="1" ht="13.5" customHeight="1" x14ac:dyDescent="0.4">
      <c r="A150" s="957" t="s">
        <v>563</v>
      </c>
      <c r="B150" s="957"/>
      <c r="C150" s="957"/>
      <c r="D150" s="957">
        <v>124823</v>
      </c>
      <c r="E150" s="1053"/>
      <c r="F150" s="957"/>
      <c r="G150" s="920"/>
      <c r="H150" s="957"/>
      <c r="I150" s="957"/>
      <c r="J150" s="957"/>
      <c r="K150" s="957"/>
      <c r="L150" s="957"/>
      <c r="M150" s="957"/>
      <c r="N150" s="957"/>
      <c r="O150" s="957"/>
      <c r="P150" s="957"/>
      <c r="Q150" s="905"/>
      <c r="R150" s="339"/>
    </row>
    <row r="151" spans="1:18" s="430" customFormat="1" ht="13.5" customHeight="1" x14ac:dyDescent="0.4">
      <c r="A151" s="957" t="s">
        <v>873</v>
      </c>
      <c r="B151" s="957"/>
      <c r="C151" s="957"/>
      <c r="D151" s="957"/>
      <c r="E151" s="1053"/>
      <c r="F151" s="957">
        <v>105961</v>
      </c>
      <c r="G151" s="920"/>
      <c r="H151" s="957"/>
      <c r="I151" s="957"/>
      <c r="J151" s="957"/>
      <c r="K151" s="957"/>
      <c r="L151" s="957"/>
      <c r="M151" s="957"/>
      <c r="N151" s="957"/>
      <c r="O151" s="957"/>
      <c r="P151" s="957"/>
      <c r="Q151" s="905"/>
      <c r="R151" s="431"/>
    </row>
    <row r="152" spans="1:18" s="430" customFormat="1" ht="13.5" customHeight="1" x14ac:dyDescent="0.4">
      <c r="A152" s="957" t="s">
        <v>877</v>
      </c>
      <c r="B152" s="957"/>
      <c r="C152" s="957"/>
      <c r="D152" s="957"/>
      <c r="E152" s="1053"/>
      <c r="F152" s="957"/>
      <c r="G152" s="920"/>
      <c r="H152" s="957">
        <v>110498</v>
      </c>
      <c r="I152" s="957"/>
      <c r="J152" s="957"/>
      <c r="K152" s="957"/>
      <c r="L152" s="957"/>
      <c r="M152" s="957"/>
      <c r="N152" s="957"/>
      <c r="O152" s="957"/>
      <c r="P152" s="957"/>
      <c r="Q152" s="905"/>
      <c r="R152" s="431"/>
    </row>
    <row r="153" spans="1:18" s="432" customFormat="1" ht="13.5" customHeight="1" x14ac:dyDescent="0.4">
      <c r="A153" s="957" t="s">
        <v>886</v>
      </c>
      <c r="B153" s="957"/>
      <c r="C153" s="957"/>
      <c r="D153" s="957"/>
      <c r="E153" s="1053"/>
      <c r="F153" s="957"/>
      <c r="G153" s="920"/>
      <c r="H153" s="957"/>
      <c r="I153" s="957"/>
      <c r="J153" s="957"/>
      <c r="K153" s="957"/>
      <c r="L153" s="957"/>
      <c r="M153" s="957"/>
      <c r="N153" s="957">
        <v>174240</v>
      </c>
      <c r="O153" s="957"/>
      <c r="P153" s="957"/>
      <c r="Q153" s="905"/>
      <c r="R153" s="434"/>
    </row>
    <row r="154" spans="1:18" s="432" customFormat="1" ht="13.5" customHeight="1" x14ac:dyDescent="0.4">
      <c r="A154" s="957" t="s">
        <v>889</v>
      </c>
      <c r="B154" s="957"/>
      <c r="C154" s="957"/>
      <c r="D154" s="957"/>
      <c r="E154" s="1053"/>
      <c r="F154" s="957"/>
      <c r="G154" s="920"/>
      <c r="H154" s="957"/>
      <c r="I154" s="957"/>
      <c r="J154" s="957"/>
      <c r="K154" s="957"/>
      <c r="L154" s="957"/>
      <c r="M154" s="957"/>
      <c r="N154" s="957"/>
      <c r="O154" s="957">
        <v>357089</v>
      </c>
      <c r="P154" s="957"/>
      <c r="Q154" s="905"/>
      <c r="R154" s="434"/>
    </row>
    <row r="155" spans="1:18" s="333" customFormat="1" ht="13.5" customHeight="1" x14ac:dyDescent="0.4">
      <c r="A155" s="957" t="s">
        <v>544</v>
      </c>
      <c r="B155" s="957">
        <v>53941</v>
      </c>
      <c r="C155" s="957">
        <v>55983</v>
      </c>
      <c r="D155" s="957">
        <v>59452</v>
      </c>
      <c r="E155" s="1053"/>
      <c r="F155" s="957">
        <v>64400</v>
      </c>
      <c r="G155" s="920"/>
      <c r="H155" s="957"/>
      <c r="I155" s="957"/>
      <c r="J155" s="957"/>
      <c r="K155" s="957"/>
      <c r="L155" s="957"/>
      <c r="M155" s="957"/>
      <c r="N155" s="957"/>
      <c r="O155" s="957"/>
      <c r="P155" s="957"/>
      <c r="Q155" s="905"/>
      <c r="R155" s="336"/>
    </row>
    <row r="156" spans="1:18" s="333" customFormat="1" ht="13.5" customHeight="1" x14ac:dyDescent="0.4">
      <c r="A156" s="957" t="s">
        <v>558</v>
      </c>
      <c r="B156" s="957"/>
      <c r="C156" s="957">
        <v>77340</v>
      </c>
      <c r="D156" s="957"/>
      <c r="E156" s="1053"/>
      <c r="F156" s="957"/>
      <c r="G156" s="920"/>
      <c r="H156" s="957"/>
      <c r="I156" s="957"/>
      <c r="J156" s="957"/>
      <c r="K156" s="957"/>
      <c r="L156" s="957"/>
      <c r="M156" s="957"/>
      <c r="N156" s="957"/>
      <c r="O156" s="957"/>
      <c r="P156" s="957"/>
      <c r="Q156" s="905"/>
      <c r="R156" s="336"/>
    </row>
    <row r="157" spans="1:18" s="432" customFormat="1" ht="13.5" customHeight="1" x14ac:dyDescent="0.4">
      <c r="A157" s="957" t="s">
        <v>884</v>
      </c>
      <c r="B157" s="957"/>
      <c r="C157" s="957"/>
      <c r="D157" s="957"/>
      <c r="E157" s="1053"/>
      <c r="F157" s="957"/>
      <c r="G157" s="920"/>
      <c r="H157" s="957"/>
      <c r="I157" s="957"/>
      <c r="J157" s="957"/>
      <c r="K157" s="957"/>
      <c r="L157" s="957"/>
      <c r="M157" s="957">
        <v>180000</v>
      </c>
      <c r="N157" s="957"/>
      <c r="O157" s="957"/>
      <c r="P157" s="957"/>
      <c r="Q157" s="905"/>
      <c r="R157" s="434"/>
    </row>
    <row r="158" spans="1:18" s="432" customFormat="1" ht="13.5" customHeight="1" x14ac:dyDescent="0.4">
      <c r="A158" s="957" t="s">
        <v>885</v>
      </c>
      <c r="B158" s="957"/>
      <c r="C158" s="957"/>
      <c r="D158" s="957"/>
      <c r="E158" s="1053"/>
      <c r="F158" s="957"/>
      <c r="G158" s="920"/>
      <c r="H158" s="957"/>
      <c r="I158" s="957"/>
      <c r="J158" s="957"/>
      <c r="K158" s="957"/>
      <c r="L158" s="957"/>
      <c r="M158" s="957">
        <v>136850</v>
      </c>
      <c r="N158" s="957"/>
      <c r="O158" s="957"/>
      <c r="P158" s="957"/>
      <c r="Q158" s="905"/>
      <c r="R158" s="434"/>
    </row>
    <row r="159" spans="1:18" s="432" customFormat="1" ht="13.5" customHeight="1" x14ac:dyDescent="0.4">
      <c r="A159" s="957" t="s">
        <v>887</v>
      </c>
      <c r="B159" s="957"/>
      <c r="C159" s="957"/>
      <c r="D159" s="957"/>
      <c r="E159" s="1053"/>
      <c r="F159" s="957"/>
      <c r="G159" s="920"/>
      <c r="H159" s="957"/>
      <c r="I159" s="957"/>
      <c r="J159" s="957"/>
      <c r="K159" s="957"/>
      <c r="L159" s="957"/>
      <c r="M159" s="957"/>
      <c r="N159" s="957">
        <v>120000</v>
      </c>
      <c r="O159" s="957"/>
      <c r="P159" s="957"/>
      <c r="Q159" s="905"/>
      <c r="R159" s="434"/>
    </row>
    <row r="160" spans="1:18" s="432" customFormat="1" ht="13.5" customHeight="1" x14ac:dyDescent="0.4">
      <c r="A160" s="957" t="s">
        <v>888</v>
      </c>
      <c r="B160" s="957"/>
      <c r="C160" s="957"/>
      <c r="D160" s="957"/>
      <c r="E160" s="1053"/>
      <c r="F160" s="957"/>
      <c r="G160" s="920"/>
      <c r="H160" s="957"/>
      <c r="I160" s="957"/>
      <c r="J160" s="957"/>
      <c r="K160" s="957"/>
      <c r="L160" s="957"/>
      <c r="M160" s="957"/>
      <c r="N160" s="957">
        <v>102150</v>
      </c>
      <c r="O160" s="957">
        <v>103716</v>
      </c>
      <c r="P160" s="957"/>
      <c r="Q160" s="905"/>
      <c r="R160" s="434"/>
    </row>
    <row r="161" spans="1:18" s="333" customFormat="1" x14ac:dyDescent="0.4">
      <c r="A161" s="957"/>
      <c r="B161" s="957"/>
      <c r="C161" s="957"/>
      <c r="D161" s="957"/>
      <c r="E161" s="957"/>
      <c r="F161" s="957"/>
      <c r="G161" s="957"/>
      <c r="H161" s="957"/>
      <c r="I161" s="957"/>
      <c r="J161" s="957"/>
      <c r="K161" s="957"/>
      <c r="L161" s="957"/>
      <c r="M161" s="957"/>
      <c r="N161" s="957"/>
      <c r="O161" s="957"/>
      <c r="P161" s="957"/>
      <c r="Q161" s="905"/>
      <c r="R161" s="336"/>
    </row>
    <row r="162" spans="1:18" s="433" customFormat="1" ht="18" customHeight="1" x14ac:dyDescent="0.35">
      <c r="A162" s="942" t="s">
        <v>590</v>
      </c>
      <c r="B162" s="942"/>
      <c r="C162" s="942"/>
      <c r="D162" s="942"/>
      <c r="E162" s="942"/>
      <c r="F162" s="942"/>
      <c r="G162" s="942"/>
      <c r="H162" s="942"/>
      <c r="I162" s="942"/>
      <c r="J162" s="942"/>
      <c r="K162" s="942"/>
      <c r="L162" s="942"/>
      <c r="M162" s="942"/>
      <c r="N162" s="942"/>
      <c r="O162" s="942"/>
      <c r="P162" s="942"/>
      <c r="Q162" s="952"/>
      <c r="R162" s="571"/>
    </row>
    <row r="163" spans="1:18" s="333" customFormat="1" ht="13.05" customHeight="1" x14ac:dyDescent="0.4">
      <c r="A163" s="911" t="s">
        <v>98</v>
      </c>
      <c r="B163" s="914">
        <v>37134</v>
      </c>
      <c r="C163" s="912">
        <v>37499</v>
      </c>
      <c r="D163" s="912">
        <v>37864</v>
      </c>
      <c r="E163" s="915"/>
      <c r="F163" s="914">
        <v>38807</v>
      </c>
      <c r="G163" s="915"/>
      <c r="H163" s="914">
        <v>40633</v>
      </c>
      <c r="I163" s="916">
        <v>40999</v>
      </c>
      <c r="J163" s="914">
        <v>41364</v>
      </c>
      <c r="K163" s="917">
        <v>41729</v>
      </c>
      <c r="L163" s="917">
        <v>42094</v>
      </c>
      <c r="M163" s="917">
        <v>42460</v>
      </c>
      <c r="N163" s="917">
        <v>42825</v>
      </c>
      <c r="O163" s="917">
        <v>43190</v>
      </c>
      <c r="P163" s="917">
        <v>43555</v>
      </c>
      <c r="Q163" s="905"/>
      <c r="R163" s="336"/>
    </row>
    <row r="164" spans="1:18" ht="13.5" customHeight="1" x14ac:dyDescent="0.35">
      <c r="A164" s="957" t="s">
        <v>531</v>
      </c>
      <c r="B164" s="957">
        <v>206646</v>
      </c>
      <c r="C164" s="957">
        <v>816313</v>
      </c>
      <c r="D164" s="957">
        <v>218316</v>
      </c>
      <c r="E164" s="1053"/>
      <c r="F164" s="957">
        <v>244497</v>
      </c>
      <c r="G164" s="920"/>
      <c r="H164" s="957">
        <v>3294374</v>
      </c>
      <c r="I164" s="957">
        <v>3530447</v>
      </c>
      <c r="J164" s="957">
        <v>1560469</v>
      </c>
      <c r="K164" s="957">
        <v>607872</v>
      </c>
      <c r="L164" s="957">
        <v>2240877</v>
      </c>
      <c r="M164" s="957">
        <v>3592505</v>
      </c>
      <c r="N164" s="957">
        <v>3327383</v>
      </c>
      <c r="O164" s="957">
        <v>3285756</v>
      </c>
      <c r="P164" s="957"/>
      <c r="Q164" s="845" t="s">
        <v>881</v>
      </c>
    </row>
    <row r="165" spans="1:18" ht="13.5" customHeight="1" x14ac:dyDescent="0.35">
      <c r="A165" s="957" t="s">
        <v>532</v>
      </c>
      <c r="B165" s="957">
        <v>5470677</v>
      </c>
      <c r="C165" s="957">
        <v>6226760</v>
      </c>
      <c r="D165" s="957">
        <v>7257089</v>
      </c>
      <c r="E165" s="1053"/>
      <c r="F165" s="957">
        <v>8156248</v>
      </c>
      <c r="G165" s="920"/>
      <c r="H165" s="957">
        <v>14006864</v>
      </c>
      <c r="I165" s="957">
        <v>17459628</v>
      </c>
      <c r="J165" s="957">
        <v>15811575</v>
      </c>
      <c r="K165" s="957">
        <v>18802340</v>
      </c>
      <c r="L165" s="957">
        <v>28015745</v>
      </c>
      <c r="M165" s="957">
        <v>27906367</v>
      </c>
      <c r="N165" s="957">
        <v>27372434</v>
      </c>
      <c r="O165" s="957">
        <v>32041877</v>
      </c>
      <c r="P165" s="957"/>
      <c r="Q165" s="845" t="s">
        <v>881</v>
      </c>
    </row>
    <row r="166" spans="1:18" x14ac:dyDescent="0.4">
      <c r="A166" s="957"/>
      <c r="B166" s="957"/>
      <c r="C166" s="957"/>
      <c r="D166" s="941"/>
      <c r="E166" s="941"/>
      <c r="F166" s="941"/>
      <c r="G166" s="939"/>
      <c r="H166" s="941"/>
      <c r="I166" s="941"/>
      <c r="J166" s="957"/>
      <c r="K166" s="957"/>
      <c r="L166" s="957"/>
      <c r="M166" s="957"/>
      <c r="N166" s="957"/>
      <c r="O166" s="957"/>
      <c r="P166" s="957"/>
    </row>
    <row r="167" spans="1:18" x14ac:dyDescent="0.4">
      <c r="A167" s="957"/>
      <c r="B167" s="957"/>
      <c r="C167" s="957"/>
      <c r="D167" s="941"/>
      <c r="E167" s="941"/>
      <c r="F167" s="941"/>
      <c r="G167" s="939"/>
      <c r="H167" s="941"/>
      <c r="I167" s="941"/>
      <c r="J167" s="957"/>
      <c r="K167" s="957"/>
      <c r="L167" s="957"/>
      <c r="M167" s="957"/>
      <c r="N167" s="957"/>
      <c r="O167" s="957"/>
      <c r="P167" s="957"/>
    </row>
    <row r="168" spans="1:18" x14ac:dyDescent="0.4">
      <c r="A168" s="957"/>
      <c r="B168" s="957"/>
      <c r="C168" s="957"/>
      <c r="D168" s="941"/>
      <c r="E168" s="941"/>
      <c r="F168" s="941"/>
      <c r="G168" s="939"/>
      <c r="H168" s="941"/>
      <c r="I168" s="941"/>
      <c r="J168" s="957"/>
      <c r="K168" s="957"/>
      <c r="L168" s="957"/>
      <c r="M168" s="957"/>
      <c r="N168" s="957"/>
      <c r="O168" s="957"/>
      <c r="P168" s="957"/>
    </row>
    <row r="169" spans="1:18" x14ac:dyDescent="0.4">
      <c r="A169" s="957"/>
      <c r="B169" s="957"/>
      <c r="C169" s="957"/>
      <c r="D169" s="941"/>
      <c r="E169" s="941"/>
      <c r="F169" s="941"/>
      <c r="G169" s="939"/>
      <c r="H169" s="941"/>
      <c r="I169" s="941"/>
      <c r="J169" s="957"/>
      <c r="K169" s="957"/>
      <c r="L169" s="957"/>
      <c r="M169" s="957"/>
      <c r="N169" s="957"/>
      <c r="O169" s="957"/>
      <c r="P169" s="957"/>
    </row>
    <row r="170" spans="1:18" x14ac:dyDescent="0.4">
      <c r="A170" s="957"/>
      <c r="B170" s="957"/>
      <c r="C170" s="957"/>
      <c r="D170" s="941"/>
      <c r="E170" s="941"/>
      <c r="F170" s="941"/>
      <c r="G170" s="939"/>
      <c r="H170" s="941"/>
      <c r="I170" s="941"/>
      <c r="J170" s="957"/>
      <c r="K170" s="957"/>
      <c r="L170" s="957"/>
      <c r="M170" s="957"/>
      <c r="N170" s="957"/>
      <c r="O170" s="957"/>
      <c r="P170" s="957"/>
    </row>
    <row r="171" spans="1:18" x14ac:dyDescent="0.4">
      <c r="A171" s="957"/>
      <c r="B171" s="957"/>
      <c r="C171" s="957"/>
      <c r="D171" s="941"/>
      <c r="E171" s="941"/>
      <c r="F171" s="941"/>
      <c r="G171" s="939"/>
      <c r="H171" s="941"/>
      <c r="I171" s="941"/>
      <c r="J171" s="957"/>
      <c r="K171" s="957"/>
      <c r="L171" s="957"/>
      <c r="M171" s="957"/>
      <c r="N171" s="957"/>
      <c r="O171" s="957"/>
      <c r="P171" s="957"/>
    </row>
    <row r="172" spans="1:18" x14ac:dyDescent="0.4">
      <c r="A172" s="957"/>
      <c r="B172" s="957"/>
      <c r="C172" s="957"/>
      <c r="D172" s="941"/>
      <c r="E172" s="941"/>
      <c r="F172" s="941"/>
      <c r="G172" s="939"/>
      <c r="H172" s="941"/>
      <c r="I172" s="941"/>
      <c r="J172" s="957"/>
      <c r="K172" s="957"/>
      <c r="L172" s="957"/>
      <c r="M172" s="957"/>
      <c r="N172" s="957"/>
      <c r="O172" s="957"/>
      <c r="P172" s="957"/>
    </row>
    <row r="173" spans="1:18" x14ac:dyDescent="0.4">
      <c r="A173" s="957"/>
      <c r="B173" s="957"/>
      <c r="C173" s="957"/>
      <c r="D173" s="941"/>
      <c r="E173" s="941"/>
      <c r="F173" s="941"/>
      <c r="G173" s="939"/>
      <c r="H173" s="941"/>
      <c r="I173" s="941"/>
      <c r="J173" s="957"/>
      <c r="K173" s="957"/>
      <c r="L173" s="957"/>
      <c r="M173" s="957"/>
      <c r="N173" s="957"/>
      <c r="O173" s="957"/>
      <c r="P173" s="957"/>
    </row>
    <row r="174" spans="1:18" x14ac:dyDescent="0.4">
      <c r="A174" s="957"/>
      <c r="B174" s="957"/>
      <c r="C174" s="957"/>
      <c r="D174" s="941"/>
      <c r="E174" s="941"/>
      <c r="F174" s="941"/>
      <c r="G174" s="939"/>
      <c r="H174" s="941"/>
      <c r="I174" s="941"/>
      <c r="J174" s="957"/>
      <c r="K174" s="957"/>
      <c r="L174" s="957"/>
      <c r="M174" s="957"/>
      <c r="N174" s="957"/>
      <c r="O174" s="957"/>
      <c r="P174" s="957"/>
    </row>
    <row r="175" spans="1:18" x14ac:dyDescent="0.4">
      <c r="A175" s="957"/>
      <c r="B175" s="957"/>
      <c r="C175" s="957"/>
      <c r="D175" s="941"/>
      <c r="E175" s="941"/>
      <c r="F175" s="941"/>
      <c r="G175" s="939"/>
      <c r="H175" s="941"/>
      <c r="I175" s="941"/>
      <c r="J175" s="957"/>
      <c r="K175" s="957"/>
      <c r="L175" s="957"/>
      <c r="M175" s="957"/>
      <c r="N175" s="957"/>
      <c r="O175" s="957"/>
      <c r="P175" s="957"/>
    </row>
    <row r="176" spans="1:18" x14ac:dyDescent="0.4">
      <c r="A176" s="957"/>
      <c r="B176" s="957"/>
      <c r="C176" s="957"/>
      <c r="D176" s="941"/>
      <c r="E176" s="941"/>
      <c r="F176" s="941"/>
      <c r="G176" s="939"/>
      <c r="H176" s="941"/>
      <c r="I176" s="941"/>
      <c r="J176" s="957"/>
      <c r="K176" s="957"/>
      <c r="L176" s="957"/>
      <c r="M176" s="957"/>
      <c r="N176" s="957"/>
      <c r="O176" s="957"/>
      <c r="P176" s="957"/>
    </row>
    <row r="177" spans="1:16" x14ac:dyDescent="0.4">
      <c r="A177" s="957"/>
      <c r="B177" s="957"/>
      <c r="C177" s="957"/>
      <c r="D177" s="941"/>
      <c r="E177" s="941"/>
      <c r="F177" s="941"/>
      <c r="G177" s="939"/>
      <c r="H177" s="941"/>
      <c r="I177" s="941"/>
      <c r="J177" s="957"/>
      <c r="K177" s="957"/>
      <c r="L177" s="957"/>
      <c r="M177" s="957"/>
      <c r="N177" s="957"/>
      <c r="O177" s="957"/>
      <c r="P177" s="957"/>
    </row>
    <row r="178" spans="1:16" x14ac:dyDescent="0.4">
      <c r="A178" s="957"/>
      <c r="B178" s="957"/>
      <c r="C178" s="957"/>
      <c r="D178" s="941"/>
      <c r="E178" s="941"/>
      <c r="F178" s="941"/>
      <c r="G178" s="939"/>
      <c r="H178" s="941"/>
      <c r="I178" s="941"/>
      <c r="J178" s="957"/>
      <c r="K178" s="957"/>
      <c r="L178" s="957"/>
      <c r="M178" s="957"/>
      <c r="N178" s="957"/>
      <c r="O178" s="957"/>
      <c r="P178" s="957"/>
    </row>
    <row r="179" spans="1:16" x14ac:dyDescent="0.4">
      <c r="D179" s="910"/>
      <c r="E179" s="910"/>
      <c r="F179" s="910"/>
      <c r="G179" s="1054"/>
      <c r="H179" s="910"/>
      <c r="I179" s="910"/>
    </row>
    <row r="180" spans="1:16" x14ac:dyDescent="0.4">
      <c r="D180" s="910"/>
      <c r="E180" s="910"/>
      <c r="F180" s="910"/>
      <c r="G180" s="1054"/>
      <c r="H180" s="910"/>
      <c r="I180" s="910"/>
    </row>
    <row r="181" spans="1:16" x14ac:dyDescent="0.4">
      <c r="D181" s="910"/>
      <c r="E181" s="910"/>
      <c r="F181" s="910"/>
      <c r="G181" s="1054"/>
      <c r="H181" s="910"/>
      <c r="I181" s="910"/>
    </row>
    <row r="182" spans="1:16" x14ac:dyDescent="0.4">
      <c r="D182" s="910"/>
      <c r="E182" s="910"/>
      <c r="F182" s="910"/>
      <c r="G182" s="1054"/>
      <c r="H182" s="910"/>
      <c r="I182" s="910"/>
    </row>
    <row r="183" spans="1:16" x14ac:dyDescent="0.4">
      <c r="D183" s="910"/>
      <c r="E183" s="910"/>
      <c r="F183" s="910"/>
      <c r="G183" s="1054"/>
      <c r="H183" s="910"/>
      <c r="I183" s="910"/>
    </row>
    <row r="184" spans="1:16" x14ac:dyDescent="0.4">
      <c r="D184" s="910"/>
      <c r="E184" s="910"/>
      <c r="F184" s="910"/>
      <c r="G184" s="1054"/>
      <c r="H184" s="910"/>
      <c r="I184" s="910"/>
    </row>
    <row r="185" spans="1:16" x14ac:dyDescent="0.4">
      <c r="D185" s="910"/>
      <c r="E185" s="910"/>
      <c r="F185" s="910"/>
      <c r="G185" s="1054"/>
      <c r="H185" s="910"/>
      <c r="I185" s="910"/>
    </row>
    <row r="186" spans="1:16" x14ac:dyDescent="0.4">
      <c r="D186" s="910"/>
      <c r="E186" s="910"/>
      <c r="F186" s="910"/>
      <c r="G186" s="1054"/>
      <c r="H186" s="910"/>
      <c r="I186" s="910"/>
    </row>
    <row r="187" spans="1:16" x14ac:dyDescent="0.4">
      <c r="D187" s="910"/>
      <c r="E187" s="910"/>
      <c r="F187" s="910"/>
      <c r="G187" s="1054"/>
      <c r="H187" s="910"/>
      <c r="I187" s="910"/>
    </row>
    <row r="188" spans="1:16" x14ac:dyDescent="0.4">
      <c r="D188" s="910"/>
      <c r="E188" s="910"/>
      <c r="F188" s="910"/>
      <c r="G188" s="1054"/>
      <c r="H188" s="910"/>
      <c r="I188" s="910"/>
    </row>
    <row r="189" spans="1:16" x14ac:dyDescent="0.4">
      <c r="D189" s="910"/>
      <c r="E189" s="910"/>
      <c r="F189" s="910"/>
      <c r="G189" s="1054"/>
      <c r="H189" s="910"/>
      <c r="I189" s="910"/>
    </row>
    <row r="190" spans="1:16" x14ac:dyDescent="0.4">
      <c r="D190" s="910"/>
      <c r="E190" s="910"/>
      <c r="F190" s="910"/>
      <c r="G190" s="1054"/>
      <c r="H190" s="910"/>
      <c r="I190" s="910"/>
    </row>
    <row r="191" spans="1:16" x14ac:dyDescent="0.4">
      <c r="D191" s="910"/>
      <c r="E191" s="910"/>
      <c r="F191" s="910"/>
      <c r="G191" s="1054"/>
      <c r="H191" s="910"/>
      <c r="I191" s="910"/>
    </row>
    <row r="192" spans="1:16" x14ac:dyDescent="0.4">
      <c r="D192" s="910"/>
      <c r="E192" s="910"/>
      <c r="F192" s="910"/>
      <c r="G192" s="1054"/>
      <c r="H192" s="910"/>
      <c r="I192" s="910"/>
    </row>
    <row r="193" spans="4:9" x14ac:dyDescent="0.4">
      <c r="D193" s="910"/>
      <c r="E193" s="910"/>
      <c r="F193" s="910"/>
      <c r="G193" s="1054"/>
      <c r="H193" s="910"/>
      <c r="I193" s="910"/>
    </row>
    <row r="194" spans="4:9" x14ac:dyDescent="0.4">
      <c r="D194" s="910"/>
      <c r="E194" s="910"/>
      <c r="F194" s="910"/>
      <c r="G194" s="1054"/>
      <c r="H194" s="910"/>
      <c r="I194" s="910"/>
    </row>
    <row r="195" spans="4:9" x14ac:dyDescent="0.4">
      <c r="D195" s="910"/>
      <c r="E195" s="910"/>
      <c r="F195" s="910"/>
      <c r="G195" s="1054"/>
      <c r="H195" s="910"/>
      <c r="I195" s="910"/>
    </row>
    <row r="196" spans="4:9" x14ac:dyDescent="0.4">
      <c r="D196" s="910"/>
      <c r="E196" s="910"/>
      <c r="F196" s="910"/>
      <c r="G196" s="1054"/>
      <c r="H196" s="910"/>
      <c r="I196" s="910"/>
    </row>
    <row r="197" spans="4:9" x14ac:dyDescent="0.4">
      <c r="D197" s="910"/>
      <c r="E197" s="910"/>
      <c r="F197" s="910"/>
      <c r="G197" s="1054"/>
      <c r="H197" s="910"/>
      <c r="I197" s="910"/>
    </row>
    <row r="198" spans="4:9" x14ac:dyDescent="0.4">
      <c r="D198" s="910"/>
      <c r="E198" s="910"/>
      <c r="F198" s="910"/>
      <c r="G198" s="1054"/>
      <c r="H198" s="910"/>
      <c r="I198" s="910"/>
    </row>
    <row r="199" spans="4:9" x14ac:dyDescent="0.4">
      <c r="D199" s="910"/>
      <c r="E199" s="910"/>
      <c r="F199" s="910"/>
      <c r="G199" s="1054"/>
      <c r="H199" s="910"/>
      <c r="I199" s="910"/>
    </row>
    <row r="200" spans="4:9" x14ac:dyDescent="0.4">
      <c r="D200" s="910"/>
      <c r="E200" s="910"/>
      <c r="F200" s="910"/>
      <c r="G200" s="1054"/>
      <c r="H200" s="910"/>
      <c r="I200" s="910"/>
    </row>
    <row r="201" spans="4:9" x14ac:dyDescent="0.4">
      <c r="D201" s="910"/>
      <c r="E201" s="910"/>
      <c r="F201" s="910"/>
      <c r="G201" s="1054"/>
      <c r="H201" s="910"/>
      <c r="I201" s="910"/>
    </row>
    <row r="202" spans="4:9" x14ac:dyDescent="0.4">
      <c r="D202" s="910"/>
      <c r="E202" s="910"/>
      <c r="F202" s="910"/>
      <c r="G202" s="1054"/>
      <c r="H202" s="910"/>
      <c r="I202" s="910"/>
    </row>
    <row r="203" spans="4:9" x14ac:dyDescent="0.4">
      <c r="D203" s="910"/>
      <c r="E203" s="910"/>
      <c r="F203" s="910"/>
      <c r="G203" s="1054"/>
      <c r="H203" s="910"/>
      <c r="I203" s="910"/>
    </row>
    <row r="204" spans="4:9" x14ac:dyDescent="0.4">
      <c r="D204" s="910"/>
      <c r="E204" s="910"/>
      <c r="F204" s="910"/>
      <c r="G204" s="1054"/>
      <c r="H204" s="910"/>
      <c r="I204" s="910"/>
    </row>
    <row r="205" spans="4:9" x14ac:dyDescent="0.4">
      <c r="D205" s="910"/>
      <c r="E205" s="910"/>
      <c r="F205" s="910"/>
      <c r="G205" s="1054"/>
      <c r="H205" s="910"/>
      <c r="I205" s="910"/>
    </row>
    <row r="206" spans="4:9" x14ac:dyDescent="0.4">
      <c r="D206" s="910"/>
      <c r="E206" s="910"/>
      <c r="F206" s="910"/>
      <c r="G206" s="1054"/>
      <c r="H206" s="910"/>
      <c r="I206" s="910"/>
    </row>
    <row r="207" spans="4:9" x14ac:dyDescent="0.4">
      <c r="D207" s="910"/>
      <c r="E207" s="910"/>
      <c r="F207" s="910"/>
      <c r="G207" s="1054"/>
      <c r="H207" s="910"/>
      <c r="I207" s="910"/>
    </row>
    <row r="208" spans="4:9" x14ac:dyDescent="0.4">
      <c r="D208" s="910"/>
      <c r="E208" s="910"/>
      <c r="F208" s="910"/>
      <c r="G208" s="1054"/>
      <c r="H208" s="910"/>
      <c r="I208" s="910"/>
    </row>
    <row r="209" spans="4:9" x14ac:dyDescent="0.4">
      <c r="D209" s="910"/>
      <c r="E209" s="910"/>
      <c r="F209" s="910"/>
      <c r="G209" s="1054"/>
      <c r="H209" s="910"/>
      <c r="I209" s="910"/>
    </row>
    <row r="210" spans="4:9" x14ac:dyDescent="0.4">
      <c r="D210" s="910"/>
      <c r="E210" s="910"/>
      <c r="F210" s="910"/>
      <c r="G210" s="1054"/>
      <c r="H210" s="910"/>
      <c r="I210" s="910"/>
    </row>
    <row r="211" spans="4:9" x14ac:dyDescent="0.4">
      <c r="D211" s="910"/>
      <c r="E211" s="910"/>
      <c r="F211" s="910"/>
      <c r="G211" s="1054"/>
      <c r="H211" s="910"/>
      <c r="I211" s="910"/>
    </row>
    <row r="212" spans="4:9" x14ac:dyDescent="0.4">
      <c r="D212" s="910"/>
      <c r="E212" s="910"/>
      <c r="F212" s="910"/>
      <c r="G212" s="1054"/>
      <c r="H212" s="910"/>
      <c r="I212" s="910"/>
    </row>
    <row r="213" spans="4:9" x14ac:dyDescent="0.4">
      <c r="D213" s="910"/>
      <c r="E213" s="910"/>
      <c r="F213" s="910"/>
      <c r="G213" s="1054"/>
      <c r="H213" s="910"/>
      <c r="I213" s="910"/>
    </row>
    <row r="214" spans="4:9" x14ac:dyDescent="0.4">
      <c r="D214" s="910"/>
      <c r="E214" s="910"/>
      <c r="F214" s="910"/>
      <c r="G214" s="1054"/>
      <c r="H214" s="910"/>
      <c r="I214" s="910"/>
    </row>
    <row r="215" spans="4:9" x14ac:dyDescent="0.4">
      <c r="D215" s="910"/>
      <c r="E215" s="910"/>
      <c r="F215" s="910"/>
      <c r="G215" s="1054"/>
      <c r="H215" s="910"/>
      <c r="I215" s="910"/>
    </row>
    <row r="216" spans="4:9" x14ac:dyDescent="0.4">
      <c r="D216" s="910"/>
      <c r="E216" s="910"/>
      <c r="F216" s="910"/>
      <c r="G216" s="1054"/>
      <c r="H216" s="910"/>
      <c r="I216" s="910"/>
    </row>
    <row r="217" spans="4:9" x14ac:dyDescent="0.4">
      <c r="D217" s="910"/>
      <c r="E217" s="910"/>
      <c r="F217" s="910"/>
      <c r="G217" s="1054"/>
      <c r="H217" s="910"/>
      <c r="I217" s="910"/>
    </row>
    <row r="218" spans="4:9" x14ac:dyDescent="0.4">
      <c r="D218" s="910"/>
      <c r="E218" s="910"/>
      <c r="F218" s="910"/>
      <c r="G218" s="1054"/>
      <c r="H218" s="910"/>
      <c r="I218" s="910"/>
    </row>
    <row r="219" spans="4:9" x14ac:dyDescent="0.4">
      <c r="D219" s="910"/>
      <c r="E219" s="910"/>
      <c r="F219" s="910"/>
      <c r="G219" s="1054"/>
      <c r="H219" s="910"/>
      <c r="I219" s="910"/>
    </row>
    <row r="220" spans="4:9" x14ac:dyDescent="0.4">
      <c r="D220" s="910"/>
      <c r="E220" s="910"/>
      <c r="F220" s="910"/>
      <c r="G220" s="1054"/>
      <c r="H220" s="910"/>
      <c r="I220" s="910"/>
    </row>
    <row r="221" spans="4:9" x14ac:dyDescent="0.4">
      <c r="D221" s="910"/>
      <c r="E221" s="910"/>
      <c r="F221" s="910"/>
      <c r="G221" s="1054"/>
      <c r="H221" s="910"/>
      <c r="I221" s="910"/>
    </row>
    <row r="222" spans="4:9" x14ac:dyDescent="0.4">
      <c r="D222" s="910"/>
      <c r="E222" s="910"/>
      <c r="F222" s="910"/>
      <c r="G222" s="1054"/>
      <c r="H222" s="910"/>
      <c r="I222" s="910"/>
    </row>
    <row r="223" spans="4:9" x14ac:dyDescent="0.4">
      <c r="D223" s="910"/>
      <c r="E223" s="910"/>
      <c r="F223" s="910"/>
      <c r="G223" s="1054"/>
      <c r="H223" s="910"/>
      <c r="I223" s="910"/>
    </row>
    <row r="224" spans="4:9" x14ac:dyDescent="0.4">
      <c r="D224" s="910"/>
      <c r="E224" s="910"/>
      <c r="F224" s="910"/>
      <c r="G224" s="1054"/>
      <c r="H224" s="910"/>
      <c r="I224" s="910"/>
    </row>
    <row r="225" spans="4:9" x14ac:dyDescent="0.4">
      <c r="D225" s="910"/>
      <c r="E225" s="910"/>
      <c r="F225" s="910"/>
      <c r="G225" s="1054"/>
      <c r="H225" s="910"/>
      <c r="I225" s="910"/>
    </row>
    <row r="226" spans="4:9" x14ac:dyDescent="0.4">
      <c r="D226" s="910"/>
      <c r="E226" s="910"/>
      <c r="F226" s="910"/>
      <c r="G226" s="1054"/>
      <c r="H226" s="910"/>
      <c r="I226" s="910"/>
    </row>
    <row r="227" spans="4:9" x14ac:dyDescent="0.4">
      <c r="D227" s="910"/>
      <c r="E227" s="910"/>
      <c r="F227" s="910"/>
      <c r="G227" s="1054"/>
      <c r="H227" s="910"/>
      <c r="I227" s="910"/>
    </row>
    <row r="228" spans="4:9" x14ac:dyDescent="0.4">
      <c r="D228" s="910"/>
      <c r="E228" s="910"/>
      <c r="F228" s="910"/>
      <c r="G228" s="1054"/>
      <c r="H228" s="910"/>
      <c r="I228" s="910"/>
    </row>
    <row r="229" spans="4:9" x14ac:dyDescent="0.4">
      <c r="D229" s="910"/>
      <c r="E229" s="910"/>
      <c r="F229" s="910"/>
      <c r="G229" s="1054"/>
      <c r="H229" s="910"/>
      <c r="I229" s="910"/>
    </row>
    <row r="230" spans="4:9" x14ac:dyDescent="0.4">
      <c r="D230" s="910"/>
      <c r="E230" s="910"/>
      <c r="F230" s="910"/>
      <c r="G230" s="1054"/>
      <c r="H230" s="910"/>
      <c r="I230" s="910"/>
    </row>
    <row r="231" spans="4:9" x14ac:dyDescent="0.4">
      <c r="D231" s="910"/>
      <c r="E231" s="910"/>
      <c r="F231" s="910"/>
      <c r="G231" s="1054"/>
      <c r="H231" s="910"/>
      <c r="I231" s="910"/>
    </row>
    <row r="232" spans="4:9" x14ac:dyDescent="0.4">
      <c r="D232" s="910"/>
      <c r="E232" s="910"/>
      <c r="F232" s="910"/>
      <c r="G232" s="1054"/>
      <c r="H232" s="910"/>
      <c r="I232" s="910"/>
    </row>
    <row r="233" spans="4:9" x14ac:dyDescent="0.4">
      <c r="D233" s="910"/>
      <c r="E233" s="910"/>
      <c r="F233" s="910"/>
      <c r="G233" s="1054"/>
      <c r="H233" s="910"/>
      <c r="I233" s="910"/>
    </row>
    <row r="234" spans="4:9" x14ac:dyDescent="0.4">
      <c r="D234" s="910"/>
      <c r="E234" s="910"/>
      <c r="F234" s="910"/>
      <c r="G234" s="1054"/>
      <c r="H234" s="910"/>
      <c r="I234" s="910"/>
    </row>
    <row r="235" spans="4:9" x14ac:dyDescent="0.4">
      <c r="D235" s="910"/>
      <c r="E235" s="910"/>
      <c r="F235" s="910"/>
      <c r="G235" s="1054"/>
      <c r="H235" s="910"/>
      <c r="I235" s="910"/>
    </row>
    <row r="236" spans="4:9" x14ac:dyDescent="0.4">
      <c r="D236" s="910"/>
      <c r="E236" s="910"/>
      <c r="F236" s="910"/>
      <c r="G236" s="1054"/>
      <c r="H236" s="910"/>
      <c r="I236" s="910"/>
    </row>
    <row r="237" spans="4:9" x14ac:dyDescent="0.4">
      <c r="D237" s="910"/>
      <c r="E237" s="910"/>
      <c r="F237" s="910"/>
      <c r="G237" s="1054"/>
      <c r="H237" s="910"/>
      <c r="I237" s="910"/>
    </row>
    <row r="238" spans="4:9" x14ac:dyDescent="0.4">
      <c r="D238" s="910"/>
      <c r="E238" s="910"/>
      <c r="F238" s="910"/>
      <c r="G238" s="1054"/>
      <c r="H238" s="910"/>
      <c r="I238" s="910"/>
    </row>
    <row r="239" spans="4:9" x14ac:dyDescent="0.4">
      <c r="D239" s="910"/>
      <c r="E239" s="910"/>
      <c r="F239" s="910"/>
      <c r="G239" s="1054"/>
      <c r="H239" s="910"/>
      <c r="I239" s="910"/>
    </row>
    <row r="240" spans="4:9" x14ac:dyDescent="0.4">
      <c r="D240" s="910"/>
      <c r="E240" s="910"/>
      <c r="F240" s="910"/>
      <c r="G240" s="1054"/>
      <c r="H240" s="910"/>
      <c r="I240" s="910"/>
    </row>
    <row r="241" spans="4:9" x14ac:dyDescent="0.4">
      <c r="D241" s="910"/>
      <c r="E241" s="910"/>
      <c r="F241" s="910"/>
      <c r="G241" s="1054"/>
      <c r="H241" s="910"/>
      <c r="I241" s="910"/>
    </row>
    <row r="242" spans="4:9" x14ac:dyDescent="0.4">
      <c r="D242" s="910"/>
      <c r="E242" s="910"/>
      <c r="F242" s="910"/>
      <c r="G242" s="1054"/>
      <c r="H242" s="910"/>
      <c r="I242" s="910"/>
    </row>
    <row r="243" spans="4:9" x14ac:dyDescent="0.4">
      <c r="D243" s="910"/>
      <c r="E243" s="910"/>
      <c r="F243" s="910"/>
      <c r="G243" s="1054"/>
      <c r="H243" s="910"/>
      <c r="I243" s="910"/>
    </row>
    <row r="244" spans="4:9" x14ac:dyDescent="0.4">
      <c r="D244" s="910"/>
      <c r="E244" s="910"/>
      <c r="F244" s="910"/>
      <c r="G244" s="1054"/>
      <c r="H244" s="910"/>
      <c r="I244" s="910"/>
    </row>
    <row r="245" spans="4:9" x14ac:dyDescent="0.4">
      <c r="D245" s="910"/>
      <c r="E245" s="910"/>
      <c r="F245" s="910"/>
      <c r="G245" s="1054"/>
      <c r="H245" s="910"/>
      <c r="I245" s="910"/>
    </row>
    <row r="246" spans="4:9" x14ac:dyDescent="0.4">
      <c r="D246" s="910"/>
      <c r="E246" s="910"/>
      <c r="F246" s="910"/>
      <c r="G246" s="1054"/>
      <c r="H246" s="910"/>
      <c r="I246" s="910"/>
    </row>
    <row r="247" spans="4:9" x14ac:dyDescent="0.4">
      <c r="D247" s="910"/>
      <c r="E247" s="910"/>
      <c r="F247" s="910"/>
      <c r="G247" s="1054"/>
      <c r="H247" s="910"/>
      <c r="I247" s="910"/>
    </row>
    <row r="248" spans="4:9" x14ac:dyDescent="0.4">
      <c r="D248" s="910"/>
      <c r="E248" s="910"/>
      <c r="F248" s="910"/>
      <c r="G248" s="1054"/>
      <c r="H248" s="910"/>
      <c r="I248" s="910"/>
    </row>
    <row r="249" spans="4:9" x14ac:dyDescent="0.4">
      <c r="D249" s="910"/>
      <c r="E249" s="910"/>
      <c r="F249" s="910"/>
      <c r="G249" s="1054"/>
      <c r="H249" s="910"/>
      <c r="I249" s="910"/>
    </row>
    <row r="250" spans="4:9" x14ac:dyDescent="0.4">
      <c r="D250" s="910"/>
      <c r="E250" s="910"/>
      <c r="F250" s="910"/>
      <c r="G250" s="1054"/>
      <c r="H250" s="910"/>
      <c r="I250" s="910"/>
    </row>
    <row r="251" spans="4:9" x14ac:dyDescent="0.4">
      <c r="D251" s="910"/>
      <c r="E251" s="910"/>
      <c r="F251" s="910"/>
      <c r="G251" s="1054"/>
      <c r="H251" s="910"/>
      <c r="I251" s="910"/>
    </row>
    <row r="252" spans="4:9" x14ac:dyDescent="0.4">
      <c r="D252" s="910"/>
      <c r="E252" s="910"/>
      <c r="F252" s="910"/>
      <c r="G252" s="1054"/>
      <c r="H252" s="910"/>
      <c r="I252" s="910"/>
    </row>
    <row r="253" spans="4:9" x14ac:dyDescent="0.4">
      <c r="D253" s="910"/>
      <c r="E253" s="910"/>
      <c r="F253" s="910"/>
      <c r="G253" s="1054"/>
      <c r="H253" s="910"/>
      <c r="I253" s="910"/>
    </row>
    <row r="254" spans="4:9" x14ac:dyDescent="0.4">
      <c r="D254" s="910"/>
      <c r="E254" s="910"/>
      <c r="F254" s="910"/>
      <c r="G254" s="1054"/>
      <c r="H254" s="910"/>
      <c r="I254" s="910"/>
    </row>
    <row r="255" spans="4:9" x14ac:dyDescent="0.4">
      <c r="D255" s="910"/>
      <c r="E255" s="910"/>
      <c r="F255" s="910"/>
      <c r="G255" s="1054"/>
      <c r="H255" s="910"/>
      <c r="I255" s="910"/>
    </row>
    <row r="256" spans="4:9" x14ac:dyDescent="0.4">
      <c r="D256" s="910"/>
      <c r="E256" s="910"/>
      <c r="F256" s="910"/>
      <c r="G256" s="1054"/>
      <c r="H256" s="910"/>
      <c r="I256" s="910"/>
    </row>
    <row r="257" spans="4:9" x14ac:dyDescent="0.4">
      <c r="D257" s="910"/>
      <c r="E257" s="910"/>
      <c r="F257" s="910"/>
      <c r="G257" s="1054"/>
      <c r="H257" s="910"/>
      <c r="I257" s="910"/>
    </row>
    <row r="258" spans="4:9" x14ac:dyDescent="0.4">
      <c r="D258" s="910"/>
      <c r="E258" s="910"/>
      <c r="F258" s="910"/>
      <c r="G258" s="1054"/>
      <c r="H258" s="910"/>
      <c r="I258" s="910"/>
    </row>
    <row r="259" spans="4:9" x14ac:dyDescent="0.4">
      <c r="D259" s="910"/>
      <c r="E259" s="910"/>
      <c r="F259" s="910"/>
      <c r="G259" s="1054"/>
      <c r="H259" s="910"/>
      <c r="I259" s="910"/>
    </row>
    <row r="260" spans="4:9" x14ac:dyDescent="0.4">
      <c r="D260" s="910"/>
      <c r="E260" s="910"/>
      <c r="F260" s="910"/>
      <c r="G260" s="1054"/>
      <c r="H260" s="910"/>
      <c r="I260" s="910"/>
    </row>
    <row r="261" spans="4:9" x14ac:dyDescent="0.4">
      <c r="D261" s="910"/>
      <c r="E261" s="910"/>
      <c r="F261" s="910"/>
      <c r="G261" s="1054"/>
      <c r="H261" s="910"/>
      <c r="I261" s="910"/>
    </row>
    <row r="262" spans="4:9" x14ac:dyDescent="0.4">
      <c r="D262" s="910"/>
      <c r="E262" s="910"/>
      <c r="F262" s="910"/>
      <c r="G262" s="1054"/>
      <c r="H262" s="910"/>
      <c r="I262" s="910"/>
    </row>
    <row r="263" spans="4:9" x14ac:dyDescent="0.4">
      <c r="D263" s="910"/>
      <c r="E263" s="910"/>
      <c r="F263" s="910"/>
      <c r="G263" s="1054"/>
      <c r="H263" s="910"/>
      <c r="I263" s="910"/>
    </row>
    <row r="264" spans="4:9" x14ac:dyDescent="0.4">
      <c r="D264" s="910"/>
      <c r="E264" s="910"/>
      <c r="F264" s="910"/>
      <c r="G264" s="1054"/>
      <c r="H264" s="910"/>
      <c r="I264" s="910"/>
    </row>
    <row r="265" spans="4:9" x14ac:dyDescent="0.4">
      <c r="D265" s="910"/>
      <c r="E265" s="910"/>
      <c r="F265" s="910"/>
      <c r="G265" s="1054"/>
      <c r="H265" s="910"/>
      <c r="I265" s="910"/>
    </row>
    <row r="266" spans="4:9" x14ac:dyDescent="0.4">
      <c r="D266" s="910"/>
      <c r="E266" s="910"/>
      <c r="F266" s="910"/>
      <c r="G266" s="1054"/>
      <c r="H266" s="910"/>
      <c r="I266" s="910"/>
    </row>
    <row r="267" spans="4:9" x14ac:dyDescent="0.4">
      <c r="D267" s="910"/>
      <c r="E267" s="910"/>
      <c r="F267" s="910"/>
      <c r="G267" s="1054"/>
      <c r="H267" s="910"/>
      <c r="I267" s="910"/>
    </row>
    <row r="268" spans="4:9" x14ac:dyDescent="0.4">
      <c r="D268" s="910"/>
      <c r="E268" s="910"/>
      <c r="F268" s="910"/>
      <c r="G268" s="1054"/>
      <c r="H268" s="910"/>
      <c r="I268" s="910"/>
    </row>
    <row r="269" spans="4:9" x14ac:dyDescent="0.4">
      <c r="D269" s="910"/>
      <c r="E269" s="910"/>
      <c r="F269" s="910"/>
      <c r="G269" s="1054"/>
      <c r="H269" s="910"/>
      <c r="I269" s="910"/>
    </row>
    <row r="270" spans="4:9" x14ac:dyDescent="0.4">
      <c r="D270" s="910"/>
      <c r="E270" s="910"/>
      <c r="F270" s="910"/>
      <c r="G270" s="1054"/>
      <c r="H270" s="910"/>
      <c r="I270" s="910"/>
    </row>
    <row r="271" spans="4:9" x14ac:dyDescent="0.4">
      <c r="D271" s="910"/>
      <c r="E271" s="910"/>
      <c r="F271" s="910"/>
      <c r="G271" s="1054"/>
      <c r="H271" s="910"/>
      <c r="I271" s="910"/>
    </row>
    <row r="272" spans="4:9" x14ac:dyDescent="0.4">
      <c r="D272" s="910"/>
      <c r="E272" s="910"/>
      <c r="F272" s="910"/>
      <c r="G272" s="1054"/>
      <c r="H272" s="910"/>
      <c r="I272" s="910"/>
    </row>
    <row r="273" spans="4:9" x14ac:dyDescent="0.4">
      <c r="D273" s="910"/>
      <c r="E273" s="910"/>
      <c r="F273" s="910"/>
      <c r="G273" s="1054"/>
      <c r="H273" s="910"/>
      <c r="I273" s="910"/>
    </row>
    <row r="274" spans="4:9" x14ac:dyDescent="0.4">
      <c r="D274" s="910"/>
      <c r="E274" s="910"/>
      <c r="F274" s="910"/>
      <c r="G274" s="1054"/>
      <c r="H274" s="910"/>
      <c r="I274" s="910"/>
    </row>
    <row r="275" spans="4:9" x14ac:dyDescent="0.4">
      <c r="D275" s="910"/>
      <c r="E275" s="910"/>
      <c r="F275" s="910"/>
      <c r="G275" s="1054"/>
      <c r="H275" s="910"/>
      <c r="I275" s="910"/>
    </row>
    <row r="276" spans="4:9" x14ac:dyDescent="0.4">
      <c r="D276" s="910"/>
      <c r="E276" s="910"/>
      <c r="F276" s="910"/>
      <c r="G276" s="1054"/>
      <c r="H276" s="910"/>
      <c r="I276" s="910"/>
    </row>
    <row r="277" spans="4:9" x14ac:dyDescent="0.4">
      <c r="D277" s="910"/>
      <c r="E277" s="910"/>
      <c r="F277" s="910"/>
      <c r="G277" s="1054"/>
      <c r="H277" s="910"/>
      <c r="I277" s="910"/>
    </row>
    <row r="278" spans="4:9" x14ac:dyDescent="0.4">
      <c r="D278" s="910"/>
      <c r="E278" s="910"/>
      <c r="F278" s="910"/>
      <c r="G278" s="1054"/>
      <c r="H278" s="910"/>
      <c r="I278" s="910"/>
    </row>
    <row r="279" spans="4:9" x14ac:dyDescent="0.4">
      <c r="D279" s="910"/>
      <c r="E279" s="910"/>
      <c r="F279" s="910"/>
      <c r="G279" s="1054"/>
      <c r="H279" s="910"/>
      <c r="I279" s="910"/>
    </row>
    <row r="280" spans="4:9" x14ac:dyDescent="0.4">
      <c r="D280" s="910"/>
      <c r="E280" s="910"/>
      <c r="F280" s="910"/>
      <c r="G280" s="1054"/>
      <c r="H280" s="910"/>
      <c r="I280" s="910"/>
    </row>
    <row r="281" spans="4:9" x14ac:dyDescent="0.4">
      <c r="D281" s="910"/>
      <c r="E281" s="910"/>
      <c r="F281" s="910"/>
      <c r="G281" s="1054"/>
      <c r="H281" s="910"/>
      <c r="I281" s="910"/>
    </row>
    <row r="282" spans="4:9" x14ac:dyDescent="0.4">
      <c r="D282" s="910"/>
      <c r="E282" s="910"/>
      <c r="F282" s="910"/>
      <c r="G282" s="1054"/>
      <c r="H282" s="910"/>
      <c r="I282" s="910"/>
    </row>
    <row r="283" spans="4:9" x14ac:dyDescent="0.4">
      <c r="D283" s="910"/>
      <c r="E283" s="910"/>
      <c r="F283" s="910"/>
      <c r="G283" s="1054"/>
      <c r="H283" s="910"/>
      <c r="I283" s="910"/>
    </row>
    <row r="284" spans="4:9" x14ac:dyDescent="0.4">
      <c r="D284" s="910"/>
      <c r="E284" s="910"/>
      <c r="F284" s="910"/>
      <c r="G284" s="1054"/>
      <c r="H284" s="910"/>
      <c r="I284" s="910"/>
    </row>
    <row r="285" spans="4:9" x14ac:dyDescent="0.4">
      <c r="D285" s="910"/>
      <c r="E285" s="910"/>
      <c r="F285" s="910"/>
      <c r="G285" s="1054"/>
      <c r="H285" s="910"/>
      <c r="I285" s="910"/>
    </row>
    <row r="286" spans="4:9" x14ac:dyDescent="0.4">
      <c r="D286" s="910"/>
      <c r="E286" s="910"/>
      <c r="F286" s="910"/>
      <c r="G286" s="1054"/>
      <c r="H286" s="910"/>
      <c r="I286" s="910"/>
    </row>
    <row r="287" spans="4:9" x14ac:dyDescent="0.4">
      <c r="D287" s="910"/>
      <c r="E287" s="910"/>
      <c r="F287" s="910"/>
      <c r="G287" s="1054"/>
      <c r="H287" s="910"/>
      <c r="I287" s="910"/>
    </row>
    <row r="288" spans="4:9" x14ac:dyDescent="0.4">
      <c r="D288" s="910"/>
      <c r="E288" s="910"/>
      <c r="F288" s="910"/>
      <c r="G288" s="1054"/>
      <c r="H288" s="910"/>
      <c r="I288" s="910"/>
    </row>
    <row r="289" spans="4:9" x14ac:dyDescent="0.4">
      <c r="D289" s="910"/>
      <c r="E289" s="910"/>
      <c r="F289" s="910"/>
      <c r="G289" s="1054"/>
      <c r="H289" s="910"/>
      <c r="I289" s="910"/>
    </row>
    <row r="290" spans="4:9" x14ac:dyDescent="0.4">
      <c r="D290" s="910"/>
      <c r="E290" s="910"/>
      <c r="F290" s="910"/>
      <c r="G290" s="1054"/>
      <c r="H290" s="910"/>
      <c r="I290" s="910"/>
    </row>
    <row r="291" spans="4:9" x14ac:dyDescent="0.4">
      <c r="D291" s="910"/>
      <c r="E291" s="910"/>
      <c r="F291" s="910"/>
      <c r="G291" s="1054"/>
      <c r="H291" s="910"/>
      <c r="I291" s="910"/>
    </row>
    <row r="292" spans="4:9" x14ac:dyDescent="0.4">
      <c r="D292" s="910"/>
      <c r="E292" s="910"/>
      <c r="F292" s="910"/>
      <c r="G292" s="1054"/>
      <c r="H292" s="910"/>
      <c r="I292" s="910"/>
    </row>
    <row r="293" spans="4:9" x14ac:dyDescent="0.4">
      <c r="D293" s="910"/>
      <c r="E293" s="910"/>
      <c r="F293" s="910"/>
      <c r="G293" s="1054"/>
      <c r="H293" s="910"/>
      <c r="I293" s="910"/>
    </row>
    <row r="294" spans="4:9" x14ac:dyDescent="0.4">
      <c r="D294" s="910"/>
      <c r="E294" s="910"/>
      <c r="F294" s="910"/>
      <c r="G294" s="1054"/>
      <c r="H294" s="910"/>
      <c r="I294" s="910"/>
    </row>
    <row r="295" spans="4:9" x14ac:dyDescent="0.4">
      <c r="D295" s="910"/>
      <c r="E295" s="910"/>
      <c r="F295" s="910"/>
      <c r="G295" s="1054"/>
      <c r="H295" s="910"/>
      <c r="I295" s="910"/>
    </row>
    <row r="296" spans="4:9" x14ac:dyDescent="0.4">
      <c r="D296" s="910"/>
      <c r="E296" s="910"/>
      <c r="F296" s="910"/>
      <c r="G296" s="1054"/>
      <c r="H296" s="910"/>
      <c r="I296" s="910"/>
    </row>
    <row r="297" spans="4:9" x14ac:dyDescent="0.4">
      <c r="D297" s="910"/>
      <c r="E297" s="910"/>
      <c r="F297" s="910"/>
      <c r="G297" s="1054"/>
      <c r="H297" s="910"/>
      <c r="I297" s="910"/>
    </row>
    <row r="298" spans="4:9" x14ac:dyDescent="0.4">
      <c r="D298" s="910"/>
      <c r="E298" s="910"/>
      <c r="F298" s="910"/>
      <c r="G298" s="1054"/>
      <c r="H298" s="910"/>
      <c r="I298" s="910"/>
    </row>
    <row r="299" spans="4:9" x14ac:dyDescent="0.4">
      <c r="D299" s="910"/>
      <c r="E299" s="910"/>
      <c r="F299" s="910"/>
      <c r="G299" s="1054"/>
      <c r="H299" s="910"/>
      <c r="I299" s="910"/>
    </row>
    <row r="300" spans="4:9" x14ac:dyDescent="0.4">
      <c r="D300" s="910"/>
      <c r="E300" s="910"/>
      <c r="F300" s="910"/>
      <c r="G300" s="1054"/>
      <c r="H300" s="910"/>
      <c r="I300" s="910"/>
    </row>
    <row r="301" spans="4:9" x14ac:dyDescent="0.4">
      <c r="D301" s="910"/>
      <c r="E301" s="910"/>
      <c r="F301" s="910"/>
      <c r="G301" s="1054"/>
      <c r="H301" s="910"/>
      <c r="I301" s="910"/>
    </row>
    <row r="302" spans="4:9" x14ac:dyDescent="0.4">
      <c r="D302" s="910"/>
      <c r="E302" s="910"/>
      <c r="F302" s="910"/>
      <c r="G302" s="1054"/>
      <c r="H302" s="910"/>
      <c r="I302" s="910"/>
    </row>
    <row r="303" spans="4:9" x14ac:dyDescent="0.4">
      <c r="D303" s="910"/>
      <c r="E303" s="910"/>
      <c r="F303" s="910"/>
      <c r="G303" s="1054"/>
      <c r="H303" s="910"/>
      <c r="I303" s="910"/>
    </row>
    <row r="304" spans="4:9" x14ac:dyDescent="0.4">
      <c r="D304" s="910"/>
      <c r="E304" s="910"/>
      <c r="F304" s="910"/>
      <c r="G304" s="1054"/>
      <c r="H304" s="910"/>
      <c r="I304" s="910"/>
    </row>
    <row r="305" spans="4:9" x14ac:dyDescent="0.4">
      <c r="D305" s="910"/>
      <c r="E305" s="910"/>
      <c r="F305" s="910"/>
      <c r="G305" s="1054"/>
      <c r="H305" s="910"/>
      <c r="I305" s="910"/>
    </row>
    <row r="306" spans="4:9" x14ac:dyDescent="0.4">
      <c r="D306" s="910"/>
      <c r="E306" s="910"/>
      <c r="F306" s="910"/>
      <c r="G306" s="1054"/>
      <c r="H306" s="910"/>
      <c r="I306" s="910"/>
    </row>
    <row r="307" spans="4:9" x14ac:dyDescent="0.4">
      <c r="D307" s="910"/>
      <c r="E307" s="910"/>
      <c r="F307" s="910"/>
      <c r="G307" s="1054"/>
      <c r="H307" s="910"/>
      <c r="I307" s="910"/>
    </row>
    <row r="308" spans="4:9" x14ac:dyDescent="0.4">
      <c r="D308" s="910"/>
      <c r="E308" s="910"/>
      <c r="F308" s="910"/>
      <c r="G308" s="1054"/>
      <c r="H308" s="910"/>
      <c r="I308" s="910"/>
    </row>
    <row r="309" spans="4:9" x14ac:dyDescent="0.4">
      <c r="D309" s="910"/>
      <c r="E309" s="910"/>
      <c r="F309" s="910"/>
      <c r="G309" s="1054"/>
      <c r="H309" s="910"/>
      <c r="I309" s="910"/>
    </row>
    <row r="310" spans="4:9" x14ac:dyDescent="0.4">
      <c r="D310" s="910"/>
      <c r="E310" s="910"/>
      <c r="F310" s="910"/>
      <c r="G310" s="1054"/>
      <c r="H310" s="910"/>
      <c r="I310" s="910"/>
    </row>
    <row r="311" spans="4:9" x14ac:dyDescent="0.4">
      <c r="D311" s="910"/>
      <c r="E311" s="910"/>
      <c r="F311" s="910"/>
      <c r="G311" s="1054"/>
      <c r="H311" s="910"/>
      <c r="I311" s="910"/>
    </row>
    <row r="312" spans="4:9" x14ac:dyDescent="0.4">
      <c r="D312" s="910"/>
      <c r="E312" s="910"/>
      <c r="F312" s="910"/>
      <c r="G312" s="1054"/>
      <c r="H312" s="910"/>
      <c r="I312" s="910"/>
    </row>
    <row r="313" spans="4:9" x14ac:dyDescent="0.4">
      <c r="D313" s="910"/>
      <c r="E313" s="910"/>
      <c r="F313" s="910"/>
      <c r="G313" s="1054"/>
      <c r="H313" s="910"/>
      <c r="I313" s="910"/>
    </row>
    <row r="314" spans="4:9" x14ac:dyDescent="0.4">
      <c r="D314" s="910"/>
      <c r="E314" s="910"/>
      <c r="F314" s="910"/>
      <c r="G314" s="1054"/>
      <c r="H314" s="910"/>
      <c r="I314" s="910"/>
    </row>
    <row r="315" spans="4:9" x14ac:dyDescent="0.4">
      <c r="D315" s="910"/>
      <c r="E315" s="910"/>
      <c r="F315" s="910"/>
      <c r="G315" s="1054"/>
      <c r="H315" s="910"/>
      <c r="I315" s="910"/>
    </row>
    <row r="316" spans="4:9" x14ac:dyDescent="0.4">
      <c r="D316" s="910"/>
      <c r="E316" s="910"/>
      <c r="F316" s="910"/>
      <c r="G316" s="1054"/>
      <c r="H316" s="910"/>
      <c r="I316" s="910"/>
    </row>
    <row r="317" spans="4:9" x14ac:dyDescent="0.4">
      <c r="D317" s="910"/>
      <c r="E317" s="910"/>
      <c r="F317" s="910"/>
      <c r="G317" s="1054"/>
      <c r="H317" s="910"/>
      <c r="I317" s="910"/>
    </row>
    <row r="318" spans="4:9" x14ac:dyDescent="0.4">
      <c r="D318" s="910"/>
      <c r="E318" s="910"/>
      <c r="F318" s="910"/>
      <c r="G318" s="1054"/>
      <c r="H318" s="910"/>
      <c r="I318" s="910"/>
    </row>
    <row r="319" spans="4:9" x14ac:dyDescent="0.4">
      <c r="D319" s="910"/>
      <c r="E319" s="910"/>
      <c r="F319" s="910"/>
      <c r="G319" s="1054"/>
      <c r="H319" s="910"/>
      <c r="I319" s="910"/>
    </row>
    <row r="320" spans="4:9" x14ac:dyDescent="0.4">
      <c r="D320" s="910"/>
      <c r="E320" s="910"/>
      <c r="F320" s="910"/>
      <c r="G320" s="1054"/>
      <c r="H320" s="910"/>
      <c r="I320" s="910"/>
    </row>
    <row r="321" spans="4:9" x14ac:dyDescent="0.4">
      <c r="D321" s="910"/>
      <c r="E321" s="910"/>
      <c r="F321" s="910"/>
      <c r="G321" s="1054"/>
      <c r="H321" s="910"/>
      <c r="I321" s="910"/>
    </row>
    <row r="322" spans="4:9" x14ac:dyDescent="0.4">
      <c r="D322" s="910"/>
      <c r="E322" s="910"/>
      <c r="F322" s="910"/>
      <c r="G322" s="1054"/>
      <c r="H322" s="910"/>
      <c r="I322" s="910"/>
    </row>
    <row r="323" spans="4:9" x14ac:dyDescent="0.4">
      <c r="D323" s="910"/>
      <c r="E323" s="910"/>
      <c r="F323" s="910"/>
      <c r="G323" s="1054"/>
      <c r="H323" s="910"/>
      <c r="I323" s="910"/>
    </row>
    <row r="324" spans="4:9" x14ac:dyDescent="0.4">
      <c r="D324" s="910"/>
      <c r="E324" s="910"/>
      <c r="F324" s="910"/>
      <c r="G324" s="1054"/>
      <c r="H324" s="910"/>
      <c r="I324" s="910"/>
    </row>
    <row r="325" spans="4:9" x14ac:dyDescent="0.4">
      <c r="D325" s="910"/>
      <c r="E325" s="910"/>
      <c r="F325" s="910"/>
      <c r="G325" s="1054"/>
      <c r="H325" s="910"/>
      <c r="I325" s="910"/>
    </row>
    <row r="326" spans="4:9" x14ac:dyDescent="0.4">
      <c r="D326" s="910"/>
      <c r="E326" s="910"/>
      <c r="F326" s="910"/>
      <c r="G326" s="1054"/>
      <c r="H326" s="910"/>
      <c r="I326" s="910"/>
    </row>
    <row r="327" spans="4:9" x14ac:dyDescent="0.4">
      <c r="D327" s="910"/>
      <c r="E327" s="910"/>
      <c r="F327" s="910"/>
      <c r="G327" s="1054"/>
      <c r="H327" s="910"/>
      <c r="I327" s="910"/>
    </row>
    <row r="328" spans="4:9" x14ac:dyDescent="0.4">
      <c r="D328" s="910"/>
      <c r="E328" s="910"/>
      <c r="F328" s="910"/>
      <c r="G328" s="1054"/>
      <c r="H328" s="910"/>
      <c r="I328" s="910"/>
    </row>
    <row r="329" spans="4:9" x14ac:dyDescent="0.4">
      <c r="D329" s="910"/>
      <c r="E329" s="910"/>
      <c r="F329" s="910"/>
      <c r="G329" s="1054"/>
      <c r="H329" s="910"/>
      <c r="I329" s="910"/>
    </row>
    <row r="330" spans="4:9" x14ac:dyDescent="0.4">
      <c r="D330" s="910"/>
      <c r="E330" s="910"/>
      <c r="F330" s="910"/>
      <c r="G330" s="1054"/>
      <c r="H330" s="910"/>
      <c r="I330" s="910"/>
    </row>
    <row r="331" spans="4:9" x14ac:dyDescent="0.4">
      <c r="D331" s="910"/>
      <c r="E331" s="910"/>
      <c r="F331" s="910"/>
      <c r="G331" s="1054"/>
      <c r="H331" s="910"/>
      <c r="I331" s="910"/>
    </row>
    <row r="332" spans="4:9" x14ac:dyDescent="0.4">
      <c r="D332" s="910"/>
      <c r="E332" s="910"/>
      <c r="F332" s="910"/>
      <c r="G332" s="1054"/>
      <c r="H332" s="910"/>
      <c r="I332" s="910"/>
    </row>
    <row r="333" spans="4:9" x14ac:dyDescent="0.4">
      <c r="D333" s="910"/>
      <c r="E333" s="910"/>
      <c r="F333" s="910"/>
      <c r="G333" s="1054"/>
      <c r="H333" s="910"/>
      <c r="I333" s="910"/>
    </row>
    <row r="334" spans="4:9" x14ac:dyDescent="0.4">
      <c r="D334" s="910"/>
      <c r="E334" s="910"/>
      <c r="F334" s="910"/>
      <c r="G334" s="1054"/>
      <c r="H334" s="910"/>
      <c r="I334" s="910"/>
    </row>
    <row r="335" spans="4:9" x14ac:dyDescent="0.4">
      <c r="D335" s="910"/>
      <c r="E335" s="910"/>
      <c r="F335" s="910"/>
      <c r="G335" s="1054"/>
      <c r="H335" s="910"/>
      <c r="I335" s="910"/>
    </row>
    <row r="336" spans="4:9" x14ac:dyDescent="0.4">
      <c r="D336" s="910"/>
      <c r="E336" s="910"/>
      <c r="F336" s="910"/>
      <c r="G336" s="1054"/>
      <c r="H336" s="910"/>
      <c r="I336" s="910"/>
    </row>
    <row r="337" spans="4:9" x14ac:dyDescent="0.4">
      <c r="D337" s="910"/>
      <c r="E337" s="910"/>
      <c r="F337" s="910"/>
      <c r="G337" s="1054"/>
      <c r="H337" s="910"/>
      <c r="I337" s="910"/>
    </row>
    <row r="338" spans="4:9" x14ac:dyDescent="0.4">
      <c r="D338" s="910"/>
      <c r="E338" s="910"/>
      <c r="F338" s="910"/>
      <c r="G338" s="1054"/>
      <c r="H338" s="910"/>
      <c r="I338" s="910"/>
    </row>
    <row r="339" spans="4:9" x14ac:dyDescent="0.4">
      <c r="D339" s="910"/>
      <c r="E339" s="910"/>
      <c r="F339" s="910"/>
      <c r="G339" s="1054"/>
      <c r="H339" s="910"/>
      <c r="I339" s="910"/>
    </row>
    <row r="340" spans="4:9" x14ac:dyDescent="0.4">
      <c r="D340" s="910"/>
      <c r="E340" s="910"/>
      <c r="F340" s="910"/>
      <c r="G340" s="1054"/>
      <c r="H340" s="910"/>
      <c r="I340" s="910"/>
    </row>
    <row r="341" spans="4:9" x14ac:dyDescent="0.4">
      <c r="D341" s="910"/>
      <c r="E341" s="910"/>
      <c r="F341" s="910"/>
      <c r="G341" s="1054"/>
      <c r="H341" s="910"/>
      <c r="I341" s="910"/>
    </row>
    <row r="342" spans="4:9" x14ac:dyDescent="0.4">
      <c r="D342" s="910"/>
      <c r="E342" s="910"/>
      <c r="F342" s="910"/>
      <c r="G342" s="1054"/>
      <c r="H342" s="910"/>
      <c r="I342" s="910"/>
    </row>
    <row r="343" spans="4:9" x14ac:dyDescent="0.4">
      <c r="D343" s="910"/>
      <c r="E343" s="910"/>
      <c r="F343" s="910"/>
      <c r="G343" s="1054"/>
      <c r="H343" s="910"/>
      <c r="I343" s="910"/>
    </row>
    <row r="344" spans="4:9" x14ac:dyDescent="0.4">
      <c r="D344" s="910"/>
      <c r="E344" s="910"/>
      <c r="F344" s="910"/>
      <c r="G344" s="1054"/>
      <c r="H344" s="910"/>
      <c r="I344" s="910"/>
    </row>
    <row r="345" spans="4:9" x14ac:dyDescent="0.4">
      <c r="D345" s="910"/>
      <c r="E345" s="910"/>
      <c r="F345" s="910"/>
      <c r="G345" s="1054"/>
      <c r="H345" s="910"/>
      <c r="I345" s="910"/>
    </row>
    <row r="346" spans="4:9" x14ac:dyDescent="0.4">
      <c r="D346" s="910"/>
      <c r="E346" s="910"/>
      <c r="F346" s="910"/>
      <c r="G346" s="1054"/>
      <c r="H346" s="910"/>
      <c r="I346" s="910"/>
    </row>
    <row r="347" spans="4:9" x14ac:dyDescent="0.4">
      <c r="D347" s="910"/>
      <c r="E347" s="910"/>
      <c r="F347" s="910"/>
      <c r="G347" s="1054"/>
      <c r="H347" s="910"/>
      <c r="I347" s="910"/>
    </row>
    <row r="348" spans="4:9" x14ac:dyDescent="0.4">
      <c r="D348" s="910"/>
      <c r="E348" s="910"/>
      <c r="F348" s="910"/>
      <c r="G348" s="1054"/>
      <c r="H348" s="910"/>
      <c r="I348" s="910"/>
    </row>
    <row r="349" spans="4:9" x14ac:dyDescent="0.4">
      <c r="D349" s="910"/>
      <c r="E349" s="910"/>
      <c r="F349" s="910"/>
      <c r="G349" s="1054"/>
      <c r="H349" s="910"/>
      <c r="I349" s="910"/>
    </row>
    <row r="350" spans="4:9" x14ac:dyDescent="0.4">
      <c r="D350" s="910"/>
      <c r="E350" s="910"/>
      <c r="F350" s="910"/>
      <c r="G350" s="1054"/>
      <c r="H350" s="910"/>
      <c r="I350" s="910"/>
    </row>
    <row r="351" spans="4:9" x14ac:dyDescent="0.4">
      <c r="D351" s="910"/>
      <c r="E351" s="910"/>
      <c r="F351" s="910"/>
      <c r="G351" s="1054"/>
      <c r="H351" s="910"/>
      <c r="I351" s="910"/>
    </row>
    <row r="352" spans="4:9" x14ac:dyDescent="0.4">
      <c r="D352" s="910"/>
      <c r="E352" s="910"/>
      <c r="F352" s="910"/>
      <c r="G352" s="1054"/>
      <c r="H352" s="910"/>
      <c r="I352" s="910"/>
    </row>
    <row r="353" spans="4:9" x14ac:dyDescent="0.4">
      <c r="D353" s="910"/>
      <c r="E353" s="910"/>
      <c r="F353" s="910"/>
      <c r="G353" s="1054"/>
      <c r="H353" s="910"/>
      <c r="I353" s="910"/>
    </row>
    <row r="354" spans="4:9" x14ac:dyDescent="0.4">
      <c r="D354" s="910"/>
      <c r="E354" s="910"/>
      <c r="F354" s="910"/>
      <c r="G354" s="1054"/>
      <c r="H354" s="910"/>
      <c r="I354" s="910"/>
    </row>
    <row r="355" spans="4:9" x14ac:dyDescent="0.4">
      <c r="D355" s="910"/>
      <c r="E355" s="910"/>
      <c r="F355" s="910"/>
      <c r="G355" s="1054"/>
      <c r="H355" s="910"/>
      <c r="I355" s="910"/>
    </row>
    <row r="356" spans="4:9" x14ac:dyDescent="0.4">
      <c r="D356" s="910"/>
      <c r="E356" s="910"/>
      <c r="F356" s="910"/>
      <c r="G356" s="1054"/>
      <c r="H356" s="910"/>
      <c r="I356" s="910"/>
    </row>
    <row r="357" spans="4:9" x14ac:dyDescent="0.4">
      <c r="D357" s="910"/>
      <c r="E357" s="910"/>
      <c r="F357" s="910"/>
      <c r="G357" s="1054"/>
      <c r="H357" s="910"/>
      <c r="I357" s="910"/>
    </row>
    <row r="358" spans="4:9" x14ac:dyDescent="0.4">
      <c r="D358" s="910"/>
      <c r="E358" s="910"/>
      <c r="F358" s="910"/>
      <c r="G358" s="1054"/>
      <c r="H358" s="910"/>
      <c r="I358" s="910"/>
    </row>
    <row r="359" spans="4:9" x14ac:dyDescent="0.4">
      <c r="D359" s="910"/>
      <c r="E359" s="910"/>
      <c r="F359" s="910"/>
      <c r="G359" s="1054"/>
      <c r="H359" s="910"/>
      <c r="I359" s="910"/>
    </row>
    <row r="360" spans="4:9" x14ac:dyDescent="0.4">
      <c r="D360" s="910"/>
      <c r="E360" s="910"/>
      <c r="F360" s="910"/>
      <c r="G360" s="1054"/>
      <c r="H360" s="910"/>
      <c r="I360" s="910"/>
    </row>
    <row r="361" spans="4:9" x14ac:dyDescent="0.4">
      <c r="D361" s="910"/>
      <c r="E361" s="910"/>
      <c r="F361" s="910"/>
      <c r="G361" s="1054"/>
      <c r="H361" s="910"/>
      <c r="I361" s="910"/>
    </row>
    <row r="362" spans="4:9" x14ac:dyDescent="0.4">
      <c r="D362" s="910"/>
      <c r="E362" s="910"/>
      <c r="F362" s="910"/>
      <c r="G362" s="1054"/>
      <c r="H362" s="910"/>
      <c r="I362" s="910"/>
    </row>
    <row r="363" spans="4:9" x14ac:dyDescent="0.4">
      <c r="D363" s="910"/>
      <c r="E363" s="910"/>
      <c r="F363" s="910"/>
      <c r="G363" s="1054"/>
      <c r="H363" s="910"/>
      <c r="I363" s="910"/>
    </row>
    <row r="364" spans="4:9" x14ac:dyDescent="0.4">
      <c r="D364" s="910"/>
      <c r="E364" s="910"/>
      <c r="F364" s="910"/>
      <c r="G364" s="1054"/>
      <c r="H364" s="910"/>
      <c r="I364" s="910"/>
    </row>
    <row r="365" spans="4:9" x14ac:dyDescent="0.4">
      <c r="D365" s="910"/>
      <c r="E365" s="910"/>
      <c r="F365" s="910"/>
      <c r="G365" s="1054"/>
      <c r="H365" s="910"/>
      <c r="I365" s="910"/>
    </row>
  </sheetData>
  <mergeCells count="32">
    <mergeCell ref="A86:P86"/>
    <mergeCell ref="A162:P162"/>
    <mergeCell ref="A85:P85"/>
    <mergeCell ref="A78:P78"/>
    <mergeCell ref="A79:P79"/>
    <mergeCell ref="A146:P146"/>
    <mergeCell ref="A108:P108"/>
    <mergeCell ref="A106:P106"/>
    <mergeCell ref="A87:P87"/>
    <mergeCell ref="A68:P68"/>
    <mergeCell ref="A3:P3"/>
    <mergeCell ref="A4:P4"/>
    <mergeCell ref="A65:P65"/>
    <mergeCell ref="A11:P11"/>
    <mergeCell ref="A22:P22"/>
    <mergeCell ref="A23:P23"/>
    <mergeCell ref="A30:P30"/>
    <mergeCell ref="A5:P5"/>
    <mergeCell ref="A49:P49"/>
    <mergeCell ref="A50:P50"/>
    <mergeCell ref="A13:P13"/>
    <mergeCell ref="A15:P15"/>
    <mergeCell ref="A62:P62"/>
    <mergeCell ref="A14:P14"/>
    <mergeCell ref="A20:P20"/>
    <mergeCell ref="A2:P2"/>
    <mergeCell ref="A1:P1"/>
    <mergeCell ref="A28:P28"/>
    <mergeCell ref="A66:P66"/>
    <mergeCell ref="A67:P67"/>
    <mergeCell ref="A63:P63"/>
    <mergeCell ref="A29:P29"/>
  </mergeCells>
  <conditionalFormatting sqref="F32:G33 F35:G36 F34 F38:G41 F37 F44:G45 F42:F43 F25:P26 F17:P17 F19:P20 P18 H32:N32 H33:O33 H36:N36 H39:O40 H34:P35 H37:P38 H41:P45">
    <cfRule type="cellIs" dxfId="0" priority="12" operator="lessThan">
      <formula>0</formula>
    </cfRule>
  </conditionalFormatting>
  <conditionalFormatting sqref="O32">
    <cfRule type="cellIs" dxfId="7" priority="7" operator="lessThan">
      <formula>0</formula>
    </cfRule>
  </conditionalFormatting>
  <conditionalFormatting sqref="P32">
    <cfRule type="cellIs" dxfId="6" priority="6" operator="lessThan">
      <formula>0</formula>
    </cfRule>
  </conditionalFormatting>
  <conditionalFormatting sqref="P39">
    <cfRule type="cellIs" dxfId="5" priority="5" operator="lessThan">
      <formula>0</formula>
    </cfRule>
  </conditionalFormatting>
  <conditionalFormatting sqref="P33">
    <cfRule type="cellIs" dxfId="4" priority="4" operator="lessThan">
      <formula>0</formula>
    </cfRule>
  </conditionalFormatting>
  <conditionalFormatting sqref="P36">
    <cfRule type="cellIs" dxfId="3" priority="3" operator="lessThan">
      <formula>0</formula>
    </cfRule>
  </conditionalFormatting>
  <conditionalFormatting sqref="O36">
    <cfRule type="cellIs" dxfId="2" priority="2" operator="lessThan">
      <formula>0</formula>
    </cfRule>
  </conditionalFormatting>
  <conditionalFormatting sqref="P40">
    <cfRule type="cellIs" dxfId="1" priority="1" operator="lessThan">
      <formula>0</formula>
    </cfRule>
  </conditionalFormatting>
  <pageMargins left="0.7" right="0.7" top="0.75" bottom="0.75" header="0.3" footer="0.3"/>
  <pageSetup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3C1F4-D1DD-4728-8F88-143AB12A6374}">
  <dimension ref="A1:W463"/>
  <sheetViews>
    <sheetView workbookViewId="0">
      <pane xSplit="1" topLeftCell="I1" activePane="topRight" state="frozen"/>
      <selection activeCell="A58" sqref="A58"/>
      <selection pane="topRight" activeCell="R10" sqref="R10"/>
    </sheetView>
  </sheetViews>
  <sheetFormatPr defaultRowHeight="14" customHeight="1" x14ac:dyDescent="0.35"/>
  <cols>
    <col min="1" max="1" width="30.53125" style="754" customWidth="1"/>
    <col min="2" max="6" width="10.265625" style="438" customWidth="1"/>
    <col min="7" max="8" width="10.265625" style="437" customWidth="1"/>
    <col min="9" max="9" width="11.3984375" style="437" customWidth="1"/>
    <col min="10" max="10" width="1.06640625" style="437" customWidth="1"/>
    <col min="11" max="11" width="13" style="437" customWidth="1"/>
    <col min="12" max="12" width="11.3984375" style="437" customWidth="1"/>
    <col min="13" max="13" width="12.796875" style="557" customWidth="1"/>
    <col min="14" max="14" width="1.06640625" style="437" customWidth="1"/>
    <col min="15" max="15" width="11.3984375" style="438" customWidth="1"/>
    <col min="16" max="16" width="12.06640625" style="438" customWidth="1"/>
    <col min="17" max="17" width="3" style="435" customWidth="1"/>
    <col min="18" max="18" width="28.265625" style="787" customWidth="1"/>
    <col min="19" max="19" width="20.6640625" style="436" customWidth="1"/>
    <col min="20" max="20" width="13" style="437" customWidth="1"/>
    <col min="21" max="16384" width="9.06640625" style="436"/>
  </cols>
  <sheetData>
    <row r="1" spans="1:23" ht="14" customHeight="1" x14ac:dyDescent="0.35">
      <c r="A1" s="900" t="s">
        <v>594</v>
      </c>
      <c r="B1" s="900"/>
      <c r="C1" s="900"/>
      <c r="D1" s="900"/>
      <c r="E1" s="900"/>
      <c r="F1" s="900"/>
      <c r="G1" s="900"/>
      <c r="H1" s="900"/>
      <c r="I1" s="900"/>
      <c r="J1" s="900"/>
      <c r="K1" s="900"/>
      <c r="L1" s="900"/>
      <c r="M1" s="900"/>
      <c r="N1" s="900"/>
      <c r="O1" s="900"/>
      <c r="P1" s="900"/>
      <c r="T1" s="436"/>
    </row>
    <row r="2" spans="1:23" ht="14" customHeight="1" x14ac:dyDescent="0.35">
      <c r="A2" s="901" t="s">
        <v>595</v>
      </c>
      <c r="B2" s="901"/>
      <c r="C2" s="901"/>
      <c r="D2" s="901"/>
      <c r="E2" s="901"/>
      <c r="F2" s="901"/>
      <c r="G2" s="901"/>
      <c r="H2" s="901"/>
      <c r="I2" s="901"/>
      <c r="J2" s="901"/>
      <c r="K2" s="901"/>
      <c r="L2" s="901"/>
      <c r="M2" s="901"/>
      <c r="N2" s="901"/>
      <c r="O2" s="901"/>
      <c r="P2" s="901"/>
      <c r="T2" s="436"/>
    </row>
    <row r="3" spans="1:23" ht="14" customHeight="1" x14ac:dyDescent="0.35">
      <c r="M3" s="437"/>
    </row>
    <row r="4" spans="1:23" ht="14" customHeight="1" x14ac:dyDescent="0.35">
      <c r="A4" s="899" t="s">
        <v>596</v>
      </c>
      <c r="B4" s="899"/>
      <c r="C4" s="899"/>
      <c r="D4" s="899"/>
      <c r="E4" s="899"/>
      <c r="F4" s="899"/>
      <c r="G4" s="899"/>
      <c r="H4" s="899"/>
      <c r="I4" s="899"/>
      <c r="J4" s="899"/>
      <c r="K4" s="899"/>
      <c r="L4" s="899"/>
      <c r="M4" s="899"/>
      <c r="N4" s="899"/>
      <c r="O4" s="899"/>
      <c r="P4" s="899"/>
      <c r="T4" s="436"/>
    </row>
    <row r="5" spans="1:23" s="443" customFormat="1" ht="14" customHeight="1" x14ac:dyDescent="0.35">
      <c r="A5" s="755" t="s">
        <v>597</v>
      </c>
      <c r="B5" s="439" t="s">
        <v>598</v>
      </c>
      <c r="C5" s="439" t="s">
        <v>599</v>
      </c>
      <c r="D5" s="439" t="s">
        <v>600</v>
      </c>
      <c r="E5" s="439" t="s">
        <v>601</v>
      </c>
      <c r="F5" s="439" t="s">
        <v>602</v>
      </c>
      <c r="G5" s="440" t="s">
        <v>603</v>
      </c>
      <c r="H5" s="440" t="s">
        <v>604</v>
      </c>
      <c r="I5" s="440" t="s">
        <v>605</v>
      </c>
      <c r="J5" s="441"/>
      <c r="K5" s="440" t="s">
        <v>606</v>
      </c>
      <c r="L5" s="440" t="s">
        <v>606</v>
      </c>
      <c r="M5" s="440" t="s">
        <v>606</v>
      </c>
      <c r="N5" s="441"/>
      <c r="O5" s="442" t="s">
        <v>1049</v>
      </c>
      <c r="P5" s="442" t="s">
        <v>1050</v>
      </c>
      <c r="Q5" s="435"/>
      <c r="R5" s="788"/>
      <c r="S5" s="436"/>
      <c r="T5" s="440" t="s">
        <v>605</v>
      </c>
      <c r="U5" s="436"/>
      <c r="V5" s="436"/>
      <c r="W5" s="436"/>
    </row>
    <row r="6" spans="1:23" ht="14" customHeight="1" x14ac:dyDescent="0.35">
      <c r="A6" s="756" t="s">
        <v>197</v>
      </c>
      <c r="B6" s="445"/>
      <c r="C6" s="445"/>
      <c r="D6" s="444"/>
      <c r="E6" s="444"/>
      <c r="F6" s="444"/>
      <c r="G6" s="446"/>
      <c r="H6" s="446"/>
      <c r="I6" s="446"/>
      <c r="J6" s="441"/>
      <c r="K6" s="446" t="s">
        <v>607</v>
      </c>
      <c r="L6" s="446" t="s">
        <v>608</v>
      </c>
      <c r="M6" s="446" t="s">
        <v>609</v>
      </c>
      <c r="N6" s="441"/>
      <c r="O6" s="447" t="s">
        <v>607</v>
      </c>
      <c r="P6" s="447" t="s">
        <v>1051</v>
      </c>
      <c r="R6" s="789"/>
      <c r="T6" s="446" t="s">
        <v>607</v>
      </c>
    </row>
    <row r="7" spans="1:23" ht="14" customHeight="1" x14ac:dyDescent="0.35">
      <c r="A7" s="757" t="s">
        <v>610</v>
      </c>
      <c r="B7" s="449">
        <v>5789723</v>
      </c>
      <c r="C7" s="449">
        <v>5466251</v>
      </c>
      <c r="D7" s="449">
        <v>5834793</v>
      </c>
      <c r="E7" s="449">
        <v>5918066</v>
      </c>
      <c r="F7" s="449">
        <v>6029507</v>
      </c>
      <c r="G7" s="450">
        <v>5922420</v>
      </c>
      <c r="H7" s="450">
        <v>5884305</v>
      </c>
      <c r="I7" s="450">
        <v>5578413</v>
      </c>
      <c r="J7" s="451"/>
      <c r="K7" s="450">
        <v>5954835</v>
      </c>
      <c r="L7" s="450">
        <v>5975926</v>
      </c>
      <c r="M7" s="450">
        <v>21091</v>
      </c>
      <c r="N7" s="451"/>
      <c r="O7" s="450">
        <v>6058649</v>
      </c>
      <c r="P7" s="450">
        <v>82723</v>
      </c>
      <c r="R7" s="790"/>
      <c r="T7" s="450">
        <v>6075470</v>
      </c>
    </row>
    <row r="8" spans="1:23" ht="14" customHeight="1" x14ac:dyDescent="0.35">
      <c r="A8" s="754" t="s">
        <v>611</v>
      </c>
      <c r="B8" s="452"/>
      <c r="C8" s="452"/>
      <c r="D8" s="452"/>
      <c r="E8" s="452"/>
      <c r="F8" s="452"/>
      <c r="G8" s="450">
        <v>991075</v>
      </c>
      <c r="H8" s="450">
        <v>1372441</v>
      </c>
      <c r="I8" s="450">
        <v>1320320</v>
      </c>
      <c r="J8" s="451"/>
      <c r="K8" s="450">
        <v>2210000</v>
      </c>
      <c r="L8" s="450">
        <v>2348405</v>
      </c>
      <c r="M8" s="450">
        <v>138405</v>
      </c>
      <c r="N8" s="451"/>
      <c r="O8" s="450">
        <v>3001000</v>
      </c>
      <c r="P8" s="450">
        <v>652595</v>
      </c>
      <c r="R8" s="790"/>
      <c r="T8" s="450">
        <v>2610000</v>
      </c>
    </row>
    <row r="9" spans="1:23" ht="14" customHeight="1" x14ac:dyDescent="0.35">
      <c r="A9" s="757" t="s">
        <v>612</v>
      </c>
      <c r="B9" s="449">
        <v>18628090</v>
      </c>
      <c r="C9" s="449">
        <v>21034920</v>
      </c>
      <c r="D9" s="449">
        <v>25574816</v>
      </c>
      <c r="E9" s="449">
        <v>34506216</v>
      </c>
      <c r="F9" s="449">
        <v>45925512</v>
      </c>
      <c r="G9" s="450">
        <v>46053177</v>
      </c>
      <c r="H9" s="450">
        <v>48923357</v>
      </c>
      <c r="I9" s="450">
        <v>48069985</v>
      </c>
      <c r="J9" s="451"/>
      <c r="K9" s="450">
        <v>52745473</v>
      </c>
      <c r="L9" s="450">
        <v>52596515</v>
      </c>
      <c r="M9" s="450">
        <v>-148958</v>
      </c>
      <c r="N9" s="451"/>
      <c r="O9" s="450">
        <v>54012848</v>
      </c>
      <c r="P9" s="450">
        <v>1416332</v>
      </c>
      <c r="R9" s="790"/>
      <c r="T9" s="450">
        <v>47999997</v>
      </c>
    </row>
    <row r="10" spans="1:23" ht="14" customHeight="1" x14ac:dyDescent="0.35">
      <c r="A10" s="757" t="s">
        <v>613</v>
      </c>
      <c r="B10" s="449">
        <v>20919307</v>
      </c>
      <c r="C10" s="449">
        <v>27528558</v>
      </c>
      <c r="D10" s="449">
        <v>30744430</v>
      </c>
      <c r="E10" s="449">
        <v>42273963</v>
      </c>
      <c r="F10" s="449">
        <v>61618234</v>
      </c>
      <c r="G10" s="450">
        <v>34566655</v>
      </c>
      <c r="H10" s="450">
        <v>34171862</v>
      </c>
      <c r="I10" s="450">
        <v>35272372</v>
      </c>
      <c r="J10" s="451"/>
      <c r="K10" s="450">
        <v>49072861</v>
      </c>
      <c r="L10" s="450">
        <v>50138385</v>
      </c>
      <c r="M10" s="450">
        <v>1065524</v>
      </c>
      <c r="N10" s="451"/>
      <c r="O10" s="450">
        <v>29389700</v>
      </c>
      <c r="P10" s="450">
        <v>-20748685</v>
      </c>
      <c r="R10" s="790"/>
      <c r="T10" s="450">
        <v>27827900</v>
      </c>
    </row>
    <row r="11" spans="1:23" ht="14" customHeight="1" x14ac:dyDescent="0.35">
      <c r="A11" s="757" t="s">
        <v>614</v>
      </c>
      <c r="B11" s="449">
        <v>3081182</v>
      </c>
      <c r="C11" s="449">
        <v>3088609</v>
      </c>
      <c r="D11" s="449">
        <v>2902803</v>
      </c>
      <c r="E11" s="449">
        <v>2933217</v>
      </c>
      <c r="F11" s="449">
        <v>2390196</v>
      </c>
      <c r="G11" s="450">
        <v>2857245</v>
      </c>
      <c r="H11" s="450">
        <v>3293404</v>
      </c>
      <c r="I11" s="450">
        <v>3138198</v>
      </c>
      <c r="J11" s="451"/>
      <c r="K11" s="450">
        <v>3936000</v>
      </c>
      <c r="L11" s="450">
        <v>3624049</v>
      </c>
      <c r="M11" s="450">
        <v>-311951</v>
      </c>
      <c r="N11" s="451"/>
      <c r="O11" s="450">
        <v>3446000</v>
      </c>
      <c r="P11" s="450">
        <v>-178049</v>
      </c>
      <c r="R11" s="790"/>
      <c r="T11" s="450">
        <v>3429000</v>
      </c>
    </row>
    <row r="12" spans="1:23" ht="14" customHeight="1" x14ac:dyDescent="0.35">
      <c r="A12" s="757" t="s">
        <v>615</v>
      </c>
      <c r="B12" s="449">
        <v>1610317</v>
      </c>
      <c r="C12" s="449">
        <v>1886363</v>
      </c>
      <c r="D12" s="449">
        <v>1990579</v>
      </c>
      <c r="E12" s="449">
        <v>2177934</v>
      </c>
      <c r="F12" s="449">
        <v>3082803</v>
      </c>
      <c r="G12" s="450">
        <v>3154018</v>
      </c>
      <c r="H12" s="450">
        <v>2880194</v>
      </c>
      <c r="I12" s="450">
        <v>2938128</v>
      </c>
      <c r="J12" s="451"/>
      <c r="K12" s="450">
        <v>2933023</v>
      </c>
      <c r="L12" s="450">
        <v>2892761</v>
      </c>
      <c r="M12" s="450">
        <v>-40262</v>
      </c>
      <c r="N12" s="451"/>
      <c r="O12" s="450">
        <v>2933023</v>
      </c>
      <c r="P12" s="450">
        <v>40262</v>
      </c>
      <c r="R12" s="790"/>
      <c r="T12" s="450">
        <v>3230000</v>
      </c>
    </row>
    <row r="13" spans="1:23" ht="14" customHeight="1" x14ac:dyDescent="0.35">
      <c r="A13" s="757" t="s">
        <v>616</v>
      </c>
      <c r="B13" s="449">
        <v>26050</v>
      </c>
      <c r="C13" s="449">
        <v>25995</v>
      </c>
      <c r="D13" s="449">
        <v>77300</v>
      </c>
      <c r="E13" s="449">
        <v>50501</v>
      </c>
      <c r="F13" s="449">
        <v>40288</v>
      </c>
      <c r="G13" s="450">
        <v>6225</v>
      </c>
      <c r="H13" s="450">
        <v>2325</v>
      </c>
      <c r="I13" s="450">
        <v>27024</v>
      </c>
      <c r="J13" s="451"/>
      <c r="K13" s="450">
        <v>3000</v>
      </c>
      <c r="L13" s="450">
        <v>12325</v>
      </c>
      <c r="M13" s="450">
        <v>9325</v>
      </c>
      <c r="N13" s="451"/>
      <c r="O13" s="450">
        <v>3000</v>
      </c>
      <c r="P13" s="450">
        <v>-9325</v>
      </c>
      <c r="R13" s="790"/>
      <c r="T13" s="450">
        <v>6000</v>
      </c>
    </row>
    <row r="14" spans="1:23" ht="14" customHeight="1" x14ac:dyDescent="0.35">
      <c r="A14" s="757" t="s">
        <v>617</v>
      </c>
      <c r="B14" s="449">
        <v>1428446</v>
      </c>
      <c r="C14" s="449">
        <v>1011063</v>
      </c>
      <c r="D14" s="437"/>
      <c r="E14" s="437"/>
      <c r="F14" s="437"/>
      <c r="J14" s="453"/>
      <c r="M14" s="437"/>
      <c r="N14" s="453"/>
      <c r="O14" s="437"/>
      <c r="P14" s="437"/>
      <c r="R14" s="791" t="s">
        <v>1076</v>
      </c>
    </row>
    <row r="15" spans="1:23" ht="14" customHeight="1" x14ac:dyDescent="0.35">
      <c r="A15" s="757" t="s">
        <v>618</v>
      </c>
      <c r="B15" s="449">
        <v>624411</v>
      </c>
      <c r="C15" s="449">
        <v>931273</v>
      </c>
      <c r="D15" s="449">
        <v>3719256</v>
      </c>
      <c r="E15" s="449">
        <v>4694368</v>
      </c>
      <c r="F15" s="449">
        <v>3191974</v>
      </c>
      <c r="G15" s="450">
        <v>4096218</v>
      </c>
      <c r="H15" s="450">
        <v>5258735</v>
      </c>
      <c r="I15" s="450">
        <v>6924544</v>
      </c>
      <c r="J15" s="451"/>
      <c r="K15" s="450">
        <v>5541918</v>
      </c>
      <c r="L15" s="450">
        <v>5557636</v>
      </c>
      <c r="M15" s="450">
        <v>15718</v>
      </c>
      <c r="N15" s="451"/>
      <c r="O15" s="450">
        <v>6396218</v>
      </c>
      <c r="P15" s="450">
        <v>838582</v>
      </c>
      <c r="R15" s="790"/>
      <c r="T15" s="450">
        <v>5327200</v>
      </c>
    </row>
    <row r="16" spans="1:23" s="460" customFormat="1" ht="14" customHeight="1" x14ac:dyDescent="0.4">
      <c r="A16" s="758" t="s">
        <v>619</v>
      </c>
      <c r="B16" s="454">
        <v>52107527</v>
      </c>
      <c r="C16" s="454">
        <v>60973032</v>
      </c>
      <c r="D16" s="454">
        <v>70843977</v>
      </c>
      <c r="E16" s="454">
        <v>92554265</v>
      </c>
      <c r="F16" s="454">
        <v>122278514</v>
      </c>
      <c r="G16" s="455">
        <v>97647033</v>
      </c>
      <c r="H16" s="455">
        <v>101786622</v>
      </c>
      <c r="I16" s="455">
        <v>103268984</v>
      </c>
      <c r="J16" s="456"/>
      <c r="K16" s="455">
        <v>122397110</v>
      </c>
      <c r="L16" s="455">
        <v>123146003</v>
      </c>
      <c r="M16" s="455">
        <v>748893</v>
      </c>
      <c r="N16" s="456"/>
      <c r="O16" s="457">
        <v>105240438</v>
      </c>
      <c r="P16" s="458">
        <v>-17905565</v>
      </c>
      <c r="Q16" s="459"/>
      <c r="R16" s="789"/>
      <c r="S16" s="299"/>
      <c r="T16" s="455">
        <v>96505567</v>
      </c>
      <c r="U16" s="299"/>
      <c r="V16" s="299"/>
      <c r="W16" s="299"/>
    </row>
    <row r="17" spans="1:23" ht="14" customHeight="1" x14ac:dyDescent="0.35">
      <c r="A17" s="757"/>
      <c r="B17" s="461"/>
      <c r="C17" s="461"/>
      <c r="G17" s="450"/>
      <c r="H17" s="450"/>
      <c r="I17" s="450"/>
      <c r="J17" s="451"/>
      <c r="K17" s="450"/>
      <c r="L17" s="450"/>
      <c r="M17" s="450"/>
      <c r="N17" s="451"/>
      <c r="O17" s="462"/>
      <c r="P17" s="462"/>
      <c r="R17" s="791"/>
      <c r="T17" s="450"/>
    </row>
    <row r="18" spans="1:23" ht="14" customHeight="1" x14ac:dyDescent="0.35">
      <c r="A18" s="756" t="s">
        <v>620</v>
      </c>
      <c r="B18" s="445"/>
      <c r="C18" s="445"/>
      <c r="D18" s="444"/>
      <c r="E18" s="444"/>
      <c r="F18" s="445"/>
      <c r="G18" s="450"/>
      <c r="H18" s="450"/>
      <c r="I18" s="450"/>
      <c r="J18" s="451"/>
      <c r="K18" s="450"/>
      <c r="L18" s="450"/>
      <c r="M18" s="450"/>
      <c r="N18" s="451"/>
      <c r="O18" s="462"/>
      <c r="P18" s="462"/>
      <c r="R18" s="791"/>
      <c r="T18" s="450"/>
    </row>
    <row r="19" spans="1:23" ht="14" customHeight="1" x14ac:dyDescent="0.35">
      <c r="A19" s="757" t="s">
        <v>621</v>
      </c>
      <c r="B19" s="449">
        <v>793871</v>
      </c>
      <c r="C19" s="449">
        <v>1035126</v>
      </c>
      <c r="D19" s="449">
        <v>2093645</v>
      </c>
      <c r="E19" s="449">
        <v>965952</v>
      </c>
      <c r="F19" s="449">
        <v>2037766</v>
      </c>
      <c r="G19" s="450">
        <v>2027053</v>
      </c>
      <c r="H19" s="450">
        <v>1667149</v>
      </c>
      <c r="I19" s="450">
        <v>1557101</v>
      </c>
      <c r="J19" s="451"/>
      <c r="K19" s="450">
        <v>2032587</v>
      </c>
      <c r="L19" s="450">
        <v>1763385</v>
      </c>
      <c r="M19" s="450">
        <v>269202</v>
      </c>
      <c r="N19" s="451"/>
      <c r="O19" s="450">
        <v>1908245</v>
      </c>
      <c r="P19" s="450">
        <v>-144860</v>
      </c>
      <c r="R19" s="790"/>
      <c r="T19" s="450">
        <v>1683510</v>
      </c>
    </row>
    <row r="20" spans="1:23" ht="14" customHeight="1" x14ac:dyDescent="0.35">
      <c r="A20" s="757" t="s">
        <v>622</v>
      </c>
      <c r="B20" s="449">
        <v>8982114</v>
      </c>
      <c r="C20" s="449">
        <v>7533244</v>
      </c>
      <c r="D20" s="449">
        <v>7918408</v>
      </c>
      <c r="E20" s="449">
        <v>11262167</v>
      </c>
      <c r="F20" s="449">
        <v>15372728</v>
      </c>
      <c r="G20" s="450">
        <v>15298392</v>
      </c>
      <c r="H20" s="450">
        <v>19141154</v>
      </c>
      <c r="I20" s="450">
        <v>16381885</v>
      </c>
      <c r="J20" s="451"/>
      <c r="K20" s="450">
        <v>19433202</v>
      </c>
      <c r="L20" s="450">
        <v>29531805</v>
      </c>
      <c r="M20" s="450">
        <v>-10098603</v>
      </c>
      <c r="N20" s="451"/>
      <c r="O20" s="450">
        <v>29334004</v>
      </c>
      <c r="P20" s="450">
        <v>197801</v>
      </c>
      <c r="R20" s="790"/>
      <c r="T20" s="450">
        <v>19811666</v>
      </c>
    </row>
    <row r="21" spans="1:23" ht="14" customHeight="1" x14ac:dyDescent="0.35">
      <c r="A21" s="754" t="s">
        <v>623</v>
      </c>
      <c r="B21" s="449">
        <v>26813799</v>
      </c>
      <c r="C21" s="449">
        <v>30389399</v>
      </c>
      <c r="D21" s="449">
        <v>34054394</v>
      </c>
      <c r="E21" s="449">
        <v>50392876</v>
      </c>
      <c r="F21" s="449">
        <v>53089554</v>
      </c>
      <c r="G21" s="450">
        <v>41545552</v>
      </c>
      <c r="H21" s="450">
        <v>35305758</v>
      </c>
      <c r="I21" s="450">
        <v>44217759</v>
      </c>
      <c r="J21" s="451"/>
      <c r="K21" s="450">
        <v>59158523</v>
      </c>
      <c r="L21" s="450">
        <v>57002156</v>
      </c>
      <c r="M21" s="450">
        <v>2156366</v>
      </c>
      <c r="N21" s="451"/>
      <c r="O21" s="450">
        <v>42060865</v>
      </c>
      <c r="P21" s="450">
        <v>14941291</v>
      </c>
      <c r="R21" s="790" t="s">
        <v>1053</v>
      </c>
      <c r="T21" s="450">
        <v>35709447</v>
      </c>
    </row>
    <row r="22" spans="1:23" ht="14" customHeight="1" x14ac:dyDescent="0.35">
      <c r="A22" s="786" t="s">
        <v>995</v>
      </c>
      <c r="B22" s="449"/>
      <c r="C22" s="449"/>
      <c r="D22" s="449"/>
      <c r="E22" s="449"/>
      <c r="F22" s="449"/>
      <c r="G22" s="450"/>
      <c r="H22" s="450">
        <v>4646529</v>
      </c>
      <c r="I22" s="450">
        <v>4305777</v>
      </c>
      <c r="J22" s="451"/>
      <c r="K22" s="450">
        <v>4879891</v>
      </c>
      <c r="L22" s="450">
        <v>5205431</v>
      </c>
      <c r="M22" s="450">
        <v>-325539</v>
      </c>
      <c r="N22" s="451"/>
      <c r="O22" s="450">
        <v>5340868</v>
      </c>
      <c r="P22" s="450">
        <v>-135438</v>
      </c>
      <c r="R22" s="787" t="s">
        <v>1077</v>
      </c>
      <c r="T22" s="450"/>
    </row>
    <row r="23" spans="1:23" ht="14" customHeight="1" x14ac:dyDescent="0.35">
      <c r="A23" s="759" t="s">
        <v>625</v>
      </c>
      <c r="B23" s="449">
        <v>369329</v>
      </c>
      <c r="C23" s="449">
        <v>371251</v>
      </c>
      <c r="D23" s="449">
        <v>388913</v>
      </c>
      <c r="E23" s="449">
        <v>487214</v>
      </c>
      <c r="F23" s="449">
        <v>490400</v>
      </c>
      <c r="G23" s="450">
        <v>634883</v>
      </c>
      <c r="H23" s="450"/>
      <c r="I23" s="450"/>
      <c r="J23" s="451"/>
      <c r="K23" s="450"/>
      <c r="L23" s="450"/>
      <c r="M23" s="450"/>
      <c r="N23" s="451"/>
      <c r="O23" s="450"/>
      <c r="P23" s="450"/>
      <c r="R23" s="788" t="s">
        <v>1052</v>
      </c>
      <c r="S23" s="748"/>
      <c r="T23" s="450">
        <v>459600</v>
      </c>
    </row>
    <row r="24" spans="1:23" ht="14" customHeight="1" x14ac:dyDescent="0.35">
      <c r="A24" s="754" t="s">
        <v>624</v>
      </c>
      <c r="B24" s="449">
        <v>14213209</v>
      </c>
      <c r="C24" s="449">
        <v>12755284</v>
      </c>
      <c r="D24" s="449">
        <v>13871994</v>
      </c>
      <c r="E24" s="449">
        <v>15979463</v>
      </c>
      <c r="F24" s="449">
        <v>23456000</v>
      </c>
      <c r="G24" s="450">
        <v>25023703</v>
      </c>
      <c r="H24" s="450">
        <v>29667768</v>
      </c>
      <c r="I24" s="450">
        <v>31686105</v>
      </c>
      <c r="J24" s="451"/>
      <c r="K24" s="450">
        <v>29853080</v>
      </c>
      <c r="L24" s="450">
        <v>28681098</v>
      </c>
      <c r="M24" s="450">
        <v>1171981</v>
      </c>
      <c r="N24" s="451"/>
      <c r="O24" s="450">
        <v>29970976</v>
      </c>
      <c r="P24" s="450">
        <v>-1289878</v>
      </c>
      <c r="R24" s="790"/>
      <c r="S24" s="748"/>
      <c r="T24" s="450">
        <v>33636664</v>
      </c>
    </row>
    <row r="25" spans="1:23" ht="14" customHeight="1" x14ac:dyDescent="0.35">
      <c r="A25" s="754" t="s">
        <v>836</v>
      </c>
      <c r="B25" s="449">
        <v>2493276</v>
      </c>
      <c r="C25" s="449">
        <v>2486198</v>
      </c>
      <c r="D25" s="449">
        <v>2788204</v>
      </c>
      <c r="E25" s="449">
        <v>3536783</v>
      </c>
      <c r="F25" s="449">
        <v>2736266</v>
      </c>
      <c r="G25" s="450">
        <v>3637419</v>
      </c>
      <c r="H25" s="450">
        <v>3436804</v>
      </c>
      <c r="I25" s="450">
        <v>4150554</v>
      </c>
      <c r="J25" s="451"/>
      <c r="K25" s="450">
        <v>3740060</v>
      </c>
      <c r="L25" s="450">
        <v>3819235</v>
      </c>
      <c r="M25" s="450">
        <v>-79175</v>
      </c>
      <c r="N25" s="451"/>
      <c r="O25" s="450">
        <v>4213812</v>
      </c>
      <c r="P25" s="450">
        <v>-394577</v>
      </c>
      <c r="R25" s="790"/>
      <c r="S25" s="748"/>
      <c r="T25" s="450">
        <v>4352543</v>
      </c>
    </row>
    <row r="26" spans="1:23" ht="14" customHeight="1" x14ac:dyDescent="0.35">
      <c r="A26" s="754" t="s">
        <v>626</v>
      </c>
      <c r="B26" s="449">
        <v>1564003</v>
      </c>
      <c r="C26" s="449">
        <v>1932479</v>
      </c>
      <c r="D26" s="449">
        <v>2437392</v>
      </c>
      <c r="E26" s="449">
        <v>2761294</v>
      </c>
      <c r="F26" s="449">
        <v>3489835</v>
      </c>
      <c r="G26" s="450">
        <v>4662249</v>
      </c>
      <c r="H26" s="450">
        <v>6491586</v>
      </c>
      <c r="I26" s="450">
        <v>8943816</v>
      </c>
      <c r="J26" s="451"/>
      <c r="K26" s="450">
        <v>9735945</v>
      </c>
      <c r="L26" s="450">
        <v>8992854</v>
      </c>
      <c r="M26" s="450">
        <v>743091</v>
      </c>
      <c r="N26" s="451"/>
      <c r="O26" s="450">
        <v>8622449</v>
      </c>
      <c r="P26" s="450">
        <v>370405</v>
      </c>
      <c r="R26" s="790"/>
      <c r="S26" s="748"/>
      <c r="T26" s="450">
        <v>7625836</v>
      </c>
    </row>
    <row r="27" spans="1:23" ht="14" customHeight="1" x14ac:dyDescent="0.35">
      <c r="A27" s="757" t="s">
        <v>627</v>
      </c>
      <c r="B27" s="449">
        <v>711488</v>
      </c>
      <c r="C27" s="449">
        <v>788055</v>
      </c>
      <c r="D27" s="449">
        <v>1935527</v>
      </c>
      <c r="E27" s="449">
        <v>2877069</v>
      </c>
      <c r="F27" s="449">
        <v>5039405</v>
      </c>
      <c r="G27" s="450">
        <v>4544819</v>
      </c>
      <c r="H27" s="450">
        <v>4855942</v>
      </c>
      <c r="I27" s="450">
        <v>6809301</v>
      </c>
      <c r="J27" s="451"/>
      <c r="K27" s="450">
        <v>7827126</v>
      </c>
      <c r="L27" s="450">
        <v>7681982</v>
      </c>
      <c r="M27" s="450">
        <v>145144</v>
      </c>
      <c r="N27" s="451"/>
      <c r="O27" s="450">
        <v>8274801</v>
      </c>
      <c r="P27" s="450">
        <v>-592819</v>
      </c>
      <c r="R27" s="790"/>
      <c r="S27" s="749"/>
      <c r="T27" s="450">
        <v>7122567</v>
      </c>
    </row>
    <row r="28" spans="1:23" ht="14" customHeight="1" x14ac:dyDescent="0.35">
      <c r="A28" s="754" t="s">
        <v>628</v>
      </c>
      <c r="B28" s="449"/>
      <c r="C28" s="449"/>
      <c r="D28" s="449"/>
      <c r="E28" s="449"/>
      <c r="F28" s="449"/>
      <c r="G28" s="450">
        <v>270571</v>
      </c>
      <c r="H28" s="450">
        <v>401199</v>
      </c>
      <c r="I28" s="450">
        <v>165874</v>
      </c>
      <c r="J28" s="451"/>
      <c r="K28" s="450">
        <v>0</v>
      </c>
      <c r="L28" s="450">
        <v>96090</v>
      </c>
      <c r="M28" s="450">
        <v>-96090</v>
      </c>
      <c r="N28" s="451"/>
      <c r="O28" s="450">
        <v>3000000</v>
      </c>
      <c r="P28" s="450">
        <v>-2903910</v>
      </c>
      <c r="R28" s="790"/>
      <c r="S28" s="749"/>
      <c r="T28" s="450">
        <v>0</v>
      </c>
    </row>
    <row r="29" spans="1:23" ht="14" customHeight="1" x14ac:dyDescent="0.35">
      <c r="A29" s="754" t="s">
        <v>629</v>
      </c>
      <c r="B29" s="449"/>
      <c r="C29" s="449"/>
      <c r="D29" s="449"/>
      <c r="E29" s="449"/>
      <c r="F29" s="449"/>
      <c r="G29" s="450">
        <v>-101689</v>
      </c>
      <c r="H29" s="450">
        <v>102921</v>
      </c>
      <c r="I29" s="450">
        <v>0</v>
      </c>
      <c r="J29" s="451"/>
      <c r="K29" s="450">
        <v>0</v>
      </c>
      <c r="L29" s="450">
        <v>632783</v>
      </c>
      <c r="M29" s="450">
        <v>-632783</v>
      </c>
      <c r="N29" s="451"/>
      <c r="O29" s="450">
        <v>0</v>
      </c>
      <c r="P29" s="450">
        <v>632783</v>
      </c>
      <c r="R29" s="790"/>
      <c r="S29" s="748"/>
      <c r="T29" s="450">
        <v>0</v>
      </c>
    </row>
    <row r="30" spans="1:23" s="467" customFormat="1" ht="14" customHeight="1" x14ac:dyDescent="0.4">
      <c r="A30" s="760" t="s">
        <v>630</v>
      </c>
      <c r="B30" s="463">
        <v>55941090</v>
      </c>
      <c r="C30" s="463">
        <v>57291035</v>
      </c>
      <c r="D30" s="463">
        <v>65488477</v>
      </c>
      <c r="E30" s="463">
        <v>88262818</v>
      </c>
      <c r="F30" s="463">
        <v>105711954</v>
      </c>
      <c r="G30" s="464">
        <v>97542951</v>
      </c>
      <c r="H30" s="464">
        <v>105716811</v>
      </c>
      <c r="I30" s="464">
        <v>118218171</v>
      </c>
      <c r="J30" s="456"/>
      <c r="K30" s="464">
        <v>136660413</v>
      </c>
      <c r="L30" s="464">
        <v>143406819</v>
      </c>
      <c r="M30" s="465">
        <v>-6746406</v>
      </c>
      <c r="N30" s="456"/>
      <c r="O30" s="466">
        <v>132726020</v>
      </c>
      <c r="P30" s="465">
        <v>10680799</v>
      </c>
      <c r="Q30" s="459"/>
      <c r="R30" s="789"/>
      <c r="S30" s="748"/>
      <c r="T30" s="464">
        <v>110401833</v>
      </c>
      <c r="U30" s="299"/>
      <c r="V30" s="299"/>
      <c r="W30" s="299"/>
    </row>
    <row r="31" spans="1:23" s="471" customFormat="1" ht="14" customHeight="1" x14ac:dyDescent="0.35">
      <c r="A31" s="761" t="s">
        <v>631</v>
      </c>
      <c r="B31" s="468">
        <v>-3833563</v>
      </c>
      <c r="C31" s="468">
        <v>3681997</v>
      </c>
      <c r="D31" s="468">
        <v>5355500</v>
      </c>
      <c r="E31" s="468">
        <v>4291447</v>
      </c>
      <c r="F31" s="468">
        <v>16566560</v>
      </c>
      <c r="G31" s="469">
        <v>104082</v>
      </c>
      <c r="H31" s="469">
        <v>-3930189</v>
      </c>
      <c r="I31" s="469">
        <v>-14949188</v>
      </c>
      <c r="J31" s="456"/>
      <c r="K31" s="469">
        <v>-14263303</v>
      </c>
      <c r="L31" s="469">
        <v>-20260816</v>
      </c>
      <c r="M31" s="469">
        <v>-5997513</v>
      </c>
      <c r="N31" s="456"/>
      <c r="O31" s="470">
        <v>-27485583</v>
      </c>
      <c r="P31" s="470">
        <v>-7224766</v>
      </c>
      <c r="Q31" s="435"/>
      <c r="R31" s="789"/>
      <c r="S31" s="748"/>
      <c r="T31" s="469">
        <v>-13896266</v>
      </c>
      <c r="U31" s="436"/>
      <c r="V31" s="436"/>
      <c r="W31" s="436"/>
    </row>
    <row r="32" spans="1:23" ht="14" customHeight="1" x14ac:dyDescent="0.35">
      <c r="J32" s="453"/>
      <c r="M32" s="437"/>
      <c r="N32" s="453"/>
      <c r="R32" s="792"/>
      <c r="S32" s="749"/>
    </row>
    <row r="33" spans="1:23" s="443" customFormat="1" ht="14" customHeight="1" x14ac:dyDescent="0.35">
      <c r="A33" s="755" t="s">
        <v>632</v>
      </c>
      <c r="B33" s="439" t="s">
        <v>598</v>
      </c>
      <c r="C33" s="439" t="s">
        <v>599</v>
      </c>
      <c r="D33" s="439" t="s">
        <v>600</v>
      </c>
      <c r="E33" s="439" t="s">
        <v>601</v>
      </c>
      <c r="F33" s="439" t="s">
        <v>602</v>
      </c>
      <c r="G33" s="440" t="s">
        <v>603</v>
      </c>
      <c r="H33" s="440" t="s">
        <v>604</v>
      </c>
      <c r="I33" s="440" t="s">
        <v>605</v>
      </c>
      <c r="J33" s="441"/>
      <c r="K33" s="440" t="s">
        <v>606</v>
      </c>
      <c r="L33" s="440" t="s">
        <v>606</v>
      </c>
      <c r="M33" s="440" t="s">
        <v>606</v>
      </c>
      <c r="N33" s="441"/>
      <c r="O33" s="442" t="s">
        <v>1049</v>
      </c>
      <c r="P33" s="442" t="s">
        <v>1050</v>
      </c>
      <c r="Q33" s="435"/>
      <c r="R33" s="787"/>
      <c r="S33" s="749"/>
      <c r="T33" s="440" t="s">
        <v>605</v>
      </c>
      <c r="U33" s="436"/>
      <c r="V33" s="436"/>
      <c r="W33" s="436"/>
    </row>
    <row r="34" spans="1:23" ht="14" customHeight="1" x14ac:dyDescent="0.35">
      <c r="A34" s="756" t="s">
        <v>197</v>
      </c>
      <c r="B34" s="445"/>
      <c r="C34" s="445"/>
      <c r="D34" s="444"/>
      <c r="E34" s="444"/>
      <c r="F34" s="444"/>
      <c r="G34" s="446"/>
      <c r="H34" s="446"/>
      <c r="I34" s="446"/>
      <c r="J34" s="441"/>
      <c r="K34" s="446" t="s">
        <v>607</v>
      </c>
      <c r="L34" s="446" t="s">
        <v>608</v>
      </c>
      <c r="M34" s="446" t="s">
        <v>609</v>
      </c>
      <c r="N34" s="441"/>
      <c r="O34" s="447" t="s">
        <v>607</v>
      </c>
      <c r="P34" s="447" t="s">
        <v>1051</v>
      </c>
      <c r="R34" s="793"/>
      <c r="S34" s="748"/>
      <c r="T34" s="446" t="s">
        <v>607</v>
      </c>
    </row>
    <row r="35" spans="1:23" ht="14" customHeight="1" x14ac:dyDescent="0.35">
      <c r="A35" s="757" t="s">
        <v>633</v>
      </c>
      <c r="B35" s="449">
        <v>1275356</v>
      </c>
      <c r="C35" s="449">
        <v>2401226</v>
      </c>
      <c r="D35" s="449">
        <v>2993056</v>
      </c>
      <c r="E35" s="449">
        <v>2155935</v>
      </c>
      <c r="F35" s="449">
        <v>-828548</v>
      </c>
      <c r="G35" s="437">
        <v>6861087</v>
      </c>
      <c r="H35" s="437">
        <v>5289330</v>
      </c>
      <c r="I35" s="437">
        <v>6035122</v>
      </c>
      <c r="J35" s="453"/>
      <c r="K35" s="437">
        <v>4600000</v>
      </c>
      <c r="L35" s="437">
        <v>5883785</v>
      </c>
      <c r="M35" s="437">
        <v>1283785</v>
      </c>
      <c r="N35" s="453"/>
      <c r="O35" s="437">
        <v>4800000</v>
      </c>
      <c r="P35" s="437">
        <v>-1083785</v>
      </c>
      <c r="R35" s="794"/>
      <c r="S35" s="749"/>
      <c r="T35" s="437">
        <v>4995000</v>
      </c>
    </row>
    <row r="36" spans="1:23" ht="14" customHeight="1" x14ac:dyDescent="0.35">
      <c r="A36" s="757" t="s">
        <v>634</v>
      </c>
      <c r="B36" s="449">
        <v>1250004</v>
      </c>
      <c r="C36" s="449">
        <v>1500003</v>
      </c>
      <c r="D36" s="449">
        <v>2250000</v>
      </c>
      <c r="E36" s="449">
        <v>4315053</v>
      </c>
      <c r="F36" s="448" t="s">
        <v>635</v>
      </c>
      <c r="G36" s="437">
        <v>1000000</v>
      </c>
      <c r="H36" s="437">
        <v>0</v>
      </c>
      <c r="I36" s="437">
        <v>3933333</v>
      </c>
      <c r="J36" s="453"/>
      <c r="K36" s="437">
        <v>4960000</v>
      </c>
      <c r="L36" s="437">
        <v>2945000</v>
      </c>
      <c r="M36" s="437">
        <v>-2015000</v>
      </c>
      <c r="N36" s="453"/>
      <c r="O36" s="437">
        <v>5150000</v>
      </c>
      <c r="P36" s="437">
        <v>2205000</v>
      </c>
      <c r="R36" s="794"/>
      <c r="S36" s="749"/>
      <c r="T36" s="437">
        <v>1500000</v>
      </c>
    </row>
    <row r="37" spans="1:23" ht="14" customHeight="1" x14ac:dyDescent="0.35">
      <c r="A37" s="757" t="s">
        <v>238</v>
      </c>
      <c r="B37" s="449"/>
      <c r="C37" s="449"/>
      <c r="D37" s="437"/>
      <c r="E37" s="437"/>
      <c r="F37" s="448" t="s">
        <v>635</v>
      </c>
      <c r="G37" s="437">
        <v>50000000</v>
      </c>
      <c r="H37" s="437">
        <v>18719385</v>
      </c>
      <c r="I37" s="437">
        <v>2562843</v>
      </c>
      <c r="J37" s="453"/>
      <c r="K37" s="437">
        <v>0</v>
      </c>
      <c r="L37" s="437">
        <v>0</v>
      </c>
      <c r="M37" s="437">
        <v>0</v>
      </c>
      <c r="N37" s="453"/>
      <c r="O37" s="437">
        <v>0</v>
      </c>
      <c r="P37" s="437">
        <v>0</v>
      </c>
      <c r="R37" s="794"/>
      <c r="S37" s="748"/>
      <c r="T37" s="437">
        <v>0</v>
      </c>
    </row>
    <row r="38" spans="1:23" ht="14" customHeight="1" x14ac:dyDescent="0.35">
      <c r="A38" s="757" t="s">
        <v>636</v>
      </c>
      <c r="B38" s="449">
        <v>2381033</v>
      </c>
      <c r="C38" s="449">
        <v>2450000</v>
      </c>
      <c r="D38" s="448">
        <v>3467657</v>
      </c>
      <c r="E38" s="448">
        <v>3862043</v>
      </c>
      <c r="F38" s="449">
        <v>4946600</v>
      </c>
      <c r="G38" s="437">
        <v>3177732</v>
      </c>
      <c r="H38" s="437">
        <v>3412546</v>
      </c>
      <c r="I38" s="437">
        <v>3531250</v>
      </c>
      <c r="J38" s="453"/>
      <c r="K38" s="437">
        <v>3400000</v>
      </c>
      <c r="L38" s="437">
        <v>3400000</v>
      </c>
      <c r="M38" s="437">
        <v>0</v>
      </c>
      <c r="N38" s="453"/>
      <c r="O38" s="437">
        <v>3400000</v>
      </c>
      <c r="P38" s="437">
        <v>0</v>
      </c>
      <c r="R38" s="794"/>
      <c r="S38" s="749"/>
      <c r="T38" s="437">
        <v>3531250</v>
      </c>
    </row>
    <row r="39" spans="1:23" s="475" customFormat="1" ht="14" customHeight="1" x14ac:dyDescent="0.35">
      <c r="A39" s="758" t="s">
        <v>637</v>
      </c>
      <c r="B39" s="454">
        <v>4906393</v>
      </c>
      <c r="C39" s="454">
        <v>6351229</v>
      </c>
      <c r="D39" s="472">
        <v>8710713</v>
      </c>
      <c r="E39" s="454">
        <v>10333031</v>
      </c>
      <c r="F39" s="454">
        <v>4118052</v>
      </c>
      <c r="G39" s="473">
        <v>61038819</v>
      </c>
      <c r="H39" s="473">
        <v>27421261</v>
      </c>
      <c r="I39" s="473">
        <v>16062548</v>
      </c>
      <c r="J39" s="441"/>
      <c r="K39" s="473">
        <v>12960000</v>
      </c>
      <c r="L39" s="473">
        <v>12228785</v>
      </c>
      <c r="M39" s="455">
        <v>-731215</v>
      </c>
      <c r="N39" s="441"/>
      <c r="O39" s="474">
        <v>13350000</v>
      </c>
      <c r="P39" s="455">
        <v>1121215</v>
      </c>
      <c r="Q39" s="435"/>
      <c r="R39" s="795"/>
      <c r="S39" s="749"/>
      <c r="T39" s="473">
        <v>10026250</v>
      </c>
      <c r="U39" s="436"/>
      <c r="V39" s="436"/>
      <c r="W39" s="436"/>
    </row>
    <row r="40" spans="1:23" ht="14" customHeight="1" x14ac:dyDescent="0.35">
      <c r="A40" s="757"/>
      <c r="B40" s="461"/>
      <c r="C40" s="461"/>
      <c r="J40" s="453"/>
      <c r="M40" s="437"/>
      <c r="N40" s="453"/>
      <c r="R40" s="791"/>
      <c r="S40" s="748"/>
    </row>
    <row r="41" spans="1:23" ht="14" customHeight="1" x14ac:dyDescent="0.35">
      <c r="A41" s="756" t="s">
        <v>620</v>
      </c>
      <c r="B41" s="445"/>
      <c r="C41" s="445"/>
      <c r="F41" s="445"/>
      <c r="J41" s="453"/>
      <c r="M41" s="437"/>
      <c r="N41" s="453"/>
      <c r="R41" s="790"/>
      <c r="S41" s="749"/>
    </row>
    <row r="42" spans="1:23" ht="14" customHeight="1" x14ac:dyDescent="0.35">
      <c r="A42" s="757" t="s">
        <v>638</v>
      </c>
      <c r="B42" s="449">
        <v>274656</v>
      </c>
      <c r="C42" s="449">
        <v>274656</v>
      </c>
      <c r="D42" s="437">
        <v>274656</v>
      </c>
      <c r="E42" s="437">
        <v>274656</v>
      </c>
      <c r="F42" s="449">
        <v>274656</v>
      </c>
      <c r="G42" s="437">
        <v>274656</v>
      </c>
      <c r="H42" s="437">
        <v>274656</v>
      </c>
      <c r="I42" s="437">
        <v>2941323</v>
      </c>
      <c r="J42" s="453"/>
      <c r="K42" s="437">
        <v>274656</v>
      </c>
      <c r="L42" s="437">
        <v>1607989</v>
      </c>
      <c r="M42" s="437">
        <v>-1333333</v>
      </c>
      <c r="N42" s="453"/>
      <c r="O42" s="437">
        <v>274656</v>
      </c>
      <c r="P42" s="437">
        <v>1333333</v>
      </c>
      <c r="R42" s="790"/>
      <c r="S42" s="749"/>
      <c r="T42" s="437">
        <v>274656</v>
      </c>
    </row>
    <row r="43" spans="1:23" ht="14" customHeight="1" x14ac:dyDescent="0.35">
      <c r="A43" s="757" t="s">
        <v>639</v>
      </c>
      <c r="B43" s="449">
        <v>132071</v>
      </c>
      <c r="C43" s="449">
        <v>162976</v>
      </c>
      <c r="D43" s="448">
        <v>273532</v>
      </c>
      <c r="E43" s="448">
        <v>323451</v>
      </c>
      <c r="F43" s="449">
        <v>349953</v>
      </c>
      <c r="G43" s="437">
        <v>249573</v>
      </c>
      <c r="H43" s="437">
        <v>779421</v>
      </c>
      <c r="I43" s="437">
        <v>1342414</v>
      </c>
      <c r="J43" s="453"/>
      <c r="K43" s="437">
        <v>1376333</v>
      </c>
      <c r="L43" s="437">
        <v>1344224</v>
      </c>
      <c r="M43" s="437">
        <v>32109</v>
      </c>
      <c r="N43" s="453"/>
      <c r="O43" s="437">
        <v>1376333</v>
      </c>
      <c r="P43" s="437">
        <v>-32109</v>
      </c>
      <c r="R43" s="790"/>
      <c r="S43" s="748"/>
      <c r="T43" s="437">
        <v>223000</v>
      </c>
    </row>
    <row r="44" spans="1:23" ht="14" customHeight="1" x14ac:dyDescent="0.35">
      <c r="A44" s="757" t="s">
        <v>1054</v>
      </c>
      <c r="B44" s="449"/>
      <c r="C44" s="449"/>
      <c r="D44" s="448"/>
      <c r="E44" s="448"/>
      <c r="F44" s="449"/>
      <c r="G44" s="437">
        <v>0</v>
      </c>
      <c r="H44" s="437">
        <v>0</v>
      </c>
      <c r="I44" s="437">
        <v>3071716</v>
      </c>
      <c r="J44" s="453"/>
      <c r="K44" s="437">
        <v>4201300</v>
      </c>
      <c r="L44" s="437">
        <v>4258697</v>
      </c>
      <c r="M44" s="437">
        <v>-57397</v>
      </c>
      <c r="N44" s="453"/>
      <c r="O44" s="437">
        <v>1616300</v>
      </c>
      <c r="P44" s="437">
        <v>2642397</v>
      </c>
      <c r="R44" s="790"/>
      <c r="S44" s="749"/>
      <c r="T44" s="437">
        <v>0</v>
      </c>
    </row>
    <row r="45" spans="1:23" ht="14" customHeight="1" x14ac:dyDescent="0.35">
      <c r="A45" s="757" t="s">
        <v>640</v>
      </c>
      <c r="B45" s="449"/>
      <c r="C45" s="449"/>
      <c r="D45" s="448"/>
      <c r="E45" s="448"/>
      <c r="F45" s="449"/>
      <c r="G45" s="437">
        <v>0</v>
      </c>
      <c r="H45" s="437">
        <v>0</v>
      </c>
      <c r="I45" s="437">
        <v>0</v>
      </c>
      <c r="J45" s="453"/>
      <c r="K45" s="437">
        <v>297037</v>
      </c>
      <c r="L45" s="437">
        <v>297732</v>
      </c>
      <c r="M45" s="437">
        <v>-696</v>
      </c>
      <c r="N45" s="453"/>
      <c r="O45" s="437">
        <v>750000</v>
      </c>
      <c r="P45" s="437">
        <v>-452268</v>
      </c>
      <c r="R45" s="790"/>
      <c r="T45" s="437">
        <v>0</v>
      </c>
    </row>
    <row r="46" spans="1:23" ht="14" customHeight="1" x14ac:dyDescent="0.35">
      <c r="A46" s="786" t="s">
        <v>996</v>
      </c>
      <c r="B46" s="449"/>
      <c r="C46" s="449"/>
      <c r="D46" s="448"/>
      <c r="E46" s="448"/>
      <c r="F46" s="449"/>
      <c r="H46" s="437">
        <v>0</v>
      </c>
      <c r="I46" s="437">
        <v>0</v>
      </c>
      <c r="J46" s="453"/>
      <c r="K46" s="437">
        <v>0</v>
      </c>
      <c r="L46" s="437">
        <v>0</v>
      </c>
      <c r="M46" s="437">
        <v>0</v>
      </c>
      <c r="N46" s="453"/>
      <c r="O46" s="437">
        <v>500000</v>
      </c>
      <c r="P46" s="437">
        <v>-500000</v>
      </c>
      <c r="R46" s="790">
        <f>SUM(H42:H54)</f>
        <v>9832079</v>
      </c>
    </row>
    <row r="47" spans="1:23" ht="14" customHeight="1" x14ac:dyDescent="0.35">
      <c r="A47" s="754" t="s">
        <v>641</v>
      </c>
      <c r="B47" s="449">
        <v>274289</v>
      </c>
      <c r="C47" s="449">
        <v>276998</v>
      </c>
      <c r="D47" s="449">
        <v>276744</v>
      </c>
      <c r="E47" s="449">
        <v>276119</v>
      </c>
      <c r="F47" s="449">
        <v>277666</v>
      </c>
      <c r="G47" s="437">
        <v>280112</v>
      </c>
      <c r="H47" s="437">
        <v>283172</v>
      </c>
      <c r="I47" s="437">
        <v>279747</v>
      </c>
      <c r="J47" s="453"/>
      <c r="K47" s="437">
        <v>284925</v>
      </c>
      <c r="L47" s="437">
        <v>284926</v>
      </c>
      <c r="M47" s="437">
        <v>-1</v>
      </c>
      <c r="N47" s="453"/>
      <c r="O47" s="437">
        <v>284925</v>
      </c>
      <c r="P47" s="437">
        <v>1</v>
      </c>
      <c r="R47" s="790">
        <f>R46-H53</f>
        <v>9832079</v>
      </c>
      <c r="T47" s="437">
        <v>283377</v>
      </c>
    </row>
    <row r="48" spans="1:23" ht="14" customHeight="1" x14ac:dyDescent="0.35">
      <c r="A48" s="757" t="s">
        <v>642</v>
      </c>
      <c r="B48" s="449">
        <v>318049</v>
      </c>
      <c r="C48" s="449">
        <v>-56418</v>
      </c>
      <c r="D48" s="448">
        <v>249402</v>
      </c>
      <c r="E48" s="448">
        <v>237071</v>
      </c>
      <c r="F48" s="449">
        <v>-65457</v>
      </c>
      <c r="J48" s="453"/>
      <c r="M48" s="437"/>
      <c r="N48" s="453"/>
      <c r="O48" s="437"/>
      <c r="P48" s="437"/>
      <c r="R48" s="791"/>
    </row>
    <row r="49" spans="1:23" ht="14" customHeight="1" x14ac:dyDescent="0.35">
      <c r="A49" s="757" t="s">
        <v>636</v>
      </c>
      <c r="B49" s="449">
        <v>2381033</v>
      </c>
      <c r="C49" s="449">
        <v>2450000</v>
      </c>
      <c r="D49" s="449">
        <v>3467657</v>
      </c>
      <c r="E49" s="449">
        <v>3862043</v>
      </c>
      <c r="F49" s="449">
        <v>4946600</v>
      </c>
      <c r="G49" s="437">
        <v>3177732</v>
      </c>
      <c r="H49" s="437">
        <v>3412546</v>
      </c>
      <c r="I49" s="437">
        <v>3531250</v>
      </c>
      <c r="J49" s="453"/>
      <c r="K49" s="437">
        <v>3400000</v>
      </c>
      <c r="L49" s="437">
        <v>3400000</v>
      </c>
      <c r="M49" s="437"/>
      <c r="N49" s="453"/>
      <c r="O49" s="437">
        <v>3400000</v>
      </c>
      <c r="P49" s="437">
        <v>0</v>
      </c>
      <c r="R49" s="791"/>
      <c r="T49" s="437">
        <v>3531250</v>
      </c>
    </row>
    <row r="50" spans="1:23" ht="14" customHeight="1" x14ac:dyDescent="0.35">
      <c r="A50" s="757" t="s">
        <v>643</v>
      </c>
      <c r="B50" s="449"/>
      <c r="C50" s="449"/>
      <c r="D50" s="449"/>
      <c r="E50" s="449"/>
      <c r="F50" s="448" t="s">
        <v>635</v>
      </c>
      <c r="G50" s="437">
        <v>6168834</v>
      </c>
      <c r="H50" s="437">
        <v>0</v>
      </c>
      <c r="I50" s="437">
        <v>74166</v>
      </c>
      <c r="J50" s="453"/>
      <c r="K50" s="437">
        <v>0</v>
      </c>
      <c r="L50" s="437">
        <v>26667</v>
      </c>
      <c r="M50" s="437">
        <v>-26667</v>
      </c>
      <c r="N50" s="453"/>
      <c r="O50" s="437">
        <v>0</v>
      </c>
      <c r="P50" s="437">
        <v>26667</v>
      </c>
      <c r="R50" s="790"/>
      <c r="T50" s="437">
        <v>0</v>
      </c>
    </row>
    <row r="51" spans="1:23" ht="14" customHeight="1" x14ac:dyDescent="0.35">
      <c r="A51" s="757" t="s">
        <v>644</v>
      </c>
      <c r="B51" s="449"/>
      <c r="C51" s="449"/>
      <c r="D51" s="449"/>
      <c r="E51" s="449"/>
      <c r="F51" s="448" t="s">
        <v>635</v>
      </c>
      <c r="G51" s="437">
        <v>0</v>
      </c>
      <c r="H51" s="437">
        <v>1021875</v>
      </c>
      <c r="I51" s="437">
        <v>0</v>
      </c>
      <c r="J51" s="453"/>
      <c r="K51" s="437">
        <v>0</v>
      </c>
      <c r="L51" s="437">
        <v>0</v>
      </c>
      <c r="M51" s="437">
        <v>0</v>
      </c>
      <c r="N51" s="453"/>
      <c r="O51" s="437">
        <v>0</v>
      </c>
      <c r="P51" s="437">
        <v>0</v>
      </c>
      <c r="R51" s="790"/>
      <c r="T51" s="437">
        <v>3000000</v>
      </c>
    </row>
    <row r="52" spans="1:23" ht="14" customHeight="1" x14ac:dyDescent="0.35">
      <c r="A52" s="757" t="s">
        <v>645</v>
      </c>
      <c r="B52" s="449"/>
      <c r="C52" s="449"/>
      <c r="D52" s="449"/>
      <c r="E52" s="449"/>
      <c r="F52" s="448"/>
      <c r="G52" s="437">
        <v>0</v>
      </c>
      <c r="H52" s="437">
        <v>3593106</v>
      </c>
      <c r="I52" s="437">
        <v>3385411</v>
      </c>
      <c r="J52" s="453"/>
      <c r="K52" s="437">
        <v>0</v>
      </c>
      <c r="L52" s="437">
        <v>0</v>
      </c>
      <c r="M52" s="437">
        <v>0</v>
      </c>
      <c r="N52" s="453"/>
      <c r="O52" s="437">
        <v>500000</v>
      </c>
      <c r="P52" s="437">
        <v>-500000</v>
      </c>
      <c r="R52" s="790"/>
      <c r="T52" s="437">
        <v>0</v>
      </c>
    </row>
    <row r="53" spans="1:23" ht="14" customHeight="1" x14ac:dyDescent="0.35">
      <c r="A53" s="757" t="s">
        <v>646</v>
      </c>
      <c r="B53" s="449"/>
      <c r="C53" s="449"/>
      <c r="D53" s="449"/>
      <c r="E53" s="449"/>
      <c r="F53" s="448"/>
      <c r="G53" s="437">
        <v>0</v>
      </c>
      <c r="H53" s="437">
        <v>0</v>
      </c>
      <c r="J53" s="453"/>
      <c r="M53" s="437"/>
      <c r="N53" s="453"/>
      <c r="O53" s="437"/>
      <c r="P53" s="437"/>
      <c r="R53" s="790" t="s">
        <v>1078</v>
      </c>
      <c r="T53" s="437">
        <v>2000000</v>
      </c>
    </row>
    <row r="54" spans="1:23" ht="14" customHeight="1" x14ac:dyDescent="0.35">
      <c r="A54" s="786" t="s">
        <v>997</v>
      </c>
      <c r="B54" s="449"/>
      <c r="C54" s="449"/>
      <c r="D54" s="449"/>
      <c r="E54" s="449"/>
      <c r="F54" s="448"/>
      <c r="H54" s="437">
        <v>467303</v>
      </c>
      <c r="I54" s="437">
        <v>760246</v>
      </c>
      <c r="J54" s="453"/>
      <c r="K54" s="437">
        <v>0</v>
      </c>
      <c r="L54" s="437">
        <v>1033333</v>
      </c>
      <c r="M54" s="437">
        <v>-1033333</v>
      </c>
      <c r="N54" s="453"/>
      <c r="O54" s="437">
        <v>3000000</v>
      </c>
      <c r="P54" s="437">
        <v>-1966667</v>
      </c>
      <c r="R54" s="790" t="s">
        <v>1055</v>
      </c>
    </row>
    <row r="55" spans="1:23" s="479" customFormat="1" ht="14" customHeight="1" x14ac:dyDescent="0.35">
      <c r="A55" s="762" t="s">
        <v>647</v>
      </c>
      <c r="B55" s="477">
        <v>3380098</v>
      </c>
      <c r="C55" s="477">
        <v>3108212</v>
      </c>
      <c r="D55" s="463">
        <v>4541991</v>
      </c>
      <c r="E55" s="463">
        <v>4736268</v>
      </c>
      <c r="F55" s="463">
        <v>5783418</v>
      </c>
      <c r="G55" s="476">
        <v>10150907</v>
      </c>
      <c r="H55" s="476">
        <v>9832079</v>
      </c>
      <c r="I55" s="476">
        <v>15386273</v>
      </c>
      <c r="J55" s="441"/>
      <c r="K55" s="476">
        <v>9834251</v>
      </c>
      <c r="L55" s="476">
        <v>12253569</v>
      </c>
      <c r="M55" s="465">
        <v>-2419318</v>
      </c>
      <c r="N55" s="441"/>
      <c r="O55" s="478">
        <v>11702214</v>
      </c>
      <c r="P55" s="478">
        <v>551355</v>
      </c>
      <c r="Q55" s="435"/>
      <c r="R55" s="789"/>
      <c r="S55" s="436"/>
      <c r="T55" s="476">
        <v>9312283</v>
      </c>
      <c r="U55" s="436"/>
      <c r="V55" s="436"/>
      <c r="W55" s="436"/>
    </row>
    <row r="56" spans="1:23" s="471" customFormat="1" ht="14" customHeight="1" x14ac:dyDescent="0.35">
      <c r="A56" s="761" t="s">
        <v>648</v>
      </c>
      <c r="B56" s="468">
        <v>1526295</v>
      </c>
      <c r="C56" s="468">
        <v>3243017</v>
      </c>
      <c r="D56" s="468">
        <v>4168722</v>
      </c>
      <c r="E56" s="468">
        <v>5181709</v>
      </c>
      <c r="F56" s="468">
        <v>-1665366</v>
      </c>
      <c r="G56" s="480">
        <v>50887912</v>
      </c>
      <c r="H56" s="480">
        <v>17589181</v>
      </c>
      <c r="I56" s="480">
        <v>676275</v>
      </c>
      <c r="J56" s="441"/>
      <c r="K56" s="480">
        <v>3125749</v>
      </c>
      <c r="L56" s="480">
        <v>-24784</v>
      </c>
      <c r="M56" s="469">
        <v>-3150533</v>
      </c>
      <c r="N56" s="441"/>
      <c r="O56" s="481">
        <v>1647786</v>
      </c>
      <c r="P56" s="482">
        <v>1672570</v>
      </c>
      <c r="Q56" s="435"/>
      <c r="R56" s="789"/>
      <c r="S56" s="436"/>
      <c r="T56" s="480">
        <v>713967</v>
      </c>
      <c r="U56" s="436"/>
      <c r="V56" s="436"/>
      <c r="W56" s="436"/>
    </row>
    <row r="57" spans="1:23" ht="14" customHeight="1" x14ac:dyDescent="0.35">
      <c r="A57" s="756"/>
      <c r="B57" s="461"/>
      <c r="C57" s="461"/>
      <c r="D57" s="461"/>
      <c r="E57" s="461"/>
      <c r="F57" s="483"/>
      <c r="G57" s="446"/>
      <c r="H57" s="446"/>
      <c r="I57" s="446"/>
      <c r="J57" s="441"/>
      <c r="L57" s="446"/>
      <c r="M57" s="446"/>
      <c r="N57" s="441"/>
      <c r="O57" s="447"/>
      <c r="P57" s="484"/>
      <c r="R57" s="791"/>
    </row>
    <row r="58" spans="1:23" s="490" customFormat="1" ht="14" customHeight="1" x14ac:dyDescent="0.4">
      <c r="A58" s="763" t="s">
        <v>649</v>
      </c>
      <c r="B58" s="486">
        <v>-2307268</v>
      </c>
      <c r="C58" s="486">
        <v>6925014</v>
      </c>
      <c r="D58" s="486"/>
      <c r="E58" s="486"/>
      <c r="F58" s="486">
        <v>14901194</v>
      </c>
      <c r="G58" s="485">
        <v>50991993</v>
      </c>
      <c r="H58" s="485">
        <v>13658992</v>
      </c>
      <c r="I58" s="485">
        <v>-14272913</v>
      </c>
      <c r="J58" s="487"/>
      <c r="K58" s="485">
        <v>-11137554</v>
      </c>
      <c r="L58" s="485">
        <v>-20285600</v>
      </c>
      <c r="M58" s="485">
        <v>-9148046</v>
      </c>
      <c r="N58" s="487"/>
      <c r="O58" s="488">
        <v>-25837797</v>
      </c>
      <c r="P58" s="489">
        <v>-5552196</v>
      </c>
      <c r="Q58" s="459"/>
      <c r="R58" s="789"/>
      <c r="S58" s="299"/>
      <c r="T58" s="485">
        <v>-13182299</v>
      </c>
      <c r="U58" s="299"/>
      <c r="V58" s="299"/>
      <c r="W58" s="299"/>
    </row>
    <row r="59" spans="1:23" ht="14" customHeight="1" x14ac:dyDescent="0.35">
      <c r="M59" s="437"/>
    </row>
    <row r="60" spans="1:23" ht="14" customHeight="1" x14ac:dyDescent="0.35">
      <c r="A60" s="899" t="s">
        <v>651</v>
      </c>
      <c r="B60" s="899"/>
      <c r="C60" s="899"/>
      <c r="D60" s="899"/>
      <c r="E60" s="899"/>
      <c r="F60" s="899"/>
      <c r="G60" s="899"/>
      <c r="H60" s="899"/>
      <c r="I60" s="899"/>
      <c r="J60" s="899"/>
      <c r="K60" s="899"/>
      <c r="L60" s="899"/>
      <c r="M60" s="899"/>
      <c r="N60" s="899"/>
      <c r="O60" s="899"/>
      <c r="P60" s="899"/>
      <c r="T60" s="436"/>
    </row>
    <row r="61" spans="1:23" s="443" customFormat="1" ht="14" customHeight="1" x14ac:dyDescent="0.35">
      <c r="A61" s="758" t="s">
        <v>610</v>
      </c>
      <c r="B61" s="439" t="s">
        <v>598</v>
      </c>
      <c r="C61" s="439" t="s">
        <v>599</v>
      </c>
      <c r="D61" s="439" t="s">
        <v>600</v>
      </c>
      <c r="E61" s="439" t="s">
        <v>601</v>
      </c>
      <c r="F61" s="439" t="s">
        <v>602</v>
      </c>
      <c r="G61" s="440" t="s">
        <v>603</v>
      </c>
      <c r="H61" s="440" t="s">
        <v>604</v>
      </c>
      <c r="I61" s="440" t="s">
        <v>605</v>
      </c>
      <c r="J61" s="441"/>
      <c r="K61" s="440" t="s">
        <v>1071</v>
      </c>
      <c r="L61" s="440" t="s">
        <v>1079</v>
      </c>
      <c r="M61" s="440" t="s">
        <v>1072</v>
      </c>
      <c r="N61" s="441"/>
      <c r="O61" s="442" t="s">
        <v>1073</v>
      </c>
      <c r="P61" s="442" t="s">
        <v>1074</v>
      </c>
      <c r="Q61" s="435"/>
      <c r="R61" s="787"/>
      <c r="S61" s="436"/>
      <c r="T61" s="440" t="s">
        <v>605</v>
      </c>
      <c r="U61" s="436"/>
      <c r="V61" s="436"/>
      <c r="W61" s="436"/>
    </row>
    <row r="62" spans="1:23" ht="14" customHeight="1" x14ac:dyDescent="0.35">
      <c r="A62" s="757" t="s">
        <v>652</v>
      </c>
      <c r="B62" s="449">
        <v>489937</v>
      </c>
      <c r="C62" s="449">
        <v>485010</v>
      </c>
      <c r="D62" s="449">
        <v>529928</v>
      </c>
      <c r="E62" s="449">
        <v>519184</v>
      </c>
      <c r="F62" s="449">
        <v>504290</v>
      </c>
      <c r="G62" s="437">
        <v>500010</v>
      </c>
      <c r="H62" s="437">
        <v>522168</v>
      </c>
      <c r="I62" s="437">
        <v>500425</v>
      </c>
      <c r="J62" s="453"/>
      <c r="K62" s="437">
        <v>522168</v>
      </c>
      <c r="L62" s="437">
        <v>481742</v>
      </c>
      <c r="M62" s="437">
        <v>-40426</v>
      </c>
      <c r="N62" s="453"/>
      <c r="O62" s="437">
        <v>522168</v>
      </c>
      <c r="P62" s="437">
        <v>40426</v>
      </c>
      <c r="R62" s="790"/>
      <c r="T62" s="437">
        <v>560000</v>
      </c>
    </row>
    <row r="63" spans="1:23" ht="14" customHeight="1" x14ac:dyDescent="0.35">
      <c r="A63" s="757" t="s">
        <v>653</v>
      </c>
      <c r="B63" s="449">
        <v>3025960</v>
      </c>
      <c r="C63" s="449">
        <v>2974820</v>
      </c>
      <c r="D63" s="449">
        <v>2929399</v>
      </c>
      <c r="E63" s="449">
        <v>2950696</v>
      </c>
      <c r="F63" s="449">
        <v>3086183</v>
      </c>
      <c r="G63" s="437">
        <v>3036451</v>
      </c>
      <c r="H63" s="437">
        <v>2833932</v>
      </c>
      <c r="I63" s="437">
        <v>2666962</v>
      </c>
      <c r="J63" s="453"/>
      <c r="K63" s="437">
        <v>2910000</v>
      </c>
      <c r="L63" s="437">
        <v>2950487</v>
      </c>
      <c r="M63" s="437">
        <v>40487</v>
      </c>
      <c r="N63" s="453"/>
      <c r="O63" s="437">
        <v>2910000</v>
      </c>
      <c r="P63" s="437">
        <v>-40487</v>
      </c>
      <c r="R63" s="790"/>
      <c r="T63" s="437">
        <v>2910000</v>
      </c>
    </row>
    <row r="64" spans="1:23" ht="14" customHeight="1" x14ac:dyDescent="0.35">
      <c r="A64" s="757" t="s">
        <v>654</v>
      </c>
      <c r="B64" s="449">
        <v>551660</v>
      </c>
      <c r="C64" s="449">
        <v>541428</v>
      </c>
      <c r="D64" s="449">
        <v>512508</v>
      </c>
      <c r="E64" s="449">
        <v>502493</v>
      </c>
      <c r="F64" s="449">
        <v>466221</v>
      </c>
      <c r="G64" s="437">
        <v>454134</v>
      </c>
      <c r="H64" s="437">
        <v>447682</v>
      </c>
      <c r="I64" s="437">
        <v>383300</v>
      </c>
      <c r="J64" s="453"/>
      <c r="K64" s="437">
        <v>460000</v>
      </c>
      <c r="L64" s="437">
        <v>346053</v>
      </c>
      <c r="M64" s="437">
        <v>-113947</v>
      </c>
      <c r="N64" s="453"/>
      <c r="O64" s="437">
        <v>460000</v>
      </c>
      <c r="P64" s="437">
        <v>113947</v>
      </c>
      <c r="R64" s="790"/>
      <c r="T64" s="437">
        <v>475000</v>
      </c>
    </row>
    <row r="65" spans="1:23" ht="14" customHeight="1" x14ac:dyDescent="0.35">
      <c r="A65" s="757" t="s">
        <v>655</v>
      </c>
      <c r="B65" s="449">
        <v>103976</v>
      </c>
      <c r="C65" s="449">
        <v>106993</v>
      </c>
      <c r="D65" s="449">
        <v>78487</v>
      </c>
      <c r="E65" s="449">
        <v>105884</v>
      </c>
      <c r="F65" s="449">
        <v>106986</v>
      </c>
      <c r="G65" s="437">
        <v>123731</v>
      </c>
      <c r="H65" s="437">
        <v>85740</v>
      </c>
      <c r="I65" s="437">
        <v>108430</v>
      </c>
      <c r="J65" s="453"/>
      <c r="K65" s="437">
        <v>110000</v>
      </c>
      <c r="L65" s="437">
        <v>57719</v>
      </c>
      <c r="M65" s="437">
        <v>-52281</v>
      </c>
      <c r="N65" s="453"/>
      <c r="O65" s="437">
        <v>110000</v>
      </c>
      <c r="P65" s="437">
        <v>52281</v>
      </c>
      <c r="R65" s="790"/>
      <c r="T65" s="437">
        <v>110000</v>
      </c>
    </row>
    <row r="66" spans="1:23" ht="14" customHeight="1" x14ac:dyDescent="0.35">
      <c r="A66" s="757" t="s">
        <v>656</v>
      </c>
      <c r="B66" s="448" t="s">
        <v>650</v>
      </c>
      <c r="C66" s="448"/>
      <c r="D66" s="449">
        <v>8333</v>
      </c>
      <c r="E66" s="449">
        <v>10000</v>
      </c>
      <c r="F66" s="449">
        <v>10000</v>
      </c>
      <c r="G66" s="437">
        <v>21181</v>
      </c>
      <c r="H66" s="437">
        <v>10000</v>
      </c>
      <c r="I66" s="437">
        <v>37322</v>
      </c>
      <c r="J66" s="453"/>
      <c r="K66" s="437">
        <v>10000</v>
      </c>
      <c r="L66" s="437">
        <v>10000</v>
      </c>
      <c r="M66" s="437">
        <v>0</v>
      </c>
      <c r="N66" s="453"/>
      <c r="O66" s="437">
        <v>10000</v>
      </c>
      <c r="P66" s="437">
        <v>0</v>
      </c>
      <c r="R66" s="790"/>
      <c r="T66" s="437">
        <v>10000</v>
      </c>
    </row>
    <row r="67" spans="1:23" ht="14" customHeight="1" x14ac:dyDescent="0.35">
      <c r="A67" s="757" t="s">
        <v>657</v>
      </c>
      <c r="B67" s="449">
        <v>10000</v>
      </c>
      <c r="C67" s="449">
        <v>20598</v>
      </c>
      <c r="D67" s="449">
        <v>10000</v>
      </c>
      <c r="E67" s="449">
        <v>10000</v>
      </c>
      <c r="F67" s="449">
        <v>10000</v>
      </c>
      <c r="G67" s="437">
        <v>10000</v>
      </c>
      <c r="H67" s="437">
        <v>18476</v>
      </c>
      <c r="I67" s="437">
        <v>20703</v>
      </c>
      <c r="J67" s="453"/>
      <c r="K67" s="437">
        <v>10000</v>
      </c>
      <c r="L67" s="437">
        <v>10000</v>
      </c>
      <c r="M67" s="437">
        <v>0</v>
      </c>
      <c r="N67" s="453"/>
      <c r="O67" s="437">
        <v>10000</v>
      </c>
      <c r="P67" s="437">
        <v>0</v>
      </c>
      <c r="R67" s="790"/>
      <c r="T67" s="437">
        <v>10000</v>
      </c>
    </row>
    <row r="68" spans="1:23" ht="14" customHeight="1" x14ac:dyDescent="0.35">
      <c r="A68" s="757" t="s">
        <v>658</v>
      </c>
      <c r="B68" s="449">
        <v>2000</v>
      </c>
      <c r="C68" s="449">
        <v>1000</v>
      </c>
      <c r="D68" s="449">
        <v>917</v>
      </c>
      <c r="E68" s="449">
        <v>1000</v>
      </c>
      <c r="F68" s="449">
        <v>1000</v>
      </c>
      <c r="G68" s="437">
        <v>1000</v>
      </c>
      <c r="H68" s="437">
        <v>1000</v>
      </c>
      <c r="I68" s="437">
        <v>1000</v>
      </c>
      <c r="J68" s="453"/>
      <c r="K68" s="437">
        <v>1000</v>
      </c>
      <c r="L68" s="437">
        <v>19000</v>
      </c>
      <c r="M68" s="437">
        <v>18000</v>
      </c>
      <c r="N68" s="453"/>
      <c r="O68" s="437">
        <v>1000</v>
      </c>
      <c r="P68" s="437">
        <v>-18000</v>
      </c>
      <c r="R68" s="790"/>
      <c r="T68" s="437">
        <v>1000</v>
      </c>
    </row>
    <row r="69" spans="1:23" ht="14" customHeight="1" x14ac:dyDescent="0.35">
      <c r="A69" s="757" t="s">
        <v>1056</v>
      </c>
      <c r="B69" s="449">
        <v>106667</v>
      </c>
      <c r="C69" s="449">
        <v>113332</v>
      </c>
      <c r="D69" s="449">
        <v>106667</v>
      </c>
      <c r="E69" s="449">
        <v>106667</v>
      </c>
      <c r="F69" s="449">
        <v>104000</v>
      </c>
      <c r="G69" s="437">
        <v>106667</v>
      </c>
      <c r="H69" s="437">
        <v>106667</v>
      </c>
      <c r="I69" s="437">
        <v>0</v>
      </c>
      <c r="J69" s="453"/>
      <c r="K69" s="437">
        <v>0</v>
      </c>
      <c r="L69" s="437">
        <v>0</v>
      </c>
      <c r="M69" s="437">
        <v>0</v>
      </c>
      <c r="N69" s="453"/>
      <c r="O69" s="437">
        <v>0</v>
      </c>
      <c r="P69" s="437">
        <v>0</v>
      </c>
      <c r="R69" s="790"/>
      <c r="T69" s="437">
        <v>73150</v>
      </c>
    </row>
    <row r="70" spans="1:23" ht="14" customHeight="1" x14ac:dyDescent="0.35">
      <c r="A70" s="757" t="s">
        <v>659</v>
      </c>
      <c r="B70" s="449">
        <v>590000</v>
      </c>
      <c r="C70" s="449">
        <v>658000</v>
      </c>
      <c r="D70" s="449">
        <v>620000</v>
      </c>
      <c r="E70" s="449">
        <v>620000</v>
      </c>
      <c r="F70" s="449">
        <v>650000</v>
      </c>
      <c r="G70" s="437">
        <v>554000</v>
      </c>
      <c r="H70" s="437">
        <v>710000</v>
      </c>
      <c r="I70" s="437">
        <v>740000</v>
      </c>
      <c r="J70" s="453"/>
      <c r="K70" s="437">
        <v>770000</v>
      </c>
      <c r="L70" s="437">
        <v>770000</v>
      </c>
      <c r="M70" s="437">
        <v>0</v>
      </c>
      <c r="N70" s="453"/>
      <c r="O70" s="437">
        <v>770000</v>
      </c>
      <c r="P70" s="437">
        <v>0</v>
      </c>
      <c r="R70" s="790"/>
      <c r="T70" s="437">
        <v>740000</v>
      </c>
    </row>
    <row r="71" spans="1:23" ht="14" customHeight="1" x14ac:dyDescent="0.35">
      <c r="A71" s="757" t="s">
        <v>660</v>
      </c>
      <c r="B71" s="449">
        <v>327873</v>
      </c>
      <c r="C71" s="449">
        <v>374698</v>
      </c>
      <c r="D71" s="449">
        <v>405302</v>
      </c>
      <c r="E71" s="449">
        <v>468594</v>
      </c>
      <c r="F71" s="449">
        <v>443321</v>
      </c>
      <c r="G71" s="437">
        <v>452353</v>
      </c>
      <c r="H71" s="437">
        <v>447805</v>
      </c>
      <c r="I71" s="437">
        <v>468369</v>
      </c>
      <c r="J71" s="453"/>
      <c r="K71" s="437">
        <v>440000</v>
      </c>
      <c r="L71" s="437">
        <v>454142</v>
      </c>
      <c r="M71" s="437">
        <v>14142</v>
      </c>
      <c r="N71" s="453"/>
      <c r="O71" s="437">
        <v>440000</v>
      </c>
      <c r="P71" s="437">
        <v>-14142</v>
      </c>
      <c r="R71" s="790"/>
      <c r="T71" s="437">
        <v>480000</v>
      </c>
    </row>
    <row r="72" spans="1:23" ht="14" customHeight="1" x14ac:dyDescent="0.35">
      <c r="A72" s="757" t="s">
        <v>661</v>
      </c>
      <c r="B72" s="449">
        <v>103150</v>
      </c>
      <c r="C72" s="449">
        <v>87813</v>
      </c>
      <c r="D72" s="449">
        <v>73150</v>
      </c>
      <c r="E72" s="449">
        <v>73150</v>
      </c>
      <c r="F72" s="449">
        <v>73150</v>
      </c>
      <c r="G72" s="437">
        <v>73150</v>
      </c>
      <c r="H72" s="437">
        <v>106667</v>
      </c>
      <c r="I72" s="437">
        <v>106667</v>
      </c>
      <c r="J72" s="453"/>
      <c r="M72" s="437"/>
      <c r="N72" s="453"/>
      <c r="O72" s="437"/>
      <c r="P72" s="437"/>
      <c r="R72" s="788"/>
      <c r="T72" s="437">
        <v>106667</v>
      </c>
    </row>
    <row r="73" spans="1:23" ht="14" customHeight="1" x14ac:dyDescent="0.35">
      <c r="A73" s="757" t="s">
        <v>998</v>
      </c>
      <c r="B73" s="449"/>
      <c r="C73" s="449"/>
      <c r="D73" s="449"/>
      <c r="E73" s="449"/>
      <c r="F73" s="449"/>
      <c r="J73" s="453"/>
      <c r="K73" s="437">
        <v>106667</v>
      </c>
      <c r="L73" s="437">
        <v>179817</v>
      </c>
      <c r="M73" s="437">
        <v>73150</v>
      </c>
      <c r="N73" s="453"/>
      <c r="O73" s="437">
        <v>106667</v>
      </c>
      <c r="P73" s="437">
        <v>-73150</v>
      </c>
      <c r="R73" s="790"/>
    </row>
    <row r="74" spans="1:23" ht="14" customHeight="1" x14ac:dyDescent="0.35">
      <c r="A74" s="751" t="s">
        <v>999</v>
      </c>
      <c r="B74" s="449"/>
      <c r="C74" s="449"/>
      <c r="D74" s="449"/>
      <c r="E74" s="449"/>
      <c r="F74" s="449"/>
      <c r="J74" s="453"/>
      <c r="K74" s="437">
        <v>0</v>
      </c>
      <c r="L74" s="437">
        <v>83814</v>
      </c>
      <c r="M74" s="437">
        <v>83814</v>
      </c>
      <c r="N74" s="453"/>
      <c r="O74" s="437">
        <v>83814</v>
      </c>
      <c r="P74" s="437">
        <v>0</v>
      </c>
      <c r="R74" s="788"/>
    </row>
    <row r="75" spans="1:23" ht="14" customHeight="1" x14ac:dyDescent="0.35">
      <c r="A75" s="757" t="s">
        <v>662</v>
      </c>
      <c r="B75" s="449">
        <v>350000</v>
      </c>
      <c r="C75" s="448"/>
      <c r="D75" s="449">
        <v>350000</v>
      </c>
      <c r="E75" s="449">
        <v>350000</v>
      </c>
      <c r="F75" s="449">
        <v>350000</v>
      </c>
      <c r="G75" s="437">
        <v>350000</v>
      </c>
      <c r="H75" s="437">
        <v>350000</v>
      </c>
      <c r="I75" s="437">
        <v>350000</v>
      </c>
      <c r="J75" s="453"/>
      <c r="K75" s="437">
        <v>350000</v>
      </c>
      <c r="L75" s="437">
        <v>350000</v>
      </c>
      <c r="M75" s="437">
        <v>0</v>
      </c>
      <c r="N75" s="453"/>
      <c r="O75" s="437">
        <v>350000</v>
      </c>
      <c r="P75" s="437">
        <v>0</v>
      </c>
      <c r="R75" s="790"/>
      <c r="T75" s="437">
        <v>350000</v>
      </c>
    </row>
    <row r="76" spans="1:23" ht="14" customHeight="1" x14ac:dyDescent="0.35">
      <c r="A76" s="757" t="s">
        <v>663</v>
      </c>
      <c r="B76" s="449">
        <v>7020</v>
      </c>
      <c r="C76" s="449">
        <v>12620</v>
      </c>
      <c r="D76" s="449">
        <v>7550</v>
      </c>
      <c r="E76" s="449">
        <v>14830</v>
      </c>
      <c r="F76" s="449">
        <v>14480</v>
      </c>
      <c r="G76" s="437">
        <v>25390</v>
      </c>
      <c r="H76" s="437">
        <v>19800</v>
      </c>
      <c r="I76" s="437">
        <v>13740</v>
      </c>
      <c r="J76" s="453"/>
      <c r="K76" s="437">
        <v>15000</v>
      </c>
      <c r="L76" s="437">
        <v>14500</v>
      </c>
      <c r="M76" s="437">
        <v>-500</v>
      </c>
      <c r="N76" s="453"/>
      <c r="O76" s="437">
        <v>15000</v>
      </c>
      <c r="P76" s="437">
        <v>500</v>
      </c>
      <c r="R76" s="790"/>
      <c r="T76" s="437">
        <v>19000</v>
      </c>
    </row>
    <row r="77" spans="1:23" ht="14" customHeight="1" x14ac:dyDescent="0.35">
      <c r="A77" s="757" t="s">
        <v>664</v>
      </c>
      <c r="B77" s="449">
        <v>71994</v>
      </c>
      <c r="C77" s="448"/>
      <c r="D77" s="449">
        <v>80660</v>
      </c>
      <c r="E77" s="449">
        <v>89325</v>
      </c>
      <c r="F77" s="449">
        <v>101989</v>
      </c>
      <c r="G77" s="437">
        <v>111987</v>
      </c>
      <c r="H77" s="437">
        <v>111988</v>
      </c>
      <c r="I77" s="437">
        <v>107989</v>
      </c>
      <c r="J77" s="453"/>
      <c r="K77" s="437">
        <v>140000</v>
      </c>
      <c r="L77" s="437">
        <v>118652</v>
      </c>
      <c r="M77" s="437">
        <v>-21348</v>
      </c>
      <c r="N77" s="453"/>
      <c r="O77" s="437">
        <v>140000</v>
      </c>
      <c r="P77" s="437">
        <v>21348</v>
      </c>
      <c r="R77" s="790"/>
      <c r="T77" s="437">
        <v>120653</v>
      </c>
    </row>
    <row r="78" spans="1:23" ht="14" customHeight="1" x14ac:dyDescent="0.35">
      <c r="A78" s="757" t="s">
        <v>665</v>
      </c>
      <c r="B78" s="449">
        <v>49486</v>
      </c>
      <c r="C78" s="449">
        <v>89939</v>
      </c>
      <c r="D78" s="449">
        <v>121892</v>
      </c>
      <c r="E78" s="449">
        <v>96243</v>
      </c>
      <c r="F78" s="449">
        <v>107887</v>
      </c>
      <c r="G78" s="437">
        <v>102366</v>
      </c>
      <c r="H78" s="437">
        <v>112380</v>
      </c>
      <c r="I78" s="437">
        <v>73506</v>
      </c>
      <c r="J78" s="453"/>
      <c r="K78" s="437">
        <v>110000</v>
      </c>
      <c r="L78" s="437">
        <v>110000</v>
      </c>
      <c r="M78" s="437">
        <v>0</v>
      </c>
      <c r="N78" s="453"/>
      <c r="O78" s="437">
        <v>110000</v>
      </c>
      <c r="P78" s="437">
        <v>0</v>
      </c>
      <c r="R78" s="790"/>
      <c r="T78" s="437">
        <v>110000</v>
      </c>
    </row>
    <row r="79" spans="1:23" ht="14" customHeight="1" x14ac:dyDescent="0.35">
      <c r="A79" s="757" t="s">
        <v>1057</v>
      </c>
      <c r="B79" s="448"/>
      <c r="C79" s="448"/>
      <c r="D79" s="437"/>
      <c r="E79" s="437"/>
      <c r="F79" s="437"/>
      <c r="J79" s="453"/>
      <c r="K79" s="437">
        <v>20000</v>
      </c>
      <c r="L79" s="437">
        <v>20000</v>
      </c>
      <c r="M79" s="437">
        <v>20000</v>
      </c>
      <c r="N79" s="453"/>
      <c r="O79" s="437">
        <v>0</v>
      </c>
      <c r="P79" s="437">
        <v>0</v>
      </c>
      <c r="R79" s="790"/>
    </row>
    <row r="80" spans="1:23" s="460" customFormat="1" ht="14" customHeight="1" x14ac:dyDescent="0.4">
      <c r="A80" s="758" t="s">
        <v>666</v>
      </c>
      <c r="B80" s="454">
        <v>5789723</v>
      </c>
      <c r="C80" s="454">
        <v>5466251</v>
      </c>
      <c r="D80" s="454">
        <v>5834793</v>
      </c>
      <c r="E80" s="454">
        <v>5918066</v>
      </c>
      <c r="F80" s="454">
        <v>6029507</v>
      </c>
      <c r="G80" s="473">
        <v>5922420</v>
      </c>
      <c r="H80" s="473">
        <v>5884305</v>
      </c>
      <c r="I80" s="473">
        <v>5578413</v>
      </c>
      <c r="J80" s="441"/>
      <c r="K80" s="473">
        <v>5954835</v>
      </c>
      <c r="L80" s="473">
        <v>5975926</v>
      </c>
      <c r="M80" s="455">
        <v>21091</v>
      </c>
      <c r="N80" s="441"/>
      <c r="O80" s="491">
        <v>6058649</v>
      </c>
      <c r="P80" s="492">
        <v>82723</v>
      </c>
      <c r="Q80" s="459"/>
      <c r="R80" s="790"/>
      <c r="S80" s="299"/>
      <c r="T80" s="473">
        <v>6075470</v>
      </c>
      <c r="U80" s="299"/>
      <c r="V80" s="299"/>
      <c r="W80" s="299"/>
    </row>
    <row r="81" spans="1:23" ht="14" customHeight="1" x14ac:dyDescent="0.35">
      <c r="A81" s="756"/>
      <c r="B81" s="461"/>
      <c r="C81" s="461"/>
      <c r="D81" s="461"/>
      <c r="E81" s="461"/>
      <c r="F81" s="461"/>
      <c r="G81" s="446"/>
      <c r="H81" s="446"/>
      <c r="I81" s="446"/>
      <c r="J81" s="441"/>
      <c r="K81" s="446"/>
      <c r="L81" s="446"/>
      <c r="M81" s="446"/>
      <c r="N81" s="441"/>
      <c r="O81" s="493"/>
      <c r="P81" s="494"/>
      <c r="R81" s="789"/>
      <c r="T81" s="446"/>
    </row>
    <row r="82" spans="1:23" ht="14" customHeight="1" x14ac:dyDescent="0.35">
      <c r="A82" s="765" t="s">
        <v>611</v>
      </c>
      <c r="B82" s="472">
        <v>230912</v>
      </c>
      <c r="C82" s="472">
        <v>321652</v>
      </c>
      <c r="D82" s="472">
        <v>33900</v>
      </c>
      <c r="E82" s="472">
        <v>1313862</v>
      </c>
      <c r="F82" s="472">
        <v>868282</v>
      </c>
      <c r="G82" s="473">
        <v>991075</v>
      </c>
      <c r="H82" s="473">
        <v>1372441</v>
      </c>
      <c r="I82" s="473">
        <v>1320320</v>
      </c>
      <c r="J82" s="441"/>
      <c r="K82" s="473">
        <v>2210000</v>
      </c>
      <c r="L82" s="473">
        <v>2348405</v>
      </c>
      <c r="M82" s="473">
        <v>138405</v>
      </c>
      <c r="N82" s="441"/>
      <c r="O82" s="491">
        <v>3001000</v>
      </c>
      <c r="P82" s="491">
        <v>652595</v>
      </c>
      <c r="R82" s="789"/>
      <c r="T82" s="446">
        <v>2610000</v>
      </c>
    </row>
    <row r="83" spans="1:23" ht="14" customHeight="1" x14ac:dyDescent="0.35">
      <c r="G83" s="446"/>
      <c r="H83" s="446"/>
      <c r="I83" s="446"/>
      <c r="J83" s="441"/>
      <c r="K83" s="446"/>
      <c r="L83" s="446"/>
      <c r="M83" s="446"/>
      <c r="N83" s="441"/>
      <c r="O83" s="493"/>
      <c r="P83" s="493"/>
      <c r="R83" s="791"/>
      <c r="T83" s="446"/>
    </row>
    <row r="84" spans="1:23" ht="14" customHeight="1" x14ac:dyDescent="0.35">
      <c r="A84" s="758" t="s">
        <v>1070</v>
      </c>
      <c r="B84" s="439" t="s">
        <v>598</v>
      </c>
      <c r="C84" s="439" t="s">
        <v>599</v>
      </c>
      <c r="D84" s="439" t="s">
        <v>600</v>
      </c>
      <c r="E84" s="439" t="s">
        <v>601</v>
      </c>
      <c r="F84" s="439" t="s">
        <v>602</v>
      </c>
      <c r="G84" s="440" t="s">
        <v>603</v>
      </c>
      <c r="H84" s="440" t="s">
        <v>604</v>
      </c>
      <c r="I84" s="440" t="s">
        <v>605</v>
      </c>
      <c r="J84" s="441"/>
      <c r="K84" s="440" t="s">
        <v>1071</v>
      </c>
      <c r="L84" s="440" t="s">
        <v>1079</v>
      </c>
      <c r="M84" s="440" t="s">
        <v>1072</v>
      </c>
      <c r="N84" s="441"/>
      <c r="O84" s="442" t="s">
        <v>1073</v>
      </c>
      <c r="P84" s="442" t="s">
        <v>1074</v>
      </c>
      <c r="R84" s="789"/>
    </row>
    <row r="85" spans="1:23" ht="14" customHeight="1" x14ac:dyDescent="0.35">
      <c r="A85" s="757" t="s">
        <v>667</v>
      </c>
      <c r="B85" s="449">
        <v>12778090</v>
      </c>
      <c r="C85" s="449">
        <v>15184920</v>
      </c>
      <c r="D85" s="449">
        <v>19541727</v>
      </c>
      <c r="E85" s="449">
        <v>29796614</v>
      </c>
      <c r="F85" s="449">
        <v>44993367</v>
      </c>
      <c r="G85" s="437">
        <v>45710246</v>
      </c>
      <c r="H85" s="437">
        <v>48573357</v>
      </c>
      <c r="I85" s="437">
        <v>47499999</v>
      </c>
      <c r="J85" s="453"/>
      <c r="K85" s="437">
        <v>51740000</v>
      </c>
      <c r="L85" s="437">
        <v>51693809</v>
      </c>
      <c r="M85" s="437">
        <v>-46191</v>
      </c>
      <c r="N85" s="453"/>
      <c r="O85" s="437">
        <v>52250000</v>
      </c>
      <c r="P85" s="437">
        <v>556191</v>
      </c>
      <c r="R85" s="790"/>
      <c r="T85" s="437">
        <v>47499997</v>
      </c>
    </row>
    <row r="86" spans="1:23" ht="14" customHeight="1" x14ac:dyDescent="0.35">
      <c r="A86" s="754" t="s">
        <v>668</v>
      </c>
      <c r="B86" s="449"/>
      <c r="C86" s="449"/>
      <c r="D86" s="449"/>
      <c r="E86" s="449"/>
      <c r="F86" s="449"/>
      <c r="G86" s="437">
        <v>342931</v>
      </c>
      <c r="H86" s="437">
        <v>350000</v>
      </c>
      <c r="I86" s="437">
        <v>569987</v>
      </c>
      <c r="J86" s="453"/>
      <c r="K86" s="437">
        <v>1005473</v>
      </c>
      <c r="L86" s="437">
        <v>902706</v>
      </c>
      <c r="M86" s="437">
        <v>-102767</v>
      </c>
      <c r="N86" s="453"/>
      <c r="O86" s="437">
        <v>1250000</v>
      </c>
      <c r="P86" s="437">
        <v>347294</v>
      </c>
      <c r="R86" s="790"/>
      <c r="T86" s="437">
        <v>500000</v>
      </c>
    </row>
    <row r="87" spans="1:23" ht="14" customHeight="1" x14ac:dyDescent="0.35">
      <c r="A87" s="757" t="s">
        <v>669</v>
      </c>
      <c r="B87" s="437"/>
      <c r="C87" s="437"/>
      <c r="D87" s="449">
        <v>345589</v>
      </c>
      <c r="E87" s="449">
        <v>809603</v>
      </c>
      <c r="F87" s="449">
        <v>932145</v>
      </c>
      <c r="J87" s="453"/>
      <c r="M87" s="437"/>
      <c r="N87" s="453"/>
      <c r="O87" s="437"/>
      <c r="P87" s="437"/>
      <c r="R87" s="790"/>
    </row>
    <row r="88" spans="1:23" ht="14" customHeight="1" x14ac:dyDescent="0.35">
      <c r="A88" s="757" t="s">
        <v>1058</v>
      </c>
      <c r="B88" s="437"/>
      <c r="C88" s="437"/>
      <c r="D88" s="449"/>
      <c r="E88" s="449"/>
      <c r="F88" s="449"/>
      <c r="J88" s="453"/>
      <c r="M88" s="437"/>
      <c r="N88" s="453"/>
      <c r="O88" s="437">
        <v>512848</v>
      </c>
      <c r="P88" s="437">
        <v>512848</v>
      </c>
      <c r="R88" s="790"/>
    </row>
    <row r="89" spans="1:23" ht="14" customHeight="1" x14ac:dyDescent="0.35">
      <c r="A89" s="757" t="s">
        <v>1059</v>
      </c>
      <c r="B89" s="449">
        <v>5850000</v>
      </c>
      <c r="C89" s="449">
        <v>5850000</v>
      </c>
      <c r="D89" s="448">
        <v>5687500</v>
      </c>
      <c r="E89" s="448">
        <v>3900000</v>
      </c>
      <c r="F89" s="448" t="s">
        <v>635</v>
      </c>
      <c r="G89" s="437">
        <v>0</v>
      </c>
      <c r="H89" s="437">
        <v>0</v>
      </c>
      <c r="I89" s="437">
        <v>0</v>
      </c>
      <c r="J89" s="453"/>
      <c r="K89" s="437">
        <v>0</v>
      </c>
      <c r="L89" s="437">
        <v>0</v>
      </c>
      <c r="M89" s="437">
        <v>0</v>
      </c>
      <c r="N89" s="453"/>
      <c r="O89" s="437">
        <v>0</v>
      </c>
      <c r="P89" s="437">
        <v>0</v>
      </c>
      <c r="R89" s="790"/>
      <c r="T89" s="437">
        <v>0</v>
      </c>
    </row>
    <row r="90" spans="1:23" s="460" customFormat="1" ht="14" customHeight="1" x14ac:dyDescent="0.4">
      <c r="A90" s="765" t="s">
        <v>670</v>
      </c>
      <c r="B90" s="454">
        <v>18628090</v>
      </c>
      <c r="C90" s="454">
        <v>21034920</v>
      </c>
      <c r="D90" s="472">
        <v>25574816</v>
      </c>
      <c r="E90" s="472">
        <v>34506217</v>
      </c>
      <c r="F90" s="454">
        <v>45925512</v>
      </c>
      <c r="G90" s="473">
        <v>46053177</v>
      </c>
      <c r="H90" s="473">
        <v>48923357</v>
      </c>
      <c r="I90" s="473">
        <v>48069985</v>
      </c>
      <c r="J90" s="441"/>
      <c r="K90" s="473">
        <v>52745473</v>
      </c>
      <c r="L90" s="473">
        <v>52596515</v>
      </c>
      <c r="M90" s="455">
        <v>-148958</v>
      </c>
      <c r="N90" s="441"/>
      <c r="O90" s="491">
        <v>54012848</v>
      </c>
      <c r="P90" s="492">
        <v>1416332</v>
      </c>
      <c r="Q90" s="459"/>
      <c r="R90" s="789"/>
      <c r="S90" s="299"/>
      <c r="T90" s="473">
        <v>47999997</v>
      </c>
      <c r="U90" s="299"/>
      <c r="V90" s="299"/>
      <c r="W90" s="299"/>
    </row>
    <row r="91" spans="1:23" ht="14" customHeight="1" x14ac:dyDescent="0.35">
      <c r="B91" s="461"/>
      <c r="C91" s="461"/>
      <c r="J91" s="453"/>
      <c r="M91" s="437"/>
      <c r="N91" s="453"/>
      <c r="R91" s="791"/>
    </row>
    <row r="92" spans="1:23" ht="14" customHeight="1" x14ac:dyDescent="0.35">
      <c r="A92" s="758" t="s">
        <v>613</v>
      </c>
      <c r="B92" s="439" t="s">
        <v>598</v>
      </c>
      <c r="C92" s="439" t="s">
        <v>599</v>
      </c>
      <c r="D92" s="439" t="s">
        <v>600</v>
      </c>
      <c r="E92" s="439" t="s">
        <v>601</v>
      </c>
      <c r="F92" s="439" t="s">
        <v>602</v>
      </c>
      <c r="G92" s="440" t="s">
        <v>603</v>
      </c>
      <c r="H92" s="440" t="s">
        <v>604</v>
      </c>
      <c r="I92" s="440" t="s">
        <v>605</v>
      </c>
      <c r="J92" s="441"/>
      <c r="K92" s="440" t="s">
        <v>1071</v>
      </c>
      <c r="L92" s="440" t="s">
        <v>1079</v>
      </c>
      <c r="M92" s="440" t="s">
        <v>1072</v>
      </c>
      <c r="N92" s="441"/>
      <c r="O92" s="442" t="s">
        <v>1073</v>
      </c>
      <c r="P92" s="442" t="s">
        <v>1074</v>
      </c>
      <c r="R92" s="789"/>
    </row>
    <row r="93" spans="1:23" ht="14" customHeight="1" x14ac:dyDescent="0.35">
      <c r="A93" s="757" t="s">
        <v>671</v>
      </c>
      <c r="B93" s="449">
        <v>10492239</v>
      </c>
      <c r="C93" s="449">
        <v>11476938</v>
      </c>
      <c r="D93" s="437">
        <v>15251025</v>
      </c>
      <c r="E93" s="437">
        <v>14867576</v>
      </c>
      <c r="F93" s="449">
        <v>22244353</v>
      </c>
      <c r="G93" s="437">
        <v>10844743</v>
      </c>
      <c r="H93" s="437">
        <v>10638489</v>
      </c>
      <c r="I93" s="437">
        <v>14956685</v>
      </c>
      <c r="J93" s="453"/>
      <c r="K93" s="437">
        <v>20414455</v>
      </c>
      <c r="L93" s="437">
        <v>13786168</v>
      </c>
      <c r="M93" s="437">
        <v>-6628287</v>
      </c>
      <c r="N93" s="453"/>
      <c r="O93" s="437">
        <v>11000000</v>
      </c>
      <c r="P93" s="437">
        <v>-2786168</v>
      </c>
      <c r="R93" s="790"/>
      <c r="T93" s="437">
        <v>10545000</v>
      </c>
    </row>
    <row r="94" spans="1:23" ht="14" customHeight="1" x14ac:dyDescent="0.35">
      <c r="A94" s="757" t="s">
        <v>672</v>
      </c>
      <c r="B94" s="437"/>
      <c r="C94" s="437"/>
      <c r="D94" s="437">
        <v>2137464</v>
      </c>
      <c r="E94" s="437">
        <v>12892819</v>
      </c>
      <c r="F94" s="437">
        <v>0</v>
      </c>
      <c r="G94" s="437">
        <v>0</v>
      </c>
      <c r="H94" s="437">
        <v>0</v>
      </c>
      <c r="I94" s="437">
        <v>328003</v>
      </c>
      <c r="J94" s="453"/>
      <c r="K94" s="437">
        <v>0</v>
      </c>
      <c r="L94" s="437">
        <v>0</v>
      </c>
      <c r="M94" s="437">
        <v>0</v>
      </c>
      <c r="N94" s="453"/>
      <c r="O94" s="437">
        <v>0</v>
      </c>
      <c r="P94" s="437">
        <v>0</v>
      </c>
      <c r="R94" s="751"/>
    </row>
    <row r="95" spans="1:23" ht="14" customHeight="1" x14ac:dyDescent="0.35">
      <c r="A95" s="754" t="s">
        <v>673</v>
      </c>
      <c r="B95" s="437"/>
      <c r="C95" s="437"/>
      <c r="D95" s="437"/>
      <c r="E95" s="437"/>
      <c r="F95" s="448"/>
      <c r="G95" s="437">
        <v>3767875</v>
      </c>
      <c r="H95" s="437">
        <v>2227362</v>
      </c>
      <c r="I95" s="437">
        <v>1086143</v>
      </c>
      <c r="J95" s="453"/>
      <c r="K95" s="437">
        <v>0</v>
      </c>
      <c r="L95" s="437">
        <v>1619036</v>
      </c>
      <c r="M95" s="437">
        <v>1619036</v>
      </c>
      <c r="N95" s="453"/>
      <c r="O95" s="437">
        <v>0</v>
      </c>
      <c r="P95" s="437">
        <v>-1619036</v>
      </c>
      <c r="R95" s="751"/>
      <c r="T95" s="437">
        <v>0</v>
      </c>
    </row>
    <row r="96" spans="1:23" ht="14" customHeight="1" x14ac:dyDescent="0.35">
      <c r="A96" s="757" t="s">
        <v>674</v>
      </c>
      <c r="B96" s="449">
        <v>3081793</v>
      </c>
      <c r="C96" s="449">
        <v>9982955</v>
      </c>
      <c r="D96" s="449">
        <v>6937008</v>
      </c>
      <c r="E96" s="449">
        <v>3160386</v>
      </c>
      <c r="F96" s="449">
        <v>24110974</v>
      </c>
      <c r="G96" s="437">
        <v>14612481</v>
      </c>
      <c r="H96" s="437">
        <v>12093135</v>
      </c>
      <c r="I96" s="437">
        <v>12074448</v>
      </c>
      <c r="J96" s="453"/>
      <c r="K96" s="437">
        <v>18503582</v>
      </c>
      <c r="L96" s="437">
        <v>24693002</v>
      </c>
      <c r="M96" s="437">
        <v>6189420</v>
      </c>
      <c r="N96" s="453"/>
      <c r="O96" s="437">
        <v>12600000</v>
      </c>
      <c r="P96" s="437">
        <v>-12093002</v>
      </c>
      <c r="R96" s="751"/>
      <c r="T96" s="437">
        <v>9354500</v>
      </c>
    </row>
    <row r="97" spans="1:23" ht="14" customHeight="1" x14ac:dyDescent="0.35">
      <c r="A97" s="754" t="s">
        <v>675</v>
      </c>
      <c r="B97" s="449"/>
      <c r="C97" s="449"/>
      <c r="D97" s="449"/>
      <c r="E97" s="449"/>
      <c r="F97" s="449"/>
      <c r="G97" s="437">
        <v>0</v>
      </c>
      <c r="H97" s="437">
        <v>0</v>
      </c>
      <c r="I97" s="437">
        <v>328003</v>
      </c>
      <c r="J97" s="453"/>
      <c r="K97" s="437">
        <v>0</v>
      </c>
      <c r="L97" s="437">
        <v>328003</v>
      </c>
      <c r="M97" s="437">
        <v>328003</v>
      </c>
      <c r="N97" s="453"/>
      <c r="O97" s="437">
        <v>0</v>
      </c>
      <c r="P97" s="437">
        <v>-328003</v>
      </c>
      <c r="R97" s="792"/>
      <c r="T97" s="437">
        <v>0</v>
      </c>
    </row>
    <row r="98" spans="1:23" ht="14" customHeight="1" x14ac:dyDescent="0.35">
      <c r="A98" s="754" t="s">
        <v>676</v>
      </c>
      <c r="B98" s="437"/>
      <c r="C98" s="437"/>
      <c r="D98" s="437"/>
      <c r="E98" s="437"/>
      <c r="F98" s="437"/>
      <c r="G98" s="437">
        <v>0</v>
      </c>
      <c r="H98" s="437">
        <v>0</v>
      </c>
      <c r="I98" s="437">
        <v>480000</v>
      </c>
      <c r="J98" s="453"/>
      <c r="K98" s="437">
        <v>4454374</v>
      </c>
      <c r="L98" s="437">
        <v>4716425</v>
      </c>
      <c r="M98" s="437">
        <v>262051</v>
      </c>
      <c r="N98" s="453"/>
      <c r="O98" s="437">
        <v>0</v>
      </c>
      <c r="P98" s="437">
        <v>-4716425</v>
      </c>
      <c r="R98" s="751"/>
      <c r="T98" s="437">
        <v>0</v>
      </c>
    </row>
    <row r="99" spans="1:23" ht="14" customHeight="1" x14ac:dyDescent="0.35">
      <c r="A99" s="754" t="s">
        <v>1000</v>
      </c>
      <c r="B99" s="437"/>
      <c r="C99" s="437"/>
      <c r="D99" s="437"/>
      <c r="E99" s="437"/>
      <c r="F99" s="437"/>
      <c r="H99" s="437">
        <v>0</v>
      </c>
      <c r="I99" s="437">
        <v>0</v>
      </c>
      <c r="J99" s="453"/>
      <c r="K99" s="437">
        <v>0</v>
      </c>
      <c r="L99" s="437">
        <v>264746</v>
      </c>
      <c r="M99" s="437">
        <v>264746</v>
      </c>
      <c r="N99" s="453"/>
      <c r="O99" s="437">
        <v>0</v>
      </c>
      <c r="P99" s="437">
        <v>-264746</v>
      </c>
      <c r="R99" s="751"/>
    </row>
    <row r="100" spans="1:23" ht="14" customHeight="1" x14ac:dyDescent="0.35">
      <c r="A100" s="754" t="s">
        <v>1081</v>
      </c>
      <c r="B100" s="437"/>
      <c r="C100" s="437"/>
      <c r="D100" s="437"/>
      <c r="E100" s="437"/>
      <c r="F100" s="437"/>
      <c r="H100" s="437">
        <v>0</v>
      </c>
      <c r="I100" s="437">
        <v>0</v>
      </c>
      <c r="J100" s="453"/>
      <c r="K100" s="437">
        <v>0</v>
      </c>
      <c r="L100" s="437">
        <v>3420</v>
      </c>
      <c r="M100" s="437">
        <v>3420</v>
      </c>
      <c r="N100" s="453"/>
      <c r="O100" s="437">
        <v>0</v>
      </c>
      <c r="P100" s="437">
        <v>-3420</v>
      </c>
      <c r="R100" s="751"/>
    </row>
    <row r="101" spans="1:23" ht="14" customHeight="1" x14ac:dyDescent="0.35">
      <c r="A101" s="757" t="s">
        <v>677</v>
      </c>
      <c r="B101" s="449">
        <v>1552191</v>
      </c>
      <c r="C101" s="448"/>
      <c r="D101" s="437"/>
      <c r="E101" s="437"/>
      <c r="F101" s="449">
        <v>3215379</v>
      </c>
      <c r="H101" s="437">
        <v>4060</v>
      </c>
      <c r="I101" s="437">
        <v>0</v>
      </c>
      <c r="J101" s="453"/>
      <c r="K101" s="437">
        <v>0</v>
      </c>
      <c r="L101" s="437">
        <v>0</v>
      </c>
      <c r="M101" s="437">
        <v>0</v>
      </c>
      <c r="N101" s="453"/>
      <c r="O101" s="437">
        <v>0</v>
      </c>
      <c r="P101" s="437">
        <v>0</v>
      </c>
      <c r="R101" s="751" t="s">
        <v>1063</v>
      </c>
    </row>
    <row r="102" spans="1:23" ht="14" customHeight="1" x14ac:dyDescent="0.35">
      <c r="A102" s="757" t="s">
        <v>683</v>
      </c>
      <c r="B102" s="449"/>
      <c r="C102" s="448"/>
      <c r="D102" s="437"/>
      <c r="E102" s="437"/>
      <c r="F102" s="449"/>
      <c r="J102" s="453"/>
      <c r="M102" s="437"/>
      <c r="N102" s="453"/>
      <c r="O102" s="437"/>
      <c r="P102" s="437"/>
      <c r="R102" s="751"/>
    </row>
    <row r="103" spans="1:23" ht="14" customHeight="1" x14ac:dyDescent="0.35">
      <c r="A103" s="757" t="s">
        <v>678</v>
      </c>
      <c r="B103" s="449">
        <v>2327517</v>
      </c>
      <c r="C103" s="449">
        <v>4444512</v>
      </c>
      <c r="D103" s="449">
        <v>5225021</v>
      </c>
      <c r="E103" s="449">
        <v>8024177</v>
      </c>
      <c r="F103" s="449">
        <v>5908029</v>
      </c>
      <c r="G103" s="437">
        <v>4339030</v>
      </c>
      <c r="H103" s="437">
        <v>7707404</v>
      </c>
      <c r="I103" s="437">
        <v>5271420</v>
      </c>
      <c r="J103" s="453"/>
      <c r="K103" s="437">
        <v>4450000</v>
      </c>
      <c r="L103" s="437">
        <v>4041288</v>
      </c>
      <c r="M103" s="437">
        <v>-408712</v>
      </c>
      <c r="N103" s="453"/>
      <c r="O103" s="437">
        <v>4450000</v>
      </c>
      <c r="P103" s="437">
        <v>408712</v>
      </c>
      <c r="R103" s="751"/>
      <c r="T103" s="437">
        <v>4662000</v>
      </c>
    </row>
    <row r="104" spans="1:23" ht="14" customHeight="1" x14ac:dyDescent="0.35">
      <c r="A104" s="757" t="s">
        <v>679</v>
      </c>
      <c r="B104" s="449">
        <v>629978</v>
      </c>
      <c r="C104" s="449">
        <v>1120596</v>
      </c>
      <c r="D104" s="449">
        <v>1193912</v>
      </c>
      <c r="E104" s="449">
        <v>1080298</v>
      </c>
      <c r="F104" s="449">
        <v>1327523</v>
      </c>
      <c r="G104" s="437">
        <v>999962</v>
      </c>
      <c r="H104" s="437">
        <v>1501411</v>
      </c>
      <c r="I104" s="437">
        <v>1075674</v>
      </c>
      <c r="J104" s="453"/>
      <c r="K104" s="437">
        <v>1250450</v>
      </c>
      <c r="L104" s="437">
        <v>1014300</v>
      </c>
      <c r="M104" s="437">
        <v>-236150</v>
      </c>
      <c r="N104" s="453"/>
      <c r="O104" s="437">
        <v>1339700</v>
      </c>
      <c r="P104" s="437">
        <v>325400</v>
      </c>
      <c r="R104" s="751"/>
      <c r="T104" s="437">
        <v>1266400</v>
      </c>
    </row>
    <row r="105" spans="1:23" ht="14" customHeight="1" x14ac:dyDescent="0.35">
      <c r="A105" s="757" t="s">
        <v>680</v>
      </c>
      <c r="B105" s="448"/>
      <c r="C105" s="448"/>
      <c r="D105" s="449"/>
      <c r="E105" s="448">
        <v>2248707</v>
      </c>
      <c r="F105" s="449">
        <v>2595978</v>
      </c>
      <c r="G105" s="437">
        <v>0</v>
      </c>
      <c r="H105" s="437">
        <v>0</v>
      </c>
      <c r="I105" s="437">
        <v>0</v>
      </c>
      <c r="J105" s="453"/>
      <c r="K105" s="437">
        <v>0</v>
      </c>
      <c r="L105" s="437">
        <v>0</v>
      </c>
      <c r="M105" s="437">
        <v>0</v>
      </c>
      <c r="N105" s="453"/>
      <c r="O105" s="437">
        <v>0</v>
      </c>
      <c r="P105" s="437">
        <v>0</v>
      </c>
      <c r="R105" s="751"/>
      <c r="T105" s="437">
        <v>0</v>
      </c>
    </row>
    <row r="106" spans="1:23" ht="14" customHeight="1" x14ac:dyDescent="0.35">
      <c r="A106" s="757" t="s">
        <v>681</v>
      </c>
      <c r="B106" s="449">
        <v>2835588</v>
      </c>
      <c r="C106" s="449">
        <v>503556</v>
      </c>
      <c r="D106" s="449"/>
      <c r="E106" s="449"/>
      <c r="F106" s="449">
        <v>2215999</v>
      </c>
      <c r="G106" s="437">
        <v>0</v>
      </c>
      <c r="H106" s="437">
        <v>0</v>
      </c>
      <c r="I106" s="437">
        <v>0</v>
      </c>
      <c r="J106" s="453"/>
      <c r="K106" s="437">
        <v>0</v>
      </c>
      <c r="L106" s="437">
        <v>0</v>
      </c>
      <c r="M106" s="437">
        <v>0</v>
      </c>
      <c r="N106" s="453"/>
      <c r="O106" s="437">
        <v>0</v>
      </c>
      <c r="P106" s="437">
        <v>0</v>
      </c>
      <c r="R106" s="751"/>
      <c r="T106" s="437">
        <v>0</v>
      </c>
    </row>
    <row r="107" spans="1:23" ht="14" customHeight="1" x14ac:dyDescent="0.35">
      <c r="A107" s="757" t="s">
        <v>682</v>
      </c>
      <c r="B107" s="449"/>
      <c r="C107" s="449"/>
      <c r="D107" s="449"/>
      <c r="E107" s="449"/>
      <c r="F107" s="449"/>
      <c r="G107" s="437">
        <v>0</v>
      </c>
      <c r="H107" s="437">
        <v>0</v>
      </c>
      <c r="I107" s="437">
        <v>0</v>
      </c>
      <c r="J107" s="453"/>
      <c r="K107" s="437">
        <v>0</v>
      </c>
      <c r="L107" s="437">
        <v>0</v>
      </c>
      <c r="M107" s="437">
        <v>0</v>
      </c>
      <c r="N107" s="453"/>
      <c r="O107" s="437">
        <v>0</v>
      </c>
      <c r="P107" s="437">
        <v>0</v>
      </c>
      <c r="R107" s="792" t="s">
        <v>1064</v>
      </c>
      <c r="T107" s="437">
        <v>2000000</v>
      </c>
    </row>
    <row r="108" spans="1:23" s="460" customFormat="1" ht="14" customHeight="1" x14ac:dyDescent="0.4">
      <c r="A108" s="758" t="s">
        <v>684</v>
      </c>
      <c r="B108" s="454">
        <v>20919307</v>
      </c>
      <c r="C108" s="454">
        <v>27528558</v>
      </c>
      <c r="D108" s="495">
        <v>30744430</v>
      </c>
      <c r="E108" s="472">
        <v>42273963</v>
      </c>
      <c r="F108" s="454">
        <v>61618235</v>
      </c>
      <c r="G108" s="473">
        <v>34566655</v>
      </c>
      <c r="H108" s="473">
        <v>34171862</v>
      </c>
      <c r="I108" s="473">
        <v>35272372</v>
      </c>
      <c r="J108" s="441"/>
      <c r="K108" s="473">
        <v>49072861</v>
      </c>
      <c r="L108" s="473">
        <v>50138385</v>
      </c>
      <c r="M108" s="455">
        <v>1065524</v>
      </c>
      <c r="N108" s="441"/>
      <c r="O108" s="491">
        <v>29389700</v>
      </c>
      <c r="P108" s="492">
        <v>-20748685</v>
      </c>
      <c r="Q108" s="459"/>
      <c r="R108" s="776"/>
      <c r="S108" s="299"/>
      <c r="T108" s="473">
        <v>27827900</v>
      </c>
      <c r="U108" s="299"/>
      <c r="V108" s="299"/>
      <c r="W108" s="299"/>
    </row>
    <row r="109" spans="1:23" ht="14" customHeight="1" x14ac:dyDescent="0.35">
      <c r="D109" s="496"/>
      <c r="E109" s="497"/>
      <c r="J109" s="453"/>
      <c r="M109" s="437"/>
      <c r="N109" s="453"/>
      <c r="R109" s="792"/>
    </row>
    <row r="110" spans="1:23" ht="14" customHeight="1" x14ac:dyDescent="0.35">
      <c r="A110" s="758" t="s">
        <v>685</v>
      </c>
      <c r="B110" s="439" t="s">
        <v>598</v>
      </c>
      <c r="C110" s="439" t="s">
        <v>599</v>
      </c>
      <c r="D110" s="439" t="s">
        <v>600</v>
      </c>
      <c r="E110" s="439" t="s">
        <v>601</v>
      </c>
      <c r="F110" s="439" t="s">
        <v>602</v>
      </c>
      <c r="G110" s="440" t="s">
        <v>603</v>
      </c>
      <c r="H110" s="440" t="s">
        <v>604</v>
      </c>
      <c r="I110" s="440" t="s">
        <v>605</v>
      </c>
      <c r="J110" s="441"/>
      <c r="K110" s="440" t="s">
        <v>1071</v>
      </c>
      <c r="L110" s="440" t="s">
        <v>1079</v>
      </c>
      <c r="M110" s="440" t="s">
        <v>1072</v>
      </c>
      <c r="N110" s="441"/>
      <c r="O110" s="442" t="s">
        <v>1073</v>
      </c>
      <c r="P110" s="442" t="s">
        <v>1074</v>
      </c>
      <c r="R110" s="792"/>
    </row>
    <row r="111" spans="1:23" ht="14" customHeight="1" x14ac:dyDescent="0.35">
      <c r="A111" s="757" t="s">
        <v>686</v>
      </c>
      <c r="B111" s="449">
        <v>1610317</v>
      </c>
      <c r="C111" s="449">
        <v>1886363</v>
      </c>
      <c r="D111" s="449">
        <v>209856</v>
      </c>
      <c r="E111" s="449">
        <v>280535</v>
      </c>
      <c r="F111" s="449">
        <v>129000</v>
      </c>
      <c r="G111" s="437">
        <v>0</v>
      </c>
      <c r="H111" s="437">
        <v>0</v>
      </c>
      <c r="I111" s="437">
        <v>0</v>
      </c>
      <c r="J111" s="453"/>
      <c r="K111" s="437">
        <v>0</v>
      </c>
      <c r="L111" s="437">
        <v>0</v>
      </c>
      <c r="M111" s="437">
        <v>0</v>
      </c>
      <c r="N111" s="453"/>
      <c r="O111" s="437">
        <v>0</v>
      </c>
      <c r="P111" s="437">
        <v>0</v>
      </c>
      <c r="R111" s="788"/>
      <c r="T111" s="437">
        <v>0</v>
      </c>
    </row>
    <row r="112" spans="1:23" ht="14" customHeight="1" x14ac:dyDescent="0.35">
      <c r="A112" s="757" t="s">
        <v>626</v>
      </c>
      <c r="B112" s="452"/>
      <c r="C112" s="452"/>
      <c r="D112" s="449">
        <v>1780723</v>
      </c>
      <c r="E112" s="449">
        <v>1897399</v>
      </c>
      <c r="F112" s="449">
        <v>2261196</v>
      </c>
      <c r="G112" s="437">
        <v>2857245</v>
      </c>
      <c r="H112" s="437">
        <v>3293404</v>
      </c>
      <c r="I112" s="437">
        <v>3138198</v>
      </c>
      <c r="J112" s="453"/>
      <c r="K112" s="437">
        <v>3936000</v>
      </c>
      <c r="L112" s="437">
        <v>3624049</v>
      </c>
      <c r="M112" s="437">
        <v>-311951</v>
      </c>
      <c r="N112" s="453"/>
      <c r="O112" s="437">
        <v>3446000</v>
      </c>
      <c r="P112" s="437">
        <v>-178049</v>
      </c>
      <c r="R112" s="790"/>
      <c r="T112" s="437">
        <v>3429000</v>
      </c>
    </row>
    <row r="113" spans="1:23" ht="14" customHeight="1" x14ac:dyDescent="0.35">
      <c r="A113" s="757" t="s">
        <v>687</v>
      </c>
      <c r="B113" s="449">
        <v>3081182</v>
      </c>
      <c r="C113" s="449">
        <v>3088609</v>
      </c>
      <c r="D113" s="449">
        <v>2902803</v>
      </c>
      <c r="E113" s="449">
        <v>2933217</v>
      </c>
      <c r="F113" s="449">
        <v>3082803</v>
      </c>
      <c r="G113" s="437">
        <v>3154018</v>
      </c>
      <c r="H113" s="437">
        <v>2880194</v>
      </c>
      <c r="I113" s="437">
        <v>2938128</v>
      </c>
      <c r="J113" s="453"/>
      <c r="K113" s="437">
        <v>2933023</v>
      </c>
      <c r="L113" s="437">
        <v>2892761</v>
      </c>
      <c r="M113" s="437">
        <v>-40262</v>
      </c>
      <c r="N113" s="453"/>
      <c r="O113" s="437">
        <v>2933023</v>
      </c>
      <c r="P113" s="437">
        <v>40262</v>
      </c>
      <c r="R113" s="789"/>
      <c r="T113" s="437">
        <v>3230000</v>
      </c>
    </row>
    <row r="114" spans="1:23" s="501" customFormat="1" ht="14" customHeight="1" x14ac:dyDescent="0.4">
      <c r="A114" s="758" t="s">
        <v>688</v>
      </c>
      <c r="B114" s="498">
        <v>4691499</v>
      </c>
      <c r="C114" s="498">
        <v>4974973</v>
      </c>
      <c r="D114" s="498">
        <v>4893382</v>
      </c>
      <c r="E114" s="498">
        <v>5111151</v>
      </c>
      <c r="F114" s="498">
        <v>5472999</v>
      </c>
      <c r="G114" s="473"/>
      <c r="H114" s="473"/>
      <c r="I114" s="473"/>
      <c r="J114" s="441"/>
      <c r="K114" s="473"/>
      <c r="L114" s="473"/>
      <c r="M114" s="455"/>
      <c r="N114" s="441"/>
      <c r="O114" s="473"/>
      <c r="P114" s="473"/>
      <c r="Q114" s="499"/>
      <c r="R114" s="796"/>
      <c r="S114" s="500"/>
      <c r="T114" s="473"/>
      <c r="U114" s="500"/>
      <c r="V114" s="500"/>
      <c r="W114" s="500"/>
    </row>
    <row r="115" spans="1:23" ht="14" customHeight="1" x14ac:dyDescent="0.35">
      <c r="A115" s="766"/>
      <c r="B115" s="436"/>
      <c r="C115" s="445"/>
      <c r="D115" s="461"/>
      <c r="E115" s="461"/>
      <c r="J115" s="453"/>
      <c r="M115" s="437"/>
      <c r="N115" s="453"/>
      <c r="R115" s="791"/>
    </row>
    <row r="116" spans="1:23" ht="14" customHeight="1" x14ac:dyDescent="0.35">
      <c r="A116" s="758" t="s">
        <v>616</v>
      </c>
      <c r="B116" s="439" t="s">
        <v>598</v>
      </c>
      <c r="C116" s="439" t="s">
        <v>599</v>
      </c>
      <c r="D116" s="439" t="s">
        <v>600</v>
      </c>
      <c r="E116" s="439" t="s">
        <v>601</v>
      </c>
      <c r="F116" s="439" t="s">
        <v>602</v>
      </c>
      <c r="G116" s="440" t="s">
        <v>603</v>
      </c>
      <c r="H116" s="440" t="s">
        <v>604</v>
      </c>
      <c r="I116" s="440" t="s">
        <v>605</v>
      </c>
      <c r="J116" s="441"/>
      <c r="K116" s="440" t="s">
        <v>1071</v>
      </c>
      <c r="L116" s="440" t="s">
        <v>1079</v>
      </c>
      <c r="M116" s="440" t="s">
        <v>1072</v>
      </c>
      <c r="N116" s="441"/>
      <c r="O116" s="442" t="s">
        <v>1073</v>
      </c>
      <c r="P116" s="442" t="s">
        <v>1074</v>
      </c>
      <c r="R116" s="789"/>
    </row>
    <row r="117" spans="1:23" ht="14" customHeight="1" x14ac:dyDescent="0.35">
      <c r="A117" s="757" t="s">
        <v>689</v>
      </c>
      <c r="B117" s="449">
        <v>17675</v>
      </c>
      <c r="C117" s="449">
        <v>25995</v>
      </c>
      <c r="D117" s="448">
        <v>23950</v>
      </c>
      <c r="E117" s="448">
        <v>28250</v>
      </c>
      <c r="F117" s="449">
        <v>29575</v>
      </c>
      <c r="G117" s="437">
        <v>6225</v>
      </c>
      <c r="H117" s="437">
        <v>2325</v>
      </c>
      <c r="I117" s="437">
        <v>5125</v>
      </c>
      <c r="J117" s="453"/>
      <c r="K117" s="437">
        <v>3000</v>
      </c>
      <c r="L117" s="437">
        <v>12325</v>
      </c>
      <c r="M117" s="437">
        <v>9325</v>
      </c>
      <c r="N117" s="453"/>
      <c r="O117" s="437">
        <v>3000</v>
      </c>
      <c r="P117" s="437">
        <v>-9325</v>
      </c>
      <c r="R117" s="790"/>
      <c r="T117" s="437">
        <v>6000</v>
      </c>
    </row>
    <row r="118" spans="1:23" ht="14" customHeight="1" x14ac:dyDescent="0.35">
      <c r="A118" s="757" t="s">
        <v>690</v>
      </c>
      <c r="B118" s="449">
        <v>8375</v>
      </c>
      <c r="C118" s="452"/>
      <c r="D118" s="437">
        <v>53350</v>
      </c>
      <c r="E118" s="437">
        <v>22251</v>
      </c>
      <c r="F118" s="449">
        <v>10713</v>
      </c>
      <c r="G118" s="437">
        <v>0</v>
      </c>
      <c r="H118" s="437">
        <v>0</v>
      </c>
      <c r="I118" s="437">
        <v>21899</v>
      </c>
      <c r="J118" s="453"/>
      <c r="K118" s="437">
        <v>0</v>
      </c>
      <c r="L118" s="437">
        <v>0</v>
      </c>
      <c r="M118" s="437">
        <v>0</v>
      </c>
      <c r="N118" s="453"/>
      <c r="O118" s="437">
        <v>0</v>
      </c>
      <c r="P118" s="437">
        <v>0</v>
      </c>
      <c r="R118" s="790"/>
      <c r="T118" s="437">
        <v>0</v>
      </c>
    </row>
    <row r="119" spans="1:23" s="460" customFormat="1" ht="14" customHeight="1" x14ac:dyDescent="0.4">
      <c r="A119" s="767" t="s">
        <v>691</v>
      </c>
      <c r="B119" s="454">
        <v>26050</v>
      </c>
      <c r="C119" s="495">
        <v>25995</v>
      </c>
      <c r="D119" s="495">
        <v>77300</v>
      </c>
      <c r="E119" s="495">
        <v>50501</v>
      </c>
      <c r="F119" s="454">
        <v>40288</v>
      </c>
      <c r="G119" s="473">
        <v>6225</v>
      </c>
      <c r="H119" s="473">
        <v>2325</v>
      </c>
      <c r="I119" s="473">
        <v>27024</v>
      </c>
      <c r="J119" s="441"/>
      <c r="K119" s="473">
        <v>3000</v>
      </c>
      <c r="L119" s="473">
        <v>12325</v>
      </c>
      <c r="M119" s="455">
        <v>9325</v>
      </c>
      <c r="N119" s="441"/>
      <c r="O119" s="492">
        <v>3000</v>
      </c>
      <c r="P119" s="503">
        <v>-9325</v>
      </c>
      <c r="Q119" s="459"/>
      <c r="R119" s="789"/>
      <c r="S119" s="299"/>
      <c r="T119" s="473">
        <v>6000</v>
      </c>
      <c r="U119" s="299"/>
      <c r="V119" s="299"/>
      <c r="W119" s="299"/>
    </row>
    <row r="120" spans="1:23" ht="14" customHeight="1" x14ac:dyDescent="0.35">
      <c r="D120" s="445"/>
      <c r="E120" s="445"/>
      <c r="J120" s="453"/>
      <c r="M120" s="437"/>
      <c r="N120" s="453"/>
      <c r="R120" s="791"/>
    </row>
    <row r="121" spans="1:23" ht="14" customHeight="1" x14ac:dyDescent="0.35">
      <c r="A121" s="758" t="s">
        <v>618</v>
      </c>
      <c r="B121" s="439" t="s">
        <v>598</v>
      </c>
      <c r="C121" s="439" t="s">
        <v>599</v>
      </c>
      <c r="D121" s="439" t="s">
        <v>600</v>
      </c>
      <c r="E121" s="439" t="s">
        <v>601</v>
      </c>
      <c r="F121" s="439" t="s">
        <v>602</v>
      </c>
      <c r="G121" s="440" t="s">
        <v>603</v>
      </c>
      <c r="H121" s="440" t="s">
        <v>604</v>
      </c>
      <c r="I121" s="440" t="s">
        <v>605</v>
      </c>
      <c r="J121" s="441"/>
      <c r="K121" s="440" t="s">
        <v>1071</v>
      </c>
      <c r="L121" s="440" t="s">
        <v>1079</v>
      </c>
      <c r="M121" s="440" t="s">
        <v>1072</v>
      </c>
      <c r="N121" s="441"/>
      <c r="O121" s="442" t="s">
        <v>1073</v>
      </c>
      <c r="P121" s="442" t="s">
        <v>1074</v>
      </c>
      <c r="R121" s="789"/>
    </row>
    <row r="122" spans="1:23" ht="14" customHeight="1" x14ac:dyDescent="0.35">
      <c r="A122" s="754" t="s">
        <v>692</v>
      </c>
      <c r="B122" s="449">
        <v>1428446</v>
      </c>
      <c r="C122" s="449">
        <v>1011063</v>
      </c>
      <c r="D122" s="448">
        <v>1642439</v>
      </c>
      <c r="E122" s="448">
        <v>1994260</v>
      </c>
      <c r="F122" s="449">
        <v>1362029</v>
      </c>
      <c r="G122" s="437">
        <v>1436971</v>
      </c>
      <c r="H122" s="437">
        <v>1794806</v>
      </c>
      <c r="I122" s="437">
        <v>2500347</v>
      </c>
      <c r="J122" s="453"/>
      <c r="K122" s="437">
        <v>2250000</v>
      </c>
      <c r="L122" s="437">
        <v>2166332</v>
      </c>
      <c r="M122" s="437">
        <v>-83668</v>
      </c>
      <c r="N122" s="453"/>
      <c r="O122" s="437">
        <v>2250000</v>
      </c>
      <c r="P122" s="437">
        <v>83668</v>
      </c>
      <c r="R122" s="790"/>
      <c r="T122" s="437">
        <v>2000000</v>
      </c>
    </row>
    <row r="123" spans="1:23" ht="14" customHeight="1" x14ac:dyDescent="0.35">
      <c r="A123" s="754" t="s">
        <v>693</v>
      </c>
      <c r="B123" s="448"/>
      <c r="C123" s="449">
        <v>454445</v>
      </c>
      <c r="D123" s="448">
        <v>936821</v>
      </c>
      <c r="E123" s="448">
        <v>996130</v>
      </c>
      <c r="F123" s="449">
        <v>676375</v>
      </c>
      <c r="G123" s="437">
        <v>1124940</v>
      </c>
      <c r="H123" s="437">
        <v>1527331</v>
      </c>
      <c r="I123" s="437">
        <v>1775586</v>
      </c>
      <c r="J123" s="453"/>
      <c r="K123" s="437">
        <v>1220218</v>
      </c>
      <c r="L123" s="437">
        <v>1126758</v>
      </c>
      <c r="M123" s="437">
        <v>-93460</v>
      </c>
      <c r="N123" s="453"/>
      <c r="O123" s="437">
        <v>1120218</v>
      </c>
      <c r="P123" s="437">
        <v>-6540</v>
      </c>
      <c r="R123" s="790"/>
      <c r="T123" s="437">
        <v>1060000</v>
      </c>
    </row>
    <row r="124" spans="1:23" ht="14" customHeight="1" x14ac:dyDescent="0.35">
      <c r="A124" s="754" t="s">
        <v>694</v>
      </c>
      <c r="B124" s="448"/>
      <c r="C124" s="448"/>
      <c r="D124" s="448">
        <v>130383</v>
      </c>
      <c r="E124" s="448">
        <v>4900</v>
      </c>
      <c r="F124" s="449">
        <v>1000</v>
      </c>
      <c r="G124" s="437">
        <v>41468</v>
      </c>
      <c r="H124" s="437">
        <v>25097</v>
      </c>
      <c r="I124" s="437">
        <v>40050</v>
      </c>
      <c r="J124" s="453"/>
      <c r="K124" s="437">
        <v>8000</v>
      </c>
      <c r="L124" s="437">
        <v>23800</v>
      </c>
      <c r="M124" s="437">
        <v>15800</v>
      </c>
      <c r="N124" s="453"/>
      <c r="O124" s="437">
        <v>26000</v>
      </c>
      <c r="P124" s="437">
        <v>2200</v>
      </c>
      <c r="R124" s="790"/>
      <c r="T124" s="437">
        <v>16000</v>
      </c>
    </row>
    <row r="125" spans="1:23" ht="14" customHeight="1" x14ac:dyDescent="0.35">
      <c r="A125" s="754" t="s">
        <v>695</v>
      </c>
      <c r="B125" s="449">
        <v>393499</v>
      </c>
      <c r="C125" s="449">
        <v>155176</v>
      </c>
      <c r="D125" s="449">
        <v>975713</v>
      </c>
      <c r="E125" s="449">
        <v>385216</v>
      </c>
      <c r="F125" s="449">
        <v>284287</v>
      </c>
      <c r="G125" s="437">
        <v>1490813</v>
      </c>
      <c r="H125" s="437">
        <v>1911502</v>
      </c>
      <c r="I125" s="437">
        <v>2605561</v>
      </c>
      <c r="J125" s="453"/>
      <c r="K125" s="437">
        <v>2063700</v>
      </c>
      <c r="L125" s="437">
        <v>2240745</v>
      </c>
      <c r="M125" s="437">
        <v>177045</v>
      </c>
      <c r="N125" s="453"/>
      <c r="O125" s="437">
        <v>3000000</v>
      </c>
      <c r="P125" s="437">
        <v>759255</v>
      </c>
      <c r="R125" s="790"/>
      <c r="T125" s="437">
        <v>2251200</v>
      </c>
    </row>
    <row r="126" spans="1:23" ht="14" customHeight="1" x14ac:dyDescent="0.35">
      <c r="A126" s="754" t="s">
        <v>696</v>
      </c>
      <c r="B126" s="437"/>
      <c r="C126" s="437"/>
      <c r="D126" s="437"/>
      <c r="E126" s="437"/>
      <c r="F126" s="437"/>
      <c r="G126" s="437">
        <v>2000</v>
      </c>
      <c r="H126" s="437">
        <v>0</v>
      </c>
      <c r="I126" s="437">
        <v>3000</v>
      </c>
      <c r="J126" s="453"/>
      <c r="K126" s="437">
        <v>0</v>
      </c>
      <c r="L126" s="437">
        <v>0</v>
      </c>
      <c r="M126" s="437">
        <v>0</v>
      </c>
      <c r="N126" s="453"/>
      <c r="O126" s="437">
        <v>0</v>
      </c>
      <c r="P126" s="437">
        <v>0</v>
      </c>
      <c r="R126" s="790"/>
      <c r="T126" s="437">
        <v>0</v>
      </c>
    </row>
    <row r="127" spans="1:23" ht="14" customHeight="1" x14ac:dyDescent="0.35">
      <c r="A127" s="754" t="s">
        <v>697</v>
      </c>
      <c r="B127" s="437"/>
      <c r="C127" s="437"/>
      <c r="D127" s="437"/>
      <c r="E127" s="437"/>
      <c r="F127" s="437"/>
      <c r="G127" s="437">
        <v>25</v>
      </c>
      <c r="H127" s="437">
        <v>0</v>
      </c>
      <c r="I127" s="437">
        <v>0</v>
      </c>
      <c r="J127" s="453"/>
      <c r="K127" s="437">
        <v>0</v>
      </c>
      <c r="L127" s="437">
        <v>0</v>
      </c>
      <c r="M127" s="437">
        <v>0</v>
      </c>
      <c r="N127" s="453"/>
      <c r="O127" s="437">
        <v>0</v>
      </c>
      <c r="P127" s="437">
        <v>0</v>
      </c>
      <c r="R127" s="790"/>
      <c r="T127" s="437">
        <v>0</v>
      </c>
    </row>
    <row r="128" spans="1:23" s="460" customFormat="1" ht="14" customHeight="1" x14ac:dyDescent="0.4">
      <c r="A128" s="765" t="s">
        <v>698</v>
      </c>
      <c r="B128" s="472">
        <v>624411</v>
      </c>
      <c r="C128" s="472">
        <v>931273</v>
      </c>
      <c r="D128" s="454">
        <v>3719256</v>
      </c>
      <c r="E128" s="454">
        <v>4694368</v>
      </c>
      <c r="F128" s="454">
        <v>3191973</v>
      </c>
      <c r="G128" s="473">
        <v>4096218</v>
      </c>
      <c r="H128" s="473">
        <v>5258735</v>
      </c>
      <c r="I128" s="473">
        <v>6924544</v>
      </c>
      <c r="J128" s="441"/>
      <c r="K128" s="473">
        <v>5541918</v>
      </c>
      <c r="L128" s="473">
        <v>5557636</v>
      </c>
      <c r="M128" s="455">
        <v>15718</v>
      </c>
      <c r="N128" s="441"/>
      <c r="O128" s="491">
        <v>6396218</v>
      </c>
      <c r="P128" s="511">
        <v>838582</v>
      </c>
      <c r="Q128" s="459"/>
      <c r="R128" s="789" t="s">
        <v>1075</v>
      </c>
      <c r="S128" s="299"/>
      <c r="T128" s="473">
        <v>5327200</v>
      </c>
      <c r="U128" s="299"/>
      <c r="V128" s="299"/>
      <c r="W128" s="299"/>
    </row>
    <row r="129" spans="1:23" s="508" customFormat="1" ht="14" customHeight="1" x14ac:dyDescent="0.4">
      <c r="A129" s="768" t="s">
        <v>699</v>
      </c>
      <c r="B129" s="505">
        <v>52107527</v>
      </c>
      <c r="C129" s="505">
        <v>60973032</v>
      </c>
      <c r="D129" s="506">
        <v>70843977</v>
      </c>
      <c r="E129" s="506">
        <v>92554266</v>
      </c>
      <c r="F129" s="506">
        <v>122278514</v>
      </c>
      <c r="G129" s="504">
        <v>97647033</v>
      </c>
      <c r="H129" s="504">
        <v>101786622</v>
      </c>
      <c r="I129" s="504">
        <v>103268984</v>
      </c>
      <c r="J129" s="487"/>
      <c r="K129" s="504">
        <v>122397110</v>
      </c>
      <c r="L129" s="504">
        <v>123146003</v>
      </c>
      <c r="M129" s="504">
        <v>748893</v>
      </c>
      <c r="N129" s="487"/>
      <c r="O129" s="507">
        <v>105240438</v>
      </c>
      <c r="P129" s="507">
        <v>-17905565</v>
      </c>
      <c r="Q129" s="459"/>
      <c r="R129" s="789"/>
      <c r="S129" s="299"/>
      <c r="T129" s="504">
        <v>96505567</v>
      </c>
      <c r="U129" s="299"/>
      <c r="V129" s="299"/>
      <c r="W129" s="299"/>
    </row>
    <row r="130" spans="1:23" ht="14" customHeight="1" x14ac:dyDescent="0.35">
      <c r="A130" s="756"/>
      <c r="B130" s="445"/>
      <c r="C130" s="445"/>
      <c r="D130" s="483"/>
      <c r="E130" s="483"/>
      <c r="F130" s="483"/>
      <c r="G130" s="448"/>
      <c r="H130" s="448"/>
      <c r="I130" s="448"/>
      <c r="J130" s="509"/>
      <c r="K130" s="448"/>
      <c r="L130" s="448"/>
      <c r="M130" s="448"/>
      <c r="N130" s="509"/>
      <c r="O130" s="510"/>
      <c r="P130" s="510"/>
      <c r="R130" s="791"/>
      <c r="T130" s="448"/>
    </row>
    <row r="131" spans="1:23" ht="14" customHeight="1" x14ac:dyDescent="0.35">
      <c r="A131" s="768" t="s">
        <v>700</v>
      </c>
      <c r="B131" s="439" t="s">
        <v>598</v>
      </c>
      <c r="C131" s="439" t="s">
        <v>599</v>
      </c>
      <c r="D131" s="439" t="s">
        <v>600</v>
      </c>
      <c r="E131" s="439" t="s">
        <v>601</v>
      </c>
      <c r="F131" s="439" t="s">
        <v>602</v>
      </c>
      <c r="G131" s="440" t="s">
        <v>603</v>
      </c>
      <c r="H131" s="440" t="s">
        <v>604</v>
      </c>
      <c r="I131" s="440" t="s">
        <v>605</v>
      </c>
      <c r="J131" s="441"/>
      <c r="K131" s="440" t="s">
        <v>1071</v>
      </c>
      <c r="L131" s="440" t="s">
        <v>1079</v>
      </c>
      <c r="M131" s="440" t="s">
        <v>1072</v>
      </c>
      <c r="N131" s="441"/>
      <c r="O131" s="442" t="s">
        <v>1073</v>
      </c>
      <c r="P131" s="442" t="s">
        <v>1074</v>
      </c>
      <c r="R131" s="791"/>
    </row>
    <row r="132" spans="1:23" ht="14" customHeight="1" x14ac:dyDescent="0.35">
      <c r="A132" s="757" t="s">
        <v>701</v>
      </c>
      <c r="B132" s="437">
        <v>2381033</v>
      </c>
      <c r="C132" s="437">
        <v>2450000</v>
      </c>
      <c r="D132" s="449">
        <v>3467657</v>
      </c>
      <c r="E132" s="449">
        <v>3862043</v>
      </c>
      <c r="F132" s="449">
        <v>4946600</v>
      </c>
      <c r="G132" s="448">
        <v>3177732</v>
      </c>
      <c r="H132" s="448">
        <v>3412546</v>
      </c>
      <c r="I132" s="448">
        <v>3531250</v>
      </c>
      <c r="J132" s="509"/>
      <c r="K132" s="448">
        <v>3400000</v>
      </c>
      <c r="L132" s="448">
        <v>3400000</v>
      </c>
      <c r="M132" s="448">
        <v>0</v>
      </c>
      <c r="N132" s="509"/>
      <c r="O132" s="448">
        <v>3400000</v>
      </c>
      <c r="P132" s="448">
        <v>0</v>
      </c>
      <c r="R132" s="797"/>
      <c r="S132" s="750"/>
      <c r="T132" s="448">
        <v>3531250</v>
      </c>
    </row>
    <row r="133" spans="1:23" ht="14" customHeight="1" x14ac:dyDescent="0.35">
      <c r="A133" s="754" t="s">
        <v>702</v>
      </c>
      <c r="B133" s="437">
        <v>1250004</v>
      </c>
      <c r="C133" s="437">
        <v>1500003</v>
      </c>
      <c r="D133" s="448">
        <v>2250000</v>
      </c>
      <c r="E133" s="448">
        <v>4315053</v>
      </c>
      <c r="F133" s="448" t="s">
        <v>635</v>
      </c>
      <c r="G133" s="437">
        <v>0</v>
      </c>
      <c r="H133" s="437">
        <v>0</v>
      </c>
      <c r="I133" s="437">
        <v>0</v>
      </c>
      <c r="J133" s="453"/>
      <c r="K133" s="437">
        <v>0</v>
      </c>
      <c r="L133" s="437">
        <v>0</v>
      </c>
      <c r="M133" s="437">
        <v>0</v>
      </c>
      <c r="N133" s="453"/>
      <c r="O133" s="437">
        <v>0</v>
      </c>
      <c r="P133" s="437">
        <v>0</v>
      </c>
      <c r="R133" s="797"/>
      <c r="S133" s="750"/>
      <c r="T133" s="437">
        <v>0</v>
      </c>
    </row>
    <row r="134" spans="1:23" ht="14" customHeight="1" x14ac:dyDescent="0.35">
      <c r="A134" s="769" t="s">
        <v>1001</v>
      </c>
      <c r="B134" s="437"/>
      <c r="C134" s="437"/>
      <c r="D134" s="448"/>
      <c r="E134" s="448"/>
      <c r="F134" s="448"/>
      <c r="G134" s="437">
        <v>1000000</v>
      </c>
      <c r="H134" s="437">
        <v>0</v>
      </c>
      <c r="I134" s="437">
        <v>3933333</v>
      </c>
      <c r="J134" s="453"/>
      <c r="K134" s="437">
        <v>4960000</v>
      </c>
      <c r="L134" s="437">
        <v>2945000</v>
      </c>
      <c r="M134" s="437">
        <v>-2015000</v>
      </c>
      <c r="N134" s="453"/>
      <c r="O134" s="437">
        <v>5150000</v>
      </c>
      <c r="P134" s="437">
        <v>2205000</v>
      </c>
      <c r="R134" s="797"/>
      <c r="S134" s="750"/>
    </row>
    <row r="135" spans="1:23" ht="14" customHeight="1" x14ac:dyDescent="0.35">
      <c r="A135" s="757" t="s">
        <v>703</v>
      </c>
      <c r="B135" s="437"/>
      <c r="C135" s="437"/>
      <c r="D135" s="448"/>
      <c r="E135" s="448"/>
      <c r="F135" s="448" t="s">
        <v>635</v>
      </c>
      <c r="G135" s="437">
        <v>50000000</v>
      </c>
      <c r="H135" s="437">
        <v>18719385</v>
      </c>
      <c r="I135" s="437">
        <v>2562843</v>
      </c>
      <c r="J135" s="453"/>
      <c r="K135" s="437">
        <v>0</v>
      </c>
      <c r="L135" s="437">
        <v>0</v>
      </c>
      <c r="M135" s="437">
        <v>0</v>
      </c>
      <c r="N135" s="453"/>
      <c r="O135" s="437">
        <v>0</v>
      </c>
      <c r="P135" s="437">
        <v>0</v>
      </c>
      <c r="R135" s="797"/>
      <c r="S135" s="750"/>
      <c r="T135" s="437">
        <v>0</v>
      </c>
    </row>
    <row r="136" spans="1:23" ht="14" customHeight="1" x14ac:dyDescent="0.35">
      <c r="A136" s="754" t="s">
        <v>633</v>
      </c>
      <c r="B136" s="437">
        <v>1275356</v>
      </c>
      <c r="C136" s="437">
        <v>2401226</v>
      </c>
      <c r="D136" s="449">
        <v>2993056</v>
      </c>
      <c r="E136" s="449">
        <v>2155935</v>
      </c>
      <c r="F136" s="449">
        <v>-828548</v>
      </c>
      <c r="G136" s="437">
        <v>6861087</v>
      </c>
      <c r="H136" s="437">
        <v>5289330</v>
      </c>
      <c r="I136" s="437">
        <v>6035122</v>
      </c>
      <c r="J136" s="453"/>
      <c r="K136" s="437">
        <v>4600000</v>
      </c>
      <c r="L136" s="437">
        <v>5883785</v>
      </c>
      <c r="M136" s="437">
        <v>1283785</v>
      </c>
      <c r="N136" s="453"/>
      <c r="O136" s="437">
        <v>4800000</v>
      </c>
      <c r="P136" s="437">
        <v>-1083785</v>
      </c>
      <c r="R136" s="797"/>
      <c r="S136" s="750"/>
      <c r="T136" s="437">
        <v>4995000</v>
      </c>
    </row>
    <row r="137" spans="1:23" s="508" customFormat="1" ht="14" customHeight="1" x14ac:dyDescent="0.4">
      <c r="A137" s="778" t="s">
        <v>704</v>
      </c>
      <c r="B137" s="779">
        <v>4906393</v>
      </c>
      <c r="C137" s="779">
        <v>6351229</v>
      </c>
      <c r="D137" s="513">
        <v>8710713</v>
      </c>
      <c r="E137" s="513">
        <v>10333031</v>
      </c>
      <c r="F137" s="513">
        <v>4118052</v>
      </c>
      <c r="G137" s="512">
        <v>61038819</v>
      </c>
      <c r="H137" s="512">
        <v>27421261</v>
      </c>
      <c r="I137" s="512">
        <v>16062548</v>
      </c>
      <c r="J137" s="453"/>
      <c r="K137" s="512">
        <v>12960000</v>
      </c>
      <c r="L137" s="512">
        <v>12228785</v>
      </c>
      <c r="M137" s="514">
        <v>-731215</v>
      </c>
      <c r="N137" s="453"/>
      <c r="O137" s="780">
        <v>13350000</v>
      </c>
      <c r="P137" s="512">
        <v>1121215</v>
      </c>
      <c r="Q137" s="459"/>
      <c r="R137" s="789"/>
      <c r="S137" s="753"/>
      <c r="T137" s="511">
        <v>10026250</v>
      </c>
      <c r="U137" s="299"/>
      <c r="V137" s="299"/>
      <c r="W137" s="299"/>
    </row>
    <row r="138" spans="1:23" s="515" customFormat="1" ht="14" customHeight="1" x14ac:dyDescent="0.4">
      <c r="A138" s="781" t="s">
        <v>705</v>
      </c>
      <c r="B138" s="782">
        <v>57013920</v>
      </c>
      <c r="C138" s="782">
        <v>67324261</v>
      </c>
      <c r="D138" s="783">
        <v>79554690</v>
      </c>
      <c r="E138" s="783">
        <v>102887297</v>
      </c>
      <c r="F138" s="783">
        <v>126396566</v>
      </c>
      <c r="G138" s="784">
        <v>158685852</v>
      </c>
      <c r="H138" s="784">
        <v>129207883</v>
      </c>
      <c r="I138" s="784">
        <v>119331531</v>
      </c>
      <c r="J138" s="453"/>
      <c r="K138" s="784">
        <v>135357110</v>
      </c>
      <c r="L138" s="784">
        <v>135374788</v>
      </c>
      <c r="M138" s="784">
        <v>17678</v>
      </c>
      <c r="N138" s="453"/>
      <c r="O138" s="785">
        <v>118590438</v>
      </c>
      <c r="P138" s="785">
        <v>-16784350</v>
      </c>
      <c r="Q138" s="459"/>
      <c r="R138" s="789"/>
      <c r="S138" s="753"/>
      <c r="T138" s="514">
        <v>106531817</v>
      </c>
      <c r="U138" s="299"/>
      <c r="V138" s="299"/>
      <c r="W138" s="299"/>
    </row>
    <row r="139" spans="1:23" ht="14" customHeight="1" x14ac:dyDescent="0.35">
      <c r="D139" s="461"/>
      <c r="E139" s="448"/>
      <c r="M139" s="437"/>
      <c r="R139" s="791"/>
    </row>
    <row r="140" spans="1:23" ht="14" customHeight="1" x14ac:dyDescent="0.35">
      <c r="A140" s="899" t="s">
        <v>706</v>
      </c>
      <c r="B140" s="899"/>
      <c r="C140" s="899"/>
      <c r="D140" s="899"/>
      <c r="E140" s="899"/>
      <c r="F140" s="899"/>
      <c r="G140" s="899"/>
      <c r="H140" s="899"/>
      <c r="I140" s="899"/>
      <c r="J140" s="899"/>
      <c r="K140" s="899"/>
      <c r="L140" s="899"/>
      <c r="M140" s="899"/>
      <c r="N140" s="899"/>
      <c r="O140" s="899"/>
      <c r="P140" s="899"/>
      <c r="R140" s="791"/>
      <c r="T140" s="436"/>
    </row>
    <row r="141" spans="1:23" ht="14" customHeight="1" x14ac:dyDescent="0.35">
      <c r="A141" s="808" t="s">
        <v>707</v>
      </c>
      <c r="B141" s="439" t="s">
        <v>598</v>
      </c>
      <c r="C141" s="439" t="s">
        <v>599</v>
      </c>
      <c r="D141" s="439" t="s">
        <v>600</v>
      </c>
      <c r="E141" s="439" t="s">
        <v>601</v>
      </c>
      <c r="F141" s="439" t="s">
        <v>602</v>
      </c>
      <c r="G141" s="440" t="s">
        <v>603</v>
      </c>
      <c r="H141" s="440" t="s">
        <v>604</v>
      </c>
      <c r="I141" s="440" t="s">
        <v>605</v>
      </c>
      <c r="J141" s="441"/>
      <c r="K141" s="440" t="s">
        <v>1071</v>
      </c>
      <c r="L141" s="440" t="s">
        <v>1079</v>
      </c>
      <c r="M141" s="440" t="s">
        <v>1072</v>
      </c>
      <c r="N141" s="441"/>
      <c r="O141" s="442" t="s">
        <v>1073</v>
      </c>
      <c r="P141" s="442" t="s">
        <v>1074</v>
      </c>
      <c r="R141" s="793"/>
      <c r="T141" s="446" t="s">
        <v>607</v>
      </c>
    </row>
    <row r="142" spans="1:23" ht="14" customHeight="1" x14ac:dyDescent="0.35">
      <c r="A142" s="757" t="s">
        <v>708</v>
      </c>
      <c r="B142" s="437"/>
      <c r="C142" s="437"/>
      <c r="D142" s="449"/>
      <c r="E142" s="449"/>
      <c r="F142" s="449">
        <v>679474</v>
      </c>
      <c r="G142" s="437">
        <v>914247</v>
      </c>
      <c r="H142" s="437">
        <v>722971</v>
      </c>
      <c r="I142" s="437">
        <v>664916</v>
      </c>
      <c r="J142" s="453"/>
      <c r="K142" s="437">
        <v>815800</v>
      </c>
      <c r="L142" s="437">
        <v>820954</v>
      </c>
      <c r="M142" s="437">
        <v>-5154</v>
      </c>
      <c r="N142" s="453"/>
      <c r="O142" s="437">
        <v>852800</v>
      </c>
      <c r="P142" s="437">
        <v>-31846</v>
      </c>
      <c r="Q142" s="435" t="s">
        <v>709</v>
      </c>
      <c r="R142" s="794"/>
      <c r="T142" s="437">
        <v>757000</v>
      </c>
    </row>
    <row r="143" spans="1:23" ht="14" customHeight="1" x14ac:dyDescent="0.35">
      <c r="A143" s="757" t="s">
        <v>710</v>
      </c>
      <c r="B143" s="437"/>
      <c r="C143" s="437"/>
      <c r="D143" s="449"/>
      <c r="E143" s="449"/>
      <c r="F143" s="449">
        <v>243769</v>
      </c>
      <c r="G143" s="437">
        <v>246545</v>
      </c>
      <c r="H143" s="437">
        <v>328590</v>
      </c>
      <c r="I143" s="437">
        <v>110502</v>
      </c>
      <c r="J143" s="453"/>
      <c r="K143" s="437">
        <v>225800</v>
      </c>
      <c r="L143" s="437">
        <v>217887</v>
      </c>
      <c r="M143" s="437">
        <v>7913</v>
      </c>
      <c r="N143" s="453"/>
      <c r="O143" s="437">
        <v>225800</v>
      </c>
      <c r="P143" s="437">
        <v>-7913</v>
      </c>
      <c r="R143" s="794"/>
      <c r="T143" s="437">
        <v>225800</v>
      </c>
    </row>
    <row r="144" spans="1:23" ht="14" customHeight="1" x14ac:dyDescent="0.35">
      <c r="D144" s="449"/>
      <c r="E144" s="449"/>
      <c r="F144" s="449"/>
      <c r="J144" s="453"/>
      <c r="M144" s="437"/>
      <c r="N144" s="453"/>
      <c r="O144" s="437"/>
      <c r="P144" s="437"/>
      <c r="R144" s="793"/>
    </row>
    <row r="145" spans="1:23" ht="14" customHeight="1" x14ac:dyDescent="0.35">
      <c r="A145" s="770" t="s">
        <v>711</v>
      </c>
      <c r="D145" s="449"/>
      <c r="E145" s="449"/>
      <c r="F145" s="449"/>
      <c r="J145" s="453"/>
      <c r="M145" s="437"/>
      <c r="N145" s="453"/>
      <c r="O145" s="437"/>
      <c r="P145" s="437"/>
    </row>
    <row r="146" spans="1:23" ht="14" customHeight="1" x14ac:dyDescent="0.35">
      <c r="A146" s="754" t="s">
        <v>712</v>
      </c>
      <c r="B146" s="437"/>
      <c r="C146" s="437"/>
      <c r="D146" s="449"/>
      <c r="E146" s="449"/>
      <c r="F146" s="437">
        <v>4929</v>
      </c>
      <c r="G146" s="437">
        <v>413</v>
      </c>
      <c r="H146" s="437">
        <v>3258</v>
      </c>
      <c r="I146" s="437">
        <v>79</v>
      </c>
      <c r="J146" s="453"/>
      <c r="K146" s="437">
        <v>407</v>
      </c>
      <c r="L146" s="437">
        <v>204</v>
      </c>
      <c r="M146" s="437">
        <v>204</v>
      </c>
      <c r="N146" s="453"/>
      <c r="O146" s="437">
        <v>500</v>
      </c>
      <c r="P146" s="437">
        <v>-296</v>
      </c>
      <c r="R146" s="751"/>
      <c r="T146" s="437">
        <v>3360</v>
      </c>
    </row>
    <row r="147" spans="1:23" s="435" customFormat="1" ht="14" customHeight="1" x14ac:dyDescent="0.35">
      <c r="A147" s="754" t="s">
        <v>713</v>
      </c>
      <c r="B147" s="437"/>
      <c r="C147" s="437"/>
      <c r="D147" s="449"/>
      <c r="E147" s="449"/>
      <c r="F147" s="437">
        <v>4423</v>
      </c>
      <c r="G147" s="437">
        <v>4218</v>
      </c>
      <c r="H147" s="437">
        <v>10</v>
      </c>
      <c r="I147" s="437">
        <v>0</v>
      </c>
      <c r="J147" s="453"/>
      <c r="K147" s="437">
        <v>0</v>
      </c>
      <c r="L147" s="437">
        <v>0</v>
      </c>
      <c r="M147" s="437">
        <v>0</v>
      </c>
      <c r="N147" s="453"/>
      <c r="O147" s="437">
        <v>0</v>
      </c>
      <c r="P147" s="437">
        <v>0</v>
      </c>
      <c r="R147" s="751"/>
      <c r="S147" s="436"/>
      <c r="T147" s="437">
        <v>5850</v>
      </c>
      <c r="U147" s="436"/>
      <c r="V147" s="436"/>
      <c r="W147" s="436"/>
    </row>
    <row r="148" spans="1:23" s="435" customFormat="1" ht="14" customHeight="1" x14ac:dyDescent="0.35">
      <c r="A148" s="754" t="s">
        <v>714</v>
      </c>
      <c r="B148" s="437"/>
      <c r="C148" s="437"/>
      <c r="D148" s="449"/>
      <c r="E148" s="449"/>
      <c r="F148" s="437">
        <v>0</v>
      </c>
      <c r="G148" s="437">
        <v>518</v>
      </c>
      <c r="H148" s="437">
        <v>1360</v>
      </c>
      <c r="I148" s="437">
        <v>838</v>
      </c>
      <c r="J148" s="453"/>
      <c r="K148" s="437">
        <v>354</v>
      </c>
      <c r="L148" s="437">
        <v>177</v>
      </c>
      <c r="M148" s="437">
        <v>177</v>
      </c>
      <c r="N148" s="453"/>
      <c r="O148" s="437">
        <v>500</v>
      </c>
      <c r="P148" s="437">
        <v>-323</v>
      </c>
      <c r="R148" s="751"/>
      <c r="S148" s="436"/>
      <c r="T148" s="437">
        <v>400</v>
      </c>
      <c r="U148" s="436"/>
      <c r="V148" s="436"/>
      <c r="W148" s="436"/>
    </row>
    <row r="149" spans="1:23" s="435" customFormat="1" ht="14" customHeight="1" x14ac:dyDescent="0.35">
      <c r="A149" s="754" t="s">
        <v>715</v>
      </c>
      <c r="B149" s="437"/>
      <c r="C149" s="437"/>
      <c r="D149" s="449"/>
      <c r="E149" s="449"/>
      <c r="F149" s="448">
        <v>0</v>
      </c>
      <c r="G149" s="437">
        <v>0</v>
      </c>
      <c r="H149" s="437">
        <v>0</v>
      </c>
      <c r="I149" s="437">
        <v>4493</v>
      </c>
      <c r="J149" s="453"/>
      <c r="K149" s="437">
        <v>25000</v>
      </c>
      <c r="L149" s="437">
        <v>18877</v>
      </c>
      <c r="M149" s="437">
        <v>6123</v>
      </c>
      <c r="N149" s="453"/>
      <c r="O149" s="437">
        <v>25000</v>
      </c>
      <c r="P149" s="437">
        <v>-6123</v>
      </c>
      <c r="R149" s="751"/>
      <c r="S149" s="436"/>
      <c r="T149" s="437">
        <v>9400</v>
      </c>
      <c r="U149" s="436"/>
      <c r="V149" s="436"/>
      <c r="W149" s="436"/>
    </row>
    <row r="150" spans="1:23" s="435" customFormat="1" ht="14" customHeight="1" x14ac:dyDescent="0.35">
      <c r="A150" s="754" t="s">
        <v>716</v>
      </c>
      <c r="B150" s="437"/>
      <c r="C150" s="437"/>
      <c r="D150" s="449"/>
      <c r="E150" s="449"/>
      <c r="F150" s="449">
        <v>71445</v>
      </c>
      <c r="G150" s="437">
        <v>60164</v>
      </c>
      <c r="H150" s="437">
        <v>88149</v>
      </c>
      <c r="I150" s="437">
        <v>212901</v>
      </c>
      <c r="J150" s="453"/>
      <c r="K150" s="437">
        <v>445796</v>
      </c>
      <c r="L150" s="437">
        <v>323920</v>
      </c>
      <c r="M150" s="437">
        <v>121877</v>
      </c>
      <c r="N150" s="453"/>
      <c r="O150" s="437">
        <v>198770</v>
      </c>
      <c r="P150" s="437">
        <v>125150</v>
      </c>
      <c r="R150" s="751"/>
      <c r="S150" s="436"/>
      <c r="T150" s="437">
        <v>147500</v>
      </c>
      <c r="U150" s="436"/>
      <c r="V150" s="436"/>
      <c r="W150" s="436"/>
    </row>
    <row r="151" spans="1:23" s="435" customFormat="1" ht="14" customHeight="1" x14ac:dyDescent="0.35">
      <c r="A151" s="751" t="s">
        <v>1002</v>
      </c>
      <c r="B151" s="437"/>
      <c r="C151" s="437"/>
      <c r="D151" s="449"/>
      <c r="E151" s="449"/>
      <c r="F151" s="449">
        <v>9</v>
      </c>
      <c r="G151" s="448">
        <v>0</v>
      </c>
      <c r="H151" s="437">
        <v>0</v>
      </c>
      <c r="I151" s="437">
        <v>36</v>
      </c>
      <c r="J151" s="453"/>
      <c r="K151" s="437">
        <v>0</v>
      </c>
      <c r="L151" s="437">
        <v>0</v>
      </c>
      <c r="M151" s="437">
        <v>0</v>
      </c>
      <c r="N151" s="453"/>
      <c r="O151" s="437">
        <v>0</v>
      </c>
      <c r="P151" s="437">
        <v>0</v>
      </c>
      <c r="R151" s="751"/>
      <c r="S151" s="436"/>
      <c r="T151" s="437"/>
      <c r="U151" s="436"/>
      <c r="V151" s="436"/>
      <c r="W151" s="436"/>
    </row>
    <row r="152" spans="1:23" s="435" customFormat="1" ht="14" customHeight="1" x14ac:dyDescent="0.35">
      <c r="A152" s="754" t="s">
        <v>717</v>
      </c>
      <c r="B152" s="437"/>
      <c r="C152" s="437"/>
      <c r="D152" s="449"/>
      <c r="E152" s="449"/>
      <c r="F152" s="437">
        <v>367579</v>
      </c>
      <c r="G152" s="437">
        <v>342972</v>
      </c>
      <c r="H152" s="437">
        <v>146159</v>
      </c>
      <c r="I152" s="437">
        <v>99606</v>
      </c>
      <c r="J152" s="453"/>
      <c r="K152" s="437">
        <v>26000</v>
      </c>
      <c r="L152" s="437">
        <v>13660</v>
      </c>
      <c r="M152" s="437">
        <v>12340</v>
      </c>
      <c r="N152" s="453"/>
      <c r="O152" s="437">
        <v>153000</v>
      </c>
      <c r="P152" s="437">
        <v>-139340</v>
      </c>
      <c r="R152" s="751"/>
      <c r="S152" s="436"/>
      <c r="T152" s="437">
        <v>25400</v>
      </c>
      <c r="U152" s="436"/>
      <c r="V152" s="436"/>
      <c r="W152" s="436"/>
    </row>
    <row r="153" spans="1:23" s="435" customFormat="1" ht="14" customHeight="1" x14ac:dyDescent="0.35">
      <c r="A153" s="754" t="s">
        <v>718</v>
      </c>
      <c r="B153" s="437"/>
      <c r="C153" s="437"/>
      <c r="D153" s="449"/>
      <c r="E153" s="449"/>
      <c r="F153" s="437">
        <v>0</v>
      </c>
      <c r="G153" s="437">
        <v>0</v>
      </c>
      <c r="H153" s="437">
        <v>21</v>
      </c>
      <c r="I153" s="437">
        <v>0</v>
      </c>
      <c r="J153" s="453"/>
      <c r="K153" s="437">
        <v>0</v>
      </c>
      <c r="L153" s="437">
        <v>0</v>
      </c>
      <c r="M153" s="437">
        <v>0</v>
      </c>
      <c r="N153" s="453"/>
      <c r="O153" s="437">
        <v>0</v>
      </c>
      <c r="P153" s="437">
        <v>0</v>
      </c>
      <c r="R153" s="751"/>
      <c r="S153" s="436"/>
      <c r="T153" s="437">
        <v>0</v>
      </c>
      <c r="U153" s="436"/>
      <c r="V153" s="436"/>
      <c r="W153" s="436"/>
    </row>
    <row r="154" spans="1:23" s="435" customFormat="1" ht="14" customHeight="1" x14ac:dyDescent="0.35">
      <c r="A154" s="754" t="s">
        <v>719</v>
      </c>
      <c r="B154" s="437"/>
      <c r="C154" s="437"/>
      <c r="D154" s="449"/>
      <c r="E154" s="449"/>
      <c r="F154" s="449">
        <v>5249</v>
      </c>
      <c r="G154" s="437">
        <v>5</v>
      </c>
      <c r="H154" s="437">
        <v>942</v>
      </c>
      <c r="I154" s="437">
        <v>727</v>
      </c>
      <c r="J154" s="453"/>
      <c r="K154" s="437">
        <v>0</v>
      </c>
      <c r="L154" s="437">
        <v>0</v>
      </c>
      <c r="M154" s="437">
        <v>0</v>
      </c>
      <c r="N154" s="453"/>
      <c r="O154" s="437">
        <v>0</v>
      </c>
      <c r="P154" s="437">
        <v>0</v>
      </c>
      <c r="R154" s="751"/>
      <c r="S154" s="436"/>
      <c r="T154" s="437">
        <v>0</v>
      </c>
      <c r="U154" s="436"/>
      <c r="V154" s="436"/>
      <c r="W154" s="436"/>
    </row>
    <row r="155" spans="1:23" s="435" customFormat="1" ht="14" customHeight="1" x14ac:dyDescent="0.35">
      <c r="A155" s="754" t="s">
        <v>720</v>
      </c>
      <c r="B155" s="437"/>
      <c r="C155" s="437"/>
      <c r="D155" s="437"/>
      <c r="E155" s="437"/>
      <c r="F155" s="449">
        <v>262500</v>
      </c>
      <c r="G155" s="437">
        <v>112523</v>
      </c>
      <c r="H155" s="437">
        <v>0</v>
      </c>
      <c r="I155" s="437">
        <v>0</v>
      </c>
      <c r="J155" s="453"/>
      <c r="K155" s="437">
        <v>50000</v>
      </c>
      <c r="L155" s="437">
        <v>25000</v>
      </c>
      <c r="M155" s="437">
        <v>25000</v>
      </c>
      <c r="N155" s="453"/>
      <c r="O155" s="437">
        <v>0</v>
      </c>
      <c r="P155" s="437">
        <v>25000</v>
      </c>
      <c r="R155" s="751"/>
      <c r="S155" s="436"/>
      <c r="T155" s="437">
        <v>100000</v>
      </c>
      <c r="U155" s="436"/>
      <c r="V155" s="436"/>
      <c r="W155" s="436"/>
    </row>
    <row r="156" spans="1:23" s="435" customFormat="1" ht="14" customHeight="1" x14ac:dyDescent="0.35">
      <c r="A156" s="751" t="s">
        <v>1003</v>
      </c>
      <c r="B156" s="437"/>
      <c r="C156" s="437"/>
      <c r="D156" s="437"/>
      <c r="E156" s="437"/>
      <c r="F156" s="449">
        <v>0</v>
      </c>
      <c r="G156" s="437">
        <v>0</v>
      </c>
      <c r="H156" s="437">
        <v>0</v>
      </c>
      <c r="I156" s="437">
        <v>0</v>
      </c>
      <c r="J156" s="453"/>
      <c r="K156" s="437">
        <v>0</v>
      </c>
      <c r="L156" s="437">
        <v>387</v>
      </c>
      <c r="M156" s="437">
        <v>-387</v>
      </c>
      <c r="N156" s="453"/>
      <c r="O156" s="437">
        <v>0</v>
      </c>
      <c r="P156" s="437">
        <v>387</v>
      </c>
      <c r="R156" s="751"/>
      <c r="S156" s="436"/>
      <c r="T156" s="437"/>
      <c r="U156" s="436"/>
      <c r="V156" s="436"/>
      <c r="W156" s="436"/>
    </row>
    <row r="157" spans="1:23" s="435" customFormat="1" ht="14" customHeight="1" x14ac:dyDescent="0.35">
      <c r="A157" s="754" t="s">
        <v>721</v>
      </c>
      <c r="B157" s="437"/>
      <c r="C157" s="437"/>
      <c r="D157" s="437"/>
      <c r="E157" s="437"/>
      <c r="F157" s="449">
        <v>239448</v>
      </c>
      <c r="G157" s="437">
        <v>2081</v>
      </c>
      <c r="H157" s="437">
        <v>138</v>
      </c>
      <c r="I157" s="437">
        <v>13005</v>
      </c>
      <c r="J157" s="453"/>
      <c r="K157" s="437">
        <v>55</v>
      </c>
      <c r="L157" s="437">
        <v>27576</v>
      </c>
      <c r="M157" s="437">
        <v>-27521</v>
      </c>
      <c r="N157" s="453"/>
      <c r="O157" s="437">
        <v>0</v>
      </c>
      <c r="P157" s="437">
        <v>27576</v>
      </c>
      <c r="R157" s="751"/>
      <c r="S157" s="436"/>
      <c r="T157" s="437">
        <v>25000</v>
      </c>
      <c r="U157" s="436"/>
      <c r="V157" s="436"/>
      <c r="W157" s="436"/>
    </row>
    <row r="158" spans="1:23" s="435" customFormat="1" ht="14" customHeight="1" x14ac:dyDescent="0.35">
      <c r="A158" s="754" t="s">
        <v>722</v>
      </c>
      <c r="B158" s="449"/>
      <c r="C158" s="449"/>
      <c r="D158" s="437"/>
      <c r="E158" s="437"/>
      <c r="F158" s="448">
        <v>0</v>
      </c>
      <c r="G158" s="437">
        <v>156</v>
      </c>
      <c r="H158" s="437">
        <v>0</v>
      </c>
      <c r="I158" s="437">
        <v>0</v>
      </c>
      <c r="J158" s="453"/>
      <c r="K158" s="437">
        <v>0</v>
      </c>
      <c r="L158" s="437">
        <v>113</v>
      </c>
      <c r="M158" s="437">
        <v>-113</v>
      </c>
      <c r="N158" s="453"/>
      <c r="O158" s="437">
        <v>0</v>
      </c>
      <c r="P158" s="437">
        <v>113</v>
      </c>
      <c r="R158" s="751"/>
      <c r="S158" s="436"/>
      <c r="T158" s="437">
        <v>0</v>
      </c>
      <c r="U158" s="436"/>
      <c r="V158" s="436"/>
      <c r="W158" s="436"/>
    </row>
    <row r="159" spans="1:23" s="435" customFormat="1" ht="14" customHeight="1" x14ac:dyDescent="0.35">
      <c r="A159" s="754" t="s">
        <v>723</v>
      </c>
      <c r="B159" s="449"/>
      <c r="C159" s="449"/>
      <c r="D159" s="437"/>
      <c r="E159" s="437"/>
      <c r="F159" s="437">
        <v>202</v>
      </c>
      <c r="G159" s="437">
        <v>0</v>
      </c>
      <c r="H159" s="437">
        <v>2862</v>
      </c>
      <c r="I159" s="437">
        <v>0</v>
      </c>
      <c r="J159" s="453"/>
      <c r="K159" s="437">
        <v>0</v>
      </c>
      <c r="L159" s="437">
        <v>0</v>
      </c>
      <c r="M159" s="437">
        <v>0</v>
      </c>
      <c r="N159" s="453"/>
      <c r="O159" s="437">
        <v>15000</v>
      </c>
      <c r="P159" s="437">
        <v>-15000</v>
      </c>
      <c r="R159" s="751"/>
      <c r="S159" s="436"/>
      <c r="T159" s="437">
        <v>0</v>
      </c>
      <c r="U159" s="436"/>
      <c r="V159" s="436"/>
      <c r="W159" s="436"/>
    </row>
    <row r="160" spans="1:23" s="435" customFormat="1" ht="14" customHeight="1" x14ac:dyDescent="0.35">
      <c r="A160" s="754" t="s">
        <v>724</v>
      </c>
      <c r="B160" s="449"/>
      <c r="C160" s="449"/>
      <c r="D160" s="449"/>
      <c r="E160" s="449"/>
      <c r="F160" s="449">
        <v>1546</v>
      </c>
      <c r="G160" s="437">
        <v>3077</v>
      </c>
      <c r="H160" s="437">
        <v>0</v>
      </c>
      <c r="I160" s="437">
        <v>0</v>
      </c>
      <c r="J160" s="453"/>
      <c r="K160" s="437">
        <v>0</v>
      </c>
      <c r="L160" s="437">
        <v>0</v>
      </c>
      <c r="M160" s="437">
        <v>0</v>
      </c>
      <c r="N160" s="453"/>
      <c r="O160" s="437">
        <v>0</v>
      </c>
      <c r="P160" s="437">
        <v>0</v>
      </c>
      <c r="R160" s="798" t="s">
        <v>1062</v>
      </c>
      <c r="S160" s="436"/>
      <c r="T160" s="437">
        <v>13500</v>
      </c>
      <c r="U160" s="436"/>
      <c r="V160" s="436"/>
      <c r="W160" s="436"/>
    </row>
    <row r="161" spans="1:23" s="435" customFormat="1" ht="14" customHeight="1" x14ac:dyDescent="0.35">
      <c r="A161" s="754" t="s">
        <v>725</v>
      </c>
      <c r="B161" s="449"/>
      <c r="C161" s="449"/>
      <c r="D161" s="449"/>
      <c r="E161" s="449"/>
      <c r="F161" s="449">
        <v>580</v>
      </c>
      <c r="G161" s="437">
        <v>627</v>
      </c>
      <c r="H161" s="437">
        <v>0</v>
      </c>
      <c r="I161" s="437">
        <v>0</v>
      </c>
      <c r="J161" s="453"/>
      <c r="K161" s="437">
        <v>0</v>
      </c>
      <c r="L161" s="437">
        <v>0</v>
      </c>
      <c r="M161" s="437">
        <v>0</v>
      </c>
      <c r="N161" s="453"/>
      <c r="O161" s="437">
        <v>0</v>
      </c>
      <c r="P161" s="437">
        <v>0</v>
      </c>
      <c r="R161" s="798"/>
      <c r="S161" s="436"/>
      <c r="T161" s="437">
        <v>0</v>
      </c>
      <c r="U161" s="436"/>
      <c r="V161" s="436"/>
      <c r="W161" s="436"/>
    </row>
    <row r="162" spans="1:23" s="435" customFormat="1" ht="14" customHeight="1" x14ac:dyDescent="0.35">
      <c r="A162" s="754" t="s">
        <v>726</v>
      </c>
      <c r="B162" s="449"/>
      <c r="C162" s="449"/>
      <c r="D162" s="449"/>
      <c r="E162" s="449"/>
      <c r="F162" s="449">
        <v>414</v>
      </c>
      <c r="G162" s="437">
        <v>0</v>
      </c>
      <c r="H162" s="437">
        <v>12</v>
      </c>
      <c r="I162" s="437">
        <v>3925</v>
      </c>
      <c r="J162" s="453"/>
      <c r="K162" s="437">
        <v>0</v>
      </c>
      <c r="L162" s="437">
        <v>0</v>
      </c>
      <c r="M162" s="437">
        <v>0</v>
      </c>
      <c r="N162" s="453"/>
      <c r="O162" s="437">
        <v>2000</v>
      </c>
      <c r="P162" s="437">
        <v>-2000</v>
      </c>
      <c r="R162" s="751"/>
      <c r="S162" s="436"/>
      <c r="T162" s="437">
        <v>0</v>
      </c>
      <c r="U162" s="436"/>
      <c r="V162" s="436"/>
      <c r="W162" s="436"/>
    </row>
    <row r="163" spans="1:23" s="435" customFormat="1" ht="14" customHeight="1" x14ac:dyDescent="0.35">
      <c r="A163" s="754" t="s">
        <v>727</v>
      </c>
      <c r="B163" s="449"/>
      <c r="C163" s="449"/>
      <c r="D163" s="449"/>
      <c r="E163" s="449"/>
      <c r="F163" s="448">
        <v>0</v>
      </c>
      <c r="G163" s="437">
        <v>64583</v>
      </c>
      <c r="H163" s="437">
        <v>215911</v>
      </c>
      <c r="I163" s="437">
        <v>290741</v>
      </c>
      <c r="J163" s="453"/>
      <c r="K163" s="437">
        <v>240000</v>
      </c>
      <c r="L163" s="437">
        <v>201734</v>
      </c>
      <c r="M163" s="437">
        <v>38266</v>
      </c>
      <c r="N163" s="453"/>
      <c r="O163" s="437">
        <v>156000</v>
      </c>
      <c r="P163" s="437">
        <v>45734</v>
      </c>
      <c r="R163" s="751"/>
      <c r="S163" s="436"/>
      <c r="T163" s="437">
        <v>180000</v>
      </c>
      <c r="U163" s="436"/>
      <c r="V163" s="436"/>
      <c r="W163" s="436"/>
    </row>
    <row r="164" spans="1:23" s="435" customFormat="1" ht="14" customHeight="1" x14ac:dyDescent="0.35">
      <c r="A164" s="751" t="s">
        <v>1004</v>
      </c>
      <c r="B164" s="449"/>
      <c r="C164" s="449"/>
      <c r="D164" s="449"/>
      <c r="E164" s="449"/>
      <c r="F164" s="448">
        <v>0</v>
      </c>
      <c r="G164" s="448">
        <v>0</v>
      </c>
      <c r="H164" s="437">
        <v>0</v>
      </c>
      <c r="I164" s="437">
        <v>0</v>
      </c>
      <c r="J164" s="453"/>
      <c r="K164" s="437">
        <v>0</v>
      </c>
      <c r="L164" s="437">
        <v>0</v>
      </c>
      <c r="M164" s="437">
        <v>0</v>
      </c>
      <c r="N164" s="453"/>
      <c r="O164" s="437">
        <v>500</v>
      </c>
      <c r="P164" s="437">
        <v>-500</v>
      </c>
      <c r="R164" s="751"/>
      <c r="S164" s="436"/>
      <c r="T164" s="437"/>
      <c r="U164" s="436"/>
      <c r="V164" s="436"/>
      <c r="W164" s="436"/>
    </row>
    <row r="165" spans="1:23" s="435" customFormat="1" ht="14" customHeight="1" x14ac:dyDescent="0.35">
      <c r="A165" s="754" t="s">
        <v>728</v>
      </c>
      <c r="B165" s="449"/>
      <c r="C165" s="449"/>
      <c r="D165" s="449"/>
      <c r="E165" s="449"/>
      <c r="F165" s="448">
        <v>0</v>
      </c>
      <c r="G165" s="437">
        <v>0</v>
      </c>
      <c r="H165" s="437">
        <v>16524</v>
      </c>
      <c r="I165" s="437">
        <v>4937</v>
      </c>
      <c r="J165" s="453"/>
      <c r="K165" s="437">
        <v>5000</v>
      </c>
      <c r="L165" s="437">
        <v>4561</v>
      </c>
      <c r="M165" s="437">
        <v>439</v>
      </c>
      <c r="N165" s="453"/>
      <c r="O165" s="437">
        <v>5000</v>
      </c>
      <c r="P165" s="437">
        <v>-439</v>
      </c>
      <c r="R165" s="751"/>
      <c r="S165" s="436"/>
      <c r="T165" s="437">
        <v>0</v>
      </c>
      <c r="U165" s="436"/>
      <c r="V165" s="436"/>
      <c r="W165" s="436"/>
    </row>
    <row r="166" spans="1:23" ht="14" customHeight="1" x14ac:dyDescent="0.35">
      <c r="A166" s="754" t="s">
        <v>729</v>
      </c>
      <c r="B166" s="449"/>
      <c r="C166" s="449"/>
      <c r="D166" s="449"/>
      <c r="E166" s="449"/>
      <c r="F166" s="449">
        <v>6231</v>
      </c>
      <c r="G166" s="437">
        <v>24930</v>
      </c>
      <c r="H166" s="437">
        <v>0</v>
      </c>
      <c r="I166" s="437">
        <v>562</v>
      </c>
      <c r="J166" s="453"/>
      <c r="K166" s="437">
        <v>0</v>
      </c>
      <c r="L166" s="437">
        <v>0</v>
      </c>
      <c r="M166" s="437">
        <v>0</v>
      </c>
      <c r="N166" s="453"/>
      <c r="O166" s="437">
        <v>0</v>
      </c>
      <c r="P166" s="437">
        <v>0</v>
      </c>
      <c r="R166" s="794"/>
      <c r="T166" s="437">
        <v>12500</v>
      </c>
    </row>
    <row r="167" spans="1:23" ht="14" customHeight="1" x14ac:dyDescent="0.35">
      <c r="A167" s="754" t="s">
        <v>730</v>
      </c>
      <c r="B167" s="449"/>
      <c r="C167" s="449"/>
      <c r="D167" s="449"/>
      <c r="E167" s="449"/>
      <c r="F167" s="448">
        <v>0</v>
      </c>
      <c r="G167" s="437">
        <v>0</v>
      </c>
      <c r="H167" s="437">
        <v>0</v>
      </c>
      <c r="I167" s="437">
        <v>0</v>
      </c>
      <c r="J167" s="453"/>
      <c r="K167" s="437">
        <v>8875</v>
      </c>
      <c r="L167" s="437">
        <v>6760</v>
      </c>
      <c r="M167" s="437">
        <v>2115</v>
      </c>
      <c r="N167" s="453"/>
      <c r="O167" s="437">
        <v>8875</v>
      </c>
      <c r="P167" s="437">
        <v>-2115</v>
      </c>
      <c r="R167" s="794"/>
      <c r="T167" s="437">
        <v>0</v>
      </c>
    </row>
    <row r="168" spans="1:23" ht="14" customHeight="1" x14ac:dyDescent="0.35">
      <c r="A168" s="757" t="s">
        <v>731</v>
      </c>
      <c r="B168" s="449"/>
      <c r="C168" s="449"/>
      <c r="D168" s="449"/>
      <c r="E168" s="449"/>
      <c r="F168" s="448">
        <v>0</v>
      </c>
      <c r="G168" s="448">
        <v>0</v>
      </c>
      <c r="H168" s="448">
        <v>0</v>
      </c>
      <c r="I168" s="448">
        <v>0</v>
      </c>
      <c r="J168" s="453"/>
      <c r="M168" s="437"/>
      <c r="N168" s="453"/>
      <c r="O168" s="437"/>
      <c r="P168" s="437"/>
      <c r="R168" s="799"/>
    </row>
    <row r="169" spans="1:23" s="524" customFormat="1" ht="14" customHeight="1" x14ac:dyDescent="0.35">
      <c r="A169" s="771" t="s">
        <v>732</v>
      </c>
      <c r="B169" s="518"/>
      <c r="C169" s="519"/>
      <c r="D169" s="520"/>
      <c r="E169" s="520"/>
      <c r="F169" s="520">
        <v>964555</v>
      </c>
      <c r="G169" s="521">
        <v>616267</v>
      </c>
      <c r="H169" s="521">
        <v>475346</v>
      </c>
      <c r="I169" s="521">
        <v>631849</v>
      </c>
      <c r="J169" s="522"/>
      <c r="K169" s="521">
        <v>801487</v>
      </c>
      <c r="L169" s="521">
        <v>622968</v>
      </c>
      <c r="M169" s="521">
        <v>178520</v>
      </c>
      <c r="N169" s="522"/>
      <c r="O169" s="521">
        <v>565145</v>
      </c>
      <c r="P169" s="521">
        <v>57823</v>
      </c>
      <c r="Q169" s="523"/>
      <c r="R169" s="795"/>
      <c r="T169" s="521">
        <v>522910</v>
      </c>
    </row>
    <row r="170" spans="1:23" ht="14" customHeight="1" x14ac:dyDescent="0.35">
      <c r="A170" s="772"/>
      <c r="B170" s="525"/>
      <c r="C170" s="502"/>
      <c r="D170" s="437"/>
      <c r="E170" s="437"/>
      <c r="F170" s="437"/>
      <c r="J170" s="453"/>
      <c r="M170" s="437"/>
      <c r="N170" s="453"/>
      <c r="O170" s="437"/>
      <c r="P170" s="437"/>
    </row>
    <row r="171" spans="1:23" ht="14" customHeight="1" x14ac:dyDescent="0.35">
      <c r="A171" s="771" t="s">
        <v>733</v>
      </c>
      <c r="B171" s="525"/>
      <c r="C171" s="502"/>
      <c r="D171" s="449"/>
      <c r="E171" s="448"/>
      <c r="F171" s="448"/>
      <c r="J171" s="453"/>
      <c r="M171" s="437"/>
      <c r="N171" s="453"/>
      <c r="O171" s="437"/>
      <c r="P171" s="437"/>
      <c r="R171" s="793"/>
    </row>
    <row r="172" spans="1:23" ht="14" customHeight="1" x14ac:dyDescent="0.35">
      <c r="A172" s="757" t="s">
        <v>734</v>
      </c>
      <c r="B172" s="449"/>
      <c r="C172" s="449"/>
      <c r="D172" s="449">
        <v>121017</v>
      </c>
      <c r="E172" s="449">
        <v>94298</v>
      </c>
      <c r="F172" s="449">
        <v>85109</v>
      </c>
      <c r="G172" s="437">
        <v>149275</v>
      </c>
      <c r="H172" s="437">
        <v>103991</v>
      </c>
      <c r="I172" s="437">
        <v>126636</v>
      </c>
      <c r="J172" s="453"/>
      <c r="K172" s="437">
        <v>150000</v>
      </c>
      <c r="L172" s="437">
        <v>70933</v>
      </c>
      <c r="M172" s="437">
        <v>79067</v>
      </c>
      <c r="N172" s="453"/>
      <c r="O172" s="437">
        <v>200000</v>
      </c>
      <c r="P172" s="437">
        <v>-129067</v>
      </c>
      <c r="R172" s="794"/>
      <c r="T172" s="437">
        <v>120200</v>
      </c>
    </row>
    <row r="173" spans="1:23" ht="14" customHeight="1" x14ac:dyDescent="0.35">
      <c r="A173" s="757" t="s">
        <v>735</v>
      </c>
      <c r="B173" s="449"/>
      <c r="C173" s="449"/>
      <c r="D173" s="449">
        <v>12542</v>
      </c>
      <c r="E173" s="449">
        <v>20451</v>
      </c>
      <c r="F173" s="449">
        <v>39696</v>
      </c>
      <c r="G173" s="437">
        <v>97555</v>
      </c>
      <c r="H173" s="437">
        <v>36252</v>
      </c>
      <c r="I173" s="437">
        <v>23197</v>
      </c>
      <c r="J173" s="453"/>
      <c r="K173" s="437">
        <v>25000</v>
      </c>
      <c r="L173" s="437">
        <v>16143</v>
      </c>
      <c r="M173" s="437">
        <v>8857</v>
      </c>
      <c r="N173" s="453"/>
      <c r="O173" s="437">
        <v>50000</v>
      </c>
      <c r="P173" s="437">
        <v>-33857</v>
      </c>
      <c r="R173" s="794"/>
      <c r="T173" s="437">
        <v>42600</v>
      </c>
    </row>
    <row r="174" spans="1:23" ht="14" customHeight="1" x14ac:dyDescent="0.35">
      <c r="A174" s="757" t="s">
        <v>736</v>
      </c>
      <c r="B174" s="449"/>
      <c r="C174" s="449"/>
      <c r="D174" s="449">
        <v>7169</v>
      </c>
      <c r="E174" s="449">
        <v>31351</v>
      </c>
      <c r="F174" s="449">
        <v>24537</v>
      </c>
      <c r="J174" s="453"/>
      <c r="M174" s="437"/>
      <c r="N174" s="453"/>
      <c r="O174" s="437"/>
      <c r="P174" s="437"/>
      <c r="Q174" s="435" t="s">
        <v>709</v>
      </c>
      <c r="R174" s="793"/>
    </row>
    <row r="175" spans="1:23" s="524" customFormat="1" ht="14" customHeight="1" x14ac:dyDescent="0.35">
      <c r="A175" s="771" t="s">
        <v>737</v>
      </c>
      <c r="B175" s="518"/>
      <c r="C175" s="519"/>
      <c r="D175" s="520">
        <v>140727</v>
      </c>
      <c r="E175" s="520">
        <v>146100</v>
      </c>
      <c r="F175" s="520">
        <v>149342</v>
      </c>
      <c r="G175" s="521">
        <v>246830</v>
      </c>
      <c r="H175" s="521">
        <v>140242</v>
      </c>
      <c r="I175" s="521">
        <v>149833</v>
      </c>
      <c r="J175" s="522"/>
      <c r="K175" s="521">
        <v>175000</v>
      </c>
      <c r="L175" s="521">
        <v>87076</v>
      </c>
      <c r="M175" s="521">
        <v>87924</v>
      </c>
      <c r="N175" s="522"/>
      <c r="O175" s="521">
        <v>250000</v>
      </c>
      <c r="P175" s="521">
        <v>-162924</v>
      </c>
      <c r="Q175" s="523"/>
      <c r="R175" s="795"/>
      <c r="T175" s="521">
        <v>162800</v>
      </c>
    </row>
    <row r="176" spans="1:23" s="532" customFormat="1" ht="14" customHeight="1" x14ac:dyDescent="0.35">
      <c r="A176" s="771"/>
      <c r="B176" s="526"/>
      <c r="C176" s="527"/>
      <c r="D176" s="528"/>
      <c r="E176" s="528"/>
      <c r="F176" s="528"/>
      <c r="G176" s="529"/>
      <c r="H176" s="529"/>
      <c r="I176" s="529"/>
      <c r="J176" s="530"/>
      <c r="K176" s="529"/>
      <c r="L176" s="529"/>
      <c r="M176" s="529"/>
      <c r="N176" s="530"/>
      <c r="O176" s="529"/>
      <c r="P176" s="529"/>
      <c r="Q176" s="531"/>
      <c r="R176" s="800"/>
      <c r="T176" s="529"/>
    </row>
    <row r="177" spans="1:23" ht="14" customHeight="1" x14ac:dyDescent="0.35">
      <c r="A177" s="770" t="s">
        <v>738</v>
      </c>
      <c r="B177" s="525"/>
      <c r="C177" s="502"/>
      <c r="D177" s="437"/>
      <c r="E177" s="437"/>
      <c r="F177" s="437"/>
      <c r="J177" s="453"/>
      <c r="M177" s="437"/>
      <c r="N177" s="453"/>
      <c r="O177" s="437"/>
      <c r="P177" s="437"/>
      <c r="R177" s="793"/>
    </row>
    <row r="178" spans="1:23" ht="14" customHeight="1" x14ac:dyDescent="0.35">
      <c r="A178" s="754" t="s">
        <v>739</v>
      </c>
      <c r="B178" s="449"/>
      <c r="C178" s="449"/>
      <c r="D178" s="437"/>
      <c r="E178" s="437"/>
      <c r="F178" s="437"/>
      <c r="G178" s="437">
        <v>3165</v>
      </c>
      <c r="H178" s="437">
        <v>0</v>
      </c>
      <c r="I178" s="437">
        <v>0</v>
      </c>
      <c r="J178" s="453"/>
      <c r="K178" s="437">
        <v>14500</v>
      </c>
      <c r="L178" s="437">
        <v>14500</v>
      </c>
      <c r="M178" s="437">
        <v>0</v>
      </c>
      <c r="N178" s="453"/>
      <c r="O178" s="437">
        <v>14500</v>
      </c>
      <c r="P178" s="437">
        <v>0</v>
      </c>
      <c r="R178" s="794"/>
      <c r="T178" s="437">
        <v>15000</v>
      </c>
    </row>
    <row r="179" spans="1:23" s="467" customFormat="1" ht="14" customHeight="1" x14ac:dyDescent="0.4">
      <c r="A179" s="809" t="s">
        <v>740</v>
      </c>
      <c r="B179" s="810"/>
      <c r="C179" s="811"/>
      <c r="D179" s="812">
        <v>2093645</v>
      </c>
      <c r="E179" s="812">
        <v>965952</v>
      </c>
      <c r="F179" s="812">
        <v>2037765</v>
      </c>
      <c r="G179" s="813">
        <v>2027053</v>
      </c>
      <c r="H179" s="814">
        <v>1667149</v>
      </c>
      <c r="I179" s="813">
        <v>1557101</v>
      </c>
      <c r="J179" s="453"/>
      <c r="K179" s="813">
        <v>2032587</v>
      </c>
      <c r="L179" s="813">
        <v>1763385</v>
      </c>
      <c r="M179" s="813">
        <v>269202</v>
      </c>
      <c r="N179" s="453"/>
      <c r="O179" s="815">
        <v>1908245</v>
      </c>
      <c r="P179" s="816">
        <v>-144860</v>
      </c>
      <c r="Q179" s="459"/>
      <c r="R179" s="795"/>
      <c r="S179" s="299"/>
      <c r="T179" s="476">
        <v>1683510</v>
      </c>
      <c r="U179" s="299"/>
      <c r="V179" s="299"/>
      <c r="W179" s="299"/>
    </row>
    <row r="180" spans="1:23" ht="14" customHeight="1" x14ac:dyDescent="0.35">
      <c r="A180" s="757"/>
      <c r="B180" s="525"/>
      <c r="C180" s="502"/>
      <c r="D180" s="483"/>
      <c r="E180" s="483"/>
      <c r="F180" s="483"/>
      <c r="J180" s="453"/>
      <c r="M180" s="437"/>
      <c r="N180" s="453"/>
      <c r="R180" s="793"/>
    </row>
    <row r="181" spans="1:23" ht="14" customHeight="1" x14ac:dyDescent="0.35">
      <c r="A181" s="809" t="s">
        <v>741</v>
      </c>
      <c r="B181" s="439" t="s">
        <v>598</v>
      </c>
      <c r="C181" s="439" t="s">
        <v>599</v>
      </c>
      <c r="D181" s="439" t="s">
        <v>600</v>
      </c>
      <c r="E181" s="439" t="s">
        <v>601</v>
      </c>
      <c r="F181" s="439" t="s">
        <v>602</v>
      </c>
      <c r="G181" s="440" t="s">
        <v>603</v>
      </c>
      <c r="H181" s="440" t="s">
        <v>604</v>
      </c>
      <c r="I181" s="440" t="s">
        <v>605</v>
      </c>
      <c r="J181" s="441"/>
      <c r="K181" s="440" t="s">
        <v>1071</v>
      </c>
      <c r="L181" s="440" t="s">
        <v>1079</v>
      </c>
      <c r="M181" s="440" t="s">
        <v>1072</v>
      </c>
      <c r="N181" s="441"/>
      <c r="O181" s="442" t="s">
        <v>1073</v>
      </c>
      <c r="P181" s="442" t="s">
        <v>1074</v>
      </c>
      <c r="R181" s="793"/>
      <c r="T181" s="440" t="s">
        <v>605</v>
      </c>
    </row>
    <row r="182" spans="1:23" s="532" customFormat="1" ht="14" customHeight="1" x14ac:dyDescent="0.35">
      <c r="A182" s="771" t="s">
        <v>742</v>
      </c>
      <c r="B182" s="445"/>
      <c r="C182" s="445"/>
      <c r="D182" s="444"/>
      <c r="E182" s="444"/>
      <c r="F182" s="444"/>
      <c r="G182" s="446"/>
      <c r="H182" s="446"/>
      <c r="I182" s="446"/>
      <c r="J182" s="441"/>
      <c r="K182" s="446"/>
      <c r="L182" s="446"/>
      <c r="M182" s="446"/>
      <c r="N182" s="441"/>
      <c r="O182" s="447"/>
      <c r="P182" s="447"/>
      <c r="Q182" s="531"/>
      <c r="R182" s="800"/>
      <c r="T182" s="446" t="s">
        <v>607</v>
      </c>
    </row>
    <row r="183" spans="1:23" ht="14" customHeight="1" x14ac:dyDescent="0.35">
      <c r="A183" s="754" t="s">
        <v>743</v>
      </c>
      <c r="B183" s="449">
        <v>1273919</v>
      </c>
      <c r="C183" s="449">
        <v>1247486</v>
      </c>
      <c r="D183" s="449">
        <v>1208082</v>
      </c>
      <c r="E183" s="449">
        <v>1452332</v>
      </c>
      <c r="F183" s="449">
        <v>1396614</v>
      </c>
      <c r="G183" s="437">
        <v>1848680</v>
      </c>
      <c r="H183" s="437">
        <v>2012651</v>
      </c>
      <c r="I183" s="437">
        <v>1183040</v>
      </c>
      <c r="J183" s="453"/>
      <c r="K183" s="533">
        <v>757203</v>
      </c>
      <c r="L183" s="437">
        <v>1137339</v>
      </c>
      <c r="M183" s="437">
        <v>-380136</v>
      </c>
      <c r="N183" s="453"/>
      <c r="O183" s="437">
        <v>2261782</v>
      </c>
      <c r="P183" s="437">
        <v>-1124443</v>
      </c>
      <c r="R183" s="794"/>
      <c r="T183" s="533">
        <v>1495856</v>
      </c>
    </row>
    <row r="184" spans="1:23" ht="14" customHeight="1" x14ac:dyDescent="0.35">
      <c r="A184" s="754" t="s">
        <v>744</v>
      </c>
      <c r="B184" s="449">
        <v>572686</v>
      </c>
      <c r="C184" s="449">
        <v>524329</v>
      </c>
      <c r="D184" s="449">
        <v>552825</v>
      </c>
      <c r="E184" s="449">
        <v>566945</v>
      </c>
      <c r="F184" s="449">
        <v>609347</v>
      </c>
      <c r="G184" s="437">
        <v>692143</v>
      </c>
      <c r="H184" s="437">
        <v>664444</v>
      </c>
      <c r="I184" s="437">
        <v>698361</v>
      </c>
      <c r="J184" s="453"/>
      <c r="K184" s="437">
        <v>680678</v>
      </c>
      <c r="L184" s="437">
        <v>833113</v>
      </c>
      <c r="M184" s="437">
        <v>-152435</v>
      </c>
      <c r="N184" s="453"/>
      <c r="O184" s="437">
        <v>1088975</v>
      </c>
      <c r="P184" s="437">
        <v>-255862</v>
      </c>
      <c r="R184" s="794"/>
      <c r="T184" s="437">
        <v>971447</v>
      </c>
    </row>
    <row r="185" spans="1:23" ht="14" customHeight="1" x14ac:dyDescent="0.35">
      <c r="A185" s="754" t="s">
        <v>745</v>
      </c>
      <c r="B185" s="449">
        <v>471316</v>
      </c>
      <c r="C185" s="449">
        <v>524057</v>
      </c>
      <c r="D185" s="449">
        <v>582499</v>
      </c>
      <c r="E185" s="449">
        <v>559786</v>
      </c>
      <c r="F185" s="449">
        <v>649174</v>
      </c>
      <c r="G185" s="437">
        <v>917775</v>
      </c>
      <c r="H185" s="437">
        <v>1257108</v>
      </c>
      <c r="I185" s="437">
        <v>1301996</v>
      </c>
      <c r="J185" s="453"/>
      <c r="K185" s="437">
        <v>1167135</v>
      </c>
      <c r="L185" s="437">
        <v>1201014</v>
      </c>
      <c r="M185" s="437">
        <v>-33879</v>
      </c>
      <c r="N185" s="453"/>
      <c r="O185" s="437">
        <v>1206039</v>
      </c>
      <c r="P185" s="437">
        <v>-5025</v>
      </c>
      <c r="R185" s="794"/>
      <c r="T185" s="437">
        <v>1407515</v>
      </c>
    </row>
    <row r="186" spans="1:23" ht="14" customHeight="1" x14ac:dyDescent="0.35">
      <c r="A186" s="754" t="s">
        <v>746</v>
      </c>
      <c r="B186" s="449">
        <v>986461</v>
      </c>
      <c r="C186" s="449">
        <v>1369542</v>
      </c>
      <c r="D186" s="449">
        <v>1793586</v>
      </c>
      <c r="E186" s="449">
        <v>2345901</v>
      </c>
      <c r="F186" s="449">
        <v>2677531</v>
      </c>
      <c r="G186" s="437">
        <v>2749032</v>
      </c>
      <c r="H186" s="437">
        <v>3142385</v>
      </c>
      <c r="I186" s="437">
        <v>3425313</v>
      </c>
      <c r="J186" s="453"/>
      <c r="K186" s="437">
        <v>4221374</v>
      </c>
      <c r="L186" s="437">
        <v>4250200</v>
      </c>
      <c r="M186" s="437">
        <v>-28826</v>
      </c>
      <c r="N186" s="453"/>
      <c r="O186" s="437">
        <v>4407364</v>
      </c>
      <c r="P186" s="437">
        <v>-157165</v>
      </c>
      <c r="R186" s="794"/>
      <c r="T186" s="437">
        <v>4661823</v>
      </c>
    </row>
    <row r="187" spans="1:23" ht="14" customHeight="1" x14ac:dyDescent="0.35">
      <c r="A187" s="754" t="s">
        <v>747</v>
      </c>
      <c r="B187" s="449">
        <v>154662</v>
      </c>
      <c r="C187" s="449">
        <v>131704</v>
      </c>
      <c r="D187" s="449">
        <v>167053</v>
      </c>
      <c r="E187" s="449">
        <v>212550</v>
      </c>
      <c r="F187" s="449">
        <v>268242</v>
      </c>
      <c r="G187" s="437">
        <v>427425</v>
      </c>
      <c r="H187" s="437">
        <v>1186972</v>
      </c>
      <c r="I187" s="437">
        <v>1460041</v>
      </c>
      <c r="J187" s="453"/>
      <c r="K187" s="437">
        <v>1481037</v>
      </c>
      <c r="L187" s="437">
        <v>1541856</v>
      </c>
      <c r="M187" s="437">
        <v>-60818</v>
      </c>
      <c r="N187" s="453"/>
      <c r="O187" s="437">
        <v>1642099</v>
      </c>
      <c r="P187" s="437">
        <v>-100244</v>
      </c>
      <c r="R187" s="794"/>
      <c r="T187" s="437">
        <v>1384608</v>
      </c>
    </row>
    <row r="188" spans="1:23" ht="14" customHeight="1" x14ac:dyDescent="0.35">
      <c r="A188" s="754" t="s">
        <v>748</v>
      </c>
      <c r="B188" s="448" t="s">
        <v>650</v>
      </c>
      <c r="C188" s="448"/>
      <c r="D188" s="448" t="s">
        <v>650</v>
      </c>
      <c r="E188" s="448" t="s">
        <v>650</v>
      </c>
      <c r="F188" s="449">
        <v>368525</v>
      </c>
      <c r="G188" s="437">
        <v>415412</v>
      </c>
      <c r="H188" s="437">
        <v>657786</v>
      </c>
      <c r="I188" s="437">
        <v>637465</v>
      </c>
      <c r="J188" s="453"/>
      <c r="K188" s="437">
        <v>861386</v>
      </c>
      <c r="L188" s="437">
        <v>829110</v>
      </c>
      <c r="M188" s="437">
        <v>32276</v>
      </c>
      <c r="N188" s="453"/>
      <c r="O188" s="437">
        <v>804049</v>
      </c>
      <c r="P188" s="437">
        <v>25062</v>
      </c>
      <c r="R188" s="794"/>
      <c r="T188" s="437">
        <v>488619</v>
      </c>
    </row>
    <row r="189" spans="1:23" ht="14" customHeight="1" x14ac:dyDescent="0.35">
      <c r="A189" s="754" t="s">
        <v>749</v>
      </c>
      <c r="B189" s="449">
        <v>57379</v>
      </c>
      <c r="C189" s="449">
        <v>60240</v>
      </c>
      <c r="D189" s="449">
        <v>70140</v>
      </c>
      <c r="E189" s="449">
        <v>75886</v>
      </c>
      <c r="F189" s="449">
        <v>61906</v>
      </c>
      <c r="G189" s="437">
        <v>20247</v>
      </c>
      <c r="H189" s="437">
        <v>27782</v>
      </c>
      <c r="I189" s="437">
        <v>17536</v>
      </c>
      <c r="J189" s="453"/>
      <c r="K189" s="437">
        <v>31221</v>
      </c>
      <c r="L189" s="437">
        <v>21827</v>
      </c>
      <c r="M189" s="437">
        <v>9394</v>
      </c>
      <c r="N189" s="453"/>
      <c r="O189" s="437">
        <v>0</v>
      </c>
      <c r="P189" s="437">
        <v>21827</v>
      </c>
      <c r="R189" s="794"/>
      <c r="T189" s="437">
        <v>35000</v>
      </c>
    </row>
    <row r="190" spans="1:23" ht="14" customHeight="1" x14ac:dyDescent="0.35">
      <c r="A190" s="754" t="s">
        <v>750</v>
      </c>
      <c r="B190" s="449">
        <v>62568</v>
      </c>
      <c r="C190" s="449">
        <v>58050</v>
      </c>
      <c r="D190" s="449">
        <v>45000</v>
      </c>
      <c r="E190" s="449">
        <v>51675</v>
      </c>
      <c r="F190" s="449">
        <v>52250</v>
      </c>
      <c r="G190" s="437">
        <v>72000</v>
      </c>
      <c r="H190" s="437">
        <v>77000</v>
      </c>
      <c r="I190" s="437">
        <v>90000</v>
      </c>
      <c r="J190" s="453"/>
      <c r="K190" s="437">
        <v>90000</v>
      </c>
      <c r="L190" s="437">
        <v>90000</v>
      </c>
      <c r="M190" s="437">
        <v>0</v>
      </c>
      <c r="N190" s="453"/>
      <c r="O190" s="437">
        <v>115000</v>
      </c>
      <c r="P190" s="437">
        <v>-25000</v>
      </c>
      <c r="R190" s="794"/>
      <c r="T190" s="437">
        <v>78000</v>
      </c>
    </row>
    <row r="191" spans="1:23" ht="14" customHeight="1" x14ac:dyDescent="0.35">
      <c r="A191" s="754" t="s">
        <v>695</v>
      </c>
      <c r="B191" s="449">
        <v>217</v>
      </c>
      <c r="C191" s="449">
        <v>200</v>
      </c>
      <c r="D191" s="448">
        <v>53338</v>
      </c>
      <c r="E191" s="448">
        <v>207460</v>
      </c>
      <c r="F191" s="449">
        <v>100651</v>
      </c>
      <c r="G191" s="437">
        <v>-9429</v>
      </c>
      <c r="H191" s="437">
        <v>29915</v>
      </c>
      <c r="I191" s="437">
        <v>73825</v>
      </c>
      <c r="J191" s="453"/>
      <c r="K191" s="437">
        <v>11726</v>
      </c>
      <c r="L191" s="437">
        <v>132534</v>
      </c>
      <c r="M191" s="437">
        <v>-120809</v>
      </c>
      <c r="N191" s="453"/>
      <c r="O191" s="437">
        <v>0</v>
      </c>
      <c r="P191" s="437">
        <v>132534</v>
      </c>
      <c r="R191" s="794"/>
      <c r="T191" s="437">
        <v>36000</v>
      </c>
    </row>
    <row r="192" spans="1:23" ht="14" customHeight="1" x14ac:dyDescent="0.35">
      <c r="A192" s="754" t="s">
        <v>751</v>
      </c>
      <c r="B192" s="449"/>
      <c r="C192" s="449"/>
      <c r="D192" s="448"/>
      <c r="E192" s="448"/>
      <c r="F192" s="449"/>
      <c r="G192" s="437">
        <v>0</v>
      </c>
      <c r="H192" s="437">
        <v>0</v>
      </c>
      <c r="I192" s="437">
        <v>0</v>
      </c>
      <c r="J192" s="453"/>
      <c r="K192" s="437">
        <v>389098</v>
      </c>
      <c r="L192" s="437">
        <v>222176</v>
      </c>
      <c r="M192" s="437">
        <v>166922</v>
      </c>
      <c r="N192" s="453"/>
      <c r="O192" s="437">
        <v>368624</v>
      </c>
      <c r="P192" s="437">
        <v>-146448</v>
      </c>
      <c r="R192" s="794"/>
      <c r="T192" s="437">
        <v>0</v>
      </c>
    </row>
    <row r="193" spans="1:20" s="532" customFormat="1" ht="14" customHeight="1" x14ac:dyDescent="0.35">
      <c r="A193" s="771" t="s">
        <v>752</v>
      </c>
      <c r="B193" s="520">
        <v>3579209</v>
      </c>
      <c r="C193" s="520">
        <v>3915607</v>
      </c>
      <c r="D193" s="517">
        <v>4472523</v>
      </c>
      <c r="E193" s="520">
        <v>5472535</v>
      </c>
      <c r="F193" s="520">
        <v>6184240</v>
      </c>
      <c r="G193" s="521">
        <v>7133286</v>
      </c>
      <c r="H193" s="521">
        <v>9056042</v>
      </c>
      <c r="I193" s="521">
        <v>8887576</v>
      </c>
      <c r="J193" s="522"/>
      <c r="K193" s="521">
        <v>9690857</v>
      </c>
      <c r="L193" s="521">
        <v>10259170</v>
      </c>
      <c r="M193" s="521">
        <v>-568313</v>
      </c>
      <c r="N193" s="522"/>
      <c r="O193" s="521">
        <v>11893934</v>
      </c>
      <c r="P193" s="521">
        <v>-1634764</v>
      </c>
      <c r="Q193" s="531"/>
      <c r="R193" s="795"/>
      <c r="T193" s="446">
        <v>10558867</v>
      </c>
    </row>
    <row r="194" spans="1:20" ht="14" customHeight="1" x14ac:dyDescent="0.35">
      <c r="A194" s="756"/>
      <c r="B194" s="534"/>
      <c r="C194" s="534"/>
      <c r="D194" s="444"/>
      <c r="E194" s="534"/>
      <c r="F194" s="534"/>
      <c r="G194" s="446"/>
      <c r="H194" s="446"/>
      <c r="I194" s="446"/>
      <c r="J194" s="441"/>
      <c r="K194" s="446"/>
      <c r="L194" s="446"/>
      <c r="M194" s="446"/>
      <c r="N194" s="441"/>
      <c r="O194" s="446"/>
      <c r="P194" s="446"/>
      <c r="R194" s="799"/>
      <c r="T194" s="446"/>
    </row>
    <row r="195" spans="1:20" s="532" customFormat="1" ht="14" customHeight="1" x14ac:dyDescent="0.35">
      <c r="A195" s="771" t="s">
        <v>753</v>
      </c>
      <c r="B195" s="520"/>
      <c r="C195" s="520"/>
      <c r="D195" s="517"/>
      <c r="E195" s="520"/>
      <c r="F195" s="517"/>
      <c r="G195" s="521"/>
      <c r="H195" s="521"/>
      <c r="I195" s="521"/>
      <c r="J195" s="522"/>
      <c r="K195" s="521"/>
      <c r="L195" s="521"/>
      <c r="M195" s="521"/>
      <c r="N195" s="522"/>
      <c r="O195" s="521"/>
      <c r="P195" s="521"/>
      <c r="Q195" s="531"/>
      <c r="R195" s="801"/>
      <c r="T195" s="521"/>
    </row>
    <row r="196" spans="1:20" ht="14" customHeight="1" x14ac:dyDescent="0.35">
      <c r="A196" s="754" t="s">
        <v>754</v>
      </c>
      <c r="B196" s="449">
        <v>1074411</v>
      </c>
      <c r="C196" s="449">
        <v>1143222</v>
      </c>
      <c r="D196" s="449">
        <v>1242178</v>
      </c>
      <c r="E196" s="449">
        <v>1379170</v>
      </c>
      <c r="F196" s="449">
        <v>1358678</v>
      </c>
      <c r="G196" s="437">
        <v>1390054</v>
      </c>
      <c r="H196" s="437">
        <v>1624924</v>
      </c>
      <c r="I196" s="437">
        <v>1559134</v>
      </c>
      <c r="J196" s="453"/>
      <c r="K196" s="437">
        <v>1134268</v>
      </c>
      <c r="L196" s="437">
        <v>1112950</v>
      </c>
      <c r="M196" s="437">
        <v>21318</v>
      </c>
      <c r="N196" s="453"/>
      <c r="O196" s="437">
        <v>1329690</v>
      </c>
      <c r="P196" s="437">
        <v>-216740</v>
      </c>
      <c r="R196" s="751"/>
      <c r="T196" s="437">
        <v>1578680</v>
      </c>
    </row>
    <row r="197" spans="1:20" ht="14" customHeight="1" x14ac:dyDescent="0.35">
      <c r="A197" s="754" t="s">
        <v>755</v>
      </c>
      <c r="B197" s="449">
        <v>30145</v>
      </c>
      <c r="C197" s="449">
        <v>21619</v>
      </c>
      <c r="D197" s="449">
        <v>40535</v>
      </c>
      <c r="E197" s="449">
        <v>24045</v>
      </c>
      <c r="F197" s="449">
        <v>11074</v>
      </c>
      <c r="G197" s="437">
        <v>7348</v>
      </c>
      <c r="H197" s="437">
        <v>15095</v>
      </c>
      <c r="I197" s="437">
        <v>15017</v>
      </c>
      <c r="J197" s="453"/>
      <c r="K197" s="437">
        <v>13081</v>
      </c>
      <c r="L197" s="437">
        <v>7606</v>
      </c>
      <c r="M197" s="437">
        <v>5474</v>
      </c>
      <c r="N197" s="453"/>
      <c r="O197" s="437">
        <v>13081</v>
      </c>
      <c r="P197" s="437">
        <v>-5474</v>
      </c>
      <c r="R197" s="751"/>
      <c r="T197" s="437">
        <v>6000</v>
      </c>
    </row>
    <row r="198" spans="1:20" ht="14" customHeight="1" x14ac:dyDescent="0.35">
      <c r="A198" s="754" t="s">
        <v>694</v>
      </c>
      <c r="B198" s="449">
        <v>435469</v>
      </c>
      <c r="C198" s="449">
        <v>447468</v>
      </c>
      <c r="D198" s="449">
        <v>474361</v>
      </c>
      <c r="E198" s="449">
        <v>463104</v>
      </c>
      <c r="F198" s="449">
        <v>513469</v>
      </c>
      <c r="G198" s="437">
        <v>566652</v>
      </c>
      <c r="H198" s="437">
        <v>729315</v>
      </c>
      <c r="I198" s="437">
        <v>846554</v>
      </c>
      <c r="J198" s="453"/>
      <c r="K198" s="437">
        <v>972154</v>
      </c>
      <c r="L198" s="437">
        <v>1091828</v>
      </c>
      <c r="M198" s="437">
        <v>-119674</v>
      </c>
      <c r="N198" s="453"/>
      <c r="O198" s="437">
        <v>1002255</v>
      </c>
      <c r="P198" s="437">
        <v>89573</v>
      </c>
      <c r="R198" s="751"/>
      <c r="T198" s="437">
        <v>1051646</v>
      </c>
    </row>
    <row r="199" spans="1:20" ht="14" customHeight="1" x14ac:dyDescent="0.35">
      <c r="A199" s="754" t="s">
        <v>756</v>
      </c>
      <c r="B199" s="449">
        <v>262742</v>
      </c>
      <c r="C199" s="449">
        <v>88987</v>
      </c>
      <c r="D199" s="449">
        <v>427089</v>
      </c>
      <c r="E199" s="449">
        <v>2134264</v>
      </c>
      <c r="F199" s="449">
        <v>3394733</v>
      </c>
      <c r="G199" s="437">
        <v>2580968</v>
      </c>
      <c r="H199" s="437">
        <v>2998087</v>
      </c>
      <c r="I199" s="437">
        <v>1484383</v>
      </c>
      <c r="J199" s="453"/>
      <c r="K199" s="437">
        <v>3000021</v>
      </c>
      <c r="L199" s="437">
        <v>12697870</v>
      </c>
      <c r="M199" s="437">
        <v>-9697849</v>
      </c>
      <c r="N199" s="453"/>
      <c r="O199" s="437">
        <v>9035021</v>
      </c>
      <c r="P199" s="437">
        <v>3662849</v>
      </c>
      <c r="R199" s="794"/>
      <c r="T199" s="437">
        <v>3000000</v>
      </c>
    </row>
    <row r="200" spans="1:20" ht="14" customHeight="1" x14ac:dyDescent="0.35">
      <c r="A200" s="754" t="s">
        <v>757</v>
      </c>
      <c r="B200" s="448"/>
      <c r="C200" s="448"/>
      <c r="D200" s="449">
        <v>91862</v>
      </c>
      <c r="E200" s="449">
        <v>668335</v>
      </c>
      <c r="F200" s="449">
        <v>756710</v>
      </c>
      <c r="G200" s="437">
        <v>901542</v>
      </c>
      <c r="H200" s="437">
        <v>629553</v>
      </c>
      <c r="I200" s="437">
        <v>629844</v>
      </c>
      <c r="J200" s="453"/>
      <c r="K200" s="437">
        <v>1755821</v>
      </c>
      <c r="L200" s="437">
        <v>1101193</v>
      </c>
      <c r="M200" s="437">
        <v>654628</v>
      </c>
      <c r="N200" s="453"/>
      <c r="O200" s="437">
        <v>1749784</v>
      </c>
      <c r="P200" s="437">
        <v>-648591</v>
      </c>
      <c r="R200" s="794"/>
      <c r="T200" s="437">
        <v>1561974</v>
      </c>
    </row>
    <row r="201" spans="1:20" ht="14" customHeight="1" x14ac:dyDescent="0.35">
      <c r="A201" s="751" t="s">
        <v>1005</v>
      </c>
      <c r="B201" s="448"/>
      <c r="C201" s="448"/>
      <c r="D201" s="449"/>
      <c r="E201" s="449"/>
      <c r="F201" s="449"/>
      <c r="H201" s="437">
        <v>0</v>
      </c>
      <c r="I201" s="437">
        <v>0</v>
      </c>
      <c r="J201" s="453"/>
      <c r="K201" s="437">
        <v>0</v>
      </c>
      <c r="L201" s="437">
        <v>400295</v>
      </c>
      <c r="M201" s="437">
        <v>-400295</v>
      </c>
      <c r="N201" s="453"/>
      <c r="O201" s="437">
        <v>509239</v>
      </c>
      <c r="P201" s="437">
        <v>-108945</v>
      </c>
      <c r="R201" s="794"/>
    </row>
    <row r="202" spans="1:20" ht="14" customHeight="1" x14ac:dyDescent="0.35">
      <c r="A202" s="751" t="s">
        <v>1006</v>
      </c>
      <c r="B202" s="448"/>
      <c r="C202" s="448"/>
      <c r="D202" s="449"/>
      <c r="E202" s="449"/>
      <c r="F202" s="449"/>
      <c r="H202" s="437">
        <v>0</v>
      </c>
      <c r="I202" s="437">
        <v>0</v>
      </c>
      <c r="J202" s="453"/>
      <c r="K202" s="437">
        <v>0</v>
      </c>
      <c r="L202" s="437">
        <v>0</v>
      </c>
      <c r="M202" s="437">
        <v>0</v>
      </c>
      <c r="N202" s="453"/>
      <c r="O202" s="437">
        <v>194000</v>
      </c>
      <c r="P202" s="437">
        <v>-194000</v>
      </c>
      <c r="R202" s="794"/>
    </row>
    <row r="203" spans="1:20" s="532" customFormat="1" ht="14" customHeight="1" x14ac:dyDescent="0.35">
      <c r="A203" s="771" t="s">
        <v>758</v>
      </c>
      <c r="B203" s="520">
        <v>1802767</v>
      </c>
      <c r="C203" s="520">
        <v>1701297</v>
      </c>
      <c r="D203" s="520">
        <v>2276025</v>
      </c>
      <c r="E203" s="520">
        <v>4668918</v>
      </c>
      <c r="F203" s="520">
        <v>6034664</v>
      </c>
      <c r="G203" s="521">
        <v>5446563</v>
      </c>
      <c r="H203" s="521">
        <v>5996974</v>
      </c>
      <c r="I203" s="521">
        <v>4534932</v>
      </c>
      <c r="J203" s="522"/>
      <c r="K203" s="535">
        <v>6875345</v>
      </c>
      <c r="L203" s="521">
        <v>16411742</v>
      </c>
      <c r="M203" s="521">
        <v>-9536397</v>
      </c>
      <c r="N203" s="522"/>
      <c r="O203" s="521">
        <v>13833070</v>
      </c>
      <c r="P203" s="521">
        <v>2578672</v>
      </c>
      <c r="Q203" s="531"/>
      <c r="R203" s="795"/>
      <c r="T203" s="535">
        <v>7198299</v>
      </c>
    </row>
    <row r="204" spans="1:20" s="532" customFormat="1" ht="14" customHeight="1" x14ac:dyDescent="0.35">
      <c r="A204" s="773"/>
      <c r="B204" s="528"/>
      <c r="C204" s="528"/>
      <c r="D204" s="528"/>
      <c r="E204" s="528"/>
      <c r="F204" s="528"/>
      <c r="G204" s="529"/>
      <c r="H204" s="529"/>
      <c r="I204" s="529"/>
      <c r="J204" s="530"/>
      <c r="K204" s="536"/>
      <c r="L204" s="529"/>
      <c r="M204" s="529"/>
      <c r="N204" s="530"/>
      <c r="O204" s="529"/>
      <c r="P204" s="529"/>
      <c r="Q204" s="531"/>
      <c r="R204" s="802"/>
      <c r="T204" s="536"/>
    </row>
    <row r="205" spans="1:20" s="532" customFormat="1" ht="14" customHeight="1" x14ac:dyDescent="0.35">
      <c r="A205" s="771" t="s">
        <v>759</v>
      </c>
      <c r="B205" s="528"/>
      <c r="C205" s="528"/>
      <c r="D205" s="528"/>
      <c r="E205" s="528"/>
      <c r="F205" s="528"/>
      <c r="G205" s="529"/>
      <c r="H205" s="529"/>
      <c r="I205" s="529"/>
      <c r="J205" s="530"/>
      <c r="K205" s="536"/>
      <c r="L205" s="529"/>
      <c r="M205" s="529"/>
      <c r="N205" s="530"/>
      <c r="O205" s="529"/>
      <c r="P205" s="529"/>
      <c r="Q205" s="531"/>
      <c r="R205" s="795"/>
      <c r="T205" s="536"/>
    </row>
    <row r="206" spans="1:20" ht="14" customHeight="1" x14ac:dyDescent="0.35">
      <c r="A206" s="757" t="s">
        <v>760</v>
      </c>
      <c r="B206" s="449">
        <v>6000</v>
      </c>
      <c r="C206" s="449">
        <v>2000</v>
      </c>
      <c r="D206" s="449">
        <v>1000</v>
      </c>
      <c r="E206" s="449">
        <v>1000</v>
      </c>
      <c r="F206" s="449">
        <v>1000</v>
      </c>
      <c r="H206" s="437">
        <v>0</v>
      </c>
      <c r="I206" s="437">
        <v>0</v>
      </c>
      <c r="J206" s="453"/>
      <c r="K206" s="437">
        <v>0</v>
      </c>
      <c r="L206" s="437">
        <v>2</v>
      </c>
      <c r="M206" s="437">
        <v>-2</v>
      </c>
      <c r="N206" s="453"/>
      <c r="O206" s="437">
        <v>0</v>
      </c>
      <c r="P206" s="437">
        <v>2</v>
      </c>
      <c r="R206" s="794"/>
    </row>
    <row r="207" spans="1:20" ht="14" customHeight="1" x14ac:dyDescent="0.35">
      <c r="A207" s="757" t="s">
        <v>761</v>
      </c>
      <c r="B207" s="449">
        <v>489810</v>
      </c>
      <c r="C207" s="449">
        <v>508267</v>
      </c>
      <c r="D207" s="449">
        <v>634340</v>
      </c>
      <c r="E207" s="449">
        <v>913708</v>
      </c>
      <c r="F207" s="449">
        <v>819655</v>
      </c>
      <c r="G207" s="437">
        <v>862500</v>
      </c>
      <c r="H207" s="437">
        <v>990568</v>
      </c>
      <c r="I207" s="437">
        <v>861801</v>
      </c>
      <c r="J207" s="453"/>
      <c r="K207" s="437">
        <v>885000</v>
      </c>
      <c r="L207" s="437">
        <v>1268705</v>
      </c>
      <c r="M207" s="437">
        <v>-383705</v>
      </c>
      <c r="N207" s="453"/>
      <c r="O207" s="437">
        <v>1625000</v>
      </c>
      <c r="P207" s="437">
        <v>-356295</v>
      </c>
      <c r="R207" s="794"/>
      <c r="T207" s="437">
        <v>996500</v>
      </c>
    </row>
    <row r="208" spans="1:20" ht="14" customHeight="1" x14ac:dyDescent="0.35">
      <c r="A208" s="757" t="s">
        <v>762</v>
      </c>
      <c r="B208" s="449">
        <v>11780</v>
      </c>
      <c r="C208" s="448" t="s">
        <v>650</v>
      </c>
      <c r="D208" s="448" t="s">
        <v>650</v>
      </c>
      <c r="E208" s="448" t="s">
        <v>650</v>
      </c>
      <c r="F208" s="449">
        <v>63400</v>
      </c>
      <c r="G208" s="437">
        <v>32291</v>
      </c>
      <c r="H208" s="437">
        <v>53153</v>
      </c>
      <c r="I208" s="437">
        <v>24562</v>
      </c>
      <c r="J208" s="453"/>
      <c r="K208" s="437">
        <v>32000</v>
      </c>
      <c r="L208" s="437">
        <v>39938</v>
      </c>
      <c r="M208" s="437">
        <v>-7938</v>
      </c>
      <c r="N208" s="453"/>
      <c r="O208" s="437">
        <v>32000</v>
      </c>
      <c r="P208" s="437">
        <v>7938</v>
      </c>
      <c r="R208" s="794"/>
      <c r="T208" s="437">
        <v>58000</v>
      </c>
    </row>
    <row r="209" spans="1:23" s="537" customFormat="1" ht="14" customHeight="1" x14ac:dyDescent="0.35">
      <c r="A209" s="757" t="s">
        <v>763</v>
      </c>
      <c r="B209" s="449">
        <v>3092549</v>
      </c>
      <c r="C209" s="449">
        <v>1406072</v>
      </c>
      <c r="D209" s="437">
        <v>534520</v>
      </c>
      <c r="E209" s="437">
        <v>206005</v>
      </c>
      <c r="F209" s="449">
        <v>2269771</v>
      </c>
      <c r="G209" s="437">
        <v>1823752</v>
      </c>
      <c r="H209" s="437">
        <v>3044416</v>
      </c>
      <c r="I209" s="437">
        <v>2073014</v>
      </c>
      <c r="J209" s="453"/>
      <c r="K209" s="437">
        <v>1950000</v>
      </c>
      <c r="L209" s="437">
        <v>1552249</v>
      </c>
      <c r="M209" s="437">
        <v>397751</v>
      </c>
      <c r="N209" s="453"/>
      <c r="O209" s="437">
        <v>1950000</v>
      </c>
      <c r="P209" s="437">
        <v>-397751</v>
      </c>
      <c r="Q209" s="435"/>
      <c r="R209" s="794"/>
      <c r="S209" s="436"/>
      <c r="T209" s="437">
        <v>1000000</v>
      </c>
      <c r="U209" s="436"/>
      <c r="V209" s="436"/>
      <c r="W209" s="436"/>
    </row>
    <row r="210" spans="1:23" s="532" customFormat="1" ht="14" customHeight="1" x14ac:dyDescent="0.35">
      <c r="A210" s="771" t="s">
        <v>764</v>
      </c>
      <c r="B210" s="538"/>
      <c r="C210" s="538"/>
      <c r="D210" s="520">
        <v>1169860</v>
      </c>
      <c r="E210" s="520">
        <v>1120713</v>
      </c>
      <c r="F210" s="520">
        <v>3153826</v>
      </c>
      <c r="G210" s="521">
        <v>2718543</v>
      </c>
      <c r="H210" s="521">
        <v>4088138</v>
      </c>
      <c r="I210" s="521">
        <v>2959377</v>
      </c>
      <c r="J210" s="522"/>
      <c r="K210" s="521">
        <v>2867000</v>
      </c>
      <c r="L210" s="521">
        <v>2860893</v>
      </c>
      <c r="M210" s="521">
        <v>6107</v>
      </c>
      <c r="N210" s="522"/>
      <c r="O210" s="521">
        <v>3607000</v>
      </c>
      <c r="P210" s="521">
        <v>-746107</v>
      </c>
      <c r="Q210" s="531"/>
      <c r="R210" s="795"/>
      <c r="T210" s="446">
        <v>2054500</v>
      </c>
    </row>
    <row r="211" spans="1:23" ht="14" customHeight="1" x14ac:dyDescent="0.35">
      <c r="A211" s="757"/>
      <c r="B211" s="448"/>
      <c r="C211" s="448"/>
      <c r="D211" s="449"/>
      <c r="E211" s="449"/>
      <c r="F211" s="449"/>
      <c r="J211" s="453"/>
      <c r="K211" s="452"/>
      <c r="M211" s="437"/>
      <c r="N211" s="453"/>
      <c r="O211" s="437"/>
      <c r="P211" s="437"/>
      <c r="R211" s="799"/>
      <c r="T211" s="452"/>
    </row>
    <row r="212" spans="1:23" s="479" customFormat="1" ht="14" customHeight="1" x14ac:dyDescent="0.35">
      <c r="A212" s="809" t="s">
        <v>765</v>
      </c>
      <c r="B212" s="812">
        <v>8982114</v>
      </c>
      <c r="C212" s="812">
        <v>7533244</v>
      </c>
      <c r="D212" s="812">
        <v>7918408</v>
      </c>
      <c r="E212" s="812">
        <v>11262166</v>
      </c>
      <c r="F212" s="812">
        <v>15372730</v>
      </c>
      <c r="G212" s="813">
        <v>15298392</v>
      </c>
      <c r="H212" s="813">
        <v>19141154</v>
      </c>
      <c r="I212" s="813">
        <v>16381885</v>
      </c>
      <c r="J212" s="453"/>
      <c r="K212" s="813">
        <v>19433202</v>
      </c>
      <c r="L212" s="813">
        <v>29531805</v>
      </c>
      <c r="M212" s="813">
        <v>-10098603</v>
      </c>
      <c r="N212" s="453"/>
      <c r="O212" s="813">
        <v>29334004</v>
      </c>
      <c r="P212" s="813">
        <v>197801</v>
      </c>
      <c r="Q212" s="435"/>
      <c r="R212" s="795"/>
      <c r="S212" s="436"/>
      <c r="T212" s="476">
        <v>19811666</v>
      </c>
      <c r="U212" s="436"/>
      <c r="V212" s="436"/>
      <c r="W212" s="436"/>
    </row>
    <row r="213" spans="1:23" s="746" customFormat="1" ht="14" customHeight="1" x14ac:dyDescent="0.35">
      <c r="A213" s="843"/>
      <c r="B213" s="844"/>
      <c r="C213" s="844"/>
      <c r="D213" s="844"/>
      <c r="E213" s="844"/>
      <c r="F213" s="844"/>
      <c r="G213" s="752"/>
      <c r="H213" s="752"/>
      <c r="I213" s="752"/>
      <c r="J213" s="453"/>
      <c r="K213" s="752"/>
      <c r="L213" s="752"/>
      <c r="M213" s="752"/>
      <c r="N213" s="453"/>
      <c r="O213" s="752"/>
      <c r="P213" s="752"/>
      <c r="Q213" s="747"/>
      <c r="R213" s="789"/>
      <c r="T213" s="752"/>
    </row>
    <row r="214" spans="1:23" ht="14" customHeight="1" x14ac:dyDescent="0.35">
      <c r="A214" s="772" t="s">
        <v>766</v>
      </c>
      <c r="F214" s="461"/>
      <c r="G214" s="448">
        <v>-101689</v>
      </c>
      <c r="H214" s="437">
        <v>102921</v>
      </c>
      <c r="I214" s="448">
        <v>0</v>
      </c>
      <c r="J214" s="453"/>
      <c r="K214" s="437">
        <v>0</v>
      </c>
      <c r="L214" s="448">
        <v>632783</v>
      </c>
      <c r="M214" s="444">
        <v>-632783</v>
      </c>
      <c r="N214" s="453"/>
      <c r="O214" s="448">
        <v>0</v>
      </c>
      <c r="P214" s="539">
        <v>632783</v>
      </c>
      <c r="R214" s="795"/>
      <c r="T214" s="437">
        <v>0</v>
      </c>
    </row>
    <row r="215" spans="1:23" ht="14" customHeight="1" x14ac:dyDescent="0.35">
      <c r="A215" s="772" t="s">
        <v>767</v>
      </c>
      <c r="F215" s="461">
        <v>-65457</v>
      </c>
      <c r="G215" s="448">
        <v>270571</v>
      </c>
      <c r="H215" s="448">
        <v>249333</v>
      </c>
      <c r="I215" s="444">
        <v>-106526</v>
      </c>
      <c r="J215" s="509"/>
      <c r="K215" s="444">
        <v>0</v>
      </c>
      <c r="L215" s="444">
        <v>0</v>
      </c>
      <c r="M215" s="444">
        <v>0</v>
      </c>
      <c r="N215" s="509"/>
      <c r="O215" s="448">
        <v>0</v>
      </c>
      <c r="P215" s="540">
        <v>0</v>
      </c>
      <c r="R215" s="795"/>
      <c r="T215" s="436"/>
    </row>
    <row r="216" spans="1:23" ht="14" customHeight="1" x14ac:dyDescent="0.35">
      <c r="A216" s="754" t="s">
        <v>628</v>
      </c>
      <c r="F216" s="461"/>
      <c r="G216" s="444"/>
      <c r="H216" s="444">
        <v>401199</v>
      </c>
      <c r="I216" s="444">
        <v>165874</v>
      </c>
      <c r="J216" s="487"/>
      <c r="K216" s="444">
        <v>0</v>
      </c>
      <c r="L216" s="444">
        <v>96090</v>
      </c>
      <c r="M216" s="444">
        <v>-96090</v>
      </c>
      <c r="N216" s="487"/>
      <c r="O216" s="540">
        <v>3000000</v>
      </c>
      <c r="P216" s="438">
        <v>-2903910</v>
      </c>
      <c r="R216" s="795"/>
      <c r="T216" s="444"/>
    </row>
    <row r="217" spans="1:23" ht="14" customHeight="1" x14ac:dyDescent="0.35">
      <c r="F217" s="461"/>
      <c r="G217" s="444"/>
      <c r="H217" s="444"/>
      <c r="I217" s="444"/>
      <c r="J217" s="487"/>
      <c r="K217" s="444"/>
      <c r="L217" s="444"/>
      <c r="M217" s="444"/>
      <c r="N217" s="487"/>
      <c r="O217" s="540"/>
      <c r="R217" s="795"/>
      <c r="T217" s="444"/>
    </row>
    <row r="218" spans="1:23" ht="14" customHeight="1" x14ac:dyDescent="0.35">
      <c r="A218" s="808" t="s">
        <v>768</v>
      </c>
      <c r="B218" s="439" t="s">
        <v>598</v>
      </c>
      <c r="C218" s="439" t="s">
        <v>599</v>
      </c>
      <c r="D218" s="439" t="s">
        <v>600</v>
      </c>
      <c r="E218" s="439" t="s">
        <v>601</v>
      </c>
      <c r="F218" s="439" t="s">
        <v>602</v>
      </c>
      <c r="G218" s="440" t="s">
        <v>603</v>
      </c>
      <c r="H218" s="440" t="s">
        <v>604</v>
      </c>
      <c r="I218" s="440" t="s">
        <v>605</v>
      </c>
      <c r="J218" s="441"/>
      <c r="K218" s="440" t="s">
        <v>1071</v>
      </c>
      <c r="L218" s="440" t="s">
        <v>1079</v>
      </c>
      <c r="M218" s="440" t="s">
        <v>1072</v>
      </c>
      <c r="N218" s="441"/>
      <c r="O218" s="442" t="s">
        <v>1073</v>
      </c>
      <c r="P218" s="442" t="s">
        <v>1074</v>
      </c>
      <c r="T218" s="440" t="s">
        <v>605</v>
      </c>
    </row>
    <row r="219" spans="1:23" ht="14" customHeight="1" x14ac:dyDescent="0.35">
      <c r="A219" s="771" t="s">
        <v>769</v>
      </c>
      <c r="B219" s="445"/>
      <c r="C219" s="445"/>
      <c r="D219" s="444"/>
      <c r="E219" s="444"/>
      <c r="F219" s="444"/>
      <c r="G219" s="446"/>
      <c r="H219" s="446"/>
      <c r="I219" s="446"/>
      <c r="J219" s="441"/>
      <c r="K219" s="446"/>
      <c r="L219" s="446"/>
      <c r="M219" s="446"/>
      <c r="N219" s="441"/>
      <c r="O219" s="447"/>
      <c r="P219" s="447"/>
      <c r="R219" s="776"/>
      <c r="T219" s="446" t="s">
        <v>607</v>
      </c>
    </row>
    <row r="220" spans="1:23" ht="14" customHeight="1" x14ac:dyDescent="0.35">
      <c r="A220" s="754" t="s">
        <v>770</v>
      </c>
      <c r="B220" s="449">
        <v>122095</v>
      </c>
      <c r="C220" s="449">
        <v>156010</v>
      </c>
      <c r="D220" s="449">
        <v>203522</v>
      </c>
      <c r="E220" s="449">
        <v>198531</v>
      </c>
      <c r="F220" s="449">
        <v>353300</v>
      </c>
      <c r="G220" s="437">
        <v>267268</v>
      </c>
      <c r="H220" s="437">
        <v>406216</v>
      </c>
      <c r="I220" s="437">
        <v>1072121</v>
      </c>
      <c r="J220" s="453"/>
      <c r="K220" s="437">
        <v>1217257</v>
      </c>
      <c r="L220" s="437">
        <v>1584144</v>
      </c>
      <c r="M220" s="437">
        <v>-366888</v>
      </c>
      <c r="N220" s="453"/>
      <c r="O220" s="437">
        <v>1977693</v>
      </c>
      <c r="P220" s="437">
        <v>-393549</v>
      </c>
      <c r="R220" s="751"/>
      <c r="T220" s="437">
        <v>247834</v>
      </c>
    </row>
    <row r="221" spans="1:23" ht="14" customHeight="1" x14ac:dyDescent="0.35">
      <c r="A221" s="754" t="s">
        <v>771</v>
      </c>
      <c r="B221" s="449">
        <v>4229267</v>
      </c>
      <c r="C221" s="449">
        <v>4070759</v>
      </c>
      <c r="D221" s="449">
        <v>4060082</v>
      </c>
      <c r="E221" s="449">
        <v>4837502</v>
      </c>
      <c r="F221" s="449">
        <v>5414552</v>
      </c>
      <c r="G221" s="437">
        <v>6040475</v>
      </c>
      <c r="H221" s="437">
        <v>2733348</v>
      </c>
      <c r="I221" s="437">
        <v>2562476</v>
      </c>
      <c r="J221" s="453"/>
      <c r="K221" s="437">
        <v>3566603</v>
      </c>
      <c r="L221" s="437">
        <v>3230283</v>
      </c>
      <c r="M221" s="437">
        <v>336319</v>
      </c>
      <c r="N221" s="453"/>
      <c r="O221" s="437">
        <v>3223105</v>
      </c>
      <c r="P221" s="437">
        <v>7178</v>
      </c>
      <c r="R221" s="751"/>
      <c r="T221" s="437">
        <v>3301849</v>
      </c>
    </row>
    <row r="222" spans="1:23" ht="14" customHeight="1" x14ac:dyDescent="0.35">
      <c r="B222" s="449"/>
      <c r="C222" s="449"/>
      <c r="D222" s="449"/>
      <c r="E222" s="449"/>
      <c r="F222" s="449"/>
      <c r="H222" s="437">
        <v>0</v>
      </c>
      <c r="I222" s="437">
        <v>0</v>
      </c>
      <c r="J222" s="453"/>
      <c r="K222" s="437">
        <v>0</v>
      </c>
      <c r="L222" s="437">
        <v>0</v>
      </c>
      <c r="M222" s="437">
        <v>0</v>
      </c>
      <c r="N222" s="453"/>
      <c r="O222" s="437">
        <v>121810</v>
      </c>
      <c r="P222" s="437">
        <v>-121810</v>
      </c>
      <c r="R222" s="751"/>
    </row>
    <row r="223" spans="1:23" ht="14" customHeight="1" x14ac:dyDescent="0.35">
      <c r="A223" s="754" t="s">
        <v>772</v>
      </c>
      <c r="B223" s="449">
        <v>139846</v>
      </c>
      <c r="C223" s="449">
        <v>127235</v>
      </c>
      <c r="D223" s="448">
        <v>108946</v>
      </c>
      <c r="E223" s="448">
        <v>135262</v>
      </c>
      <c r="F223" s="449">
        <v>136159</v>
      </c>
      <c r="G223" s="437">
        <v>161250</v>
      </c>
      <c r="H223" s="437">
        <v>226637</v>
      </c>
      <c r="I223" s="437">
        <v>90890</v>
      </c>
      <c r="J223" s="453"/>
      <c r="K223" s="437">
        <v>615580</v>
      </c>
      <c r="L223" s="437">
        <v>452609</v>
      </c>
      <c r="M223" s="437">
        <v>162971</v>
      </c>
      <c r="N223" s="453"/>
      <c r="O223" s="437">
        <v>644381</v>
      </c>
      <c r="P223" s="437">
        <v>-191773</v>
      </c>
      <c r="R223" s="751"/>
      <c r="T223" s="437">
        <v>112639</v>
      </c>
    </row>
    <row r="224" spans="1:23" s="299" customFormat="1" ht="14" customHeight="1" x14ac:dyDescent="0.4">
      <c r="A224" s="771" t="s">
        <v>773</v>
      </c>
      <c r="B224" s="520">
        <v>4491208</v>
      </c>
      <c r="C224" s="520">
        <v>4354004</v>
      </c>
      <c r="D224" s="520">
        <v>4372550</v>
      </c>
      <c r="E224" s="520">
        <v>5171295</v>
      </c>
      <c r="F224" s="520">
        <v>5904011</v>
      </c>
      <c r="G224" s="521">
        <v>6468993</v>
      </c>
      <c r="H224" s="521">
        <v>3366201</v>
      </c>
      <c r="I224" s="521">
        <v>3725487</v>
      </c>
      <c r="J224" s="522"/>
      <c r="K224" s="521">
        <v>5399439</v>
      </c>
      <c r="L224" s="521">
        <v>5267037</v>
      </c>
      <c r="M224" s="521">
        <v>132403</v>
      </c>
      <c r="N224" s="522"/>
      <c r="O224" s="521">
        <v>5966990</v>
      </c>
      <c r="P224" s="521">
        <v>-699953</v>
      </c>
      <c r="Q224" s="459"/>
      <c r="R224" s="776"/>
      <c r="T224" s="446">
        <v>3662322</v>
      </c>
    </row>
    <row r="225" spans="1:20" ht="14" customHeight="1" x14ac:dyDescent="0.35">
      <c r="A225" s="771"/>
      <c r="B225" s="449"/>
      <c r="C225" s="449"/>
      <c r="D225" s="449"/>
      <c r="E225" s="461"/>
      <c r="F225" s="461"/>
      <c r="J225" s="453"/>
      <c r="M225" s="437"/>
      <c r="N225" s="453"/>
      <c r="O225" s="541"/>
      <c r="P225" s="542"/>
      <c r="R225" s="803"/>
    </row>
    <row r="226" spans="1:20" ht="14" customHeight="1" x14ac:dyDescent="0.35">
      <c r="A226" s="771" t="s">
        <v>774</v>
      </c>
      <c r="B226" s="448"/>
      <c r="C226" s="448"/>
      <c r="D226" s="437"/>
      <c r="F226" s="445"/>
      <c r="J226" s="453"/>
      <c r="M226" s="437"/>
      <c r="N226" s="453"/>
      <c r="O226" s="437"/>
      <c r="P226" s="437"/>
      <c r="R226" s="776"/>
    </row>
    <row r="227" spans="1:20" ht="14" customHeight="1" x14ac:dyDescent="0.35">
      <c r="A227" s="774" t="s">
        <v>775</v>
      </c>
      <c r="B227" s="449">
        <v>408932</v>
      </c>
      <c r="C227" s="449">
        <v>609195</v>
      </c>
      <c r="D227" s="437">
        <v>706408</v>
      </c>
      <c r="E227" s="438">
        <v>740631</v>
      </c>
      <c r="F227" s="461">
        <v>614727</v>
      </c>
      <c r="G227" s="437">
        <v>580771</v>
      </c>
      <c r="H227" s="437">
        <v>810339</v>
      </c>
      <c r="I227" s="437">
        <v>902397</v>
      </c>
      <c r="J227" s="453"/>
      <c r="K227" s="437">
        <v>944077</v>
      </c>
      <c r="L227" s="437">
        <v>1200184</v>
      </c>
      <c r="M227" s="437">
        <v>-256107</v>
      </c>
      <c r="N227" s="453"/>
      <c r="O227" s="437">
        <v>1256129</v>
      </c>
      <c r="P227" s="437">
        <v>-55944</v>
      </c>
      <c r="R227" s="751"/>
      <c r="T227" s="437">
        <v>851080</v>
      </c>
    </row>
    <row r="228" spans="1:20" ht="14" customHeight="1" x14ac:dyDescent="0.35">
      <c r="A228" s="774"/>
      <c r="B228" s="449"/>
      <c r="C228" s="449"/>
      <c r="D228" s="437"/>
      <c r="F228" s="461"/>
      <c r="J228" s="453"/>
      <c r="M228" s="437"/>
      <c r="N228" s="453"/>
      <c r="O228" s="437"/>
      <c r="P228" s="437"/>
      <c r="R228" s="776"/>
    </row>
    <row r="229" spans="1:20" ht="14" customHeight="1" x14ac:dyDescent="0.35">
      <c r="A229" s="770" t="s">
        <v>894</v>
      </c>
      <c r="B229" s="448"/>
      <c r="C229" s="448"/>
      <c r="D229" s="448"/>
      <c r="E229" s="461"/>
      <c r="F229" s="445"/>
      <c r="J229" s="453"/>
      <c r="M229" s="437"/>
      <c r="N229" s="453"/>
      <c r="O229" s="437"/>
      <c r="P229" s="437"/>
      <c r="R229" s="776"/>
    </row>
    <row r="230" spans="1:20" ht="14" customHeight="1" x14ac:dyDescent="0.35">
      <c r="A230" s="754" t="s">
        <v>676</v>
      </c>
      <c r="B230" s="449">
        <v>3009514</v>
      </c>
      <c r="C230" s="448"/>
      <c r="D230" s="449" t="s">
        <v>650</v>
      </c>
      <c r="E230" s="461">
        <v>24502</v>
      </c>
      <c r="F230" s="461">
        <v>5635451</v>
      </c>
      <c r="G230" s="437">
        <v>0</v>
      </c>
      <c r="H230" s="437">
        <v>0</v>
      </c>
      <c r="I230" s="437">
        <v>1564788</v>
      </c>
      <c r="J230" s="453"/>
      <c r="K230" s="437">
        <v>7305252</v>
      </c>
      <c r="L230" s="437">
        <v>7078445</v>
      </c>
      <c r="M230" s="437">
        <v>226807</v>
      </c>
      <c r="N230" s="453"/>
      <c r="O230" s="437">
        <v>3332854</v>
      </c>
      <c r="P230" s="437">
        <v>3745591</v>
      </c>
      <c r="R230" s="751"/>
      <c r="T230" s="437">
        <v>0</v>
      </c>
    </row>
    <row r="231" spans="1:20" ht="14" customHeight="1" x14ac:dyDescent="0.35">
      <c r="A231" s="754" t="s">
        <v>776</v>
      </c>
      <c r="B231" s="449"/>
      <c r="C231" s="448"/>
      <c r="D231" s="452"/>
      <c r="E231" s="436"/>
      <c r="G231" s="437">
        <v>0</v>
      </c>
      <c r="H231" s="437">
        <v>0</v>
      </c>
      <c r="I231" s="437">
        <v>0</v>
      </c>
      <c r="J231" s="453"/>
      <c r="K231" s="437">
        <v>3277000</v>
      </c>
      <c r="L231" s="437">
        <v>2403600</v>
      </c>
      <c r="M231" s="437">
        <v>873400</v>
      </c>
      <c r="N231" s="453"/>
      <c r="O231" s="437">
        <v>0</v>
      </c>
      <c r="P231" s="437">
        <v>2403600</v>
      </c>
      <c r="R231" s="751"/>
      <c r="T231" s="437">
        <v>0</v>
      </c>
    </row>
    <row r="232" spans="1:20" ht="14" customHeight="1" x14ac:dyDescent="0.35">
      <c r="A232" s="757" t="s">
        <v>777</v>
      </c>
      <c r="B232" s="449"/>
      <c r="C232" s="448"/>
      <c r="D232" s="448">
        <v>2407862</v>
      </c>
      <c r="E232" s="438">
        <v>16402120</v>
      </c>
      <c r="F232" s="437">
        <v>0</v>
      </c>
      <c r="G232" s="437">
        <v>0</v>
      </c>
      <c r="H232" s="437">
        <v>0</v>
      </c>
      <c r="I232" s="437">
        <v>0</v>
      </c>
      <c r="J232" s="453"/>
      <c r="K232" s="437">
        <v>0</v>
      </c>
      <c r="L232" s="437">
        <v>0</v>
      </c>
      <c r="M232" s="437">
        <v>0</v>
      </c>
      <c r="N232" s="453"/>
      <c r="O232" s="437">
        <v>0</v>
      </c>
      <c r="P232" s="437">
        <v>0</v>
      </c>
      <c r="R232" s="803"/>
      <c r="T232" s="437">
        <v>0</v>
      </c>
    </row>
    <row r="233" spans="1:20" s="299" customFormat="1" ht="14" customHeight="1" x14ac:dyDescent="0.4">
      <c r="A233" s="770" t="s">
        <v>864</v>
      </c>
      <c r="B233" s="520">
        <v>3009514</v>
      </c>
      <c r="C233" s="517"/>
      <c r="D233" s="517">
        <v>2407862</v>
      </c>
      <c r="E233" s="517">
        <v>16426622</v>
      </c>
      <c r="F233" s="826">
        <v>5635451</v>
      </c>
      <c r="G233" s="521">
        <v>0</v>
      </c>
      <c r="H233" s="521">
        <v>0</v>
      </c>
      <c r="I233" s="521">
        <v>1564788</v>
      </c>
      <c r="J233" s="522"/>
      <c r="K233" s="521">
        <v>10582252</v>
      </c>
      <c r="L233" s="521">
        <v>9482045</v>
      </c>
      <c r="M233" s="521">
        <v>1100206</v>
      </c>
      <c r="N233" s="522"/>
      <c r="O233" s="521">
        <v>3332854</v>
      </c>
      <c r="P233" s="521">
        <v>6149192</v>
      </c>
      <c r="Q233" s="459"/>
      <c r="R233" s="776"/>
      <c r="T233" s="446">
        <v>0</v>
      </c>
    </row>
    <row r="234" spans="1:20" ht="14" customHeight="1" x14ac:dyDescent="0.35">
      <c r="A234" s="775"/>
      <c r="B234" s="448"/>
      <c r="C234" s="448"/>
      <c r="D234" s="437"/>
      <c r="J234" s="453"/>
      <c r="M234" s="437"/>
      <c r="N234" s="453"/>
      <c r="O234" s="437"/>
      <c r="P234" s="437"/>
      <c r="R234" s="803"/>
    </row>
    <row r="235" spans="1:20" ht="14" customHeight="1" x14ac:dyDescent="0.35">
      <c r="A235" s="770" t="s">
        <v>893</v>
      </c>
      <c r="B235" s="448"/>
      <c r="C235" s="448"/>
      <c r="D235" s="437"/>
      <c r="J235" s="453"/>
      <c r="M235" s="437"/>
      <c r="N235" s="453"/>
      <c r="O235" s="437"/>
      <c r="P235" s="437"/>
      <c r="R235" s="776"/>
    </row>
    <row r="236" spans="1:20" ht="14" customHeight="1" x14ac:dyDescent="0.35">
      <c r="A236" s="757" t="s">
        <v>777</v>
      </c>
      <c r="B236" s="448"/>
      <c r="C236" s="448"/>
      <c r="D236" s="437"/>
      <c r="H236" s="437">
        <v>2911</v>
      </c>
      <c r="I236" s="437">
        <v>331786</v>
      </c>
      <c r="J236" s="453"/>
      <c r="K236" s="437">
        <v>0</v>
      </c>
      <c r="L236" s="437">
        <v>0</v>
      </c>
      <c r="M236" s="437">
        <v>0</v>
      </c>
      <c r="N236" s="453"/>
      <c r="O236" s="437">
        <v>0</v>
      </c>
      <c r="P236" s="437">
        <v>0</v>
      </c>
      <c r="R236" s="751"/>
    </row>
    <row r="237" spans="1:20" ht="14" customHeight="1" x14ac:dyDescent="0.35">
      <c r="A237" s="775"/>
      <c r="B237" s="448"/>
      <c r="C237" s="448"/>
      <c r="D237" s="437"/>
      <c r="J237" s="453"/>
      <c r="M237" s="437"/>
      <c r="N237" s="453"/>
      <c r="O237" s="437"/>
      <c r="P237" s="437"/>
      <c r="R237" s="795"/>
    </row>
    <row r="238" spans="1:20" ht="14" customHeight="1" x14ac:dyDescent="0.35">
      <c r="A238" s="771" t="s">
        <v>780</v>
      </c>
      <c r="B238" s="448"/>
      <c r="C238" s="448"/>
      <c r="D238" s="448"/>
      <c r="E238" s="445"/>
      <c r="F238" s="445"/>
      <c r="J238" s="453"/>
      <c r="M238" s="437"/>
      <c r="N238" s="453"/>
      <c r="R238" s="795"/>
    </row>
    <row r="239" spans="1:20" ht="14" customHeight="1" x14ac:dyDescent="0.35">
      <c r="A239" s="754" t="s">
        <v>781</v>
      </c>
      <c r="B239" s="437">
        <v>5998678</v>
      </c>
      <c r="C239" s="437">
        <v>4703724</v>
      </c>
      <c r="D239" s="449">
        <v>4623685</v>
      </c>
      <c r="E239" s="461">
        <v>6275598</v>
      </c>
      <c r="F239" s="461">
        <v>8253861</v>
      </c>
      <c r="G239" s="437">
        <v>3725172</v>
      </c>
      <c r="H239" s="437">
        <v>3687844</v>
      </c>
      <c r="I239" s="437">
        <v>11280683</v>
      </c>
      <c r="J239" s="453"/>
      <c r="K239" s="437">
        <v>9777107</v>
      </c>
      <c r="L239" s="437">
        <v>7799092</v>
      </c>
      <c r="M239" s="437">
        <v>1978016</v>
      </c>
      <c r="N239" s="453"/>
      <c r="O239" s="437">
        <v>3244500</v>
      </c>
      <c r="P239" s="437">
        <v>4554592</v>
      </c>
      <c r="R239" s="794"/>
      <c r="T239" s="437">
        <v>3064308</v>
      </c>
    </row>
    <row r="240" spans="1:20" ht="14" customHeight="1" x14ac:dyDescent="0.35">
      <c r="A240" s="757" t="s">
        <v>782</v>
      </c>
      <c r="B240" s="437">
        <v>5155338</v>
      </c>
      <c r="C240" s="437">
        <v>7230919</v>
      </c>
      <c r="D240" s="449">
        <v>10667040</v>
      </c>
      <c r="E240" s="461">
        <v>7065113</v>
      </c>
      <c r="F240" s="461">
        <v>10547473</v>
      </c>
      <c r="G240" s="437">
        <v>11552145</v>
      </c>
      <c r="H240" s="437">
        <v>10010610</v>
      </c>
      <c r="I240" s="437">
        <v>7259945</v>
      </c>
      <c r="J240" s="453"/>
      <c r="K240" s="437">
        <v>11137190</v>
      </c>
      <c r="L240" s="437">
        <v>9963822</v>
      </c>
      <c r="M240" s="437">
        <v>1173368</v>
      </c>
      <c r="N240" s="453"/>
      <c r="O240" s="437">
        <v>9805009</v>
      </c>
      <c r="P240" s="437">
        <v>158813</v>
      </c>
      <c r="R240" s="794"/>
      <c r="T240" s="437">
        <v>7268671</v>
      </c>
    </row>
    <row r="241" spans="1:23" ht="14" customHeight="1" x14ac:dyDescent="0.35">
      <c r="A241" s="757" t="s">
        <v>783</v>
      </c>
      <c r="B241" s="448">
        <v>845502</v>
      </c>
      <c r="C241" s="448">
        <v>745392</v>
      </c>
      <c r="D241" s="448">
        <v>823316</v>
      </c>
      <c r="E241" s="448">
        <v>1175166</v>
      </c>
      <c r="F241" s="461">
        <v>772981</v>
      </c>
      <c r="G241" s="437">
        <v>717690</v>
      </c>
      <c r="H241" s="437">
        <v>522187</v>
      </c>
      <c r="I241" s="437">
        <v>573835</v>
      </c>
      <c r="J241" s="453"/>
      <c r="K241" s="437">
        <v>517202</v>
      </c>
      <c r="L241" s="437">
        <v>597450</v>
      </c>
      <c r="M241" s="437">
        <v>-80248</v>
      </c>
      <c r="N241" s="453"/>
      <c r="O241" s="437">
        <v>193180</v>
      </c>
      <c r="P241" s="437">
        <v>404270</v>
      </c>
      <c r="R241" s="794"/>
      <c r="T241" s="437">
        <v>465744</v>
      </c>
    </row>
    <row r="242" spans="1:23" s="299" customFormat="1" ht="14" customHeight="1" x14ac:dyDescent="0.4">
      <c r="A242" s="771" t="s">
        <v>784</v>
      </c>
      <c r="B242" s="520">
        <v>11999518</v>
      </c>
      <c r="C242" s="520">
        <v>12680034</v>
      </c>
      <c r="D242" s="517">
        <v>16114041</v>
      </c>
      <c r="E242" s="826">
        <v>14515877</v>
      </c>
      <c r="F242" s="826">
        <v>19574315</v>
      </c>
      <c r="G242" s="521">
        <v>15995008</v>
      </c>
      <c r="H242" s="521">
        <v>14220640</v>
      </c>
      <c r="I242" s="521">
        <v>19114464</v>
      </c>
      <c r="J242" s="522"/>
      <c r="K242" s="521">
        <v>21431499</v>
      </c>
      <c r="L242" s="521">
        <v>18360364</v>
      </c>
      <c r="M242" s="521">
        <v>3071136</v>
      </c>
      <c r="N242" s="522"/>
      <c r="O242" s="516">
        <v>13242689</v>
      </c>
      <c r="P242" s="521">
        <v>5117675</v>
      </c>
      <c r="Q242" s="459"/>
      <c r="R242" s="795"/>
      <c r="T242" s="446">
        <v>10798723</v>
      </c>
    </row>
    <row r="243" spans="1:23" ht="14" customHeight="1" x14ac:dyDescent="0.35">
      <c r="A243" s="764"/>
      <c r="B243" s="437"/>
      <c r="C243" s="437"/>
      <c r="D243" s="448"/>
      <c r="E243" s="448"/>
      <c r="J243" s="453"/>
      <c r="M243" s="437"/>
      <c r="N243" s="453"/>
      <c r="R243" s="793"/>
    </row>
    <row r="244" spans="1:23" ht="14" customHeight="1" x14ac:dyDescent="0.35">
      <c r="A244" s="771" t="s">
        <v>785</v>
      </c>
      <c r="B244" s="437"/>
      <c r="C244" s="437"/>
      <c r="D244" s="448"/>
      <c r="E244" s="448"/>
      <c r="F244" s="445"/>
      <c r="J244" s="453"/>
      <c r="M244" s="437"/>
      <c r="N244" s="453"/>
      <c r="R244" s="795"/>
    </row>
    <row r="245" spans="1:23" ht="14" customHeight="1" x14ac:dyDescent="0.35">
      <c r="A245" s="754" t="s">
        <v>786</v>
      </c>
      <c r="B245" s="449">
        <v>1876035</v>
      </c>
      <c r="C245" s="449">
        <v>2607046</v>
      </c>
      <c r="D245" s="449">
        <v>2983167</v>
      </c>
      <c r="E245" s="461">
        <v>3357891</v>
      </c>
      <c r="F245" s="461">
        <v>3294858</v>
      </c>
      <c r="G245" s="437">
        <v>3577770</v>
      </c>
      <c r="H245" s="437">
        <v>5775531</v>
      </c>
      <c r="I245" s="437">
        <v>4808055</v>
      </c>
      <c r="J245" s="453"/>
      <c r="K245" s="437">
        <v>4792890</v>
      </c>
      <c r="L245" s="437">
        <v>4847648</v>
      </c>
      <c r="M245" s="437">
        <v>-54758</v>
      </c>
      <c r="N245" s="453"/>
      <c r="O245" s="437">
        <v>4531825</v>
      </c>
      <c r="P245" s="437">
        <v>315823</v>
      </c>
      <c r="R245" s="794"/>
      <c r="T245" s="437">
        <v>4175938</v>
      </c>
    </row>
    <row r="246" spans="1:23" ht="14" customHeight="1" x14ac:dyDescent="0.35">
      <c r="A246" s="754" t="s">
        <v>787</v>
      </c>
      <c r="B246" s="449">
        <v>2990492</v>
      </c>
      <c r="C246" s="449">
        <v>2523433</v>
      </c>
      <c r="D246" s="449">
        <v>2557735</v>
      </c>
      <c r="E246" s="461">
        <v>1116781</v>
      </c>
      <c r="F246" s="461">
        <v>6776676</v>
      </c>
      <c r="G246" s="437">
        <v>5410548</v>
      </c>
      <c r="H246" s="437">
        <v>5757474</v>
      </c>
      <c r="I246" s="437">
        <v>6508590</v>
      </c>
      <c r="J246" s="453"/>
      <c r="K246" s="437">
        <v>6606808</v>
      </c>
      <c r="L246" s="437">
        <v>9691923</v>
      </c>
      <c r="M246" s="437">
        <v>-3085114</v>
      </c>
      <c r="N246" s="453"/>
      <c r="O246" s="437">
        <v>5390750</v>
      </c>
      <c r="P246" s="437">
        <v>4301173</v>
      </c>
      <c r="R246" s="794"/>
      <c r="T246" s="437">
        <v>4254223</v>
      </c>
    </row>
    <row r="247" spans="1:23" ht="14" customHeight="1" x14ac:dyDescent="0.35">
      <c r="A247" s="754" t="s">
        <v>788</v>
      </c>
      <c r="B247" s="449">
        <v>1220328</v>
      </c>
      <c r="C247" s="449">
        <v>6202571</v>
      </c>
      <c r="D247" s="449">
        <v>2617604</v>
      </c>
      <c r="E247" s="461">
        <v>4094884</v>
      </c>
      <c r="F247" s="461">
        <v>6007427</v>
      </c>
      <c r="G247" s="437">
        <v>4561667</v>
      </c>
      <c r="H247" s="437">
        <v>5372661</v>
      </c>
      <c r="I247" s="437">
        <v>7262193</v>
      </c>
      <c r="J247" s="453"/>
      <c r="K247" s="437">
        <v>9401557</v>
      </c>
      <c r="L247" s="437">
        <v>8152956</v>
      </c>
      <c r="M247" s="437">
        <v>1248601</v>
      </c>
      <c r="N247" s="453"/>
      <c r="O247" s="437">
        <v>8339630</v>
      </c>
      <c r="P247" s="437">
        <v>-186674</v>
      </c>
      <c r="R247" s="794"/>
      <c r="T247" s="437">
        <v>5762010</v>
      </c>
    </row>
    <row r="248" spans="1:23" s="299" customFormat="1" ht="14" customHeight="1" x14ac:dyDescent="0.4">
      <c r="A248" s="771" t="s">
        <v>789</v>
      </c>
      <c r="B248" s="520">
        <v>6086854</v>
      </c>
      <c r="C248" s="520">
        <v>11333050</v>
      </c>
      <c r="D248" s="520">
        <v>8158506</v>
      </c>
      <c r="E248" s="826">
        <v>8569556</v>
      </c>
      <c r="F248" s="826">
        <v>16078961</v>
      </c>
      <c r="G248" s="521">
        <v>13549986</v>
      </c>
      <c r="H248" s="521">
        <v>16905666</v>
      </c>
      <c r="I248" s="521">
        <v>18578838</v>
      </c>
      <c r="J248" s="522"/>
      <c r="K248" s="521">
        <v>20801255</v>
      </c>
      <c r="L248" s="521">
        <v>22692527</v>
      </c>
      <c r="M248" s="521">
        <v>-1891271</v>
      </c>
      <c r="N248" s="522"/>
      <c r="O248" s="521">
        <v>18262205</v>
      </c>
      <c r="P248" s="521">
        <v>4430322</v>
      </c>
      <c r="Q248" s="459"/>
      <c r="R248" s="795"/>
      <c r="T248" s="446">
        <v>14192171</v>
      </c>
    </row>
    <row r="249" spans="1:23" ht="14" customHeight="1" x14ac:dyDescent="0.35">
      <c r="B249" s="449"/>
      <c r="C249" s="449"/>
      <c r="D249" s="449"/>
      <c r="E249" s="461"/>
      <c r="J249" s="453"/>
      <c r="M249" s="437"/>
      <c r="N249" s="453"/>
      <c r="O249" s="437"/>
      <c r="P249" s="437"/>
      <c r="R249" s="793"/>
    </row>
    <row r="250" spans="1:23" ht="14" customHeight="1" x14ac:dyDescent="0.35">
      <c r="A250" s="771" t="s">
        <v>790</v>
      </c>
      <c r="B250" s="437"/>
      <c r="C250" s="437"/>
      <c r="D250" s="448" t="s">
        <v>650</v>
      </c>
      <c r="F250" s="445"/>
      <c r="J250" s="453"/>
      <c r="M250" s="437"/>
      <c r="N250" s="453"/>
      <c r="O250" s="437"/>
      <c r="P250" s="437"/>
      <c r="R250" s="795"/>
    </row>
    <row r="251" spans="1:23" ht="14" customHeight="1" x14ac:dyDescent="0.35">
      <c r="A251" s="754" t="s">
        <v>791</v>
      </c>
      <c r="B251" s="437"/>
      <c r="C251" s="437"/>
      <c r="D251" s="437"/>
      <c r="E251" s="445">
        <v>1577823</v>
      </c>
      <c r="F251" s="461">
        <v>1294759</v>
      </c>
      <c r="G251" s="437">
        <f>---  0</f>
        <v>0</v>
      </c>
      <c r="H251" s="437">
        <v>0</v>
      </c>
      <c r="I251" s="437">
        <v>900000</v>
      </c>
      <c r="J251" s="453"/>
      <c r="K251" s="437">
        <v>1700000</v>
      </c>
      <c r="L251" s="437">
        <v>900000</v>
      </c>
      <c r="M251" s="437">
        <v>800000</v>
      </c>
      <c r="N251" s="453"/>
      <c r="O251" s="437">
        <v>0</v>
      </c>
      <c r="P251" s="437">
        <v>900000</v>
      </c>
      <c r="R251" s="794" t="s">
        <v>1061</v>
      </c>
      <c r="T251" s="437">
        <v>1700000</v>
      </c>
    </row>
    <row r="252" spans="1:23" ht="14" customHeight="1" x14ac:dyDescent="0.35">
      <c r="A252" s="756"/>
      <c r="B252" s="461"/>
      <c r="C252" s="461"/>
      <c r="D252" s="445"/>
      <c r="E252" s="445"/>
      <c r="G252" s="452"/>
      <c r="H252" s="452"/>
      <c r="I252" s="452"/>
      <c r="J252" s="547"/>
      <c r="K252" s="452"/>
      <c r="L252" s="452"/>
      <c r="M252" s="452"/>
      <c r="N252" s="547"/>
      <c r="O252" s="436"/>
      <c r="P252" s="436"/>
      <c r="T252" s="452"/>
    </row>
    <row r="253" spans="1:23" ht="14" customHeight="1" x14ac:dyDescent="0.35">
      <c r="A253" s="775" t="s">
        <v>793</v>
      </c>
      <c r="B253" s="461"/>
      <c r="C253" s="461"/>
      <c r="D253" s="445"/>
      <c r="E253" s="445"/>
      <c r="J253" s="453"/>
      <c r="M253" s="437"/>
      <c r="N253" s="453"/>
    </row>
    <row r="254" spans="1:23" ht="14" customHeight="1" x14ac:dyDescent="0.35">
      <c r="A254" s="754" t="s">
        <v>794</v>
      </c>
      <c r="G254" s="437">
        <v>0</v>
      </c>
      <c r="H254" s="437">
        <v>3412546</v>
      </c>
      <c r="I254" s="437">
        <v>0</v>
      </c>
      <c r="J254" s="453"/>
      <c r="K254" s="437">
        <v>0</v>
      </c>
      <c r="L254" s="437">
        <v>0</v>
      </c>
      <c r="M254" s="437">
        <v>0</v>
      </c>
      <c r="N254" s="453"/>
      <c r="O254" s="545">
        <v>0</v>
      </c>
      <c r="P254" s="543">
        <v>0</v>
      </c>
      <c r="T254" s="437">
        <v>0</v>
      </c>
    </row>
    <row r="255" spans="1:23" s="479" customFormat="1" ht="14" customHeight="1" x14ac:dyDescent="0.35">
      <c r="A255" s="809" t="s">
        <v>795</v>
      </c>
      <c r="B255" s="812">
        <v>26813799</v>
      </c>
      <c r="C255" s="812">
        <v>30389399</v>
      </c>
      <c r="D255" s="812">
        <v>34054394</v>
      </c>
      <c r="E255" s="812">
        <v>50392877</v>
      </c>
      <c r="F255" s="812">
        <v>53089753</v>
      </c>
      <c r="G255" s="813">
        <v>41545552</v>
      </c>
      <c r="H255" s="813">
        <v>35305758</v>
      </c>
      <c r="I255" s="813">
        <v>44217759</v>
      </c>
      <c r="J255" s="453"/>
      <c r="K255" s="813">
        <v>59158523</v>
      </c>
      <c r="L255" s="813">
        <v>57002156</v>
      </c>
      <c r="M255" s="813">
        <v>2156366</v>
      </c>
      <c r="N255" s="453"/>
      <c r="O255" s="815">
        <v>42060865</v>
      </c>
      <c r="P255" s="814">
        <v>14941291</v>
      </c>
      <c r="Q255" s="435"/>
      <c r="R255" s="787" t="s">
        <v>1060</v>
      </c>
      <c r="S255" s="436"/>
      <c r="T255" s="476">
        <v>35709447</v>
      </c>
      <c r="U255" s="436"/>
      <c r="V255" s="436"/>
      <c r="W255" s="436"/>
    </row>
    <row r="256" spans="1:23" ht="14" customHeight="1" x14ac:dyDescent="0.35">
      <c r="G256" s="446"/>
      <c r="H256" s="446"/>
      <c r="I256" s="446"/>
      <c r="J256" s="441"/>
      <c r="K256" s="446"/>
      <c r="L256" s="446"/>
      <c r="M256" s="437"/>
      <c r="N256" s="441"/>
      <c r="O256" s="447"/>
      <c r="P256" s="548"/>
      <c r="R256" s="803"/>
      <c r="T256" s="446"/>
    </row>
    <row r="257" spans="1:23" ht="14" customHeight="1" x14ac:dyDescent="0.35">
      <c r="A257" s="771" t="s">
        <v>796</v>
      </c>
      <c r="B257" s="483"/>
      <c r="C257" s="483"/>
      <c r="D257" s="445"/>
      <c r="E257" s="445"/>
      <c r="F257" s="445"/>
      <c r="J257" s="453"/>
      <c r="M257" s="437"/>
      <c r="N257" s="453"/>
    </row>
    <row r="258" spans="1:23" ht="14" customHeight="1" x14ac:dyDescent="0.35">
      <c r="A258" s="757" t="s">
        <v>797</v>
      </c>
      <c r="B258" s="449">
        <v>2381033</v>
      </c>
      <c r="C258" s="449">
        <v>2450000</v>
      </c>
      <c r="D258" s="449">
        <v>3467657</v>
      </c>
      <c r="E258" s="449">
        <v>3862043</v>
      </c>
      <c r="F258" s="461">
        <v>4946600</v>
      </c>
      <c r="G258" s="437">
        <v>3177732</v>
      </c>
      <c r="H258" s="437">
        <v>0</v>
      </c>
      <c r="I258" s="437">
        <v>3531250</v>
      </c>
      <c r="J258" s="453"/>
      <c r="K258" s="437">
        <v>3531250</v>
      </c>
      <c r="L258" s="437">
        <v>3531250</v>
      </c>
      <c r="M258" s="437">
        <v>0</v>
      </c>
      <c r="N258" s="453"/>
      <c r="O258" s="437">
        <v>3400000</v>
      </c>
      <c r="P258" s="437">
        <v>139125</v>
      </c>
      <c r="T258" s="437">
        <v>3531250</v>
      </c>
    </row>
    <row r="259" spans="1:23" s="479" customFormat="1" ht="14" customHeight="1" x14ac:dyDescent="0.35">
      <c r="A259" s="809" t="s">
        <v>798</v>
      </c>
      <c r="B259" s="817"/>
      <c r="C259" s="817"/>
      <c r="D259" s="812">
        <v>37522051</v>
      </c>
      <c r="E259" s="812">
        <v>54254920</v>
      </c>
      <c r="F259" s="812">
        <v>58036353</v>
      </c>
      <c r="G259" s="813">
        <v>44723284</v>
      </c>
      <c r="H259" s="813">
        <f>H255+H258</f>
        <v>35305758</v>
      </c>
      <c r="I259" s="813">
        <f t="shared" ref="I259:P259" si="0">I255+I258</f>
        <v>47749009</v>
      </c>
      <c r="J259" s="453"/>
      <c r="K259" s="813">
        <f t="shared" si="0"/>
        <v>62689773</v>
      </c>
      <c r="L259" s="813">
        <f t="shared" si="0"/>
        <v>60533406</v>
      </c>
      <c r="M259" s="813">
        <f t="shared" si="0"/>
        <v>2156366</v>
      </c>
      <c r="N259" s="453"/>
      <c r="O259" s="813">
        <f t="shared" si="0"/>
        <v>45460865</v>
      </c>
      <c r="P259" s="813">
        <f t="shared" si="0"/>
        <v>15080416</v>
      </c>
      <c r="Q259" s="435"/>
      <c r="R259" s="787"/>
      <c r="S259" s="436"/>
      <c r="T259" s="476">
        <v>39240697</v>
      </c>
      <c r="U259" s="436"/>
      <c r="V259" s="436"/>
      <c r="W259" s="436"/>
    </row>
    <row r="260" spans="1:23" ht="14" customHeight="1" x14ac:dyDescent="0.35">
      <c r="A260" s="766"/>
      <c r="B260" s="436"/>
      <c r="C260" s="436"/>
      <c r="D260" s="436"/>
      <c r="E260" s="436"/>
      <c r="F260" s="436"/>
      <c r="J260" s="453"/>
      <c r="M260" s="437"/>
      <c r="N260" s="453"/>
    </row>
    <row r="261" spans="1:23" ht="14" customHeight="1" x14ac:dyDescent="0.35">
      <c r="A261" s="809" t="s">
        <v>624</v>
      </c>
      <c r="B261" s="439" t="s">
        <v>598</v>
      </c>
      <c r="C261" s="439" t="s">
        <v>599</v>
      </c>
      <c r="D261" s="439" t="s">
        <v>600</v>
      </c>
      <c r="E261" s="439" t="s">
        <v>601</v>
      </c>
      <c r="F261" s="439" t="s">
        <v>602</v>
      </c>
      <c r="G261" s="440" t="s">
        <v>603</v>
      </c>
      <c r="H261" s="440" t="s">
        <v>604</v>
      </c>
      <c r="I261" s="440" t="s">
        <v>605</v>
      </c>
      <c r="J261" s="441"/>
      <c r="K261" s="440" t="s">
        <v>1071</v>
      </c>
      <c r="L261" s="440" t="s">
        <v>1079</v>
      </c>
      <c r="M261" s="440" t="s">
        <v>1072</v>
      </c>
      <c r="N261" s="441"/>
      <c r="O261" s="442" t="s">
        <v>1073</v>
      </c>
      <c r="P261" s="442" t="s">
        <v>1074</v>
      </c>
      <c r="R261" s="793"/>
      <c r="T261" s="440" t="s">
        <v>605</v>
      </c>
    </row>
    <row r="262" spans="1:23" ht="14" customHeight="1" x14ac:dyDescent="0.35">
      <c r="A262" s="828" t="s">
        <v>799</v>
      </c>
      <c r="B262" s="445"/>
      <c r="C262" s="445"/>
      <c r="D262" s="444"/>
      <c r="E262" s="444"/>
      <c r="F262" s="444"/>
      <c r="G262" s="446"/>
      <c r="H262" s="446"/>
      <c r="I262" s="446"/>
      <c r="J262" s="441"/>
      <c r="K262" s="446"/>
      <c r="L262" s="446"/>
      <c r="M262" s="446"/>
      <c r="N262" s="441"/>
      <c r="O262" s="447"/>
      <c r="P262" s="447"/>
      <c r="R262" s="795"/>
      <c r="T262" s="446" t="s">
        <v>607</v>
      </c>
    </row>
    <row r="263" spans="1:23" ht="14" customHeight="1" x14ac:dyDescent="0.35">
      <c r="A263" s="840" t="s">
        <v>799</v>
      </c>
      <c r="B263" s="445"/>
      <c r="C263" s="445"/>
      <c r="D263" s="444"/>
      <c r="E263" s="444"/>
      <c r="F263" s="444"/>
      <c r="G263" s="446"/>
      <c r="H263" s="446"/>
      <c r="I263" s="446"/>
      <c r="J263" s="441"/>
      <c r="K263" s="446"/>
      <c r="L263" s="446"/>
      <c r="M263" s="446"/>
      <c r="N263" s="441"/>
      <c r="O263" s="447"/>
      <c r="P263" s="447"/>
      <c r="R263" s="795"/>
      <c r="T263" s="446"/>
    </row>
    <row r="264" spans="1:23" ht="14" customHeight="1" x14ac:dyDescent="0.35">
      <c r="A264" s="757" t="s">
        <v>800</v>
      </c>
      <c r="B264" s="449">
        <v>661971</v>
      </c>
      <c r="C264" s="449">
        <v>651908</v>
      </c>
      <c r="D264" s="437"/>
      <c r="E264" s="437"/>
      <c r="F264" s="437"/>
      <c r="H264" s="437">
        <v>1035653</v>
      </c>
      <c r="I264" s="437">
        <v>1118539</v>
      </c>
      <c r="J264" s="453"/>
      <c r="K264" s="437">
        <v>163021</v>
      </c>
      <c r="L264" s="437">
        <v>418527</v>
      </c>
      <c r="M264" s="437">
        <v>-255505</v>
      </c>
      <c r="N264" s="453"/>
      <c r="O264" s="437">
        <v>429003</v>
      </c>
      <c r="P264" s="437">
        <v>-10477</v>
      </c>
      <c r="R264" s="794"/>
    </row>
    <row r="265" spans="1:23" s="435" customFormat="1" ht="14" customHeight="1" x14ac:dyDescent="0.35">
      <c r="A265" s="757" t="s">
        <v>801</v>
      </c>
      <c r="B265" s="449"/>
      <c r="C265" s="449"/>
      <c r="D265" s="449">
        <v>646798</v>
      </c>
      <c r="E265" s="449">
        <v>701778</v>
      </c>
      <c r="F265" s="449">
        <v>881063</v>
      </c>
      <c r="G265" s="437">
        <v>1081057</v>
      </c>
      <c r="H265" s="437"/>
      <c r="I265" s="437"/>
      <c r="J265" s="453"/>
      <c r="K265" s="437"/>
      <c r="L265" s="437"/>
      <c r="M265" s="437"/>
      <c r="N265" s="453"/>
      <c r="O265" s="437"/>
      <c r="P265" s="437"/>
      <c r="R265" s="804"/>
      <c r="S265" s="436"/>
      <c r="T265" s="437">
        <v>939209</v>
      </c>
      <c r="U265" s="436"/>
      <c r="V265" s="436"/>
      <c r="W265" s="436"/>
    </row>
    <row r="266" spans="1:23" s="435" customFormat="1" ht="14" customHeight="1" x14ac:dyDescent="0.35">
      <c r="A266" s="754" t="s">
        <v>802</v>
      </c>
      <c r="B266" s="449">
        <v>1007417</v>
      </c>
      <c r="C266" s="449">
        <v>885247</v>
      </c>
      <c r="D266" s="449">
        <v>1353626</v>
      </c>
      <c r="E266" s="449">
        <v>1585081</v>
      </c>
      <c r="F266" s="449">
        <v>1820984</v>
      </c>
      <c r="G266" s="437">
        <v>1838066</v>
      </c>
      <c r="H266" s="437">
        <v>2315469</v>
      </c>
      <c r="I266" s="437">
        <v>1778705</v>
      </c>
      <c r="J266" s="453"/>
      <c r="K266" s="437">
        <v>1768935</v>
      </c>
      <c r="L266" s="437">
        <v>1461014</v>
      </c>
      <c r="M266" s="437">
        <v>307921</v>
      </c>
      <c r="N266" s="453"/>
      <c r="O266" s="437">
        <v>881369</v>
      </c>
      <c r="P266" s="437">
        <v>579644</v>
      </c>
      <c r="R266" s="794"/>
      <c r="S266" s="436"/>
      <c r="T266" s="437">
        <v>2190265</v>
      </c>
      <c r="U266" s="436"/>
      <c r="V266" s="436"/>
      <c r="W266" s="436"/>
    </row>
    <row r="267" spans="1:23" s="435" customFormat="1" ht="14" customHeight="1" x14ac:dyDescent="0.35">
      <c r="A267" s="771" t="s">
        <v>803</v>
      </c>
      <c r="B267" s="526"/>
      <c r="C267" s="527"/>
      <c r="D267" s="826">
        <v>2000424</v>
      </c>
      <c r="E267" s="826">
        <v>2286859</v>
      </c>
      <c r="F267" s="826">
        <v>2702047</v>
      </c>
      <c r="G267" s="521">
        <v>2919124</v>
      </c>
      <c r="H267" s="521">
        <v>3351121</v>
      </c>
      <c r="I267" s="521">
        <v>2897244</v>
      </c>
      <c r="J267" s="522"/>
      <c r="K267" s="521">
        <v>1931956</v>
      </c>
      <c r="L267" s="521">
        <v>1879540</v>
      </c>
      <c r="M267" s="521">
        <v>52416</v>
      </c>
      <c r="N267" s="522"/>
      <c r="O267" s="827">
        <v>1310373</v>
      </c>
      <c r="P267" s="827">
        <v>569167</v>
      </c>
      <c r="R267" s="795"/>
      <c r="S267" s="436"/>
      <c r="T267" s="446">
        <v>3129473</v>
      </c>
      <c r="U267" s="436"/>
      <c r="V267" s="436"/>
      <c r="W267" s="436"/>
    </row>
    <row r="268" spans="1:23" s="435" customFormat="1" ht="14" customHeight="1" x14ac:dyDescent="0.35">
      <c r="A268" s="757"/>
      <c r="B268" s="449"/>
      <c r="C268" s="449"/>
      <c r="D268" s="449"/>
      <c r="E268" s="449"/>
      <c r="F268" s="437"/>
      <c r="G268" s="437"/>
      <c r="H268" s="437"/>
      <c r="I268" s="437"/>
      <c r="J268" s="453"/>
      <c r="K268" s="437"/>
      <c r="L268" s="437"/>
      <c r="M268" s="437"/>
      <c r="N268" s="453"/>
      <c r="O268" s="437"/>
      <c r="P268" s="437"/>
      <c r="R268" s="793"/>
      <c r="S268" s="436"/>
      <c r="T268" s="437"/>
      <c r="U268" s="436"/>
      <c r="V268" s="436"/>
      <c r="W268" s="436"/>
    </row>
    <row r="269" spans="1:23" s="435" customFormat="1" ht="14" customHeight="1" x14ac:dyDescent="0.35">
      <c r="A269" s="771" t="s">
        <v>804</v>
      </c>
      <c r="B269" s="448"/>
      <c r="C269" s="448"/>
      <c r="D269" s="448"/>
      <c r="E269" s="448"/>
      <c r="F269" s="448"/>
      <c r="G269" s="437"/>
      <c r="H269" s="437"/>
      <c r="I269" s="437"/>
      <c r="J269" s="453"/>
      <c r="K269" s="437"/>
      <c r="L269" s="437"/>
      <c r="M269" s="437"/>
      <c r="N269" s="453"/>
      <c r="O269" s="437"/>
      <c r="P269" s="437"/>
      <c r="R269" s="795"/>
      <c r="S269" s="436"/>
      <c r="T269" s="437"/>
      <c r="U269" s="436"/>
      <c r="V269" s="436"/>
      <c r="W269" s="436"/>
    </row>
    <row r="270" spans="1:23" s="435" customFormat="1" ht="14" customHeight="1" x14ac:dyDescent="0.35">
      <c r="A270" s="751" t="s">
        <v>1007</v>
      </c>
      <c r="B270" s="449">
        <v>469866</v>
      </c>
      <c r="C270" s="449">
        <v>395003</v>
      </c>
      <c r="D270" s="449">
        <v>546663</v>
      </c>
      <c r="E270" s="449">
        <v>579028</v>
      </c>
      <c r="F270" s="449">
        <v>324693</v>
      </c>
      <c r="G270" s="437">
        <v>217670</v>
      </c>
      <c r="H270" s="437">
        <v>472916</v>
      </c>
      <c r="I270" s="437">
        <v>402201</v>
      </c>
      <c r="J270" s="453"/>
      <c r="K270" s="437">
        <v>755864</v>
      </c>
      <c r="L270" s="437">
        <v>725281</v>
      </c>
      <c r="M270" s="437">
        <v>30583</v>
      </c>
      <c r="N270" s="453"/>
      <c r="O270" s="437">
        <v>518350</v>
      </c>
      <c r="P270" s="437">
        <v>206931</v>
      </c>
      <c r="R270" s="794"/>
      <c r="S270" s="436"/>
      <c r="T270" s="437">
        <v>324671</v>
      </c>
      <c r="U270" s="436"/>
      <c r="V270" s="436"/>
      <c r="W270" s="436"/>
    </row>
    <row r="271" spans="1:23" s="435" customFormat="1" ht="14" customHeight="1" x14ac:dyDescent="0.35">
      <c r="A271" s="751" t="s">
        <v>1008</v>
      </c>
      <c r="B271" s="449">
        <v>451495</v>
      </c>
      <c r="C271" s="449">
        <v>507672</v>
      </c>
      <c r="D271" s="449">
        <v>599728</v>
      </c>
      <c r="E271" s="449">
        <v>716498</v>
      </c>
      <c r="F271" s="449">
        <v>816905</v>
      </c>
      <c r="G271" s="437">
        <v>550615</v>
      </c>
      <c r="H271" s="437">
        <v>394868</v>
      </c>
      <c r="I271" s="437">
        <v>441129</v>
      </c>
      <c r="J271" s="453"/>
      <c r="K271" s="437">
        <v>546646</v>
      </c>
      <c r="L271" s="437">
        <v>574526</v>
      </c>
      <c r="M271" s="437">
        <v>-27881</v>
      </c>
      <c r="N271" s="453"/>
      <c r="O271" s="437">
        <v>517862</v>
      </c>
      <c r="P271" s="437">
        <v>56664</v>
      </c>
      <c r="R271" s="794"/>
      <c r="S271" s="436"/>
      <c r="T271" s="437">
        <v>597861</v>
      </c>
      <c r="U271" s="436"/>
      <c r="V271" s="436"/>
      <c r="W271" s="436"/>
    </row>
    <row r="272" spans="1:23" s="435" customFormat="1" ht="14" customHeight="1" x14ac:dyDescent="0.35">
      <c r="A272" s="751" t="s">
        <v>1009</v>
      </c>
      <c r="B272" s="449"/>
      <c r="C272" s="449"/>
      <c r="D272" s="449">
        <v>0</v>
      </c>
      <c r="E272" s="449">
        <v>0</v>
      </c>
      <c r="F272" s="449">
        <v>188242</v>
      </c>
      <c r="G272" s="437">
        <v>678080</v>
      </c>
      <c r="H272" s="437">
        <v>519438</v>
      </c>
      <c r="I272" s="437">
        <v>312143</v>
      </c>
      <c r="J272" s="453"/>
      <c r="K272" s="437">
        <v>600108</v>
      </c>
      <c r="L272" s="437">
        <v>568222</v>
      </c>
      <c r="M272" s="437">
        <v>31886</v>
      </c>
      <c r="N272" s="453"/>
      <c r="O272" s="437">
        <v>565107</v>
      </c>
      <c r="P272" s="437">
        <v>3115</v>
      </c>
      <c r="R272" s="794"/>
      <c r="S272" s="436"/>
      <c r="T272" s="437">
        <v>616280</v>
      </c>
      <c r="U272" s="436"/>
      <c r="V272" s="436"/>
      <c r="W272" s="436"/>
    </row>
    <row r="273" spans="1:23" s="435" customFormat="1" ht="14" customHeight="1" x14ac:dyDescent="0.35">
      <c r="A273" s="751" t="s">
        <v>1010</v>
      </c>
      <c r="B273" s="449">
        <v>1943754</v>
      </c>
      <c r="C273" s="449">
        <v>1918512</v>
      </c>
      <c r="D273" s="449">
        <v>1803743</v>
      </c>
      <c r="E273" s="449">
        <v>2234884</v>
      </c>
      <c r="F273" s="449">
        <v>2891541</v>
      </c>
      <c r="G273" s="437">
        <v>2901251</v>
      </c>
      <c r="H273" s="437">
        <v>2305768</v>
      </c>
      <c r="I273" s="437">
        <v>864606</v>
      </c>
      <c r="J273" s="453"/>
      <c r="K273" s="437">
        <v>1005537</v>
      </c>
      <c r="L273" s="437">
        <v>1027880</v>
      </c>
      <c r="M273" s="437">
        <v>-22344</v>
      </c>
      <c r="N273" s="453"/>
      <c r="O273" s="437">
        <v>705648</v>
      </c>
      <c r="P273" s="437">
        <v>322232</v>
      </c>
      <c r="R273" s="794"/>
      <c r="S273" s="436"/>
      <c r="T273" s="437">
        <v>881782</v>
      </c>
      <c r="U273" s="436"/>
      <c r="V273" s="436"/>
      <c r="W273" s="436"/>
    </row>
    <row r="274" spans="1:23" s="435" customFormat="1" ht="14" customHeight="1" x14ac:dyDescent="0.35">
      <c r="A274" s="751" t="s">
        <v>1011</v>
      </c>
      <c r="B274" s="449">
        <v>393482</v>
      </c>
      <c r="C274" s="449">
        <v>449987</v>
      </c>
      <c r="D274" s="449">
        <v>511881</v>
      </c>
      <c r="E274" s="449">
        <v>673747</v>
      </c>
      <c r="F274" s="449">
        <v>769436</v>
      </c>
      <c r="G274" s="437">
        <v>494241</v>
      </c>
      <c r="H274" s="437">
        <v>876048</v>
      </c>
      <c r="I274" s="437">
        <v>390517</v>
      </c>
      <c r="J274" s="453"/>
      <c r="K274" s="437">
        <v>505072</v>
      </c>
      <c r="L274" s="437">
        <v>444173</v>
      </c>
      <c r="M274" s="437">
        <v>60899</v>
      </c>
      <c r="N274" s="453"/>
      <c r="O274" s="437">
        <v>356986</v>
      </c>
      <c r="P274" s="437">
        <v>87187</v>
      </c>
      <c r="R274" s="794"/>
      <c r="S274" s="436"/>
      <c r="T274" s="437">
        <v>792821</v>
      </c>
      <c r="U274" s="436"/>
      <c r="V274" s="436"/>
      <c r="W274" s="436"/>
    </row>
    <row r="275" spans="1:23" s="435" customFormat="1" ht="14" customHeight="1" x14ac:dyDescent="0.35">
      <c r="A275" s="751" t="s">
        <v>1012</v>
      </c>
      <c r="B275" s="449"/>
      <c r="C275" s="449"/>
      <c r="D275" s="449">
        <v>0</v>
      </c>
      <c r="E275" s="449">
        <v>0</v>
      </c>
      <c r="F275" s="449">
        <v>124108</v>
      </c>
      <c r="G275" s="437">
        <v>712443</v>
      </c>
      <c r="H275" s="437">
        <v>143619</v>
      </c>
      <c r="I275" s="437">
        <v>407572</v>
      </c>
      <c r="J275" s="453"/>
      <c r="K275" s="437">
        <v>351602</v>
      </c>
      <c r="L275" s="437">
        <v>96935</v>
      </c>
      <c r="M275" s="437">
        <v>254667</v>
      </c>
      <c r="N275" s="453"/>
      <c r="O275" s="437">
        <v>360809</v>
      </c>
      <c r="P275" s="437">
        <v>-263874</v>
      </c>
      <c r="R275" s="794"/>
      <c r="S275" s="436"/>
      <c r="T275" s="437">
        <v>635120</v>
      </c>
      <c r="U275" s="436"/>
      <c r="V275" s="436"/>
      <c r="W275" s="436"/>
    </row>
    <row r="276" spans="1:23" s="435" customFormat="1" ht="14" customHeight="1" x14ac:dyDescent="0.35">
      <c r="A276" s="751" t="s">
        <v>1013</v>
      </c>
      <c r="B276" s="449">
        <v>472811</v>
      </c>
      <c r="C276" s="449">
        <v>919946</v>
      </c>
      <c r="D276" s="449">
        <v>801886</v>
      </c>
      <c r="E276" s="449">
        <v>1214267</v>
      </c>
      <c r="F276" s="449">
        <v>924589</v>
      </c>
      <c r="G276" s="437">
        <v>1285891</v>
      </c>
      <c r="H276" s="437">
        <v>1018515</v>
      </c>
      <c r="I276" s="437">
        <v>1514523</v>
      </c>
      <c r="J276" s="453"/>
      <c r="K276" s="437">
        <v>802408</v>
      </c>
      <c r="L276" s="437">
        <v>767120</v>
      </c>
      <c r="M276" s="437">
        <v>35288</v>
      </c>
      <c r="N276" s="453"/>
      <c r="O276" s="437">
        <v>688574</v>
      </c>
      <c r="P276" s="437">
        <v>78547</v>
      </c>
      <c r="R276" s="794"/>
      <c r="S276" s="436"/>
      <c r="T276" s="437">
        <v>993572</v>
      </c>
      <c r="U276" s="436"/>
      <c r="V276" s="436"/>
      <c r="W276" s="436"/>
    </row>
    <row r="277" spans="1:23" s="435" customFormat="1" ht="14" customHeight="1" x14ac:dyDescent="0.35">
      <c r="A277" s="751" t="s">
        <v>1014</v>
      </c>
      <c r="B277" s="449">
        <v>855183</v>
      </c>
      <c r="C277" s="449">
        <v>10239</v>
      </c>
      <c r="D277" s="449">
        <v>625</v>
      </c>
      <c r="E277" s="449">
        <v>414930</v>
      </c>
      <c r="F277" s="449">
        <v>1398645</v>
      </c>
      <c r="G277" s="437">
        <v>104647</v>
      </c>
      <c r="H277" s="437">
        <v>123</v>
      </c>
      <c r="I277" s="437">
        <v>183918</v>
      </c>
      <c r="J277" s="453"/>
      <c r="K277" s="437">
        <v>687264</v>
      </c>
      <c r="L277" s="437">
        <v>750194</v>
      </c>
      <c r="M277" s="437">
        <v>-62931</v>
      </c>
      <c r="N277" s="453"/>
      <c r="O277" s="437">
        <v>516787</v>
      </c>
      <c r="P277" s="437">
        <v>233407</v>
      </c>
      <c r="R277" s="794"/>
      <c r="S277" s="436"/>
      <c r="T277" s="437">
        <v>703387</v>
      </c>
      <c r="U277" s="436"/>
      <c r="V277" s="436"/>
      <c r="W277" s="436"/>
    </row>
    <row r="278" spans="1:23" s="435" customFormat="1" ht="14" customHeight="1" x14ac:dyDescent="0.35">
      <c r="A278" s="771" t="s">
        <v>805</v>
      </c>
      <c r="B278" s="528">
        <v>4586592</v>
      </c>
      <c r="C278" s="528">
        <v>4201360</v>
      </c>
      <c r="D278" s="528">
        <v>4264526</v>
      </c>
      <c r="E278" s="528">
        <v>5833354</v>
      </c>
      <c r="F278" s="520">
        <v>7438159</v>
      </c>
      <c r="G278" s="521">
        <v>6944839</v>
      </c>
      <c r="H278" s="521">
        <v>5731297</v>
      </c>
      <c r="I278" s="521">
        <v>4516610</v>
      </c>
      <c r="J278" s="522"/>
      <c r="K278" s="521">
        <v>5254500</v>
      </c>
      <c r="L278" s="521">
        <v>4954332</v>
      </c>
      <c r="M278" s="521">
        <v>300168</v>
      </c>
      <c r="N278" s="522"/>
      <c r="O278" s="521">
        <v>4230124</v>
      </c>
      <c r="P278" s="521">
        <v>724208</v>
      </c>
      <c r="R278" s="795"/>
      <c r="S278" s="436"/>
      <c r="T278" s="446">
        <v>5545494</v>
      </c>
      <c r="U278" s="436"/>
      <c r="V278" s="436"/>
      <c r="W278" s="436"/>
    </row>
    <row r="279" spans="1:23" s="435" customFormat="1" ht="14" customHeight="1" x14ac:dyDescent="0.35">
      <c r="A279" s="756"/>
      <c r="B279" s="449"/>
      <c r="C279" s="449"/>
      <c r="D279" s="449"/>
      <c r="E279" s="449"/>
      <c r="F279" s="534"/>
      <c r="G279" s="446"/>
      <c r="H279" s="446"/>
      <c r="I279" s="446"/>
      <c r="J279" s="441"/>
      <c r="K279" s="446"/>
      <c r="L279" s="446"/>
      <c r="M279" s="446"/>
      <c r="N279" s="441"/>
      <c r="O279" s="446"/>
      <c r="P279" s="446"/>
      <c r="R279" s="793"/>
      <c r="S279" s="436"/>
      <c r="T279" s="446"/>
      <c r="U279" s="436"/>
      <c r="V279" s="436"/>
      <c r="W279" s="436"/>
    </row>
    <row r="280" spans="1:23" s="435" customFormat="1" ht="14" customHeight="1" x14ac:dyDescent="0.35">
      <c r="A280" s="771" t="s">
        <v>806</v>
      </c>
      <c r="B280" s="448"/>
      <c r="C280" s="448"/>
      <c r="D280" s="448"/>
      <c r="E280" s="448"/>
      <c r="F280" s="448"/>
      <c r="G280" s="437"/>
      <c r="H280" s="437"/>
      <c r="I280" s="437"/>
      <c r="J280" s="453"/>
      <c r="K280" s="437"/>
      <c r="L280" s="437"/>
      <c r="M280" s="437"/>
      <c r="N280" s="453"/>
      <c r="O280" s="437"/>
      <c r="P280" s="437"/>
      <c r="R280" s="795"/>
      <c r="S280" s="436"/>
      <c r="T280" s="437"/>
      <c r="U280" s="436"/>
      <c r="V280" s="436"/>
      <c r="W280" s="436"/>
    </row>
    <row r="281" spans="1:23" s="435" customFormat="1" ht="14" customHeight="1" x14ac:dyDescent="0.35">
      <c r="A281" s="751" t="s">
        <v>1015</v>
      </c>
      <c r="B281" s="449">
        <v>210024</v>
      </c>
      <c r="C281" s="449">
        <v>221488</v>
      </c>
      <c r="D281" s="449">
        <v>251588</v>
      </c>
      <c r="E281" s="449">
        <v>264400</v>
      </c>
      <c r="F281" s="449">
        <v>67820</v>
      </c>
      <c r="G281" s="437">
        <v>343076</v>
      </c>
      <c r="H281" s="437">
        <v>295894</v>
      </c>
      <c r="I281" s="437">
        <v>510562</v>
      </c>
      <c r="J281" s="453"/>
      <c r="K281" s="437">
        <v>405803</v>
      </c>
      <c r="L281" s="437">
        <v>288645</v>
      </c>
      <c r="M281" s="437">
        <v>117157</v>
      </c>
      <c r="N281" s="453"/>
      <c r="O281" s="437">
        <v>628165</v>
      </c>
      <c r="P281" s="437">
        <v>-339519</v>
      </c>
      <c r="R281" s="794"/>
      <c r="S281" s="436"/>
      <c r="T281" s="437">
        <v>310919</v>
      </c>
      <c r="U281" s="436"/>
      <c r="V281" s="436"/>
      <c r="W281" s="436"/>
    </row>
    <row r="282" spans="1:23" s="435" customFormat="1" ht="14" customHeight="1" x14ac:dyDescent="0.35">
      <c r="A282" s="751" t="s">
        <v>1016</v>
      </c>
      <c r="B282" s="449">
        <v>261429</v>
      </c>
      <c r="C282" s="449">
        <v>185158</v>
      </c>
      <c r="D282" s="449">
        <v>240419</v>
      </c>
      <c r="E282" s="449">
        <v>231469</v>
      </c>
      <c r="F282" s="449">
        <v>286208</v>
      </c>
      <c r="G282" s="437">
        <v>467530</v>
      </c>
      <c r="H282" s="437">
        <v>687990</v>
      </c>
      <c r="I282" s="437">
        <v>390140</v>
      </c>
      <c r="J282" s="453"/>
      <c r="K282" s="437">
        <v>522808</v>
      </c>
      <c r="L282" s="437">
        <v>355788</v>
      </c>
      <c r="M282" s="437">
        <v>167020</v>
      </c>
      <c r="N282" s="453"/>
      <c r="O282" s="437">
        <v>487434</v>
      </c>
      <c r="P282" s="437">
        <v>-131646</v>
      </c>
      <c r="R282" s="794"/>
      <c r="S282" s="436"/>
      <c r="T282" s="437">
        <v>343774</v>
      </c>
      <c r="U282" s="436"/>
      <c r="V282" s="436"/>
      <c r="W282" s="436"/>
    </row>
    <row r="283" spans="1:23" s="435" customFormat="1" ht="14" customHeight="1" x14ac:dyDescent="0.35">
      <c r="A283" s="751" t="s">
        <v>1017</v>
      </c>
      <c r="B283" s="449"/>
      <c r="C283" s="449"/>
      <c r="D283" s="449">
        <v>0</v>
      </c>
      <c r="E283" s="449">
        <v>0</v>
      </c>
      <c r="F283" s="449">
        <v>242181</v>
      </c>
      <c r="G283" s="437">
        <v>542739</v>
      </c>
      <c r="H283" s="437">
        <v>741753</v>
      </c>
      <c r="I283" s="437">
        <v>262739</v>
      </c>
      <c r="J283" s="453"/>
      <c r="K283" s="437">
        <v>862309</v>
      </c>
      <c r="L283" s="437">
        <v>532589</v>
      </c>
      <c r="M283" s="437">
        <v>329720</v>
      </c>
      <c r="N283" s="453"/>
      <c r="O283" s="437">
        <v>495994</v>
      </c>
      <c r="P283" s="437">
        <v>36595</v>
      </c>
      <c r="R283" s="794"/>
      <c r="S283" s="436"/>
      <c r="T283" s="437">
        <v>721497</v>
      </c>
      <c r="U283" s="436"/>
      <c r="V283" s="436"/>
      <c r="W283" s="436"/>
    </row>
    <row r="284" spans="1:23" s="435" customFormat="1" ht="14" customHeight="1" x14ac:dyDescent="0.35">
      <c r="A284" s="751" t="s">
        <v>1018</v>
      </c>
      <c r="B284" s="449">
        <v>499773</v>
      </c>
      <c r="C284" s="449">
        <v>694353</v>
      </c>
      <c r="D284" s="449">
        <v>816128</v>
      </c>
      <c r="E284" s="449">
        <v>406697</v>
      </c>
      <c r="F284" s="449">
        <v>876295</v>
      </c>
      <c r="G284" s="437">
        <v>948932</v>
      </c>
      <c r="H284" s="437">
        <v>1995182</v>
      </c>
      <c r="I284" s="437">
        <v>1676105</v>
      </c>
      <c r="J284" s="453"/>
      <c r="K284" s="437">
        <v>710375</v>
      </c>
      <c r="L284" s="437">
        <v>664329</v>
      </c>
      <c r="M284" s="437">
        <v>46046</v>
      </c>
      <c r="N284" s="453"/>
      <c r="O284" s="437">
        <v>727343</v>
      </c>
      <c r="P284" s="437">
        <v>-63014</v>
      </c>
      <c r="R284" s="794"/>
      <c r="S284" s="436"/>
      <c r="T284" s="437">
        <v>1043844</v>
      </c>
      <c r="U284" s="436"/>
      <c r="V284" s="436"/>
      <c r="W284" s="436"/>
    </row>
    <row r="285" spans="1:23" s="435" customFormat="1" ht="14" customHeight="1" x14ac:dyDescent="0.35">
      <c r="A285" s="751" t="s">
        <v>1019</v>
      </c>
      <c r="B285" s="449">
        <v>219657</v>
      </c>
      <c r="C285" s="449">
        <v>106156</v>
      </c>
      <c r="D285" s="449">
        <v>285810</v>
      </c>
      <c r="E285" s="449">
        <v>321860</v>
      </c>
      <c r="F285" s="449">
        <v>294400</v>
      </c>
      <c r="G285" s="437">
        <v>633604</v>
      </c>
      <c r="H285" s="437">
        <v>673809</v>
      </c>
      <c r="I285" s="437">
        <v>471666</v>
      </c>
      <c r="J285" s="453"/>
      <c r="K285" s="437">
        <v>602850</v>
      </c>
      <c r="L285" s="437">
        <v>374589</v>
      </c>
      <c r="M285" s="437">
        <v>228261</v>
      </c>
      <c r="N285" s="453"/>
      <c r="O285" s="446">
        <v>513269</v>
      </c>
      <c r="P285" s="437">
        <v>-138680</v>
      </c>
      <c r="R285" s="794"/>
      <c r="S285" s="436"/>
      <c r="T285" s="437">
        <v>657887</v>
      </c>
      <c r="U285" s="436"/>
      <c r="V285" s="436"/>
      <c r="W285" s="436"/>
    </row>
    <row r="286" spans="1:23" s="435" customFormat="1" ht="14" customHeight="1" x14ac:dyDescent="0.35">
      <c r="A286" s="751" t="s">
        <v>1020</v>
      </c>
      <c r="B286" s="449">
        <v>552879</v>
      </c>
      <c r="C286" s="449">
        <v>837139</v>
      </c>
      <c r="D286" s="449">
        <v>0</v>
      </c>
      <c r="E286" s="449">
        <v>0</v>
      </c>
      <c r="F286" s="449">
        <v>373777</v>
      </c>
      <c r="G286" s="437">
        <v>367223</v>
      </c>
      <c r="H286" s="437">
        <v>691551</v>
      </c>
      <c r="I286" s="437">
        <v>219602</v>
      </c>
      <c r="J286" s="453"/>
      <c r="K286" s="437">
        <v>503872</v>
      </c>
      <c r="L286" s="437">
        <v>260754</v>
      </c>
      <c r="M286" s="437">
        <v>243118</v>
      </c>
      <c r="N286" s="453"/>
      <c r="O286" s="437">
        <v>340194</v>
      </c>
      <c r="P286" s="437">
        <v>-79441</v>
      </c>
      <c r="R286" s="794"/>
      <c r="S286" s="436"/>
      <c r="T286" s="437">
        <v>397316</v>
      </c>
      <c r="U286" s="436"/>
      <c r="V286" s="436"/>
      <c r="W286" s="436"/>
    </row>
    <row r="287" spans="1:23" s="435" customFormat="1" ht="14" customHeight="1" x14ac:dyDescent="0.35">
      <c r="A287" s="751" t="s">
        <v>1021</v>
      </c>
      <c r="B287" s="449">
        <v>426934</v>
      </c>
      <c r="C287" s="449">
        <v>277498</v>
      </c>
      <c r="D287" s="449">
        <v>823654</v>
      </c>
      <c r="E287" s="449">
        <v>814335</v>
      </c>
      <c r="F287" s="449">
        <v>1136793</v>
      </c>
      <c r="G287" s="437">
        <v>1453569</v>
      </c>
      <c r="H287" s="437">
        <v>1315336</v>
      </c>
      <c r="I287" s="437">
        <v>1511080</v>
      </c>
      <c r="J287" s="453"/>
      <c r="K287" s="437">
        <v>750158</v>
      </c>
      <c r="L287" s="437">
        <v>695686</v>
      </c>
      <c r="M287" s="437">
        <v>54472</v>
      </c>
      <c r="N287" s="453"/>
      <c r="O287" s="437">
        <v>1015680</v>
      </c>
      <c r="P287" s="437">
        <v>-319994</v>
      </c>
      <c r="R287" s="794"/>
      <c r="S287" s="436"/>
      <c r="T287" s="437">
        <v>1062198</v>
      </c>
      <c r="U287" s="436"/>
      <c r="V287" s="436"/>
      <c r="W287" s="436"/>
    </row>
    <row r="288" spans="1:23" s="435" customFormat="1" ht="14" customHeight="1" x14ac:dyDescent="0.35">
      <c r="A288" s="751" t="s">
        <v>1022</v>
      </c>
      <c r="B288" s="449"/>
      <c r="C288" s="449"/>
      <c r="D288" s="449">
        <v>246335</v>
      </c>
      <c r="E288" s="449">
        <v>234222</v>
      </c>
      <c r="F288" s="449">
        <v>385006</v>
      </c>
      <c r="G288" s="437">
        <v>640147</v>
      </c>
      <c r="H288" s="437">
        <v>796544</v>
      </c>
      <c r="I288" s="437">
        <v>435791</v>
      </c>
      <c r="J288" s="453"/>
      <c r="K288" s="437">
        <v>430923</v>
      </c>
      <c r="L288" s="437">
        <v>478163</v>
      </c>
      <c r="M288" s="437">
        <v>-47240</v>
      </c>
      <c r="N288" s="453"/>
      <c r="O288" s="437">
        <v>514433</v>
      </c>
      <c r="P288" s="437">
        <v>-36270</v>
      </c>
      <c r="R288" s="794"/>
      <c r="S288" s="436"/>
      <c r="T288" s="437">
        <v>462786</v>
      </c>
      <c r="U288" s="436"/>
      <c r="V288" s="436"/>
      <c r="W288" s="436"/>
    </row>
    <row r="289" spans="1:23" s="435" customFormat="1" ht="14" customHeight="1" x14ac:dyDescent="0.35">
      <c r="A289" s="771" t="s">
        <v>807</v>
      </c>
      <c r="B289" s="520">
        <v>2170696</v>
      </c>
      <c r="C289" s="520">
        <v>2321791</v>
      </c>
      <c r="D289" s="520">
        <v>2663934</v>
      </c>
      <c r="E289" s="826">
        <v>2272983</v>
      </c>
      <c r="F289" s="826">
        <v>3662480</v>
      </c>
      <c r="G289" s="521">
        <v>5396822</v>
      </c>
      <c r="H289" s="521">
        <v>7198059</v>
      </c>
      <c r="I289" s="521">
        <v>5477685</v>
      </c>
      <c r="J289" s="522"/>
      <c r="K289" s="521">
        <v>4789099</v>
      </c>
      <c r="L289" s="521">
        <v>3650545</v>
      </c>
      <c r="M289" s="521">
        <v>1138554</v>
      </c>
      <c r="N289" s="522"/>
      <c r="O289" s="827">
        <v>4722513</v>
      </c>
      <c r="P289" s="827">
        <v>-1071968</v>
      </c>
      <c r="R289" s="795"/>
      <c r="S289" s="436"/>
      <c r="T289" s="446">
        <v>5000220</v>
      </c>
      <c r="U289" s="436"/>
      <c r="V289" s="436"/>
      <c r="W289" s="436"/>
    </row>
    <row r="290" spans="1:23" s="435" customFormat="1" ht="14" customHeight="1" x14ac:dyDescent="0.35">
      <c r="A290" s="822" t="s">
        <v>1023</v>
      </c>
      <c r="B290" s="823"/>
      <c r="C290" s="823"/>
      <c r="D290" s="559"/>
      <c r="E290" s="824"/>
      <c r="F290" s="824"/>
      <c r="G290" s="559"/>
      <c r="H290" s="558">
        <v>16280477</v>
      </c>
      <c r="I290" s="558">
        <v>12891540</v>
      </c>
      <c r="J290" s="453"/>
      <c r="K290" s="558">
        <v>11975554</v>
      </c>
      <c r="L290" s="558">
        <v>10484417</v>
      </c>
      <c r="M290" s="558">
        <v>1491137</v>
      </c>
      <c r="N290" s="453"/>
      <c r="O290" s="825">
        <v>10263010</v>
      </c>
      <c r="P290" s="825">
        <v>221407</v>
      </c>
      <c r="R290" s="795"/>
      <c r="S290" s="436"/>
      <c r="T290" s="437"/>
      <c r="U290" s="436"/>
      <c r="V290" s="436"/>
      <c r="W290" s="436"/>
    </row>
    <row r="291" spans="1:23" s="435" customFormat="1" ht="14" customHeight="1" x14ac:dyDescent="0.35">
      <c r="A291" s="757"/>
      <c r="B291" s="449"/>
      <c r="C291" s="449"/>
      <c r="D291" s="437"/>
      <c r="E291" s="438"/>
      <c r="F291" s="438"/>
      <c r="G291" s="437"/>
      <c r="H291" s="437"/>
      <c r="I291" s="437"/>
      <c r="J291" s="453"/>
      <c r="K291" s="437"/>
      <c r="L291" s="437"/>
      <c r="M291" s="437"/>
      <c r="N291" s="453"/>
      <c r="O291" s="438"/>
      <c r="P291" s="438"/>
      <c r="R291" s="795"/>
      <c r="S291" s="436"/>
      <c r="T291" s="437"/>
      <c r="U291" s="436"/>
      <c r="V291" s="436"/>
      <c r="W291" s="436"/>
    </row>
    <row r="292" spans="1:23" s="435" customFormat="1" ht="14" customHeight="1" x14ac:dyDescent="0.35">
      <c r="A292" s="828" t="s">
        <v>1065</v>
      </c>
      <c r="B292" s="437"/>
      <c r="C292" s="437"/>
      <c r="D292" s="448"/>
      <c r="E292" s="445"/>
      <c r="F292" s="445"/>
      <c r="G292" s="437"/>
      <c r="H292" s="437"/>
      <c r="I292" s="437"/>
      <c r="J292" s="453"/>
      <c r="K292" s="437"/>
      <c r="L292" s="437"/>
      <c r="M292" s="437"/>
      <c r="N292" s="453"/>
      <c r="O292" s="438"/>
      <c r="P292" s="438"/>
      <c r="R292" s="776"/>
      <c r="S292" s="436"/>
      <c r="T292" s="437"/>
      <c r="U292" s="436"/>
      <c r="V292" s="436"/>
      <c r="W292" s="436"/>
    </row>
    <row r="293" spans="1:23" s="435" customFormat="1" ht="14" customHeight="1" x14ac:dyDescent="0.35">
      <c r="A293" s="757" t="s">
        <v>808</v>
      </c>
      <c r="B293" s="449">
        <v>164781</v>
      </c>
      <c r="C293" s="449">
        <v>199393</v>
      </c>
      <c r="D293" s="449">
        <v>256468</v>
      </c>
      <c r="E293" s="461">
        <v>406711</v>
      </c>
      <c r="F293" s="461">
        <v>545042</v>
      </c>
      <c r="G293" s="437"/>
      <c r="H293" s="437"/>
      <c r="I293" s="437"/>
      <c r="J293" s="453"/>
      <c r="K293" s="437"/>
      <c r="L293" s="437"/>
      <c r="M293" s="437"/>
      <c r="N293" s="453"/>
      <c r="O293" s="438"/>
      <c r="P293" s="438"/>
      <c r="R293" s="798"/>
      <c r="S293" s="436"/>
      <c r="T293" s="437"/>
      <c r="U293" s="436"/>
      <c r="V293" s="436"/>
      <c r="W293" s="436"/>
    </row>
    <row r="294" spans="1:23" s="435" customFormat="1" ht="14" customHeight="1" x14ac:dyDescent="0.35">
      <c r="A294" s="757" t="s">
        <v>809</v>
      </c>
      <c r="B294" s="449">
        <v>1632666</v>
      </c>
      <c r="C294" s="449">
        <v>274568</v>
      </c>
      <c r="D294" s="449">
        <v>0</v>
      </c>
      <c r="E294" s="461">
        <v>0</v>
      </c>
      <c r="F294" s="461">
        <v>2003202</v>
      </c>
      <c r="G294" s="437"/>
      <c r="H294" s="437"/>
      <c r="I294" s="437"/>
      <c r="J294" s="453"/>
      <c r="K294" s="437"/>
      <c r="L294" s="437"/>
      <c r="M294" s="437"/>
      <c r="N294" s="453"/>
      <c r="O294" s="438"/>
      <c r="P294" s="438"/>
      <c r="R294" s="798"/>
      <c r="S294" s="436"/>
      <c r="T294" s="437"/>
      <c r="U294" s="436"/>
      <c r="V294" s="436"/>
      <c r="W294" s="436"/>
    </row>
    <row r="295" spans="1:23" s="435" customFormat="1" ht="14" customHeight="1" x14ac:dyDescent="0.35">
      <c r="A295" s="754" t="s">
        <v>810</v>
      </c>
      <c r="B295" s="449"/>
      <c r="C295" s="449"/>
      <c r="D295" s="449">
        <v>0</v>
      </c>
      <c r="E295" s="461">
        <v>111110</v>
      </c>
      <c r="F295" s="461">
        <v>223418</v>
      </c>
      <c r="G295" s="452"/>
      <c r="H295" s="452"/>
      <c r="I295" s="452"/>
      <c r="J295" s="547"/>
      <c r="K295" s="452"/>
      <c r="L295" s="452"/>
      <c r="M295" s="452"/>
      <c r="N295" s="547"/>
      <c r="O295" s="436"/>
      <c r="P295" s="436"/>
      <c r="R295" s="798"/>
      <c r="S295" s="436"/>
      <c r="T295" s="452"/>
      <c r="U295" s="436"/>
      <c r="V295" s="436"/>
      <c r="W295" s="436"/>
    </row>
    <row r="296" spans="1:23" s="435" customFormat="1" ht="14" customHeight="1" x14ac:dyDescent="0.35">
      <c r="A296" s="754" t="s">
        <v>811</v>
      </c>
      <c r="B296" s="449"/>
      <c r="C296" s="449"/>
      <c r="D296" s="452"/>
      <c r="E296" s="436"/>
      <c r="F296" s="436"/>
      <c r="G296" s="437">
        <v>355016</v>
      </c>
      <c r="H296" s="437">
        <v>835004</v>
      </c>
      <c r="I296" s="437">
        <v>1146486</v>
      </c>
      <c r="J296" s="453"/>
      <c r="K296" s="437">
        <v>1876694</v>
      </c>
      <c r="L296" s="437">
        <v>1938836</v>
      </c>
      <c r="M296" s="437">
        <v>-62142</v>
      </c>
      <c r="N296" s="453"/>
      <c r="O296" s="549">
        <v>2710892</v>
      </c>
      <c r="P296" s="550">
        <v>-772056</v>
      </c>
      <c r="R296" s="751"/>
      <c r="S296" s="436"/>
      <c r="T296" s="437">
        <v>1665276</v>
      </c>
      <c r="U296" s="436"/>
      <c r="V296" s="436"/>
      <c r="W296" s="436"/>
    </row>
    <row r="297" spans="1:23" s="435" customFormat="1" ht="14" customHeight="1" x14ac:dyDescent="0.35">
      <c r="A297" s="754" t="s">
        <v>812</v>
      </c>
      <c r="B297" s="449"/>
      <c r="C297" s="449"/>
      <c r="D297" s="452"/>
      <c r="E297" s="436"/>
      <c r="F297" s="436"/>
      <c r="G297" s="437">
        <v>728407</v>
      </c>
      <c r="H297" s="437">
        <v>633150</v>
      </c>
      <c r="I297" s="437">
        <v>485511</v>
      </c>
      <c r="J297" s="453"/>
      <c r="K297" s="437">
        <v>572430</v>
      </c>
      <c r="L297" s="437">
        <v>543957</v>
      </c>
      <c r="M297" s="437">
        <v>28473</v>
      </c>
      <c r="N297" s="453"/>
      <c r="O297" s="551">
        <v>639834</v>
      </c>
      <c r="P297" s="550">
        <v>-95877</v>
      </c>
      <c r="R297" s="751"/>
      <c r="S297" s="436"/>
      <c r="T297" s="437">
        <v>761494</v>
      </c>
      <c r="U297" s="436"/>
      <c r="V297" s="436"/>
      <c r="W297" s="436"/>
    </row>
    <row r="298" spans="1:23" ht="14" customHeight="1" x14ac:dyDescent="0.35">
      <c r="A298" s="754" t="s">
        <v>813</v>
      </c>
      <c r="B298" s="449"/>
      <c r="C298" s="449"/>
      <c r="D298" s="449"/>
      <c r="E298" s="461"/>
      <c r="F298" s="483"/>
      <c r="G298" s="437">
        <v>0</v>
      </c>
      <c r="H298" s="437">
        <v>0</v>
      </c>
      <c r="I298" s="437">
        <v>2469143</v>
      </c>
      <c r="J298" s="453"/>
      <c r="K298" s="437">
        <v>1906318</v>
      </c>
      <c r="L298" s="437">
        <v>1597124</v>
      </c>
      <c r="M298" s="437">
        <v>309194</v>
      </c>
      <c r="N298" s="453"/>
      <c r="O298" s="549">
        <v>1359189</v>
      </c>
      <c r="P298" s="550">
        <v>237935</v>
      </c>
      <c r="R298" s="794"/>
      <c r="T298" s="437">
        <v>2408561</v>
      </c>
    </row>
    <row r="299" spans="1:23" ht="14" customHeight="1" x14ac:dyDescent="0.35">
      <c r="A299" s="754" t="s">
        <v>814</v>
      </c>
      <c r="B299" s="525"/>
      <c r="C299" s="502"/>
      <c r="D299" s="461"/>
      <c r="E299" s="461"/>
      <c r="F299" s="483"/>
      <c r="G299" s="437">
        <v>0</v>
      </c>
      <c r="H299" s="437">
        <v>0</v>
      </c>
      <c r="I299" s="437">
        <v>650471</v>
      </c>
      <c r="J299" s="453"/>
      <c r="K299" s="437">
        <v>694079</v>
      </c>
      <c r="L299" s="437">
        <v>523224</v>
      </c>
      <c r="M299" s="437">
        <v>170855</v>
      </c>
      <c r="N299" s="453"/>
      <c r="O299" s="551">
        <v>740881</v>
      </c>
      <c r="P299" s="552">
        <v>-217657</v>
      </c>
      <c r="R299" s="794"/>
      <c r="T299" s="437">
        <v>1255717</v>
      </c>
    </row>
    <row r="300" spans="1:23" ht="14" customHeight="1" x14ac:dyDescent="0.35">
      <c r="A300" s="754" t="s">
        <v>815</v>
      </c>
      <c r="B300" s="525"/>
      <c r="C300" s="502"/>
      <c r="D300" s="436"/>
      <c r="E300" s="436"/>
      <c r="F300" s="436"/>
      <c r="G300" s="437">
        <v>0</v>
      </c>
      <c r="H300" s="437">
        <v>0</v>
      </c>
      <c r="I300" s="437">
        <v>0</v>
      </c>
      <c r="J300" s="453"/>
      <c r="K300" s="437">
        <v>69300</v>
      </c>
      <c r="L300" s="437">
        <v>1000</v>
      </c>
      <c r="M300" s="437">
        <v>68300</v>
      </c>
      <c r="N300" s="453"/>
      <c r="O300" s="549">
        <v>0</v>
      </c>
      <c r="P300" s="552">
        <v>1000</v>
      </c>
      <c r="R300" s="794"/>
      <c r="T300" s="437">
        <v>0</v>
      </c>
    </row>
    <row r="301" spans="1:23" s="532" customFormat="1" ht="14" customHeight="1" x14ac:dyDescent="0.35">
      <c r="A301" s="828" t="s">
        <v>816</v>
      </c>
      <c r="B301" s="829"/>
      <c r="C301" s="830"/>
      <c r="D301" s="831">
        <v>256468</v>
      </c>
      <c r="E301" s="831">
        <v>517821</v>
      </c>
      <c r="F301" s="831">
        <v>2771662</v>
      </c>
      <c r="G301" s="558">
        <v>1083423</v>
      </c>
      <c r="H301" s="558">
        <v>1468154</v>
      </c>
      <c r="I301" s="558">
        <v>4751611</v>
      </c>
      <c r="J301" s="453"/>
      <c r="K301" s="558">
        <v>5118820</v>
      </c>
      <c r="L301" s="558">
        <v>4604141</v>
      </c>
      <c r="M301" s="558">
        <v>514679</v>
      </c>
      <c r="N301" s="453"/>
      <c r="O301" s="832">
        <v>5450797</v>
      </c>
      <c r="P301" s="833">
        <v>-846656</v>
      </c>
      <c r="Q301" s="531"/>
      <c r="R301" s="795"/>
      <c r="T301" s="446">
        <v>6091048</v>
      </c>
    </row>
    <row r="302" spans="1:23" ht="14" customHeight="1" x14ac:dyDescent="0.35">
      <c r="A302" s="757"/>
      <c r="B302" s="449"/>
      <c r="C302" s="449"/>
      <c r="D302" s="449"/>
      <c r="E302" s="449"/>
      <c r="F302" s="534"/>
      <c r="G302" s="446"/>
      <c r="H302" s="446"/>
      <c r="I302" s="446"/>
      <c r="J302" s="441"/>
      <c r="K302" s="446"/>
      <c r="L302" s="446"/>
      <c r="M302" s="446"/>
      <c r="N302" s="441"/>
      <c r="O302" s="446"/>
      <c r="P302" s="446"/>
      <c r="T302" s="446"/>
    </row>
    <row r="303" spans="1:23" ht="14" customHeight="1" x14ac:dyDescent="0.35">
      <c r="A303" s="757" t="s">
        <v>817</v>
      </c>
      <c r="B303" s="448"/>
      <c r="C303" s="448" t="s">
        <v>650</v>
      </c>
      <c r="D303" s="437"/>
      <c r="E303" s="437"/>
      <c r="F303" s="437"/>
      <c r="J303" s="453"/>
      <c r="M303" s="437"/>
      <c r="N303" s="453"/>
      <c r="O303" s="437"/>
      <c r="P303" s="437"/>
    </row>
    <row r="304" spans="1:23" ht="14" customHeight="1" x14ac:dyDescent="0.35">
      <c r="A304" s="757" t="s">
        <v>818</v>
      </c>
      <c r="B304" s="449">
        <v>355028</v>
      </c>
      <c r="C304" s="449">
        <v>345034</v>
      </c>
      <c r="D304" s="437"/>
      <c r="E304" s="437"/>
      <c r="F304" s="437"/>
      <c r="J304" s="453"/>
      <c r="M304" s="437"/>
      <c r="N304" s="453"/>
      <c r="O304" s="437"/>
      <c r="P304" s="437"/>
    </row>
    <row r="305" spans="1:20" ht="14" customHeight="1" x14ac:dyDescent="0.35">
      <c r="A305" s="757"/>
      <c r="B305" s="449"/>
      <c r="C305" s="449"/>
      <c r="D305" s="449"/>
      <c r="E305" s="449"/>
      <c r="F305" s="437"/>
      <c r="J305" s="453"/>
      <c r="M305" s="437"/>
      <c r="N305" s="453"/>
      <c r="O305" s="437"/>
      <c r="P305" s="437"/>
    </row>
    <row r="306" spans="1:20" ht="14" customHeight="1" x14ac:dyDescent="0.35">
      <c r="A306" s="822" t="s">
        <v>819</v>
      </c>
      <c r="B306" s="437"/>
      <c r="C306" s="437"/>
      <c r="D306" s="448"/>
      <c r="E306" s="448"/>
      <c r="F306" s="448"/>
      <c r="J306" s="453"/>
      <c r="M306" s="437"/>
      <c r="N306" s="453"/>
      <c r="O306" s="437"/>
      <c r="P306" s="437"/>
      <c r="R306" s="793"/>
    </row>
    <row r="307" spans="1:20" ht="14" customHeight="1" x14ac:dyDescent="0.35">
      <c r="A307" s="521" t="s">
        <v>1080</v>
      </c>
      <c r="B307" s="437"/>
      <c r="C307" s="437"/>
      <c r="D307" s="448"/>
      <c r="E307" s="448"/>
      <c r="F307" s="448"/>
      <c r="J307" s="453"/>
      <c r="M307" s="437"/>
      <c r="N307" s="453"/>
      <c r="O307" s="437"/>
      <c r="P307" s="437"/>
      <c r="R307" s="793"/>
    </row>
    <row r="308" spans="1:20" ht="14" customHeight="1" x14ac:dyDescent="0.35">
      <c r="A308" s="757" t="s">
        <v>1082</v>
      </c>
      <c r="B308" s="449">
        <v>854488</v>
      </c>
      <c r="C308" s="449">
        <v>874459</v>
      </c>
      <c r="D308" s="449">
        <v>822733</v>
      </c>
      <c r="E308" s="449">
        <v>955636</v>
      </c>
      <c r="F308" s="449">
        <v>1145074</v>
      </c>
      <c r="G308" s="437">
        <v>1267677</v>
      </c>
      <c r="H308" s="437">
        <v>2519002</v>
      </c>
      <c r="I308" s="437">
        <v>2667043</v>
      </c>
      <c r="J308" s="453"/>
      <c r="K308" s="437">
        <v>2080001</v>
      </c>
      <c r="L308" s="437">
        <v>2045891</v>
      </c>
      <c r="M308" s="437">
        <v>34110</v>
      </c>
      <c r="N308" s="453"/>
      <c r="O308" s="437">
        <v>1821346</v>
      </c>
      <c r="P308" s="437">
        <v>224545</v>
      </c>
      <c r="R308" s="794"/>
      <c r="T308" s="437">
        <v>3062427</v>
      </c>
    </row>
    <row r="309" spans="1:20" ht="14" customHeight="1" x14ac:dyDescent="0.35">
      <c r="A309" s="757" t="s">
        <v>820</v>
      </c>
      <c r="B309" s="449"/>
      <c r="C309" s="449"/>
      <c r="D309" s="449">
        <v>46123</v>
      </c>
      <c r="E309" s="449">
        <v>2024</v>
      </c>
      <c r="F309" s="449">
        <v>3783</v>
      </c>
      <c r="J309" s="453"/>
      <c r="M309" s="437"/>
      <c r="N309" s="453"/>
      <c r="O309" s="437"/>
      <c r="P309" s="437"/>
      <c r="R309" s="793"/>
    </row>
    <row r="310" spans="1:20" ht="14" customHeight="1" x14ac:dyDescent="0.35">
      <c r="A310" s="754" t="s">
        <v>821</v>
      </c>
      <c r="B310" s="437"/>
      <c r="C310" s="437"/>
      <c r="D310" s="449">
        <v>185411</v>
      </c>
      <c r="E310" s="449">
        <v>36642</v>
      </c>
      <c r="F310" s="449">
        <v>1340822</v>
      </c>
      <c r="G310" s="437">
        <v>1159158</v>
      </c>
      <c r="H310" s="437">
        <v>1620421</v>
      </c>
      <c r="I310" s="437">
        <v>1757491</v>
      </c>
      <c r="J310" s="453"/>
      <c r="K310" s="437">
        <v>1500904</v>
      </c>
      <c r="L310" s="437">
        <v>1685431</v>
      </c>
      <c r="M310" s="437">
        <v>-184527</v>
      </c>
      <c r="N310" s="453"/>
      <c r="O310" s="437">
        <v>1079922</v>
      </c>
      <c r="P310" s="437">
        <v>605509</v>
      </c>
      <c r="R310" s="794"/>
      <c r="T310" s="437">
        <v>1399000</v>
      </c>
    </row>
    <row r="311" spans="1:20" ht="14" customHeight="1" x14ac:dyDescent="0.35">
      <c r="A311" s="835" t="s">
        <v>1024</v>
      </c>
      <c r="B311" s="836"/>
      <c r="C311" s="836"/>
      <c r="D311" s="837"/>
      <c r="E311" s="837"/>
      <c r="F311" s="837"/>
      <c r="G311" s="836"/>
      <c r="H311" s="838">
        <v>4139423</v>
      </c>
      <c r="I311" s="838">
        <v>4424534</v>
      </c>
      <c r="J311" s="453"/>
      <c r="K311" s="838">
        <v>3580905</v>
      </c>
      <c r="L311" s="838">
        <v>3731322</v>
      </c>
      <c r="M311" s="838">
        <v>-150417</v>
      </c>
      <c r="N311" s="453"/>
      <c r="O311" s="838">
        <v>2901268</v>
      </c>
      <c r="P311" s="838">
        <v>830054</v>
      </c>
      <c r="R311" s="795"/>
    </row>
    <row r="312" spans="1:20" ht="14" customHeight="1" x14ac:dyDescent="0.35">
      <c r="B312" s="437"/>
      <c r="C312" s="437"/>
      <c r="D312" s="449"/>
      <c r="E312" s="449"/>
      <c r="F312" s="449"/>
      <c r="J312" s="453"/>
      <c r="M312" s="437"/>
      <c r="N312" s="453"/>
      <c r="O312" s="437"/>
      <c r="P312" s="437"/>
      <c r="R312" s="794"/>
    </row>
    <row r="313" spans="1:20" ht="14" customHeight="1" x14ac:dyDescent="0.35">
      <c r="A313" s="835" t="s">
        <v>1025</v>
      </c>
      <c r="B313" s="437"/>
      <c r="C313" s="437"/>
      <c r="D313" s="449"/>
      <c r="E313" s="449"/>
      <c r="F313" s="449"/>
      <c r="J313" s="453"/>
      <c r="M313" s="437"/>
      <c r="N313" s="453"/>
      <c r="O313" s="437"/>
      <c r="P313" s="437"/>
      <c r="R313" s="794"/>
    </row>
    <row r="314" spans="1:20" ht="14" customHeight="1" x14ac:dyDescent="0.35">
      <c r="A314" s="757" t="s">
        <v>822</v>
      </c>
      <c r="B314" s="449">
        <v>419991</v>
      </c>
      <c r="C314" s="449">
        <v>451094</v>
      </c>
      <c r="D314" s="449"/>
      <c r="E314" s="449"/>
      <c r="F314" s="437"/>
      <c r="J314" s="453"/>
      <c r="M314" s="437"/>
      <c r="N314" s="453"/>
      <c r="O314" s="437"/>
      <c r="P314" s="437"/>
      <c r="R314" s="799"/>
    </row>
    <row r="315" spans="1:20" ht="14" customHeight="1" x14ac:dyDescent="0.35">
      <c r="A315" s="754" t="s">
        <v>823</v>
      </c>
      <c r="B315" s="437"/>
      <c r="C315" s="437"/>
      <c r="D315" s="449">
        <v>492112</v>
      </c>
      <c r="E315" s="449">
        <v>532317</v>
      </c>
      <c r="F315" s="449">
        <v>682880</v>
      </c>
      <c r="G315" s="437">
        <v>990943</v>
      </c>
      <c r="H315" s="437">
        <v>916413</v>
      </c>
      <c r="I315" s="437">
        <v>910777</v>
      </c>
      <c r="J315" s="453"/>
      <c r="K315" s="437">
        <v>1075865</v>
      </c>
      <c r="L315" s="437">
        <v>1009311</v>
      </c>
      <c r="M315" s="437">
        <v>66555</v>
      </c>
      <c r="N315" s="453"/>
      <c r="O315" s="437">
        <v>1065852</v>
      </c>
      <c r="P315" s="437">
        <v>-56542</v>
      </c>
      <c r="R315" s="794"/>
      <c r="T315" s="437">
        <v>952325</v>
      </c>
    </row>
    <row r="316" spans="1:20" ht="14" customHeight="1" x14ac:dyDescent="0.35">
      <c r="A316" s="754" t="s">
        <v>824</v>
      </c>
      <c r="B316" s="437"/>
      <c r="C316" s="437"/>
      <c r="D316" s="449">
        <v>131937</v>
      </c>
      <c r="E316" s="449">
        <v>323753</v>
      </c>
      <c r="F316" s="449">
        <v>397570</v>
      </c>
      <c r="G316" s="437">
        <v>485331</v>
      </c>
      <c r="H316" s="437">
        <v>195512</v>
      </c>
      <c r="I316" s="437">
        <v>237872</v>
      </c>
      <c r="J316" s="453"/>
      <c r="K316" s="437">
        <v>902520</v>
      </c>
      <c r="L316" s="437">
        <v>936532</v>
      </c>
      <c r="M316" s="437">
        <v>-34012</v>
      </c>
      <c r="N316" s="453"/>
      <c r="O316" s="446">
        <v>904462</v>
      </c>
      <c r="P316" s="437">
        <v>32070</v>
      </c>
      <c r="R316" s="794"/>
      <c r="T316" s="437">
        <v>486818</v>
      </c>
    </row>
    <row r="317" spans="1:20" ht="14" customHeight="1" x14ac:dyDescent="0.35">
      <c r="A317" s="835" t="s">
        <v>1025</v>
      </c>
      <c r="B317" s="836"/>
      <c r="C317" s="836"/>
      <c r="D317" s="839"/>
      <c r="E317" s="839"/>
      <c r="F317" s="839"/>
      <c r="G317" s="838"/>
      <c r="H317" s="838">
        <v>1111926</v>
      </c>
      <c r="I317" s="838">
        <v>1148649</v>
      </c>
      <c r="J317" s="453"/>
      <c r="K317" s="838">
        <v>1978385</v>
      </c>
      <c r="L317" s="838">
        <v>1945843</v>
      </c>
      <c r="M317" s="838">
        <v>32542</v>
      </c>
      <c r="N317" s="453"/>
      <c r="O317" s="838">
        <v>1970314</v>
      </c>
      <c r="P317" s="836">
        <v>-24472</v>
      </c>
      <c r="R317" s="795"/>
    </row>
    <row r="318" spans="1:20" ht="14" customHeight="1" x14ac:dyDescent="0.35">
      <c r="B318" s="437"/>
      <c r="C318" s="437"/>
      <c r="D318" s="449"/>
      <c r="E318" s="449"/>
      <c r="F318" s="449"/>
      <c r="J318" s="453"/>
      <c r="M318" s="437"/>
      <c r="N318" s="453"/>
      <c r="O318" s="446"/>
      <c r="P318" s="437"/>
      <c r="R318" s="793"/>
    </row>
    <row r="319" spans="1:20" ht="14" customHeight="1" x14ac:dyDescent="0.35">
      <c r="A319" s="835" t="s">
        <v>1026</v>
      </c>
      <c r="B319" s="437"/>
      <c r="C319" s="437"/>
      <c r="D319" s="449"/>
      <c r="E319" s="449"/>
      <c r="F319" s="449"/>
      <c r="J319" s="453"/>
      <c r="M319" s="437"/>
      <c r="N319" s="453"/>
      <c r="O319" s="446"/>
      <c r="P319" s="437"/>
      <c r="R319" s="795"/>
    </row>
    <row r="320" spans="1:20" ht="14" customHeight="1" x14ac:dyDescent="0.35">
      <c r="A320" s="751" t="s">
        <v>1027</v>
      </c>
      <c r="B320" s="437"/>
      <c r="C320" s="437"/>
      <c r="D320" s="449"/>
      <c r="E320" s="449"/>
      <c r="F320" s="449"/>
      <c r="H320" s="437">
        <v>103</v>
      </c>
      <c r="I320" s="437">
        <v>14970</v>
      </c>
      <c r="J320" s="453"/>
      <c r="K320" s="437">
        <v>511713</v>
      </c>
      <c r="L320" s="437">
        <v>516708</v>
      </c>
      <c r="M320" s="437">
        <v>-4995</v>
      </c>
      <c r="N320" s="453"/>
      <c r="O320" s="446">
        <v>482479</v>
      </c>
      <c r="P320" s="437">
        <v>34229</v>
      </c>
      <c r="R320" s="794"/>
    </row>
    <row r="321" spans="1:23" ht="14" customHeight="1" x14ac:dyDescent="0.35">
      <c r="A321" s="751" t="s">
        <v>1028</v>
      </c>
      <c r="B321" s="437"/>
      <c r="C321" s="437"/>
      <c r="D321" s="449"/>
      <c r="E321" s="449"/>
      <c r="F321" s="449"/>
      <c r="H321" s="437">
        <v>200</v>
      </c>
      <c r="I321" s="437">
        <v>399505</v>
      </c>
      <c r="J321" s="453"/>
      <c r="K321" s="437">
        <v>396689</v>
      </c>
      <c r="L321" s="437">
        <v>279238</v>
      </c>
      <c r="M321" s="437">
        <v>117451</v>
      </c>
      <c r="N321" s="453"/>
      <c r="O321" s="446">
        <v>552552</v>
      </c>
      <c r="P321" s="437">
        <v>-273314</v>
      </c>
      <c r="R321" s="794"/>
    </row>
    <row r="322" spans="1:23" ht="14" customHeight="1" x14ac:dyDescent="0.35">
      <c r="A322" s="751" t="s">
        <v>1029</v>
      </c>
      <c r="B322" s="437"/>
      <c r="C322" s="437"/>
      <c r="D322" s="449"/>
      <c r="E322" s="449"/>
      <c r="F322" s="449"/>
      <c r="H322" s="437">
        <v>453478</v>
      </c>
      <c r="I322" s="437">
        <v>663482</v>
      </c>
      <c r="J322" s="453"/>
      <c r="K322" s="437">
        <v>966516</v>
      </c>
      <c r="L322" s="437">
        <v>999875</v>
      </c>
      <c r="M322" s="437">
        <v>-33359</v>
      </c>
      <c r="N322" s="453"/>
      <c r="O322" s="446">
        <v>908493</v>
      </c>
      <c r="P322" s="437">
        <v>91382</v>
      </c>
      <c r="R322" s="794"/>
    </row>
    <row r="323" spans="1:23" ht="14" customHeight="1" x14ac:dyDescent="0.35">
      <c r="A323" s="751" t="s">
        <v>1030</v>
      </c>
      <c r="B323" s="437"/>
      <c r="C323" s="437"/>
      <c r="D323" s="449"/>
      <c r="E323" s="449"/>
      <c r="F323" s="449"/>
      <c r="H323" s="437">
        <v>527363</v>
      </c>
      <c r="I323" s="437">
        <v>1178958</v>
      </c>
      <c r="J323" s="453"/>
      <c r="K323" s="437">
        <v>1082597</v>
      </c>
      <c r="L323" s="437">
        <v>1074545</v>
      </c>
      <c r="M323" s="437">
        <v>8052</v>
      </c>
      <c r="N323" s="453"/>
      <c r="O323" s="446">
        <v>2165231</v>
      </c>
      <c r="P323" s="437">
        <v>-1090686</v>
      </c>
      <c r="R323" s="794"/>
    </row>
    <row r="324" spans="1:23" ht="14" customHeight="1" x14ac:dyDescent="0.35">
      <c r="A324" s="751" t="s">
        <v>1031</v>
      </c>
      <c r="B324" s="437"/>
      <c r="C324" s="437"/>
      <c r="D324" s="449"/>
      <c r="E324" s="449"/>
      <c r="F324" s="449"/>
      <c r="H324" s="437">
        <v>94161</v>
      </c>
      <c r="I324" s="437">
        <v>110769</v>
      </c>
      <c r="J324" s="453"/>
      <c r="K324" s="437">
        <v>240</v>
      </c>
      <c r="L324" s="437">
        <v>383</v>
      </c>
      <c r="M324" s="437">
        <v>-142</v>
      </c>
      <c r="N324" s="453"/>
      <c r="O324" s="446">
        <v>0</v>
      </c>
      <c r="P324" s="437">
        <v>383</v>
      </c>
      <c r="R324" s="794"/>
    </row>
    <row r="325" spans="1:23" ht="14" customHeight="1" x14ac:dyDescent="0.35">
      <c r="A325" s="751" t="s">
        <v>1032</v>
      </c>
      <c r="B325" s="437"/>
      <c r="C325" s="437"/>
      <c r="D325" s="449"/>
      <c r="E325" s="449"/>
      <c r="F325" s="449"/>
      <c r="H325" s="437">
        <v>416880</v>
      </c>
      <c r="I325" s="437">
        <v>667546</v>
      </c>
      <c r="J325" s="453"/>
      <c r="K325" s="437">
        <v>751530</v>
      </c>
      <c r="L325" s="437">
        <v>365149</v>
      </c>
      <c r="M325" s="437">
        <v>386381</v>
      </c>
      <c r="N325" s="453"/>
      <c r="O325" s="446">
        <v>1003015</v>
      </c>
      <c r="P325" s="437">
        <v>-637866</v>
      </c>
      <c r="R325" s="794"/>
    </row>
    <row r="326" spans="1:23" ht="14" customHeight="1" x14ac:dyDescent="0.35">
      <c r="A326" s="751" t="s">
        <v>1033</v>
      </c>
      <c r="B326" s="437"/>
      <c r="C326" s="437"/>
      <c r="D326" s="449"/>
      <c r="E326" s="449"/>
      <c r="F326" s="449"/>
      <c r="H326" s="437">
        <v>3007723</v>
      </c>
      <c r="I326" s="437">
        <v>3497631</v>
      </c>
      <c r="J326" s="453"/>
      <c r="K326" s="437">
        <v>2604273</v>
      </c>
      <c r="L326" s="437">
        <v>3246479</v>
      </c>
      <c r="M326" s="437">
        <v>-642207</v>
      </c>
      <c r="N326" s="453"/>
      <c r="O326" s="446">
        <v>3780957</v>
      </c>
      <c r="P326" s="437">
        <v>-534477</v>
      </c>
      <c r="R326" s="794"/>
    </row>
    <row r="327" spans="1:23" ht="14" customHeight="1" x14ac:dyDescent="0.35">
      <c r="A327" s="751" t="s">
        <v>1034</v>
      </c>
      <c r="B327" s="437"/>
      <c r="C327" s="437"/>
      <c r="D327" s="449"/>
      <c r="E327" s="449"/>
      <c r="F327" s="449"/>
      <c r="H327" s="437">
        <v>201</v>
      </c>
      <c r="I327" s="437">
        <v>1736</v>
      </c>
      <c r="J327" s="453"/>
      <c r="K327" s="437">
        <v>0</v>
      </c>
      <c r="L327" s="437">
        <v>2027</v>
      </c>
      <c r="M327" s="437">
        <v>-2027</v>
      </c>
      <c r="N327" s="453"/>
      <c r="O327" s="446">
        <v>0</v>
      </c>
      <c r="P327" s="437">
        <v>2027</v>
      </c>
      <c r="R327" s="794"/>
    </row>
    <row r="328" spans="1:23" ht="14" customHeight="1" x14ac:dyDescent="0.35">
      <c r="A328" s="751" t="s">
        <v>1035</v>
      </c>
      <c r="B328" s="437"/>
      <c r="C328" s="437"/>
      <c r="D328" s="449"/>
      <c r="E328" s="449"/>
      <c r="F328" s="449"/>
      <c r="H328" s="437">
        <v>797095</v>
      </c>
      <c r="I328" s="437">
        <v>693782</v>
      </c>
      <c r="J328" s="453"/>
      <c r="K328" s="437">
        <v>882304</v>
      </c>
      <c r="L328" s="437">
        <v>936069</v>
      </c>
      <c r="M328" s="437">
        <v>-53765</v>
      </c>
      <c r="N328" s="453"/>
      <c r="O328" s="446">
        <v>0</v>
      </c>
      <c r="P328" s="437">
        <v>936069</v>
      </c>
      <c r="R328" s="794"/>
    </row>
    <row r="329" spans="1:23" ht="14" customHeight="1" x14ac:dyDescent="0.35">
      <c r="A329" s="751" t="s">
        <v>1036</v>
      </c>
      <c r="B329" s="437"/>
      <c r="C329" s="437"/>
      <c r="D329" s="449"/>
      <c r="E329" s="449"/>
      <c r="F329" s="449"/>
      <c r="H329" s="437">
        <v>261148</v>
      </c>
      <c r="I329" s="437">
        <v>93695</v>
      </c>
      <c r="J329" s="453"/>
      <c r="K329" s="437">
        <v>3162</v>
      </c>
      <c r="L329" s="437">
        <v>1581</v>
      </c>
      <c r="M329" s="437">
        <v>1581</v>
      </c>
      <c r="N329" s="453"/>
      <c r="O329" s="446">
        <v>3162</v>
      </c>
      <c r="P329" s="437">
        <v>-1581</v>
      </c>
      <c r="R329" s="794"/>
    </row>
    <row r="330" spans="1:23" ht="14" customHeight="1" x14ac:dyDescent="0.35">
      <c r="A330" s="751" t="s">
        <v>1037</v>
      </c>
      <c r="B330" s="437"/>
      <c r="C330" s="437"/>
      <c r="D330" s="449"/>
      <c r="E330" s="449"/>
      <c r="F330" s="449"/>
      <c r="H330" s="437">
        <v>1096881</v>
      </c>
      <c r="I330" s="437">
        <v>1133844</v>
      </c>
      <c r="J330" s="453"/>
      <c r="K330" s="437">
        <v>392</v>
      </c>
      <c r="L330" s="437">
        <v>493322</v>
      </c>
      <c r="M330" s="437">
        <v>-492930</v>
      </c>
      <c r="N330" s="453"/>
      <c r="O330" s="446">
        <v>489699</v>
      </c>
      <c r="P330" s="437">
        <v>3623</v>
      </c>
      <c r="R330" s="794"/>
    </row>
    <row r="331" spans="1:23" ht="14" customHeight="1" x14ac:dyDescent="0.35">
      <c r="A331" s="751" t="s">
        <v>1038</v>
      </c>
      <c r="B331" s="437"/>
      <c r="C331" s="437"/>
      <c r="D331" s="449"/>
      <c r="E331" s="449"/>
      <c r="F331" s="449"/>
      <c r="H331" s="437">
        <v>12503</v>
      </c>
      <c r="I331" s="437">
        <v>13855</v>
      </c>
      <c r="J331" s="453"/>
      <c r="K331" s="437">
        <v>0</v>
      </c>
      <c r="L331" s="437">
        <v>0</v>
      </c>
      <c r="M331" s="437">
        <v>0</v>
      </c>
      <c r="N331" s="453"/>
      <c r="O331" s="446">
        <v>0</v>
      </c>
      <c r="P331" s="437">
        <v>0</v>
      </c>
      <c r="R331" s="794"/>
    </row>
    <row r="332" spans="1:23" ht="14" customHeight="1" x14ac:dyDescent="0.35">
      <c r="A332" s="751" t="s">
        <v>1039</v>
      </c>
      <c r="B332" s="437"/>
      <c r="C332" s="437"/>
      <c r="D332" s="449"/>
      <c r="E332" s="449"/>
      <c r="F332" s="449"/>
      <c r="H332" s="437">
        <v>51</v>
      </c>
      <c r="I332" s="437">
        <v>0</v>
      </c>
      <c r="J332" s="453"/>
      <c r="K332" s="437">
        <v>0</v>
      </c>
      <c r="L332" s="437">
        <v>0</v>
      </c>
      <c r="M332" s="437">
        <v>0</v>
      </c>
      <c r="N332" s="453"/>
      <c r="O332" s="446">
        <v>0</v>
      </c>
      <c r="P332" s="437">
        <v>0</v>
      </c>
      <c r="R332" s="794"/>
    </row>
    <row r="333" spans="1:23" ht="14" customHeight="1" x14ac:dyDescent="0.35">
      <c r="A333" s="835" t="s">
        <v>1040</v>
      </c>
      <c r="B333" s="839">
        <v>2359580</v>
      </c>
      <c r="C333" s="839">
        <v>2550429</v>
      </c>
      <c r="D333" s="839">
        <v>3008325</v>
      </c>
      <c r="E333" s="839">
        <v>3218073</v>
      </c>
      <c r="F333" s="839">
        <v>3311522</v>
      </c>
      <c r="G333" s="838">
        <v>4776386</v>
      </c>
      <c r="H333" s="838">
        <v>6667788</v>
      </c>
      <c r="I333" s="838">
        <v>8469772</v>
      </c>
      <c r="J333" s="453"/>
      <c r="K333" s="838">
        <v>7199415</v>
      </c>
      <c r="L333" s="838">
        <v>7915376</v>
      </c>
      <c r="M333" s="838">
        <v>-715960</v>
      </c>
      <c r="N333" s="453"/>
      <c r="O333" s="838">
        <v>9385587</v>
      </c>
      <c r="P333" s="838">
        <v>-1470212</v>
      </c>
      <c r="R333" s="795"/>
      <c r="T333" s="437">
        <v>7969859</v>
      </c>
    </row>
    <row r="334" spans="1:23" ht="14" customHeight="1" x14ac:dyDescent="0.35">
      <c r="A334" s="828" t="s">
        <v>825</v>
      </c>
      <c r="B334" s="559"/>
      <c r="C334" s="559"/>
      <c r="D334" s="823">
        <v>4686641</v>
      </c>
      <c r="E334" s="823">
        <v>5068445</v>
      </c>
      <c r="F334" s="834">
        <v>6881651</v>
      </c>
      <c r="G334" s="558">
        <v>8679495</v>
      </c>
      <c r="H334" s="558">
        <v>11919137</v>
      </c>
      <c r="I334" s="558">
        <v>14042954</v>
      </c>
      <c r="J334" s="453"/>
      <c r="K334" s="558">
        <v>12758705</v>
      </c>
      <c r="L334" s="558">
        <v>13592540</v>
      </c>
      <c r="M334" s="558">
        <v>-833835</v>
      </c>
      <c r="N334" s="453"/>
      <c r="O334" s="558">
        <v>14257169</v>
      </c>
      <c r="P334" s="558">
        <v>-664629</v>
      </c>
      <c r="R334" s="795"/>
      <c r="T334" s="446">
        <v>13870429</v>
      </c>
    </row>
    <row r="335" spans="1:23" s="479" customFormat="1" ht="14" customHeight="1" x14ac:dyDescent="0.35">
      <c r="A335" s="809" t="s">
        <v>826</v>
      </c>
      <c r="B335" s="820"/>
      <c r="C335" s="820"/>
      <c r="D335" s="841">
        <v>13871994</v>
      </c>
      <c r="E335" s="841">
        <v>15979463</v>
      </c>
      <c r="F335" s="841">
        <v>23456000</v>
      </c>
      <c r="G335" s="813">
        <v>25023703</v>
      </c>
      <c r="H335" s="813">
        <v>29667768</v>
      </c>
      <c r="I335" s="813">
        <v>31686105</v>
      </c>
      <c r="J335" s="453"/>
      <c r="K335" s="813">
        <v>29853080</v>
      </c>
      <c r="L335" s="813">
        <v>28681098</v>
      </c>
      <c r="M335" s="813">
        <v>1171981</v>
      </c>
      <c r="N335" s="453"/>
      <c r="O335" s="813">
        <v>29970976</v>
      </c>
      <c r="P335" s="813">
        <v>-1289878</v>
      </c>
      <c r="Q335" s="435"/>
      <c r="R335" s="795"/>
      <c r="S335" s="436"/>
      <c r="T335" s="476">
        <v>33636664</v>
      </c>
      <c r="U335" s="436"/>
      <c r="V335" s="436"/>
      <c r="W335" s="436"/>
    </row>
    <row r="336" spans="1:23" ht="14" customHeight="1" x14ac:dyDescent="0.35">
      <c r="A336" s="757"/>
      <c r="B336" s="449"/>
      <c r="C336" s="449"/>
      <c r="D336" s="534"/>
      <c r="E336" s="534"/>
      <c r="F336" s="534"/>
      <c r="G336" s="448"/>
      <c r="H336" s="448"/>
      <c r="I336" s="448"/>
      <c r="J336" s="509"/>
      <c r="K336" s="448"/>
      <c r="L336" s="448"/>
      <c r="M336" s="444"/>
      <c r="N336" s="509"/>
      <c r="O336" s="448"/>
      <c r="P336" s="448"/>
      <c r="R336" s="799"/>
      <c r="T336" s="448">
        <v>0</v>
      </c>
    </row>
    <row r="337" spans="1:23" ht="14" customHeight="1" x14ac:dyDescent="0.35">
      <c r="A337" s="757" t="s">
        <v>172</v>
      </c>
      <c r="B337" s="449">
        <v>369329</v>
      </c>
      <c r="C337" s="449">
        <v>371251</v>
      </c>
      <c r="D337" s="437">
        <v>388913</v>
      </c>
      <c r="E337" s="437">
        <v>487214</v>
      </c>
      <c r="F337" s="449">
        <v>490400</v>
      </c>
      <c r="G337" s="446">
        <v>634883</v>
      </c>
      <c r="H337" s="446">
        <v>526403</v>
      </c>
      <c r="I337" s="446">
        <v>535091</v>
      </c>
      <c r="J337" s="441"/>
      <c r="K337" s="446">
        <v>459600</v>
      </c>
      <c r="L337" s="446">
        <v>535091</v>
      </c>
      <c r="M337" s="446">
        <v>-75491</v>
      </c>
      <c r="N337" s="441"/>
      <c r="O337" s="446">
        <v>449739</v>
      </c>
      <c r="P337" s="446">
        <v>85352</v>
      </c>
      <c r="R337" s="799"/>
      <c r="T337" s="446">
        <v>459600</v>
      </c>
    </row>
    <row r="338" spans="1:23" ht="14" customHeight="1" x14ac:dyDescent="0.35">
      <c r="A338" s="757"/>
      <c r="B338" s="449"/>
      <c r="C338" s="449"/>
      <c r="D338" s="437"/>
      <c r="E338" s="437"/>
      <c r="F338" s="449"/>
      <c r="G338" s="446"/>
      <c r="H338" s="446"/>
      <c r="I338" s="446"/>
      <c r="J338" s="441"/>
      <c r="K338" s="446"/>
      <c r="L338" s="446"/>
      <c r="M338" s="446"/>
      <c r="N338" s="441"/>
      <c r="O338" s="446"/>
      <c r="P338" s="446"/>
      <c r="R338" s="799"/>
      <c r="T338" s="446"/>
    </row>
    <row r="339" spans="1:23" s="532" customFormat="1" ht="14" customHeight="1" x14ac:dyDescent="0.35">
      <c r="A339" s="809" t="s">
        <v>827</v>
      </c>
      <c r="B339" s="439" t="s">
        <v>598</v>
      </c>
      <c r="C339" s="439" t="s">
        <v>599</v>
      </c>
      <c r="D339" s="439" t="s">
        <v>600</v>
      </c>
      <c r="E339" s="439" t="s">
        <v>601</v>
      </c>
      <c r="F339" s="439" t="s">
        <v>602</v>
      </c>
      <c r="G339" s="440" t="s">
        <v>603</v>
      </c>
      <c r="H339" s="440" t="s">
        <v>604</v>
      </c>
      <c r="I339" s="440" t="s">
        <v>605</v>
      </c>
      <c r="J339" s="441"/>
      <c r="K339" s="440" t="s">
        <v>1071</v>
      </c>
      <c r="L339" s="440" t="s">
        <v>1079</v>
      </c>
      <c r="M339" s="440" t="s">
        <v>1072</v>
      </c>
      <c r="N339" s="441"/>
      <c r="O339" s="442" t="s">
        <v>1073</v>
      </c>
      <c r="P339" s="442" t="s">
        <v>1074</v>
      </c>
      <c r="Q339" s="553"/>
      <c r="R339" s="795"/>
      <c r="T339" s="446" t="s">
        <v>607</v>
      </c>
    </row>
    <row r="340" spans="1:23" ht="14" customHeight="1" x14ac:dyDescent="0.35">
      <c r="A340" s="757" t="s">
        <v>828</v>
      </c>
      <c r="B340" s="449">
        <v>265663</v>
      </c>
      <c r="C340" s="449">
        <v>422172</v>
      </c>
      <c r="D340" s="449">
        <v>498879</v>
      </c>
      <c r="E340" s="449">
        <v>616916</v>
      </c>
      <c r="F340" s="449">
        <v>1116660</v>
      </c>
      <c r="G340" s="437">
        <v>1566006</v>
      </c>
      <c r="H340" s="437">
        <v>2172370</v>
      </c>
      <c r="I340" s="437">
        <v>2497294</v>
      </c>
      <c r="J340" s="453"/>
      <c r="K340" s="437">
        <v>2516457</v>
      </c>
      <c r="L340" s="437">
        <v>2390881</v>
      </c>
      <c r="M340" s="437">
        <v>125577</v>
      </c>
      <c r="N340" s="453"/>
      <c r="O340" s="437">
        <v>2586972</v>
      </c>
      <c r="P340" s="437">
        <v>-196091</v>
      </c>
      <c r="R340" s="794"/>
      <c r="T340" s="437">
        <v>2669054</v>
      </c>
    </row>
    <row r="341" spans="1:23" ht="14" customHeight="1" x14ac:dyDescent="0.35">
      <c r="A341" s="754" t="s">
        <v>829</v>
      </c>
      <c r="B341" s="449"/>
      <c r="C341" s="449"/>
      <c r="D341" s="449"/>
      <c r="E341" s="449"/>
      <c r="F341" s="449"/>
      <c r="G341" s="437">
        <v>0</v>
      </c>
      <c r="J341" s="453"/>
      <c r="M341" s="437"/>
      <c r="N341" s="453"/>
      <c r="O341" s="437"/>
      <c r="P341" s="437"/>
      <c r="R341" s="799"/>
      <c r="T341" s="437">
        <v>0</v>
      </c>
    </row>
    <row r="342" spans="1:23" ht="14" customHeight="1" x14ac:dyDescent="0.35">
      <c r="A342" s="757" t="s">
        <v>830</v>
      </c>
      <c r="B342" s="449">
        <v>181170</v>
      </c>
      <c r="C342" s="449">
        <v>103842</v>
      </c>
      <c r="D342" s="449">
        <v>1513</v>
      </c>
      <c r="E342" s="437"/>
      <c r="F342" s="449">
        <v>-7557</v>
      </c>
      <c r="G342" s="437">
        <v>8761</v>
      </c>
      <c r="H342" s="437">
        <v>15000</v>
      </c>
      <c r="I342" s="437">
        <v>0</v>
      </c>
      <c r="J342" s="453"/>
      <c r="K342" s="437">
        <v>0</v>
      </c>
      <c r="L342" s="437">
        <v>0</v>
      </c>
      <c r="M342" s="437">
        <v>0</v>
      </c>
      <c r="N342" s="453"/>
      <c r="O342" s="437">
        <v>0</v>
      </c>
      <c r="P342" s="437">
        <v>0</v>
      </c>
      <c r="R342" s="794"/>
      <c r="T342" s="437">
        <v>0</v>
      </c>
    </row>
    <row r="343" spans="1:23" ht="14" customHeight="1" x14ac:dyDescent="0.35">
      <c r="A343" s="757" t="s">
        <v>831</v>
      </c>
      <c r="B343" s="449"/>
      <c r="C343" s="449"/>
      <c r="D343" s="449">
        <v>1487066</v>
      </c>
      <c r="E343" s="449">
        <v>1729773</v>
      </c>
      <c r="F343" s="449">
        <v>114079</v>
      </c>
      <c r="G343" s="437">
        <v>0</v>
      </c>
      <c r="H343" s="437">
        <v>107627</v>
      </c>
      <c r="I343" s="437">
        <v>561960</v>
      </c>
      <c r="J343" s="453"/>
      <c r="K343" s="437">
        <v>433023</v>
      </c>
      <c r="L343" s="437">
        <v>732367</v>
      </c>
      <c r="M343" s="437">
        <v>-299345</v>
      </c>
      <c r="N343" s="453"/>
      <c r="O343" s="437">
        <v>449225</v>
      </c>
      <c r="P343" s="437">
        <v>283142</v>
      </c>
      <c r="R343" s="794"/>
      <c r="T343" s="437">
        <v>0</v>
      </c>
    </row>
    <row r="344" spans="1:23" ht="14" customHeight="1" x14ac:dyDescent="0.35">
      <c r="A344" s="757" t="s">
        <v>832</v>
      </c>
      <c r="B344" s="449">
        <v>1086410</v>
      </c>
      <c r="C344" s="449">
        <v>1339616</v>
      </c>
      <c r="D344" s="449">
        <v>135261</v>
      </c>
      <c r="E344" s="449">
        <v>101538</v>
      </c>
      <c r="F344" s="449">
        <v>1535792</v>
      </c>
      <c r="G344" s="437">
        <v>2393699</v>
      </c>
      <c r="H344" s="437">
        <v>3255039</v>
      </c>
      <c r="I344" s="437">
        <v>4136848</v>
      </c>
      <c r="J344" s="453"/>
      <c r="K344" s="437">
        <v>5636802</v>
      </c>
      <c r="L344" s="437">
        <v>4894394</v>
      </c>
      <c r="M344" s="437">
        <v>742408</v>
      </c>
      <c r="N344" s="453"/>
      <c r="O344" s="437">
        <v>4559894</v>
      </c>
      <c r="P344" s="437">
        <v>334500</v>
      </c>
      <c r="R344" s="794"/>
      <c r="T344" s="437">
        <v>3120822</v>
      </c>
    </row>
    <row r="345" spans="1:23" ht="14" customHeight="1" x14ac:dyDescent="0.35">
      <c r="A345" s="757" t="s">
        <v>833</v>
      </c>
      <c r="B345" s="449">
        <v>17352</v>
      </c>
      <c r="C345" s="449">
        <v>44266</v>
      </c>
      <c r="D345" s="449">
        <v>55035</v>
      </c>
      <c r="E345" s="449">
        <v>71872</v>
      </c>
      <c r="F345" s="449">
        <v>564090</v>
      </c>
      <c r="G345" s="437">
        <v>278783</v>
      </c>
      <c r="H345" s="437">
        <v>627283</v>
      </c>
      <c r="I345" s="437">
        <v>1099334</v>
      </c>
      <c r="J345" s="453"/>
      <c r="K345" s="437">
        <v>299663</v>
      </c>
      <c r="L345" s="437">
        <v>180212</v>
      </c>
      <c r="M345" s="437">
        <v>119451</v>
      </c>
      <c r="N345" s="453"/>
      <c r="O345" s="437">
        <v>376357</v>
      </c>
      <c r="P345" s="437">
        <v>-196145</v>
      </c>
      <c r="R345" s="794"/>
      <c r="T345" s="437">
        <v>475960</v>
      </c>
    </row>
    <row r="346" spans="1:23" ht="14" customHeight="1" x14ac:dyDescent="0.35">
      <c r="A346" s="757" t="s">
        <v>834</v>
      </c>
      <c r="B346" s="449">
        <v>13409</v>
      </c>
      <c r="C346" s="449">
        <v>22583</v>
      </c>
      <c r="D346" s="449">
        <v>259639</v>
      </c>
      <c r="E346" s="449">
        <v>241195</v>
      </c>
      <c r="F346" s="449">
        <v>166772</v>
      </c>
      <c r="G346" s="437">
        <v>415000</v>
      </c>
      <c r="H346" s="437">
        <v>314268</v>
      </c>
      <c r="I346" s="437">
        <v>648380</v>
      </c>
      <c r="J346" s="453"/>
      <c r="K346" s="437">
        <v>850000</v>
      </c>
      <c r="L346" s="437">
        <v>795000</v>
      </c>
      <c r="M346" s="437">
        <v>55000</v>
      </c>
      <c r="N346" s="453"/>
      <c r="O346" s="437">
        <v>650000</v>
      </c>
      <c r="P346" s="437">
        <v>145000</v>
      </c>
      <c r="R346" s="794"/>
      <c r="T346" s="437">
        <v>1360000</v>
      </c>
    </row>
    <row r="347" spans="1:23" s="554" customFormat="1" ht="14" customHeight="1" x14ac:dyDescent="0.35">
      <c r="A347" s="809" t="s">
        <v>835</v>
      </c>
      <c r="B347" s="841">
        <v>1564003</v>
      </c>
      <c r="C347" s="841">
        <v>1932479</v>
      </c>
      <c r="D347" s="841">
        <v>2437393</v>
      </c>
      <c r="E347" s="841">
        <v>2761294</v>
      </c>
      <c r="F347" s="841">
        <v>3489836</v>
      </c>
      <c r="G347" s="813">
        <v>4662249</v>
      </c>
      <c r="H347" s="813">
        <v>6491586</v>
      </c>
      <c r="I347" s="813">
        <v>8943816</v>
      </c>
      <c r="J347" s="453"/>
      <c r="K347" s="813">
        <v>9735945</v>
      </c>
      <c r="L347" s="813">
        <v>8992854</v>
      </c>
      <c r="M347" s="813">
        <v>743091</v>
      </c>
      <c r="N347" s="453"/>
      <c r="O347" s="813">
        <v>8622449</v>
      </c>
      <c r="P347" s="813">
        <v>370405</v>
      </c>
      <c r="Q347" s="523"/>
      <c r="R347" s="795"/>
      <c r="S347" s="524"/>
      <c r="T347" s="476">
        <v>7625836</v>
      </c>
      <c r="U347" s="524"/>
      <c r="V347" s="524"/>
      <c r="W347" s="524"/>
    </row>
    <row r="348" spans="1:23" ht="14" customHeight="1" x14ac:dyDescent="0.35">
      <c r="A348" s="757"/>
      <c r="B348" s="449"/>
      <c r="C348" s="449"/>
      <c r="D348" s="449"/>
      <c r="E348" s="449"/>
      <c r="F348" s="437"/>
      <c r="J348" s="453"/>
      <c r="M348" s="437"/>
      <c r="N348" s="453"/>
      <c r="O348" s="437"/>
      <c r="P348" s="437"/>
      <c r="R348" s="805"/>
    </row>
    <row r="349" spans="1:23" s="524" customFormat="1" ht="14" customHeight="1" x14ac:dyDescent="0.35">
      <c r="A349" s="809" t="s">
        <v>836</v>
      </c>
      <c r="B349" s="439" t="s">
        <v>598</v>
      </c>
      <c r="C349" s="439" t="s">
        <v>599</v>
      </c>
      <c r="D349" s="439" t="s">
        <v>600</v>
      </c>
      <c r="E349" s="439" t="s">
        <v>601</v>
      </c>
      <c r="F349" s="439" t="s">
        <v>602</v>
      </c>
      <c r="G349" s="440" t="s">
        <v>603</v>
      </c>
      <c r="H349" s="440" t="s">
        <v>604</v>
      </c>
      <c r="I349" s="440" t="s">
        <v>605</v>
      </c>
      <c r="J349" s="441"/>
      <c r="K349" s="440" t="s">
        <v>1071</v>
      </c>
      <c r="L349" s="440" t="s">
        <v>1079</v>
      </c>
      <c r="M349" s="440" t="s">
        <v>1072</v>
      </c>
      <c r="N349" s="441"/>
      <c r="O349" s="442" t="s">
        <v>1073</v>
      </c>
      <c r="P349" s="442" t="s">
        <v>1074</v>
      </c>
      <c r="Q349" s="523"/>
      <c r="R349" s="795"/>
      <c r="T349" s="446"/>
    </row>
    <row r="350" spans="1:23" ht="14" customHeight="1" x14ac:dyDescent="0.35">
      <c r="A350" s="757" t="s">
        <v>837</v>
      </c>
      <c r="B350" s="449"/>
      <c r="C350" s="449"/>
      <c r="D350" s="449">
        <v>652580</v>
      </c>
      <c r="E350" s="449">
        <v>760458</v>
      </c>
      <c r="F350" s="449">
        <v>544100</v>
      </c>
      <c r="G350" s="437">
        <v>608218</v>
      </c>
      <c r="H350" s="437">
        <v>858763</v>
      </c>
      <c r="I350" s="437">
        <v>513408</v>
      </c>
      <c r="J350" s="453"/>
      <c r="K350" s="437">
        <v>485614</v>
      </c>
      <c r="L350" s="437">
        <v>491396</v>
      </c>
      <c r="M350" s="437">
        <v>-5782</v>
      </c>
      <c r="N350" s="453"/>
      <c r="O350" s="437">
        <v>545518</v>
      </c>
      <c r="P350" s="437">
        <v>-54122</v>
      </c>
      <c r="R350" s="794"/>
      <c r="T350" s="437">
        <v>658282</v>
      </c>
    </row>
    <row r="351" spans="1:23" ht="14" customHeight="1" x14ac:dyDescent="0.35">
      <c r="A351" s="757" t="s">
        <v>838</v>
      </c>
      <c r="B351" s="437"/>
      <c r="C351" s="437"/>
      <c r="D351" s="449">
        <v>16955</v>
      </c>
      <c r="E351" s="448"/>
      <c r="F351" s="437"/>
      <c r="G351" s="446"/>
      <c r="J351" s="453"/>
      <c r="M351" s="437"/>
      <c r="N351" s="453"/>
      <c r="O351" s="437"/>
      <c r="P351" s="437"/>
      <c r="Q351" s="435" t="s">
        <v>709</v>
      </c>
      <c r="R351" s="799"/>
    </row>
    <row r="352" spans="1:23" ht="14" customHeight="1" x14ac:dyDescent="0.35">
      <c r="A352" s="757" t="s">
        <v>1084</v>
      </c>
      <c r="B352" s="437"/>
      <c r="C352" s="437"/>
      <c r="D352" s="449">
        <v>445732</v>
      </c>
      <c r="E352" s="449">
        <v>820611</v>
      </c>
      <c r="F352" s="449">
        <v>384191</v>
      </c>
      <c r="G352" s="437">
        <v>400733</v>
      </c>
      <c r="H352" s="437">
        <v>583241</v>
      </c>
      <c r="I352" s="437">
        <v>976446</v>
      </c>
      <c r="J352" s="453"/>
      <c r="K352" s="437">
        <v>968413</v>
      </c>
      <c r="L352" s="437">
        <v>950701</v>
      </c>
      <c r="M352" s="437">
        <v>17712</v>
      </c>
      <c r="N352" s="453"/>
      <c r="O352" s="437">
        <v>930907</v>
      </c>
      <c r="P352" s="437">
        <v>19794</v>
      </c>
      <c r="R352" s="794"/>
      <c r="T352" s="437">
        <v>933842</v>
      </c>
    </row>
    <row r="353" spans="1:23" ht="14" customHeight="1" x14ac:dyDescent="0.35">
      <c r="A353" s="757" t="s">
        <v>839</v>
      </c>
      <c r="B353" s="449">
        <v>819977</v>
      </c>
      <c r="C353" s="449">
        <v>623762</v>
      </c>
      <c r="D353" s="437"/>
      <c r="E353" s="437"/>
      <c r="F353" s="437"/>
      <c r="J353" s="453"/>
      <c r="M353" s="437"/>
      <c r="N353" s="453"/>
      <c r="O353" s="437"/>
      <c r="P353" s="437"/>
      <c r="R353" s="799"/>
    </row>
    <row r="354" spans="1:23" ht="14" customHeight="1" x14ac:dyDescent="0.35">
      <c r="A354" s="757" t="s">
        <v>840</v>
      </c>
      <c r="B354" s="449">
        <v>949250</v>
      </c>
      <c r="C354" s="449">
        <v>555567</v>
      </c>
      <c r="D354" s="437"/>
      <c r="E354" s="437"/>
      <c r="F354" s="437"/>
      <c r="J354" s="453"/>
      <c r="M354" s="437"/>
      <c r="N354" s="453"/>
      <c r="O354" s="437"/>
      <c r="P354" s="437"/>
      <c r="R354" s="799"/>
    </row>
    <row r="355" spans="1:23" ht="14" customHeight="1" x14ac:dyDescent="0.35">
      <c r="A355" s="757" t="s">
        <v>841</v>
      </c>
      <c r="B355" s="449">
        <v>265843</v>
      </c>
      <c r="C355" s="449">
        <v>404289</v>
      </c>
      <c r="D355" s="437"/>
      <c r="E355" s="437"/>
      <c r="F355" s="437"/>
      <c r="J355" s="453"/>
      <c r="M355" s="437"/>
      <c r="N355" s="453"/>
      <c r="O355" s="437"/>
      <c r="P355" s="437"/>
      <c r="R355" s="793"/>
    </row>
    <row r="356" spans="1:23" ht="14" customHeight="1" x14ac:dyDescent="0.35">
      <c r="A356" s="757" t="s">
        <v>842</v>
      </c>
      <c r="B356" s="449">
        <v>458206</v>
      </c>
      <c r="C356" s="449">
        <v>381170</v>
      </c>
      <c r="D356" s="449">
        <v>582088</v>
      </c>
      <c r="E356" s="449">
        <v>649156</v>
      </c>
      <c r="F356" s="449">
        <v>632223</v>
      </c>
      <c r="G356" s="437">
        <v>630119</v>
      </c>
      <c r="H356" s="437">
        <v>419061</v>
      </c>
      <c r="I356" s="437">
        <v>665067</v>
      </c>
      <c r="J356" s="453"/>
      <c r="K356" s="437">
        <v>286033</v>
      </c>
      <c r="L356" s="437">
        <v>377138</v>
      </c>
      <c r="M356" s="437">
        <v>-91105</v>
      </c>
      <c r="N356" s="453"/>
      <c r="O356" s="437">
        <v>437388</v>
      </c>
      <c r="P356" s="437">
        <v>-60249</v>
      </c>
      <c r="R356" s="794"/>
      <c r="T356" s="437">
        <v>1260418</v>
      </c>
    </row>
    <row r="357" spans="1:23" ht="14" customHeight="1" x14ac:dyDescent="0.35">
      <c r="A357" s="757" t="s">
        <v>843</v>
      </c>
      <c r="B357" s="448"/>
      <c r="C357" s="449">
        <v>521410</v>
      </c>
      <c r="D357" s="449">
        <v>1090848</v>
      </c>
      <c r="E357" s="449">
        <v>1306559</v>
      </c>
      <c r="F357" s="449">
        <v>1175753</v>
      </c>
      <c r="G357" s="437">
        <v>1998349</v>
      </c>
      <c r="H357" s="437">
        <v>1575739</v>
      </c>
      <c r="I357" s="437">
        <v>1995634</v>
      </c>
      <c r="J357" s="453"/>
      <c r="K357" s="437">
        <v>2000000</v>
      </c>
      <c r="L357" s="437">
        <v>2000000</v>
      </c>
      <c r="M357" s="437">
        <v>0</v>
      </c>
      <c r="N357" s="453"/>
      <c r="O357" s="437">
        <v>2300000</v>
      </c>
      <c r="P357" s="437">
        <v>-300000</v>
      </c>
      <c r="R357" s="794"/>
      <c r="T357" s="437">
        <v>1500000</v>
      </c>
    </row>
    <row r="358" spans="1:23" s="554" customFormat="1" ht="14" customHeight="1" x14ac:dyDescent="0.35">
      <c r="A358" s="809" t="s">
        <v>844</v>
      </c>
      <c r="B358" s="841">
        <v>2493276</v>
      </c>
      <c r="C358" s="841">
        <v>2486198</v>
      </c>
      <c r="D358" s="841">
        <v>2788203</v>
      </c>
      <c r="E358" s="841">
        <v>3536784</v>
      </c>
      <c r="F358" s="841">
        <v>2736267</v>
      </c>
      <c r="G358" s="813">
        <v>3637419</v>
      </c>
      <c r="H358" s="813">
        <v>3436804</v>
      </c>
      <c r="I358" s="813">
        <v>4150554</v>
      </c>
      <c r="J358" s="453"/>
      <c r="K358" s="813">
        <v>3740060</v>
      </c>
      <c r="L358" s="813">
        <v>3819235</v>
      </c>
      <c r="M358" s="813">
        <v>-79175</v>
      </c>
      <c r="N358" s="453"/>
      <c r="O358" s="813">
        <v>4213812</v>
      </c>
      <c r="P358" s="813">
        <v>-394577</v>
      </c>
      <c r="Q358" s="523"/>
      <c r="R358" s="795"/>
      <c r="S358" s="524"/>
      <c r="T358" s="476">
        <v>4352543</v>
      </c>
      <c r="U358" s="524"/>
      <c r="V358" s="524"/>
      <c r="W358" s="524"/>
    </row>
    <row r="359" spans="1:23" ht="14" customHeight="1" x14ac:dyDescent="0.35">
      <c r="B359" s="437"/>
      <c r="C359" s="437"/>
      <c r="D359" s="437"/>
      <c r="E359" s="437"/>
      <c r="F359" s="437"/>
      <c r="J359" s="453"/>
      <c r="M359" s="437"/>
      <c r="N359" s="453"/>
      <c r="O359" s="437"/>
      <c r="P359" s="437"/>
      <c r="R359" s="793"/>
    </row>
    <row r="360" spans="1:23" s="532" customFormat="1" ht="14" customHeight="1" x14ac:dyDescent="0.35">
      <c r="A360" s="809" t="s">
        <v>1083</v>
      </c>
      <c r="B360" s="439" t="s">
        <v>598</v>
      </c>
      <c r="C360" s="439" t="s">
        <v>599</v>
      </c>
      <c r="D360" s="439" t="s">
        <v>600</v>
      </c>
      <c r="E360" s="439" t="s">
        <v>601</v>
      </c>
      <c r="F360" s="439" t="s">
        <v>602</v>
      </c>
      <c r="G360" s="440" t="s">
        <v>603</v>
      </c>
      <c r="H360" s="440" t="s">
        <v>604</v>
      </c>
      <c r="I360" s="440" t="s">
        <v>605</v>
      </c>
      <c r="J360" s="441"/>
      <c r="K360" s="440" t="s">
        <v>1071</v>
      </c>
      <c r="L360" s="440" t="s">
        <v>1079</v>
      </c>
      <c r="M360" s="440" t="s">
        <v>1072</v>
      </c>
      <c r="N360" s="441"/>
      <c r="O360" s="442" t="s">
        <v>1073</v>
      </c>
      <c r="P360" s="442" t="s">
        <v>1074</v>
      </c>
      <c r="Q360" s="556"/>
      <c r="R360" s="795"/>
      <c r="T360" s="555"/>
    </row>
    <row r="361" spans="1:23" ht="14" customHeight="1" x14ac:dyDescent="0.35">
      <c r="A361" s="754" t="s">
        <v>845</v>
      </c>
      <c r="B361" s="449"/>
      <c r="C361" s="449"/>
      <c r="D361" s="449">
        <v>315625</v>
      </c>
      <c r="E361" s="449">
        <v>405890</v>
      </c>
      <c r="F361" s="449">
        <v>546956</v>
      </c>
      <c r="G361" s="437">
        <v>668993</v>
      </c>
      <c r="H361" s="437">
        <v>563640</v>
      </c>
      <c r="I361" s="437">
        <v>575026</v>
      </c>
      <c r="J361" s="453"/>
      <c r="K361" s="437">
        <v>575000</v>
      </c>
      <c r="L361" s="437">
        <v>625000</v>
      </c>
      <c r="M361" s="437">
        <v>-50000</v>
      </c>
      <c r="N361" s="453"/>
      <c r="O361" s="437">
        <v>575000</v>
      </c>
      <c r="P361" s="437">
        <v>50000</v>
      </c>
      <c r="R361" s="794"/>
      <c r="T361" s="437">
        <v>556251</v>
      </c>
    </row>
    <row r="362" spans="1:23" ht="14" customHeight="1" x14ac:dyDescent="0.35">
      <c r="A362" s="754" t="s">
        <v>846</v>
      </c>
      <c r="B362" s="449"/>
      <c r="C362" s="449"/>
      <c r="D362" s="449">
        <v>1156183</v>
      </c>
      <c r="E362" s="449">
        <v>1898226</v>
      </c>
      <c r="F362" s="449">
        <v>3208927</v>
      </c>
      <c r="G362" s="437">
        <v>2318643</v>
      </c>
      <c r="H362" s="437">
        <v>2330960</v>
      </c>
      <c r="I362" s="437">
        <v>3316507</v>
      </c>
      <c r="J362" s="453"/>
      <c r="K362" s="437">
        <v>725700</v>
      </c>
      <c r="L362" s="437">
        <v>828428</v>
      </c>
      <c r="M362" s="437">
        <v>-102728</v>
      </c>
      <c r="N362" s="453"/>
      <c r="O362" s="437">
        <v>591348</v>
      </c>
      <c r="P362" s="437">
        <v>237080</v>
      </c>
      <c r="R362" s="794"/>
      <c r="T362" s="437">
        <v>3641067</v>
      </c>
    </row>
    <row r="363" spans="1:23" ht="14" customHeight="1" x14ac:dyDescent="0.35">
      <c r="A363" s="754" t="s">
        <v>847</v>
      </c>
      <c r="B363" s="437"/>
      <c r="C363" s="437"/>
      <c r="D363" s="437"/>
      <c r="E363" s="437"/>
      <c r="F363" s="437"/>
      <c r="G363" s="437">
        <v>0</v>
      </c>
      <c r="H363" s="437">
        <v>0</v>
      </c>
      <c r="I363" s="437">
        <v>0</v>
      </c>
      <c r="J363" s="453"/>
      <c r="K363" s="437">
        <v>824019</v>
      </c>
      <c r="L363" s="437">
        <v>882607</v>
      </c>
      <c r="M363" s="437">
        <v>-58587</v>
      </c>
      <c r="N363" s="453"/>
      <c r="O363" s="437">
        <v>1101746</v>
      </c>
      <c r="P363" s="437">
        <v>-219140</v>
      </c>
      <c r="R363" s="794"/>
      <c r="T363" s="437">
        <v>0</v>
      </c>
    </row>
    <row r="364" spans="1:23" ht="14" customHeight="1" x14ac:dyDescent="0.35">
      <c r="A364" s="754" t="s">
        <v>848</v>
      </c>
      <c r="B364" s="437"/>
      <c r="C364" s="437"/>
      <c r="D364" s="437"/>
      <c r="E364" s="437"/>
      <c r="F364" s="437"/>
      <c r="G364" s="437">
        <v>0</v>
      </c>
      <c r="H364" s="437">
        <v>0</v>
      </c>
      <c r="I364" s="437">
        <v>0</v>
      </c>
      <c r="J364" s="453"/>
      <c r="K364" s="437">
        <v>622023</v>
      </c>
      <c r="L364" s="437">
        <v>458595</v>
      </c>
      <c r="M364" s="437">
        <v>163428</v>
      </c>
      <c r="N364" s="453"/>
      <c r="O364" s="437">
        <v>534145</v>
      </c>
      <c r="P364" s="437">
        <v>-75549</v>
      </c>
      <c r="R364" s="794"/>
      <c r="T364" s="437">
        <v>0</v>
      </c>
    </row>
    <row r="365" spans="1:23" ht="14" customHeight="1" x14ac:dyDescent="0.35">
      <c r="A365" s="754" t="s">
        <v>849</v>
      </c>
      <c r="B365" s="437"/>
      <c r="C365" s="437"/>
      <c r="D365" s="448"/>
      <c r="E365" s="448"/>
      <c r="F365" s="448"/>
      <c r="G365" s="437">
        <v>0</v>
      </c>
      <c r="H365" s="437">
        <v>0</v>
      </c>
      <c r="I365" s="437">
        <v>0</v>
      </c>
      <c r="J365" s="453"/>
      <c r="K365" s="437">
        <v>391250</v>
      </c>
      <c r="L365" s="437">
        <v>261299</v>
      </c>
      <c r="M365" s="437">
        <v>129951</v>
      </c>
      <c r="N365" s="453"/>
      <c r="O365" s="437">
        <v>516350</v>
      </c>
      <c r="P365" s="437">
        <v>-255051</v>
      </c>
      <c r="R365" s="794"/>
      <c r="T365" s="437">
        <v>0</v>
      </c>
    </row>
    <row r="366" spans="1:23" ht="14" customHeight="1" x14ac:dyDescent="0.35">
      <c r="A366" s="754" t="s">
        <v>850</v>
      </c>
      <c r="B366" s="449"/>
      <c r="C366" s="449"/>
      <c r="D366" s="437"/>
      <c r="E366" s="437"/>
      <c r="F366" s="437"/>
      <c r="G366" s="437">
        <v>0</v>
      </c>
      <c r="H366" s="437">
        <v>0</v>
      </c>
      <c r="I366" s="437">
        <v>0</v>
      </c>
      <c r="J366" s="453"/>
      <c r="K366" s="437">
        <v>10850</v>
      </c>
      <c r="L366" s="437">
        <v>6513</v>
      </c>
      <c r="M366" s="437">
        <v>4337</v>
      </c>
      <c r="N366" s="453"/>
      <c r="O366" s="437">
        <v>0</v>
      </c>
      <c r="P366" s="437">
        <v>6513</v>
      </c>
      <c r="R366" s="794"/>
      <c r="T366" s="437">
        <v>0</v>
      </c>
    </row>
    <row r="367" spans="1:23" ht="14" customHeight="1" x14ac:dyDescent="0.35">
      <c r="A367" s="754" t="s">
        <v>851</v>
      </c>
      <c r="B367" s="437"/>
      <c r="C367" s="437"/>
      <c r="D367" s="437"/>
      <c r="E367" s="437"/>
      <c r="F367" s="437"/>
      <c r="G367" s="437">
        <v>0</v>
      </c>
      <c r="H367" s="437">
        <v>0</v>
      </c>
      <c r="I367" s="437">
        <v>0</v>
      </c>
      <c r="J367" s="453"/>
      <c r="K367" s="437">
        <v>335607</v>
      </c>
      <c r="L367" s="437">
        <v>341811</v>
      </c>
      <c r="M367" s="437">
        <v>-6204</v>
      </c>
      <c r="N367" s="453"/>
      <c r="O367" s="437">
        <v>298706</v>
      </c>
      <c r="P367" s="437">
        <v>43105</v>
      </c>
      <c r="R367" s="794"/>
      <c r="T367" s="437">
        <v>0</v>
      </c>
    </row>
    <row r="368" spans="1:23" ht="14" customHeight="1" x14ac:dyDescent="0.35">
      <c r="A368" s="754" t="s">
        <v>852</v>
      </c>
      <c r="B368" s="437"/>
      <c r="C368" s="437"/>
      <c r="D368" s="437"/>
      <c r="E368" s="437"/>
      <c r="F368" s="437"/>
      <c r="G368" s="437">
        <v>0</v>
      </c>
      <c r="H368" s="437">
        <v>0</v>
      </c>
      <c r="I368" s="437">
        <v>0</v>
      </c>
      <c r="J368" s="453"/>
      <c r="K368" s="437">
        <v>12850</v>
      </c>
      <c r="L368" s="437">
        <v>9644</v>
      </c>
      <c r="M368" s="437">
        <v>3206</v>
      </c>
      <c r="N368" s="453"/>
      <c r="O368" s="437">
        <v>12850</v>
      </c>
      <c r="P368" s="437">
        <v>-3206</v>
      </c>
      <c r="R368" s="794"/>
      <c r="T368" s="437">
        <v>0</v>
      </c>
    </row>
    <row r="369" spans="1:23" ht="14" customHeight="1" x14ac:dyDescent="0.35">
      <c r="A369" s="754" t="s">
        <v>853</v>
      </c>
      <c r="B369" s="449">
        <v>268611</v>
      </c>
      <c r="C369" s="449">
        <v>249832</v>
      </c>
      <c r="D369" s="449">
        <v>463719</v>
      </c>
      <c r="E369" s="449">
        <v>572953</v>
      </c>
      <c r="F369" s="449">
        <v>903673</v>
      </c>
      <c r="G369" s="437">
        <v>1249192</v>
      </c>
      <c r="H369" s="437">
        <v>1100746</v>
      </c>
      <c r="I369" s="437">
        <v>1189565</v>
      </c>
      <c r="J369" s="453"/>
      <c r="K369" s="437">
        <v>1294317</v>
      </c>
      <c r="L369" s="437">
        <v>1460382</v>
      </c>
      <c r="M369" s="437">
        <v>-166065</v>
      </c>
      <c r="N369" s="453"/>
      <c r="O369" s="437">
        <v>1190192</v>
      </c>
      <c r="P369" s="437">
        <v>270190</v>
      </c>
      <c r="R369" s="794"/>
      <c r="T369" s="437">
        <v>1461145</v>
      </c>
    </row>
    <row r="370" spans="1:23" ht="14" customHeight="1" x14ac:dyDescent="0.35">
      <c r="A370" s="754" t="s">
        <v>854</v>
      </c>
      <c r="B370" s="437"/>
      <c r="C370" s="437"/>
      <c r="D370" s="448" t="s">
        <v>650</v>
      </c>
      <c r="E370" s="448" t="s">
        <v>650</v>
      </c>
      <c r="F370" s="449">
        <v>246210</v>
      </c>
      <c r="G370" s="437">
        <v>48299</v>
      </c>
      <c r="H370" s="437">
        <v>4975</v>
      </c>
      <c r="I370" s="437">
        <v>24787</v>
      </c>
      <c r="J370" s="453"/>
      <c r="K370" s="437">
        <v>0</v>
      </c>
      <c r="L370" s="437">
        <v>0</v>
      </c>
      <c r="M370" s="437">
        <v>0</v>
      </c>
      <c r="N370" s="453"/>
      <c r="O370" s="437">
        <v>0</v>
      </c>
      <c r="P370" s="437">
        <v>0</v>
      </c>
      <c r="R370" s="794"/>
      <c r="T370" s="437">
        <v>165000</v>
      </c>
    </row>
    <row r="371" spans="1:23" ht="14" customHeight="1" x14ac:dyDescent="0.35">
      <c r="A371" s="754" t="s">
        <v>855</v>
      </c>
      <c r="B371" s="437"/>
      <c r="C371" s="437"/>
      <c r="D371" s="437"/>
      <c r="E371" s="437"/>
      <c r="F371" s="449">
        <v>133639</v>
      </c>
      <c r="G371" s="437">
        <v>259692</v>
      </c>
      <c r="H371" s="437">
        <v>855622</v>
      </c>
      <c r="I371" s="437">
        <v>1184162</v>
      </c>
      <c r="J371" s="453"/>
      <c r="K371" s="437">
        <v>1661515</v>
      </c>
      <c r="L371" s="437">
        <v>1587487</v>
      </c>
      <c r="M371" s="437">
        <v>74028</v>
      </c>
      <c r="N371" s="453"/>
      <c r="O371" s="437">
        <v>1642591</v>
      </c>
      <c r="P371" s="437">
        <v>-55104</v>
      </c>
      <c r="R371" s="794"/>
      <c r="T371" s="437">
        <v>1299104</v>
      </c>
    </row>
    <row r="372" spans="1:23" ht="14" customHeight="1" x14ac:dyDescent="0.35">
      <c r="A372" s="754" t="s">
        <v>856</v>
      </c>
      <c r="B372" s="437"/>
      <c r="C372" s="437"/>
      <c r="D372" s="437"/>
      <c r="E372" s="437"/>
      <c r="F372" s="437"/>
      <c r="G372" s="437">
        <v>0</v>
      </c>
      <c r="H372" s="437">
        <v>0</v>
      </c>
      <c r="I372" s="437">
        <v>519254</v>
      </c>
      <c r="J372" s="453"/>
      <c r="K372" s="437">
        <v>1373994</v>
      </c>
      <c r="L372" s="437">
        <v>1220216</v>
      </c>
      <c r="M372" s="437">
        <v>153778</v>
      </c>
      <c r="N372" s="453"/>
      <c r="O372" s="437">
        <v>1811873</v>
      </c>
      <c r="P372" s="437">
        <v>-591657</v>
      </c>
      <c r="R372" s="794"/>
      <c r="T372" s="437">
        <v>0</v>
      </c>
    </row>
    <row r="373" spans="1:23" ht="14" customHeight="1" x14ac:dyDescent="0.35">
      <c r="A373" s="754" t="s">
        <v>857</v>
      </c>
      <c r="B373" s="437"/>
      <c r="C373" s="437"/>
      <c r="D373" s="437"/>
      <c r="E373" s="437"/>
      <c r="F373" s="437"/>
      <c r="G373" s="437">
        <v>342931</v>
      </c>
      <c r="J373" s="453"/>
      <c r="M373" s="437"/>
      <c r="N373" s="453"/>
      <c r="O373" s="437"/>
      <c r="P373" s="437"/>
      <c r="R373" s="799"/>
      <c r="T373" s="437">
        <v>500000</v>
      </c>
    </row>
    <row r="374" spans="1:23" ht="14" customHeight="1" x14ac:dyDescent="0.35">
      <c r="A374" s="757" t="s">
        <v>858</v>
      </c>
      <c r="B374" s="449">
        <v>442877</v>
      </c>
      <c r="C374" s="449">
        <v>538223</v>
      </c>
      <c r="D374" s="437"/>
      <c r="E374" s="437"/>
      <c r="F374" s="437"/>
      <c r="J374" s="453"/>
      <c r="M374" s="437"/>
      <c r="N374" s="453"/>
      <c r="O374" s="437"/>
      <c r="P374" s="437"/>
      <c r="R374" s="799"/>
    </row>
    <row r="375" spans="1:23" s="467" customFormat="1" ht="14" customHeight="1" x14ac:dyDescent="0.4">
      <c r="A375" s="809" t="s">
        <v>859</v>
      </c>
      <c r="B375" s="841">
        <v>711488</v>
      </c>
      <c r="C375" s="841">
        <v>788055</v>
      </c>
      <c r="D375" s="841">
        <v>1935527</v>
      </c>
      <c r="E375" s="841">
        <v>2877069</v>
      </c>
      <c r="F375" s="841">
        <v>5039405</v>
      </c>
      <c r="G375" s="813">
        <v>4887749</v>
      </c>
      <c r="H375" s="813">
        <v>4855942</v>
      </c>
      <c r="I375" s="813">
        <v>6809301</v>
      </c>
      <c r="J375" s="453"/>
      <c r="K375" s="813">
        <v>7827126</v>
      </c>
      <c r="L375" s="813">
        <v>7681982</v>
      </c>
      <c r="M375" s="813">
        <v>-145144</v>
      </c>
      <c r="N375" s="453"/>
      <c r="O375" s="813">
        <v>8274801</v>
      </c>
      <c r="P375" s="813">
        <v>592819</v>
      </c>
      <c r="Q375" s="459"/>
      <c r="R375" s="795"/>
      <c r="S375" s="299"/>
      <c r="T375" s="476">
        <v>7622567</v>
      </c>
      <c r="U375" s="299"/>
      <c r="V375" s="299"/>
      <c r="W375" s="299"/>
    </row>
    <row r="376" spans="1:23" ht="14" customHeight="1" x14ac:dyDescent="0.35">
      <c r="A376" s="776" t="s">
        <v>1041</v>
      </c>
      <c r="B376" s="437"/>
      <c r="C376" s="437"/>
      <c r="D376" s="437"/>
      <c r="E376" s="437"/>
      <c r="F376" s="437"/>
      <c r="H376" s="437">
        <v>14784333</v>
      </c>
      <c r="I376" s="437">
        <v>19903671</v>
      </c>
      <c r="J376" s="453"/>
      <c r="K376" s="437">
        <v>21303130</v>
      </c>
      <c r="L376" s="437">
        <v>20494071</v>
      </c>
      <c r="M376" s="437">
        <v>809059</v>
      </c>
      <c r="N376" s="453"/>
      <c r="O376" s="437">
        <v>21111061</v>
      </c>
      <c r="P376" s="437">
        <v>-616990</v>
      </c>
      <c r="R376" s="795"/>
    </row>
    <row r="377" spans="1:23" ht="14" customHeight="1" x14ac:dyDescent="0.35">
      <c r="J377" s="453"/>
      <c r="M377" s="437"/>
      <c r="N377" s="453"/>
      <c r="R377" s="793"/>
    </row>
    <row r="378" spans="1:23" ht="14" customHeight="1" x14ac:dyDescent="0.35">
      <c r="A378" s="842" t="s">
        <v>1042</v>
      </c>
      <c r="J378" s="453"/>
      <c r="M378" s="437"/>
      <c r="N378" s="453"/>
      <c r="R378" s="794"/>
    </row>
    <row r="379" spans="1:23" ht="14" customHeight="1" x14ac:dyDescent="0.35">
      <c r="A379" s="771" t="s">
        <v>679</v>
      </c>
      <c r="B379" s="448"/>
      <c r="C379" s="449"/>
      <c r="D379" s="449"/>
      <c r="E379" s="461"/>
      <c r="J379" s="453"/>
      <c r="M379" s="437"/>
      <c r="N379" s="453"/>
      <c r="R379" s="806" t="s">
        <v>1066</v>
      </c>
    </row>
    <row r="380" spans="1:23" ht="14" customHeight="1" x14ac:dyDescent="0.35">
      <c r="A380" s="754" t="s">
        <v>778</v>
      </c>
      <c r="B380" s="449">
        <v>377678</v>
      </c>
      <c r="C380" s="449">
        <v>593886</v>
      </c>
      <c r="D380" s="437">
        <v>959038</v>
      </c>
      <c r="E380" s="438">
        <v>1002711</v>
      </c>
      <c r="F380" s="461">
        <v>1072601</v>
      </c>
      <c r="G380" s="437">
        <v>922519</v>
      </c>
      <c r="H380" s="437">
        <v>1138863</v>
      </c>
      <c r="I380" s="437">
        <v>1367640</v>
      </c>
      <c r="J380" s="453"/>
      <c r="K380" s="437">
        <v>1365000</v>
      </c>
      <c r="L380" s="437">
        <v>1367640</v>
      </c>
      <c r="M380" s="437">
        <v>-2640</v>
      </c>
      <c r="N380" s="453"/>
      <c r="O380" s="545">
        <v>1396944</v>
      </c>
      <c r="P380" s="546">
        <v>-29304</v>
      </c>
      <c r="R380" s="794"/>
      <c r="T380" s="437">
        <v>1365000</v>
      </c>
    </row>
    <row r="381" spans="1:23" ht="14" customHeight="1" x14ac:dyDescent="0.35">
      <c r="A381" s="757"/>
      <c r="B381" s="448"/>
      <c r="C381" s="448"/>
      <c r="D381" s="449"/>
      <c r="E381" s="461"/>
      <c r="J381" s="453"/>
      <c r="M381" s="437"/>
      <c r="N381" s="453"/>
      <c r="O381" s="541"/>
      <c r="P381" s="542"/>
      <c r="R381" s="793"/>
    </row>
    <row r="382" spans="1:23" ht="14" customHeight="1" x14ac:dyDescent="0.35">
      <c r="A382" s="771" t="s">
        <v>169</v>
      </c>
      <c r="B382" s="448"/>
      <c r="C382" s="448"/>
      <c r="D382" s="437"/>
      <c r="E382" s="445"/>
      <c r="F382" s="445"/>
      <c r="J382" s="453"/>
      <c r="M382" s="437"/>
      <c r="N382" s="453"/>
      <c r="R382" s="793"/>
    </row>
    <row r="383" spans="1:23" ht="14" customHeight="1" x14ac:dyDescent="0.35">
      <c r="A383" s="754" t="s">
        <v>779</v>
      </c>
      <c r="B383" s="448" t="s">
        <v>650</v>
      </c>
      <c r="C383" s="449">
        <v>247830</v>
      </c>
      <c r="D383" s="437">
        <v>670678</v>
      </c>
      <c r="E383" s="461">
        <v>1431892</v>
      </c>
      <c r="F383" s="461">
        <v>2030565</v>
      </c>
      <c r="G383" s="437">
        <v>2390703</v>
      </c>
      <c r="H383" s="437">
        <v>1663430</v>
      </c>
      <c r="I383" s="437">
        <v>811726</v>
      </c>
      <c r="J383" s="453"/>
      <c r="K383" s="437">
        <v>868300</v>
      </c>
      <c r="L383" s="437">
        <v>811726</v>
      </c>
      <c r="M383" s="437">
        <v>56574</v>
      </c>
      <c r="N383" s="453"/>
      <c r="O383" s="437">
        <v>795344</v>
      </c>
      <c r="P383" s="437">
        <v>16382</v>
      </c>
      <c r="R383" s="794"/>
      <c r="T383" s="437">
        <v>868300</v>
      </c>
    </row>
    <row r="384" spans="1:23" ht="14" customHeight="1" x14ac:dyDescent="0.35">
      <c r="B384" s="437"/>
      <c r="C384" s="437"/>
      <c r="D384" s="437"/>
      <c r="J384" s="453"/>
      <c r="M384" s="437"/>
      <c r="N384" s="453"/>
      <c r="R384" s="793"/>
    </row>
    <row r="385" spans="1:23" ht="14" customHeight="1" x14ac:dyDescent="0.35">
      <c r="A385" s="777" t="s">
        <v>1067</v>
      </c>
      <c r="B385" s="448"/>
      <c r="C385" s="448"/>
      <c r="D385" s="437"/>
      <c r="F385" s="445"/>
      <c r="J385" s="453"/>
      <c r="M385" s="437"/>
      <c r="N385" s="453"/>
      <c r="O385" s="437"/>
      <c r="P385" s="437"/>
      <c r="R385" s="795"/>
    </row>
    <row r="386" spans="1:23" ht="14" customHeight="1" x14ac:dyDescent="0.35">
      <c r="A386" s="751" t="s">
        <v>1043</v>
      </c>
      <c r="B386" s="448"/>
      <c r="C386" s="448"/>
      <c r="D386" s="437"/>
      <c r="F386" s="445"/>
      <c r="J386" s="453"/>
      <c r="K386" s="437">
        <v>0</v>
      </c>
      <c r="L386" s="437">
        <v>0</v>
      </c>
      <c r="M386" s="437">
        <v>0</v>
      </c>
      <c r="N386" s="453"/>
      <c r="O386" s="438">
        <v>331305</v>
      </c>
      <c r="P386" s="438">
        <v>-331305</v>
      </c>
      <c r="R386" s="795"/>
    </row>
    <row r="387" spans="1:23" ht="14" customHeight="1" x14ac:dyDescent="0.35">
      <c r="A387" s="751" t="s">
        <v>1044</v>
      </c>
      <c r="B387" s="448"/>
      <c r="C387" s="448"/>
      <c r="D387" s="437"/>
      <c r="F387" s="445"/>
      <c r="J387" s="453"/>
      <c r="K387" s="437">
        <v>397201</v>
      </c>
      <c r="L387" s="437">
        <v>591894</v>
      </c>
      <c r="M387" s="437">
        <v>-194694</v>
      </c>
      <c r="N387" s="453"/>
      <c r="O387" s="437">
        <v>403887</v>
      </c>
      <c r="P387" s="437">
        <v>188007</v>
      </c>
      <c r="R387" s="795"/>
    </row>
    <row r="388" spans="1:23" ht="14" customHeight="1" x14ac:dyDescent="0.35">
      <c r="A388" s="751" t="s">
        <v>1045</v>
      </c>
      <c r="B388" s="449">
        <v>115531</v>
      </c>
      <c r="C388" s="449">
        <v>187146</v>
      </c>
      <c r="D388" s="449">
        <v>70595</v>
      </c>
      <c r="E388" s="461">
        <v>195795</v>
      </c>
      <c r="F388" s="461">
        <v>225278</v>
      </c>
      <c r="G388" s="437">
        <v>127690</v>
      </c>
      <c r="H388" s="437">
        <v>0</v>
      </c>
      <c r="I388" s="437">
        <v>9367</v>
      </c>
      <c r="J388" s="453"/>
      <c r="K388" s="437">
        <v>416348</v>
      </c>
      <c r="L388" s="437">
        <v>267989</v>
      </c>
      <c r="M388" s="437">
        <v>148359</v>
      </c>
      <c r="N388" s="453"/>
      <c r="O388" s="437">
        <v>376087</v>
      </c>
      <c r="P388" s="437">
        <v>-108098</v>
      </c>
      <c r="R388" s="794"/>
      <c r="T388" s="437">
        <v>581092</v>
      </c>
    </row>
    <row r="389" spans="1:23" ht="14" customHeight="1" x14ac:dyDescent="0.35">
      <c r="A389" s="751" t="s">
        <v>1046</v>
      </c>
      <c r="B389" s="449">
        <v>246473</v>
      </c>
      <c r="C389" s="449">
        <v>282396</v>
      </c>
      <c r="D389" s="449">
        <v>380335</v>
      </c>
      <c r="E389" s="461">
        <v>507643</v>
      </c>
      <c r="F389" s="461">
        <v>559425</v>
      </c>
      <c r="G389" s="437">
        <v>858399</v>
      </c>
      <c r="H389" s="437">
        <v>1183212</v>
      </c>
      <c r="I389" s="437">
        <v>1210686</v>
      </c>
      <c r="J389" s="453"/>
      <c r="K389" s="437">
        <v>440531</v>
      </c>
      <c r="L389" s="437">
        <v>614245</v>
      </c>
      <c r="M389" s="437">
        <v>-173714</v>
      </c>
      <c r="N389" s="453"/>
      <c r="O389" s="437">
        <v>394427</v>
      </c>
      <c r="P389" s="437">
        <v>219817</v>
      </c>
      <c r="R389" s="794"/>
      <c r="T389" s="437">
        <v>1180844</v>
      </c>
    </row>
    <row r="390" spans="1:23" ht="14" customHeight="1" x14ac:dyDescent="0.35">
      <c r="A390" s="751" t="s">
        <v>1047</v>
      </c>
      <c r="B390" s="449">
        <v>78091</v>
      </c>
      <c r="C390" s="449">
        <v>101857</v>
      </c>
      <c r="D390" s="449">
        <v>214381</v>
      </c>
      <c r="E390" s="461">
        <v>253032</v>
      </c>
      <c r="F390" s="461">
        <v>99660</v>
      </c>
      <c r="G390" s="437">
        <v>651483</v>
      </c>
      <c r="H390" s="437">
        <v>134622</v>
      </c>
      <c r="I390" s="437">
        <v>529002</v>
      </c>
      <c r="J390" s="453"/>
      <c r="K390" s="437">
        <v>377195</v>
      </c>
      <c r="L390" s="437">
        <v>567344</v>
      </c>
      <c r="M390" s="437">
        <v>-190149</v>
      </c>
      <c r="N390" s="453"/>
      <c r="O390" s="437">
        <v>331433</v>
      </c>
      <c r="P390" s="437">
        <v>235911</v>
      </c>
      <c r="R390" s="794"/>
      <c r="T390" s="437">
        <v>509915</v>
      </c>
    </row>
    <row r="391" spans="1:23" ht="14" customHeight="1" x14ac:dyDescent="0.35">
      <c r="A391" s="751" t="s">
        <v>1048</v>
      </c>
      <c r="B391" s="449"/>
      <c r="C391" s="449"/>
      <c r="D391" s="449"/>
      <c r="E391" s="461"/>
      <c r="F391" s="461"/>
      <c r="J391" s="453"/>
      <c r="K391" s="437">
        <v>0</v>
      </c>
      <c r="L391" s="437">
        <v>0</v>
      </c>
      <c r="M391" s="437">
        <v>0</v>
      </c>
      <c r="N391" s="453"/>
      <c r="O391" s="437">
        <v>217180</v>
      </c>
      <c r="P391" s="437">
        <v>-217180</v>
      </c>
      <c r="R391" s="794"/>
    </row>
    <row r="392" spans="1:23" s="299" customFormat="1" ht="14" customHeight="1" x14ac:dyDescent="0.4">
      <c r="A392" s="777" t="s">
        <v>792</v>
      </c>
      <c r="B392" s="534">
        <v>440095</v>
      </c>
      <c r="C392" s="534">
        <v>571400</v>
      </c>
      <c r="D392" s="534">
        <v>665311</v>
      </c>
      <c r="E392" s="483">
        <v>956470</v>
      </c>
      <c r="F392" s="483">
        <v>884363</v>
      </c>
      <c r="G392" s="446">
        <v>1637573</v>
      </c>
      <c r="H392" s="446">
        <v>1317833</v>
      </c>
      <c r="I392" s="446">
        <v>1749055</v>
      </c>
      <c r="J392" s="441"/>
      <c r="K392" s="446">
        <v>1631274</v>
      </c>
      <c r="L392" s="446">
        <v>2041472</v>
      </c>
      <c r="M392" s="446">
        <v>-410198</v>
      </c>
      <c r="N392" s="441"/>
      <c r="O392" s="446">
        <v>2054320</v>
      </c>
      <c r="P392" s="446">
        <v>-12847</v>
      </c>
      <c r="Q392" s="459"/>
      <c r="R392" s="795"/>
      <c r="T392" s="446">
        <v>2271851</v>
      </c>
    </row>
    <row r="393" spans="1:23" ht="14" customHeight="1" x14ac:dyDescent="0.35">
      <c r="A393" s="771"/>
      <c r="B393" s="461"/>
      <c r="C393" s="461"/>
      <c r="D393" s="461"/>
      <c r="E393" s="461"/>
      <c r="F393" s="461"/>
      <c r="J393" s="453"/>
      <c r="M393" s="437"/>
      <c r="N393" s="453"/>
      <c r="O393" s="544"/>
      <c r="P393" s="544"/>
      <c r="R393" s="793"/>
    </row>
    <row r="394" spans="1:23" s="437" customFormat="1" ht="14" customHeight="1" x14ac:dyDescent="0.35">
      <c r="A394" s="819" t="s">
        <v>995</v>
      </c>
      <c r="B394" s="821"/>
      <c r="C394" s="821"/>
      <c r="D394" s="821"/>
      <c r="E394" s="821"/>
      <c r="F394" s="821"/>
      <c r="G394" s="818"/>
      <c r="H394" s="818">
        <v>4646529</v>
      </c>
      <c r="I394" s="818">
        <v>4305777</v>
      </c>
      <c r="J394" s="453"/>
      <c r="K394" s="818">
        <v>4879891</v>
      </c>
      <c r="L394" s="818">
        <v>5205431</v>
      </c>
      <c r="M394" s="818">
        <v>-325539</v>
      </c>
      <c r="N394" s="453"/>
      <c r="O394" s="821">
        <v>5340868</v>
      </c>
      <c r="P394" s="821">
        <v>-135438</v>
      </c>
      <c r="Q394" s="435"/>
      <c r="R394" s="795"/>
      <c r="S394" s="436"/>
      <c r="U394" s="436"/>
      <c r="V394" s="436"/>
      <c r="W394" s="436"/>
    </row>
    <row r="395" spans="1:23" s="437" customFormat="1" ht="14" customHeight="1" x14ac:dyDescent="0.35">
      <c r="A395" s="754"/>
      <c r="B395" s="438"/>
      <c r="C395" s="438"/>
      <c r="D395" s="438"/>
      <c r="E395" s="438"/>
      <c r="F395" s="438"/>
      <c r="O395" s="438"/>
      <c r="P395" s="438"/>
      <c r="Q395" s="435"/>
      <c r="R395" s="807"/>
      <c r="S395" s="436"/>
      <c r="U395" s="436"/>
      <c r="V395" s="436"/>
      <c r="W395" s="436"/>
    </row>
    <row r="396" spans="1:23" s="437" customFormat="1" ht="14" customHeight="1" x14ac:dyDescent="0.35">
      <c r="A396" s="754"/>
      <c r="B396" s="438"/>
      <c r="C396" s="438"/>
      <c r="D396" s="438"/>
      <c r="E396" s="438"/>
      <c r="F396" s="438"/>
      <c r="O396" s="438"/>
      <c r="P396" s="438"/>
      <c r="Q396" s="435"/>
      <c r="R396" s="793"/>
      <c r="S396" s="436"/>
      <c r="U396" s="436"/>
      <c r="V396" s="436"/>
      <c r="W396" s="436"/>
    </row>
    <row r="397" spans="1:23" s="437" customFormat="1" ht="14" customHeight="1" x14ac:dyDescent="0.35">
      <c r="A397" s="754"/>
      <c r="B397" s="438"/>
      <c r="C397" s="438"/>
      <c r="D397" s="438"/>
      <c r="E397" s="438"/>
      <c r="F397" s="438"/>
      <c r="O397" s="438"/>
      <c r="P397" s="438"/>
      <c r="Q397" s="435"/>
      <c r="R397" s="787"/>
      <c r="S397" s="436"/>
      <c r="U397" s="436"/>
      <c r="V397" s="436"/>
      <c r="W397" s="436"/>
    </row>
    <row r="398" spans="1:23" s="437" customFormat="1" ht="14" customHeight="1" x14ac:dyDescent="0.35">
      <c r="A398" s="754"/>
      <c r="B398" s="438"/>
      <c r="C398" s="438"/>
      <c r="D398" s="438"/>
      <c r="E398" s="438"/>
      <c r="F398" s="438"/>
      <c r="O398" s="438"/>
      <c r="P398" s="438"/>
      <c r="Q398" s="435"/>
      <c r="R398" s="787"/>
      <c r="S398" s="436"/>
      <c r="U398" s="436"/>
      <c r="V398" s="436"/>
      <c r="W398" s="436"/>
    </row>
    <row r="399" spans="1:23" s="437" customFormat="1" ht="14" customHeight="1" x14ac:dyDescent="0.35">
      <c r="A399" s="754"/>
      <c r="B399" s="438"/>
      <c r="C399" s="438"/>
      <c r="D399" s="438"/>
      <c r="E399" s="438"/>
      <c r="F399" s="438"/>
      <c r="O399" s="438"/>
      <c r="P399" s="438"/>
      <c r="Q399" s="435"/>
      <c r="R399" s="787"/>
      <c r="S399" s="436"/>
      <c r="U399" s="436"/>
      <c r="V399" s="436"/>
      <c r="W399" s="436"/>
    </row>
    <row r="400" spans="1:23" s="437" customFormat="1" ht="14" customHeight="1" x14ac:dyDescent="0.35">
      <c r="A400" s="754"/>
      <c r="B400" s="438"/>
      <c r="C400" s="438"/>
      <c r="D400" s="438"/>
      <c r="E400" s="438"/>
      <c r="F400" s="438"/>
      <c r="O400" s="438"/>
      <c r="P400" s="438"/>
      <c r="Q400" s="435"/>
      <c r="R400" s="787"/>
      <c r="S400" s="436"/>
      <c r="U400" s="436"/>
      <c r="V400" s="436"/>
      <c r="W400" s="436"/>
    </row>
    <row r="401" spans="1:23" s="437" customFormat="1" ht="14" customHeight="1" x14ac:dyDescent="0.35">
      <c r="A401" s="754"/>
      <c r="B401" s="438"/>
      <c r="C401" s="438"/>
      <c r="D401" s="438"/>
      <c r="E401" s="438"/>
      <c r="F401" s="438"/>
      <c r="O401" s="438"/>
      <c r="P401" s="438"/>
      <c r="Q401" s="435"/>
      <c r="R401" s="787"/>
      <c r="S401" s="436"/>
      <c r="U401" s="436"/>
      <c r="V401" s="436"/>
      <c r="W401" s="436"/>
    </row>
    <row r="402" spans="1:23" s="437" customFormat="1" ht="14" customHeight="1" x14ac:dyDescent="0.35">
      <c r="A402" s="754"/>
      <c r="B402" s="438"/>
      <c r="C402" s="438"/>
      <c r="D402" s="438"/>
      <c r="E402" s="438"/>
      <c r="F402" s="438"/>
      <c r="O402" s="438"/>
      <c r="P402" s="438"/>
      <c r="Q402" s="435"/>
      <c r="R402" s="787"/>
      <c r="S402" s="436"/>
      <c r="U402" s="436"/>
      <c r="V402" s="436"/>
      <c r="W402" s="436"/>
    </row>
    <row r="403" spans="1:23" s="437" customFormat="1" ht="14" customHeight="1" x14ac:dyDescent="0.35">
      <c r="A403" s="754"/>
      <c r="B403" s="438"/>
      <c r="C403" s="438"/>
      <c r="D403" s="438"/>
      <c r="E403" s="438"/>
      <c r="F403" s="438"/>
      <c r="O403" s="438"/>
      <c r="P403" s="438"/>
      <c r="Q403" s="435"/>
      <c r="R403" s="787"/>
      <c r="S403" s="436"/>
      <c r="U403" s="436"/>
      <c r="V403" s="436"/>
      <c r="W403" s="436"/>
    </row>
    <row r="404" spans="1:23" s="437" customFormat="1" ht="14" customHeight="1" x14ac:dyDescent="0.35">
      <c r="A404" s="754"/>
      <c r="B404" s="438"/>
      <c r="C404" s="438"/>
      <c r="D404" s="438"/>
      <c r="E404" s="438"/>
      <c r="F404" s="438"/>
      <c r="O404" s="438"/>
      <c r="P404" s="438"/>
      <c r="Q404" s="435"/>
      <c r="R404" s="787"/>
      <c r="S404" s="436"/>
      <c r="U404" s="436"/>
      <c r="V404" s="436"/>
      <c r="W404" s="436"/>
    </row>
    <row r="405" spans="1:23" s="437" customFormat="1" ht="14" customHeight="1" x14ac:dyDescent="0.35">
      <c r="A405" s="754"/>
      <c r="B405" s="438"/>
      <c r="C405" s="438"/>
      <c r="D405" s="438"/>
      <c r="E405" s="438"/>
      <c r="F405" s="438"/>
      <c r="O405" s="438"/>
      <c r="P405" s="438"/>
      <c r="Q405" s="435"/>
      <c r="R405" s="787"/>
      <c r="S405" s="436"/>
      <c r="U405" s="436"/>
      <c r="V405" s="436"/>
      <c r="W405" s="436"/>
    </row>
    <row r="406" spans="1:23" s="437" customFormat="1" ht="14" customHeight="1" x14ac:dyDescent="0.35">
      <c r="A406" s="754"/>
      <c r="B406" s="438"/>
      <c r="C406" s="438"/>
      <c r="D406" s="438"/>
      <c r="E406" s="438"/>
      <c r="F406" s="438"/>
      <c r="O406" s="438"/>
      <c r="P406" s="438"/>
      <c r="Q406" s="435"/>
      <c r="R406" s="787"/>
      <c r="S406" s="436"/>
      <c r="U406" s="436"/>
      <c r="V406" s="436"/>
      <c r="W406" s="436"/>
    </row>
    <row r="407" spans="1:23" s="437" customFormat="1" ht="14" customHeight="1" x14ac:dyDescent="0.35">
      <c r="A407" s="754"/>
      <c r="B407" s="438"/>
      <c r="C407" s="438"/>
      <c r="D407" s="438"/>
      <c r="E407" s="438"/>
      <c r="F407" s="438"/>
      <c r="O407" s="438"/>
      <c r="P407" s="438"/>
      <c r="Q407" s="435"/>
      <c r="R407" s="787"/>
      <c r="S407" s="436"/>
      <c r="U407" s="436"/>
      <c r="V407" s="436"/>
      <c r="W407" s="436"/>
    </row>
    <row r="408" spans="1:23" s="437" customFormat="1" ht="14" customHeight="1" x14ac:dyDescent="0.35">
      <c r="A408" s="754"/>
      <c r="B408" s="438"/>
      <c r="C408" s="438"/>
      <c r="D408" s="438"/>
      <c r="E408" s="438"/>
      <c r="F408" s="438"/>
      <c r="O408" s="438"/>
      <c r="P408" s="438"/>
      <c r="Q408" s="435"/>
      <c r="R408" s="787"/>
      <c r="S408" s="436"/>
      <c r="U408" s="436"/>
      <c r="V408" s="436"/>
      <c r="W408" s="436"/>
    </row>
    <row r="409" spans="1:23" s="437" customFormat="1" ht="14" customHeight="1" x14ac:dyDescent="0.35">
      <c r="A409" s="754"/>
      <c r="B409" s="438"/>
      <c r="C409" s="438"/>
      <c r="D409" s="438"/>
      <c r="E409" s="438"/>
      <c r="F409" s="438"/>
      <c r="O409" s="438"/>
      <c r="P409" s="438"/>
      <c r="Q409" s="435"/>
      <c r="R409" s="787"/>
      <c r="S409" s="436"/>
      <c r="U409" s="436"/>
      <c r="V409" s="436"/>
      <c r="W409" s="436"/>
    </row>
    <row r="410" spans="1:23" s="437" customFormat="1" ht="14" customHeight="1" x14ac:dyDescent="0.35">
      <c r="A410" s="754"/>
      <c r="B410" s="438"/>
      <c r="C410" s="438"/>
      <c r="D410" s="438"/>
      <c r="E410" s="438"/>
      <c r="F410" s="438"/>
      <c r="O410" s="438"/>
      <c r="P410" s="438"/>
      <c r="Q410" s="435"/>
      <c r="R410" s="787"/>
      <c r="S410" s="436"/>
      <c r="U410" s="436"/>
      <c r="V410" s="436"/>
      <c r="W410" s="436"/>
    </row>
    <row r="411" spans="1:23" s="437" customFormat="1" ht="14" customHeight="1" x14ac:dyDescent="0.35">
      <c r="A411" s="754"/>
      <c r="B411" s="438"/>
      <c r="C411" s="438"/>
      <c r="D411" s="438"/>
      <c r="E411" s="438"/>
      <c r="F411" s="438"/>
      <c r="O411" s="438"/>
      <c r="P411" s="438"/>
      <c r="Q411" s="435"/>
      <c r="R411" s="787"/>
      <c r="S411" s="436"/>
      <c r="U411" s="436"/>
      <c r="V411" s="436"/>
      <c r="W411" s="436"/>
    </row>
    <row r="412" spans="1:23" s="437" customFormat="1" ht="14" customHeight="1" x14ac:dyDescent="0.35">
      <c r="A412" s="754"/>
      <c r="B412" s="438"/>
      <c r="C412" s="438"/>
      <c r="D412" s="438"/>
      <c r="E412" s="438"/>
      <c r="F412" s="438"/>
      <c r="O412" s="438"/>
      <c r="P412" s="438"/>
      <c r="Q412" s="435"/>
      <c r="R412" s="787"/>
      <c r="S412" s="436"/>
      <c r="U412" s="436"/>
      <c r="V412" s="436"/>
      <c r="W412" s="436"/>
    </row>
    <row r="413" spans="1:23" s="437" customFormat="1" ht="14" customHeight="1" x14ac:dyDescent="0.35">
      <c r="A413" s="754"/>
      <c r="B413" s="438"/>
      <c r="C413" s="438"/>
      <c r="D413" s="438"/>
      <c r="E413" s="438"/>
      <c r="F413" s="438"/>
      <c r="O413" s="438"/>
      <c r="P413" s="438"/>
      <c r="Q413" s="435"/>
      <c r="R413" s="787"/>
      <c r="S413" s="436"/>
      <c r="U413" s="436"/>
      <c r="V413" s="436"/>
      <c r="W413" s="436"/>
    </row>
    <row r="414" spans="1:23" s="437" customFormat="1" ht="14" customHeight="1" x14ac:dyDescent="0.35">
      <c r="A414" s="754"/>
      <c r="B414" s="438"/>
      <c r="C414" s="438"/>
      <c r="D414" s="438"/>
      <c r="E414" s="438"/>
      <c r="F414" s="438"/>
      <c r="O414" s="438"/>
      <c r="P414" s="438"/>
      <c r="Q414" s="435"/>
      <c r="R414" s="787"/>
      <c r="S414" s="436"/>
      <c r="U414" s="436"/>
      <c r="V414" s="436"/>
      <c r="W414" s="436"/>
    </row>
    <row r="415" spans="1:23" s="437" customFormat="1" ht="14" customHeight="1" x14ac:dyDescent="0.35">
      <c r="A415" s="754"/>
      <c r="B415" s="438"/>
      <c r="C415" s="438"/>
      <c r="D415" s="438"/>
      <c r="E415" s="438"/>
      <c r="F415" s="438"/>
      <c r="O415" s="438"/>
      <c r="P415" s="438"/>
      <c r="Q415" s="435"/>
      <c r="R415" s="787"/>
      <c r="S415" s="436"/>
      <c r="U415" s="436"/>
      <c r="V415" s="436"/>
      <c r="W415" s="436"/>
    </row>
    <row r="416" spans="1:23" s="437" customFormat="1" ht="14" customHeight="1" x14ac:dyDescent="0.35">
      <c r="A416" s="754"/>
      <c r="B416" s="438"/>
      <c r="C416" s="438"/>
      <c r="D416" s="438"/>
      <c r="E416" s="438"/>
      <c r="F416" s="438"/>
      <c r="O416" s="438"/>
      <c r="P416" s="438"/>
      <c r="Q416" s="435"/>
      <c r="R416" s="787"/>
      <c r="S416" s="436"/>
      <c r="U416" s="436"/>
      <c r="V416" s="436"/>
      <c r="W416" s="436"/>
    </row>
    <row r="417" spans="1:23" s="437" customFormat="1" ht="14" customHeight="1" x14ac:dyDescent="0.35">
      <c r="A417" s="754"/>
      <c r="B417" s="438"/>
      <c r="C417" s="438"/>
      <c r="D417" s="438"/>
      <c r="E417" s="438"/>
      <c r="F417" s="438"/>
      <c r="O417" s="438"/>
      <c r="P417" s="438"/>
      <c r="Q417" s="435"/>
      <c r="R417" s="787"/>
      <c r="S417" s="436"/>
      <c r="U417" s="436"/>
      <c r="V417" s="436"/>
      <c r="W417" s="436"/>
    </row>
    <row r="418" spans="1:23" s="437" customFormat="1" ht="14" customHeight="1" x14ac:dyDescent="0.35">
      <c r="A418" s="754"/>
      <c r="B418" s="438"/>
      <c r="C418" s="438"/>
      <c r="D418" s="438"/>
      <c r="E418" s="438"/>
      <c r="F418" s="438"/>
      <c r="O418" s="438"/>
      <c r="P418" s="438"/>
      <c r="Q418" s="435"/>
      <c r="R418" s="787"/>
      <c r="S418" s="436"/>
      <c r="U418" s="436"/>
      <c r="V418" s="436"/>
      <c r="W418" s="436"/>
    </row>
    <row r="419" spans="1:23" s="437" customFormat="1" ht="14" customHeight="1" x14ac:dyDescent="0.35">
      <c r="A419" s="754"/>
      <c r="B419" s="438"/>
      <c r="C419" s="438"/>
      <c r="D419" s="438"/>
      <c r="E419" s="438"/>
      <c r="F419" s="438"/>
      <c r="O419" s="438"/>
      <c r="P419" s="438"/>
      <c r="Q419" s="435"/>
      <c r="R419" s="787"/>
      <c r="S419" s="436"/>
      <c r="U419" s="436"/>
      <c r="V419" s="436"/>
      <c r="W419" s="436"/>
    </row>
    <row r="420" spans="1:23" s="437" customFormat="1" ht="14" customHeight="1" x14ac:dyDescent="0.35">
      <c r="A420" s="754"/>
      <c r="B420" s="438"/>
      <c r="C420" s="438"/>
      <c r="D420" s="438"/>
      <c r="E420" s="438"/>
      <c r="F420" s="438"/>
      <c r="O420" s="438"/>
      <c r="P420" s="438"/>
      <c r="Q420" s="435"/>
      <c r="R420" s="787"/>
      <c r="S420" s="436"/>
      <c r="U420" s="436"/>
      <c r="V420" s="436"/>
      <c r="W420" s="436"/>
    </row>
    <row r="421" spans="1:23" s="437" customFormat="1" ht="14" customHeight="1" x14ac:dyDescent="0.35">
      <c r="A421" s="754"/>
      <c r="B421" s="438"/>
      <c r="C421" s="438"/>
      <c r="D421" s="438"/>
      <c r="E421" s="438"/>
      <c r="F421" s="438"/>
      <c r="O421" s="438"/>
      <c r="P421" s="438"/>
      <c r="Q421" s="435"/>
      <c r="R421" s="787"/>
      <c r="S421" s="436"/>
      <c r="U421" s="436"/>
      <c r="V421" s="436"/>
      <c r="W421" s="436"/>
    </row>
    <row r="422" spans="1:23" s="437" customFormat="1" ht="14" customHeight="1" x14ac:dyDescent="0.35">
      <c r="A422" s="754"/>
      <c r="B422" s="438"/>
      <c r="C422" s="438"/>
      <c r="D422" s="438"/>
      <c r="E422" s="438"/>
      <c r="F422" s="438"/>
      <c r="O422" s="438"/>
      <c r="P422" s="438"/>
      <c r="Q422" s="435"/>
      <c r="R422" s="787"/>
      <c r="S422" s="436"/>
      <c r="U422" s="436"/>
      <c r="V422" s="436"/>
      <c r="W422" s="436"/>
    </row>
    <row r="423" spans="1:23" s="437" customFormat="1" ht="14" customHeight="1" x14ac:dyDescent="0.35">
      <c r="A423" s="754"/>
      <c r="B423" s="438"/>
      <c r="C423" s="438"/>
      <c r="D423" s="438"/>
      <c r="E423" s="438"/>
      <c r="F423" s="438"/>
      <c r="O423" s="438"/>
      <c r="P423" s="438"/>
      <c r="Q423" s="435"/>
      <c r="R423" s="787"/>
      <c r="S423" s="436"/>
      <c r="U423" s="436"/>
      <c r="V423" s="436"/>
      <c r="W423" s="436"/>
    </row>
    <row r="424" spans="1:23" s="437" customFormat="1" ht="14" customHeight="1" x14ac:dyDescent="0.35">
      <c r="A424" s="754"/>
      <c r="B424" s="438"/>
      <c r="C424" s="438"/>
      <c r="D424" s="438"/>
      <c r="E424" s="438"/>
      <c r="F424" s="438"/>
      <c r="O424" s="438"/>
      <c r="P424" s="438"/>
      <c r="Q424" s="435"/>
      <c r="R424" s="787"/>
      <c r="S424" s="436"/>
      <c r="U424" s="436"/>
      <c r="V424" s="436"/>
      <c r="W424" s="436"/>
    </row>
    <row r="425" spans="1:23" s="437" customFormat="1" ht="14" customHeight="1" x14ac:dyDescent="0.35">
      <c r="A425" s="754"/>
      <c r="B425" s="438"/>
      <c r="C425" s="438"/>
      <c r="D425" s="438"/>
      <c r="E425" s="438"/>
      <c r="F425" s="438"/>
      <c r="O425" s="438"/>
      <c r="P425" s="438"/>
      <c r="Q425" s="435"/>
      <c r="R425" s="787"/>
      <c r="S425" s="436"/>
      <c r="U425" s="436"/>
      <c r="V425" s="436"/>
      <c r="W425" s="436"/>
    </row>
    <row r="426" spans="1:23" s="437" customFormat="1" ht="14" customHeight="1" x14ac:dyDescent="0.35">
      <c r="A426" s="754"/>
      <c r="B426" s="438"/>
      <c r="C426" s="438"/>
      <c r="D426" s="438"/>
      <c r="E426" s="438"/>
      <c r="F426" s="438"/>
      <c r="O426" s="438"/>
      <c r="P426" s="438"/>
      <c r="Q426" s="435"/>
      <c r="R426" s="787"/>
      <c r="S426" s="436"/>
      <c r="U426" s="436"/>
      <c r="V426" s="436"/>
      <c r="W426" s="436"/>
    </row>
    <row r="427" spans="1:23" s="437" customFormat="1" ht="14" customHeight="1" x14ac:dyDescent="0.35">
      <c r="A427" s="754"/>
      <c r="B427" s="438"/>
      <c r="C427" s="438"/>
      <c r="D427" s="438"/>
      <c r="E427" s="438"/>
      <c r="F427" s="438"/>
      <c r="O427" s="438"/>
      <c r="P427" s="438"/>
      <c r="Q427" s="435"/>
      <c r="R427" s="787"/>
      <c r="S427" s="436"/>
      <c r="U427" s="436"/>
      <c r="V427" s="436"/>
      <c r="W427" s="436"/>
    </row>
    <row r="428" spans="1:23" s="437" customFormat="1" ht="14" customHeight="1" x14ac:dyDescent="0.35">
      <c r="A428" s="754"/>
      <c r="B428" s="438"/>
      <c r="C428" s="438"/>
      <c r="D428" s="438"/>
      <c r="E428" s="438"/>
      <c r="F428" s="438"/>
      <c r="O428" s="438"/>
      <c r="P428" s="438"/>
      <c r="Q428" s="435"/>
      <c r="R428" s="787"/>
      <c r="S428" s="436"/>
      <c r="U428" s="436"/>
      <c r="V428" s="436"/>
      <c r="W428" s="436"/>
    </row>
    <row r="429" spans="1:23" s="437" customFormat="1" ht="14" customHeight="1" x14ac:dyDescent="0.35">
      <c r="A429" s="754"/>
      <c r="B429" s="438"/>
      <c r="C429" s="438"/>
      <c r="D429" s="438"/>
      <c r="E429" s="438"/>
      <c r="F429" s="438"/>
      <c r="O429" s="438"/>
      <c r="P429" s="438"/>
      <c r="Q429" s="435"/>
      <c r="R429" s="787"/>
      <c r="S429" s="436"/>
      <c r="U429" s="436"/>
      <c r="V429" s="436"/>
      <c r="W429" s="436"/>
    </row>
    <row r="430" spans="1:23" s="437" customFormat="1" ht="14" customHeight="1" x14ac:dyDescent="0.35">
      <c r="A430" s="754"/>
      <c r="B430" s="438"/>
      <c r="C430" s="438"/>
      <c r="D430" s="438"/>
      <c r="E430" s="438"/>
      <c r="F430" s="438"/>
      <c r="O430" s="438"/>
      <c r="P430" s="438"/>
      <c r="Q430" s="435"/>
      <c r="R430" s="787"/>
      <c r="S430" s="436"/>
      <c r="U430" s="436"/>
      <c r="V430" s="436"/>
      <c r="W430" s="436"/>
    </row>
    <row r="431" spans="1:23" s="437" customFormat="1" ht="14" customHeight="1" x14ac:dyDescent="0.35">
      <c r="A431" s="754"/>
      <c r="B431" s="438"/>
      <c r="C431" s="438"/>
      <c r="D431" s="438"/>
      <c r="E431" s="438"/>
      <c r="F431" s="438"/>
      <c r="O431" s="438"/>
      <c r="P431" s="438"/>
      <c r="Q431" s="435"/>
      <c r="R431" s="787"/>
      <c r="S431" s="436"/>
      <c r="U431" s="436"/>
      <c r="V431" s="436"/>
      <c r="W431" s="436"/>
    </row>
    <row r="432" spans="1:23" s="437" customFormat="1" ht="14" customHeight="1" x14ac:dyDescent="0.35">
      <c r="A432" s="754"/>
      <c r="B432" s="438"/>
      <c r="C432" s="438"/>
      <c r="D432" s="438"/>
      <c r="E432" s="438"/>
      <c r="F432" s="438"/>
      <c r="O432" s="438"/>
      <c r="P432" s="438"/>
      <c r="Q432" s="435"/>
      <c r="R432" s="787"/>
      <c r="S432" s="436"/>
      <c r="U432" s="436"/>
      <c r="V432" s="436"/>
      <c r="W432" s="436"/>
    </row>
    <row r="433" spans="1:23" s="437" customFormat="1" ht="14" customHeight="1" x14ac:dyDescent="0.35">
      <c r="A433" s="754"/>
      <c r="B433" s="438"/>
      <c r="C433" s="438"/>
      <c r="D433" s="438"/>
      <c r="E433" s="438"/>
      <c r="F433" s="438"/>
      <c r="O433" s="438"/>
      <c r="P433" s="438"/>
      <c r="Q433" s="435"/>
      <c r="R433" s="787"/>
      <c r="S433" s="436"/>
      <c r="U433" s="436"/>
      <c r="V433" s="436"/>
      <c r="W433" s="436"/>
    </row>
    <row r="434" spans="1:23" s="437" customFormat="1" ht="14" customHeight="1" x14ac:dyDescent="0.35">
      <c r="A434" s="754"/>
      <c r="B434" s="438"/>
      <c r="C434" s="438"/>
      <c r="D434" s="438"/>
      <c r="E434" s="438"/>
      <c r="F434" s="438"/>
      <c r="O434" s="438"/>
      <c r="P434" s="438"/>
      <c r="Q434" s="435"/>
      <c r="R434" s="787"/>
      <c r="S434" s="436"/>
      <c r="U434" s="436"/>
      <c r="V434" s="436"/>
      <c r="W434" s="436"/>
    </row>
    <row r="435" spans="1:23" s="437" customFormat="1" ht="14" customHeight="1" x14ac:dyDescent="0.35">
      <c r="A435" s="754"/>
      <c r="B435" s="438"/>
      <c r="C435" s="438"/>
      <c r="D435" s="438"/>
      <c r="E435" s="438"/>
      <c r="F435" s="438"/>
      <c r="O435" s="438"/>
      <c r="P435" s="438"/>
      <c r="Q435" s="435"/>
      <c r="R435" s="787"/>
      <c r="S435" s="436"/>
      <c r="U435" s="436"/>
      <c r="V435" s="436"/>
      <c r="W435" s="436"/>
    </row>
    <row r="436" spans="1:23" s="437" customFormat="1" ht="14" customHeight="1" x14ac:dyDescent="0.35">
      <c r="A436" s="754"/>
      <c r="B436" s="438"/>
      <c r="C436" s="438"/>
      <c r="D436" s="438"/>
      <c r="E436" s="438"/>
      <c r="F436" s="438"/>
      <c r="O436" s="438"/>
      <c r="P436" s="438"/>
      <c r="Q436" s="435"/>
      <c r="R436" s="787"/>
      <c r="S436" s="436"/>
      <c r="U436" s="436"/>
      <c r="V436" s="436"/>
      <c r="W436" s="436"/>
    </row>
    <row r="437" spans="1:23" s="437" customFormat="1" ht="14" customHeight="1" x14ac:dyDescent="0.35">
      <c r="A437" s="754"/>
      <c r="B437" s="438"/>
      <c r="C437" s="438"/>
      <c r="D437" s="438"/>
      <c r="E437" s="438"/>
      <c r="F437" s="438"/>
      <c r="O437" s="438"/>
      <c r="P437" s="438"/>
      <c r="Q437" s="435"/>
      <c r="R437" s="787"/>
      <c r="S437" s="436"/>
      <c r="U437" s="436"/>
      <c r="V437" s="436"/>
      <c r="W437" s="436"/>
    </row>
    <row r="438" spans="1:23" s="437" customFormat="1" ht="14" customHeight="1" x14ac:dyDescent="0.35">
      <c r="A438" s="754"/>
      <c r="B438" s="438"/>
      <c r="C438" s="438"/>
      <c r="D438" s="438"/>
      <c r="E438" s="438"/>
      <c r="F438" s="438"/>
      <c r="O438" s="438"/>
      <c r="P438" s="438"/>
      <c r="Q438" s="435"/>
      <c r="R438" s="787"/>
      <c r="S438" s="436"/>
      <c r="U438" s="436"/>
      <c r="V438" s="436"/>
      <c r="W438" s="436"/>
    </row>
    <row r="439" spans="1:23" s="437" customFormat="1" ht="14" customHeight="1" x14ac:dyDescent="0.35">
      <c r="A439" s="754"/>
      <c r="B439" s="438"/>
      <c r="C439" s="438"/>
      <c r="D439" s="438"/>
      <c r="E439" s="438"/>
      <c r="F439" s="438"/>
      <c r="O439" s="438"/>
      <c r="P439" s="438"/>
      <c r="Q439" s="435"/>
      <c r="R439" s="787"/>
      <c r="S439" s="436"/>
      <c r="U439" s="436"/>
      <c r="V439" s="436"/>
      <c r="W439" s="436"/>
    </row>
    <row r="440" spans="1:23" s="437" customFormat="1" ht="14" customHeight="1" x14ac:dyDescent="0.35">
      <c r="A440" s="754"/>
      <c r="B440" s="438"/>
      <c r="C440" s="438"/>
      <c r="D440" s="438"/>
      <c r="E440" s="438"/>
      <c r="F440" s="438"/>
      <c r="O440" s="438"/>
      <c r="P440" s="438"/>
      <c r="Q440" s="435"/>
      <c r="R440" s="787"/>
      <c r="S440" s="436"/>
      <c r="U440" s="436"/>
      <c r="V440" s="436"/>
      <c r="W440" s="436"/>
    </row>
    <row r="441" spans="1:23" s="437" customFormat="1" ht="14" customHeight="1" x14ac:dyDescent="0.35">
      <c r="A441" s="754"/>
      <c r="B441" s="438"/>
      <c r="C441" s="438"/>
      <c r="D441" s="438"/>
      <c r="E441" s="438"/>
      <c r="F441" s="438"/>
      <c r="O441" s="438"/>
      <c r="P441" s="438"/>
      <c r="Q441" s="435"/>
      <c r="R441" s="787"/>
      <c r="S441" s="436"/>
      <c r="U441" s="436"/>
      <c r="V441" s="436"/>
      <c r="W441" s="436"/>
    </row>
    <row r="442" spans="1:23" s="437" customFormat="1" ht="14" customHeight="1" x14ac:dyDescent="0.35">
      <c r="A442" s="754"/>
      <c r="B442" s="438"/>
      <c r="C442" s="438"/>
      <c r="D442" s="438"/>
      <c r="E442" s="438"/>
      <c r="F442" s="438"/>
      <c r="O442" s="438"/>
      <c r="P442" s="438"/>
      <c r="Q442" s="435"/>
      <c r="R442" s="787"/>
      <c r="S442" s="436"/>
      <c r="U442" s="436"/>
      <c r="V442" s="436"/>
      <c r="W442" s="436"/>
    </row>
    <row r="443" spans="1:23" s="437" customFormat="1" ht="14" customHeight="1" x14ac:dyDescent="0.35">
      <c r="A443" s="754"/>
      <c r="B443" s="438"/>
      <c r="C443" s="438"/>
      <c r="D443" s="438"/>
      <c r="E443" s="438"/>
      <c r="F443" s="438"/>
      <c r="O443" s="438"/>
      <c r="P443" s="438"/>
      <c r="Q443" s="435"/>
      <c r="R443" s="787"/>
      <c r="S443" s="436"/>
      <c r="U443" s="436"/>
      <c r="V443" s="436"/>
      <c r="W443" s="436"/>
    </row>
    <row r="444" spans="1:23" s="437" customFormat="1" ht="14" customHeight="1" x14ac:dyDescent="0.35">
      <c r="A444" s="754"/>
      <c r="B444" s="438"/>
      <c r="C444" s="438"/>
      <c r="D444" s="438"/>
      <c r="E444" s="438"/>
      <c r="F444" s="438"/>
      <c r="O444" s="438"/>
      <c r="P444" s="438"/>
      <c r="Q444" s="435"/>
      <c r="R444" s="787"/>
      <c r="S444" s="436"/>
      <c r="U444" s="436"/>
      <c r="V444" s="436"/>
      <c r="W444" s="436"/>
    </row>
    <row r="445" spans="1:23" s="437" customFormat="1" ht="14" customHeight="1" x14ac:dyDescent="0.35">
      <c r="A445" s="754"/>
      <c r="B445" s="438"/>
      <c r="C445" s="438"/>
      <c r="D445" s="438"/>
      <c r="E445" s="438"/>
      <c r="F445" s="438"/>
      <c r="O445" s="438"/>
      <c r="P445" s="438"/>
      <c r="Q445" s="435"/>
      <c r="R445" s="787"/>
      <c r="S445" s="436"/>
      <c r="U445" s="436"/>
      <c r="V445" s="436"/>
      <c r="W445" s="436"/>
    </row>
    <row r="446" spans="1:23" s="437" customFormat="1" ht="14" customHeight="1" x14ac:dyDescent="0.35">
      <c r="A446" s="754"/>
      <c r="B446" s="438"/>
      <c r="C446" s="438"/>
      <c r="D446" s="438"/>
      <c r="E446" s="438"/>
      <c r="F446" s="438"/>
      <c r="O446" s="438"/>
      <c r="P446" s="438"/>
      <c r="Q446" s="435"/>
      <c r="R446" s="787"/>
      <c r="S446" s="436"/>
      <c r="U446" s="436"/>
      <c r="V446" s="436"/>
      <c r="W446" s="436"/>
    </row>
    <row r="447" spans="1:23" s="437" customFormat="1" ht="14" customHeight="1" x14ac:dyDescent="0.35">
      <c r="A447" s="754"/>
      <c r="B447" s="438"/>
      <c r="C447" s="438"/>
      <c r="D447" s="438"/>
      <c r="E447" s="438"/>
      <c r="F447" s="438"/>
      <c r="O447" s="438"/>
      <c r="P447" s="438"/>
      <c r="Q447" s="435"/>
      <c r="R447" s="787"/>
      <c r="S447" s="436"/>
      <c r="U447" s="436"/>
      <c r="V447" s="436"/>
      <c r="W447" s="436"/>
    </row>
    <row r="448" spans="1:23" s="437" customFormat="1" ht="14" customHeight="1" x14ac:dyDescent="0.35">
      <c r="A448" s="754"/>
      <c r="B448" s="438"/>
      <c r="C448" s="438"/>
      <c r="D448" s="438"/>
      <c r="E448" s="438"/>
      <c r="F448" s="438"/>
      <c r="O448" s="438"/>
      <c r="P448" s="438"/>
      <c r="Q448" s="435"/>
      <c r="R448" s="787"/>
      <c r="S448" s="436"/>
      <c r="U448" s="436"/>
      <c r="V448" s="436"/>
      <c r="W448" s="436"/>
    </row>
    <row r="449" spans="1:23" s="437" customFormat="1" ht="14" customHeight="1" x14ac:dyDescent="0.35">
      <c r="A449" s="754"/>
      <c r="B449" s="438"/>
      <c r="C449" s="438"/>
      <c r="D449" s="438"/>
      <c r="E449" s="438"/>
      <c r="F449" s="438"/>
      <c r="O449" s="438"/>
      <c r="P449" s="438"/>
      <c r="Q449" s="435"/>
      <c r="R449" s="787"/>
      <c r="S449" s="436"/>
      <c r="U449" s="436"/>
      <c r="V449" s="436"/>
      <c r="W449" s="436"/>
    </row>
    <row r="450" spans="1:23" s="437" customFormat="1" ht="14" customHeight="1" x14ac:dyDescent="0.35">
      <c r="A450" s="754"/>
      <c r="B450" s="438"/>
      <c r="C450" s="438"/>
      <c r="D450" s="438"/>
      <c r="E450" s="438"/>
      <c r="F450" s="438"/>
      <c r="O450" s="438"/>
      <c r="P450" s="438"/>
      <c r="Q450" s="435"/>
      <c r="R450" s="787"/>
      <c r="S450" s="436"/>
      <c r="U450" s="436"/>
      <c r="V450" s="436"/>
      <c r="W450" s="436"/>
    </row>
    <row r="451" spans="1:23" s="437" customFormat="1" ht="14" customHeight="1" x14ac:dyDescent="0.35">
      <c r="A451" s="754"/>
      <c r="B451" s="438"/>
      <c r="C451" s="438"/>
      <c r="D451" s="438"/>
      <c r="E451" s="438"/>
      <c r="F451" s="438"/>
      <c r="O451" s="438"/>
      <c r="P451" s="438"/>
      <c r="Q451" s="435"/>
      <c r="R451" s="787"/>
      <c r="S451" s="436"/>
      <c r="U451" s="436"/>
      <c r="V451" s="436"/>
      <c r="W451" s="436"/>
    </row>
    <row r="452" spans="1:23" s="437" customFormat="1" ht="14" customHeight="1" x14ac:dyDescent="0.35">
      <c r="A452" s="754"/>
      <c r="B452" s="438"/>
      <c r="C452" s="438"/>
      <c r="D452" s="438"/>
      <c r="E452" s="438"/>
      <c r="F452" s="438"/>
      <c r="O452" s="438"/>
      <c r="P452" s="438"/>
      <c r="Q452" s="435"/>
      <c r="R452" s="787"/>
      <c r="S452" s="436"/>
      <c r="U452" s="436"/>
      <c r="V452" s="436"/>
      <c r="W452" s="436"/>
    </row>
    <row r="453" spans="1:23" s="437" customFormat="1" ht="14" customHeight="1" x14ac:dyDescent="0.35">
      <c r="A453" s="754"/>
      <c r="B453" s="438"/>
      <c r="C453" s="438"/>
      <c r="D453" s="438"/>
      <c r="E453" s="438"/>
      <c r="F453" s="438"/>
      <c r="O453" s="438"/>
      <c r="P453" s="438"/>
      <c r="Q453" s="435"/>
      <c r="R453" s="787"/>
      <c r="S453" s="436"/>
      <c r="U453" s="436"/>
      <c r="V453" s="436"/>
      <c r="W453" s="436"/>
    </row>
    <row r="454" spans="1:23" s="437" customFormat="1" ht="14" customHeight="1" x14ac:dyDescent="0.35">
      <c r="A454" s="754"/>
      <c r="B454" s="438"/>
      <c r="C454" s="438"/>
      <c r="D454" s="438"/>
      <c r="E454" s="438"/>
      <c r="F454" s="438"/>
      <c r="O454" s="438"/>
      <c r="P454" s="438"/>
      <c r="Q454" s="435"/>
      <c r="R454" s="787"/>
      <c r="S454" s="436"/>
      <c r="U454" s="436"/>
      <c r="V454" s="436"/>
      <c r="W454" s="436"/>
    </row>
    <row r="455" spans="1:23" s="437" customFormat="1" ht="14" customHeight="1" x14ac:dyDescent="0.35">
      <c r="A455" s="754"/>
      <c r="B455" s="438"/>
      <c r="C455" s="438"/>
      <c r="D455" s="438"/>
      <c r="E455" s="438"/>
      <c r="F455" s="438"/>
      <c r="O455" s="438"/>
      <c r="P455" s="438"/>
      <c r="Q455" s="435"/>
      <c r="R455" s="787"/>
      <c r="S455" s="436"/>
      <c r="U455" s="436"/>
      <c r="V455" s="436"/>
      <c r="W455" s="436"/>
    </row>
    <row r="456" spans="1:23" s="437" customFormat="1" ht="14" customHeight="1" x14ac:dyDescent="0.35">
      <c r="A456" s="754"/>
      <c r="B456" s="438"/>
      <c r="C456" s="438"/>
      <c r="D456" s="438"/>
      <c r="E456" s="438"/>
      <c r="F456" s="438"/>
      <c r="O456" s="438"/>
      <c r="P456" s="438"/>
      <c r="Q456" s="435"/>
      <c r="R456" s="787"/>
      <c r="S456" s="436"/>
      <c r="U456" s="436"/>
      <c r="V456" s="436"/>
      <c r="W456" s="436"/>
    </row>
    <row r="457" spans="1:23" s="437" customFormat="1" ht="14" customHeight="1" x14ac:dyDescent="0.35">
      <c r="A457" s="754"/>
      <c r="B457" s="438"/>
      <c r="C457" s="438"/>
      <c r="D457" s="438"/>
      <c r="E457" s="438"/>
      <c r="F457" s="438"/>
      <c r="O457" s="438"/>
      <c r="P457" s="438"/>
      <c r="Q457" s="435"/>
      <c r="R457" s="787"/>
      <c r="S457" s="436"/>
      <c r="U457" s="436"/>
      <c r="V457" s="436"/>
      <c r="W457" s="436"/>
    </row>
    <row r="458" spans="1:23" s="437" customFormat="1" ht="14" customHeight="1" x14ac:dyDescent="0.35">
      <c r="A458" s="754"/>
      <c r="B458" s="438"/>
      <c r="C458" s="438"/>
      <c r="D458" s="438"/>
      <c r="E458" s="438"/>
      <c r="F458" s="438"/>
      <c r="O458" s="438"/>
      <c r="P458" s="438"/>
      <c r="Q458" s="435"/>
      <c r="R458" s="787"/>
      <c r="S458" s="436"/>
      <c r="U458" s="436"/>
      <c r="V458" s="436"/>
      <c r="W458" s="436"/>
    </row>
    <row r="459" spans="1:23" s="437" customFormat="1" ht="14" customHeight="1" x14ac:dyDescent="0.35">
      <c r="A459" s="754"/>
      <c r="B459" s="438"/>
      <c r="C459" s="438"/>
      <c r="D459" s="438"/>
      <c r="E459" s="438"/>
      <c r="F459" s="438"/>
      <c r="O459" s="438"/>
      <c r="P459" s="438"/>
      <c r="Q459" s="435"/>
      <c r="R459" s="787"/>
      <c r="S459" s="436"/>
      <c r="U459" s="436"/>
      <c r="V459" s="436"/>
      <c r="W459" s="436"/>
    </row>
    <row r="460" spans="1:23" s="437" customFormat="1" ht="14" customHeight="1" x14ac:dyDescent="0.35">
      <c r="A460" s="754"/>
      <c r="B460" s="438"/>
      <c r="C460" s="438"/>
      <c r="D460" s="438"/>
      <c r="E460" s="438"/>
      <c r="F460" s="438"/>
      <c r="O460" s="438"/>
      <c r="P460" s="438"/>
      <c r="Q460" s="435"/>
      <c r="R460" s="787"/>
      <c r="S460" s="436"/>
      <c r="U460" s="436"/>
      <c r="V460" s="436"/>
      <c r="W460" s="436"/>
    </row>
    <row r="461" spans="1:23" s="437" customFormat="1" ht="14" customHeight="1" x14ac:dyDescent="0.35">
      <c r="A461" s="754"/>
      <c r="B461" s="438"/>
      <c r="C461" s="438"/>
      <c r="D461" s="438"/>
      <c r="E461" s="438"/>
      <c r="F461" s="438"/>
      <c r="O461" s="438"/>
      <c r="P461" s="438"/>
      <c r="Q461" s="435"/>
      <c r="R461" s="787"/>
      <c r="S461" s="436"/>
      <c r="U461" s="436"/>
      <c r="V461" s="436"/>
      <c r="W461" s="436"/>
    </row>
    <row r="462" spans="1:23" s="437" customFormat="1" ht="14" customHeight="1" x14ac:dyDescent="0.35">
      <c r="A462" s="754"/>
      <c r="B462" s="438"/>
      <c r="C462" s="438"/>
      <c r="D462" s="438"/>
      <c r="E462" s="438"/>
      <c r="F462" s="438"/>
      <c r="O462" s="438"/>
      <c r="P462" s="438"/>
      <c r="Q462" s="435"/>
      <c r="R462" s="787"/>
      <c r="S462" s="436"/>
      <c r="U462" s="436"/>
      <c r="V462" s="436"/>
      <c r="W462" s="436"/>
    </row>
    <row r="463" spans="1:23" s="437" customFormat="1" ht="14" customHeight="1" x14ac:dyDescent="0.35">
      <c r="A463" s="754"/>
      <c r="B463" s="438"/>
      <c r="C463" s="438"/>
      <c r="D463" s="438"/>
      <c r="E463" s="438"/>
      <c r="F463" s="438"/>
      <c r="O463" s="438"/>
      <c r="P463" s="438"/>
      <c r="Q463" s="435"/>
      <c r="R463" s="787"/>
      <c r="S463" s="436"/>
      <c r="U463" s="436"/>
      <c r="V463" s="436"/>
      <c r="W463" s="436"/>
    </row>
  </sheetData>
  <mergeCells count="5">
    <mergeCell ref="A140:P140"/>
    <mergeCell ref="A1:P1"/>
    <mergeCell ref="A2:P2"/>
    <mergeCell ref="A4:P4"/>
    <mergeCell ref="A60:P60"/>
  </mergeCells>
  <conditionalFormatting sqref="A1:P21 A25:I45 B22:P22 B46:I46 B54:I54 A55:I58 B74:I74 J25:P48 A75:I83 A152:P155 A157:P163 B156:P156 A142:P150 A182:H182 A219:H219 A183:P200 B204:P204 A203:P203 B201:P202 A264:P269 A278:P280 B270:P277 A289:P289 B281:P288 A312:P316 A318:P318 A395:P1048576 B376:P376 A377:P377 B378:P378 A379:P385 A393:P393 B386:J392 A92 A93:P98 A60:I73 J60:P83 A85:P91 A84 A111:P115 A110 A117:P120 A116 A122:P130 A121 A132:P133 A131 A141 A181 A218 A261 A262:G263 A339 A349 A360 J49:L49 N49:P49 A140:P140 A139:I139 K139:M139 O139:P139 B394:P394 A361:P375 A350:P359 A340:P348 B319:P333 A334:P338 B317:P317 B311:P311 A291:P310 B290:P290 A220:P260 A205:P217 A23:P24 A101:P109 B99:P100 J50:P58 T1:T58 A47:I53 A135:P138 B134:P134 T60:T1048576 A165:P180 B164:P164 B151:P151">
    <cfRule type="cellIs" dxfId="130" priority="36" operator="lessThan">
      <formula>0</formula>
    </cfRule>
  </conditionalFormatting>
  <conditionalFormatting sqref="I182:J182">
    <cfRule type="cellIs" dxfId="129" priority="29" operator="lessThan">
      <formula>0</formula>
    </cfRule>
  </conditionalFormatting>
  <conditionalFormatting sqref="K182:P182">
    <cfRule type="cellIs" dxfId="128" priority="28" operator="lessThan">
      <formula>0</formula>
    </cfRule>
  </conditionalFormatting>
  <conditionalFormatting sqref="I219:J219">
    <cfRule type="cellIs" dxfId="127" priority="27" operator="lessThan">
      <formula>0</formula>
    </cfRule>
  </conditionalFormatting>
  <conditionalFormatting sqref="K219:P219">
    <cfRule type="cellIs" dxfId="126" priority="26" operator="lessThan">
      <formula>0</formula>
    </cfRule>
  </conditionalFormatting>
  <conditionalFormatting sqref="H262:H263">
    <cfRule type="cellIs" dxfId="125" priority="25" operator="lessThan">
      <formula>0</formula>
    </cfRule>
  </conditionalFormatting>
  <conditionalFormatting sqref="I262:J263">
    <cfRule type="cellIs" dxfId="124" priority="24" operator="lessThan">
      <formula>0</formula>
    </cfRule>
  </conditionalFormatting>
  <conditionalFormatting sqref="K262:P263">
    <cfRule type="cellIs" dxfId="123" priority="23" operator="lessThan">
      <formula>0</formula>
    </cfRule>
  </conditionalFormatting>
  <conditionalFormatting sqref="A392">
    <cfRule type="cellIs" dxfId="122" priority="19" operator="lessThan">
      <formula>0</formula>
    </cfRule>
  </conditionalFormatting>
  <conditionalFormatting sqref="K386:P392">
    <cfRule type="cellIs" dxfId="121" priority="18" operator="lessThan">
      <formula>0</formula>
    </cfRule>
  </conditionalFormatting>
  <conditionalFormatting sqref="B84:P84">
    <cfRule type="cellIs" dxfId="120" priority="17" operator="lessThan">
      <formula>0</formula>
    </cfRule>
  </conditionalFormatting>
  <conditionalFormatting sqref="B92:P92">
    <cfRule type="cellIs" dxfId="119" priority="16" operator="lessThan">
      <formula>0</formula>
    </cfRule>
  </conditionalFormatting>
  <conditionalFormatting sqref="B110:P110">
    <cfRule type="cellIs" dxfId="118" priority="15" operator="lessThan">
      <formula>0</formula>
    </cfRule>
  </conditionalFormatting>
  <conditionalFormatting sqref="B116:P116">
    <cfRule type="cellIs" dxfId="117" priority="14" operator="lessThan">
      <formula>0</formula>
    </cfRule>
  </conditionalFormatting>
  <conditionalFormatting sqref="B121:P121">
    <cfRule type="cellIs" dxfId="116" priority="13" operator="lessThan">
      <formula>0</formula>
    </cfRule>
  </conditionalFormatting>
  <conditionalFormatting sqref="B131:P131">
    <cfRule type="cellIs" dxfId="115" priority="12" operator="lessThan">
      <formula>0</formula>
    </cfRule>
  </conditionalFormatting>
  <conditionalFormatting sqref="B141:P141">
    <cfRule type="cellIs" dxfId="114" priority="11" operator="lessThan">
      <formula>0</formula>
    </cfRule>
  </conditionalFormatting>
  <conditionalFormatting sqref="B181:P181">
    <cfRule type="cellIs" dxfId="113" priority="10" operator="lessThan">
      <formula>0</formula>
    </cfRule>
  </conditionalFormatting>
  <conditionalFormatting sqref="B218:P218">
    <cfRule type="cellIs" dxfId="112" priority="9" operator="lessThan">
      <formula>0</formula>
    </cfRule>
  </conditionalFormatting>
  <conditionalFormatting sqref="B261:P261">
    <cfRule type="cellIs" dxfId="111" priority="8" operator="lessThan">
      <formula>0</formula>
    </cfRule>
  </conditionalFormatting>
  <conditionalFormatting sqref="B339:P339">
    <cfRule type="cellIs" dxfId="110" priority="7" operator="lessThan">
      <formula>0</formula>
    </cfRule>
  </conditionalFormatting>
  <conditionalFormatting sqref="B349:P349">
    <cfRule type="cellIs" dxfId="109" priority="6" operator="lessThan">
      <formula>0</formula>
    </cfRule>
  </conditionalFormatting>
  <conditionalFormatting sqref="B360:P360">
    <cfRule type="cellIs" dxfId="108" priority="5" operator="lessThan">
      <formula>0</formula>
    </cfRule>
  </conditionalFormatting>
  <conditionalFormatting sqref="A99:A100">
    <cfRule type="cellIs" dxfId="107" priority="2" operator="lessThan">
      <formula>0</formula>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D3AC-90E9-45ED-A431-046CC3D05BDA}">
  <dimension ref="A1:AW34"/>
  <sheetViews>
    <sheetView workbookViewId="0">
      <selection activeCell="K31" sqref="K31"/>
    </sheetView>
  </sheetViews>
  <sheetFormatPr defaultRowHeight="12.75" x14ac:dyDescent="0.35"/>
  <cols>
    <col min="1" max="1" width="11.9296875" bestFit="1" customWidth="1"/>
    <col min="2" max="2" width="8.6640625" customWidth="1"/>
    <col min="3" max="3" width="14.9296875" customWidth="1"/>
    <col min="4" max="4" width="13.265625" customWidth="1"/>
    <col min="5" max="5" width="11.73046875" bestFit="1" customWidth="1"/>
    <col min="6" max="6" width="1.06640625" customWidth="1"/>
    <col min="7" max="7" width="12.6640625" customWidth="1"/>
    <col min="8" max="8" width="12.3984375" customWidth="1"/>
    <col min="9" max="9" width="12.53125" customWidth="1"/>
    <col min="10" max="10" width="8.3984375" bestFit="1" customWidth="1"/>
    <col min="11" max="11" width="13.46484375" bestFit="1" customWidth="1"/>
    <col min="12" max="12" width="8.9296875" bestFit="1" customWidth="1"/>
    <col min="13" max="13" width="8.19921875" bestFit="1" customWidth="1"/>
    <col min="14" max="14" width="10.265625" bestFit="1" customWidth="1"/>
    <col min="15" max="15" width="8.19921875" bestFit="1" customWidth="1"/>
    <col min="16" max="16" width="7.73046875" bestFit="1" customWidth="1"/>
    <col min="17" max="17" width="11.73046875" bestFit="1" customWidth="1"/>
    <col min="18" max="18" width="5.73046875" bestFit="1" customWidth="1"/>
    <col min="19" max="19" width="11.73046875" bestFit="1" customWidth="1"/>
    <col min="20" max="22" width="13.1328125" bestFit="1" customWidth="1"/>
    <col min="23" max="23" width="8.3984375" bestFit="1" customWidth="1"/>
    <col min="24" max="25" width="11.73046875" bestFit="1" customWidth="1"/>
    <col min="26" max="26" width="9.73046875" bestFit="1" customWidth="1"/>
    <col min="27" max="27" width="10.33203125" bestFit="1" customWidth="1"/>
    <col min="28" max="28" width="8.796875" bestFit="1" customWidth="1"/>
    <col min="29" max="29" width="8.265625" bestFit="1" customWidth="1"/>
    <col min="30" max="30" width="11.73046875" bestFit="1" customWidth="1"/>
    <col min="31" max="31" width="7.19921875" bestFit="1" customWidth="1"/>
    <col min="32" max="32" width="11.53125" bestFit="1" customWidth="1"/>
    <col min="33" max="33" width="7.73046875" bestFit="1" customWidth="1"/>
    <col min="34" max="34" width="10" bestFit="1" customWidth="1"/>
    <col min="35" max="35" width="9.6640625" bestFit="1" customWidth="1"/>
    <col min="36" max="36" width="9.796875" bestFit="1" customWidth="1"/>
    <col min="37" max="37" width="8.1328125" bestFit="1" customWidth="1"/>
    <col min="38" max="39" width="11.73046875" bestFit="1" customWidth="1"/>
    <col min="40" max="40" width="8.6640625" bestFit="1" customWidth="1"/>
    <col min="42" max="42" width="11.73046875" bestFit="1" customWidth="1"/>
    <col min="43" max="43" width="8.73046875" bestFit="1" customWidth="1"/>
    <col min="44" max="44" width="11.73046875" bestFit="1" customWidth="1"/>
    <col min="45" max="45" width="10.06640625" bestFit="1" customWidth="1"/>
    <col min="46" max="46" width="11.73046875" bestFit="1" customWidth="1"/>
    <col min="47" max="47" width="9.1328125" bestFit="1" customWidth="1"/>
    <col min="48" max="48" width="10.3984375" bestFit="1" customWidth="1"/>
    <col min="49" max="49" width="11.73046875" bestFit="1" customWidth="1"/>
  </cols>
  <sheetData>
    <row r="1" spans="1:49" ht="17.649999999999999" x14ac:dyDescent="0.35">
      <c r="A1" s="897" t="s">
        <v>94</v>
      </c>
      <c r="B1" s="897"/>
      <c r="C1" s="897"/>
      <c r="D1" s="897"/>
      <c r="E1" s="897"/>
      <c r="F1" s="897"/>
      <c r="G1" s="897"/>
      <c r="H1" s="897"/>
      <c r="I1" s="897"/>
      <c r="J1" s="897"/>
      <c r="K1" s="897"/>
      <c r="L1" s="897"/>
      <c r="M1" s="897"/>
      <c r="N1" s="897"/>
    </row>
    <row r="2" spans="1:49" x14ac:dyDescent="0.35">
      <c r="A2" s="898" t="s">
        <v>95</v>
      </c>
      <c r="B2" s="898"/>
      <c r="C2" s="898"/>
      <c r="D2" s="898"/>
      <c r="E2" s="898"/>
      <c r="F2" s="898"/>
      <c r="G2" s="898"/>
      <c r="H2" s="898"/>
      <c r="I2" s="898"/>
      <c r="J2" s="898"/>
    </row>
    <row r="3" spans="1:49" s="432" customFormat="1" ht="13.15" x14ac:dyDescent="0.4">
      <c r="A3" s="902" t="s">
        <v>901</v>
      </c>
      <c r="B3" s="902"/>
      <c r="C3" s="902"/>
      <c r="D3" s="902"/>
      <c r="E3" s="902"/>
      <c r="F3" s="84"/>
      <c r="G3" s="902" t="s">
        <v>905</v>
      </c>
      <c r="H3" s="902"/>
      <c r="I3" s="902"/>
      <c r="J3" s="902"/>
      <c r="K3" s="902"/>
      <c r="L3" s="902"/>
      <c r="M3" s="902"/>
      <c r="N3" s="902"/>
    </row>
    <row r="4" spans="1:49" s="432" customFormat="1" x14ac:dyDescent="0.35">
      <c r="A4" s="348" t="s">
        <v>245</v>
      </c>
      <c r="B4" s="432" t="s">
        <v>899</v>
      </c>
      <c r="F4" s="84"/>
      <c r="G4" s="348" t="s">
        <v>245</v>
      </c>
      <c r="H4" s="432" t="s">
        <v>899</v>
      </c>
      <c r="L4"/>
      <c r="M4"/>
      <c r="N4"/>
      <c r="O4"/>
      <c r="P4"/>
      <c r="Q4"/>
      <c r="R4"/>
      <c r="S4"/>
      <c r="T4"/>
      <c r="U4"/>
      <c r="V4"/>
      <c r="W4"/>
      <c r="X4"/>
      <c r="Y4"/>
      <c r="Z4"/>
      <c r="AA4"/>
      <c r="AB4"/>
      <c r="AC4"/>
      <c r="AD4"/>
      <c r="AE4"/>
      <c r="AF4"/>
      <c r="AG4"/>
      <c r="AH4"/>
      <c r="AI4"/>
      <c r="AJ4"/>
      <c r="AK4"/>
      <c r="AL4"/>
      <c r="AM4"/>
      <c r="AN4"/>
      <c r="AO4"/>
      <c r="AP4"/>
      <c r="AQ4"/>
      <c r="AR4"/>
      <c r="AS4"/>
      <c r="AT4"/>
      <c r="AU4"/>
      <c r="AV4"/>
      <c r="AW4"/>
    </row>
    <row r="5" spans="1:49" s="432" customFormat="1" x14ac:dyDescent="0.35">
      <c r="F5" s="84"/>
      <c r="O5"/>
      <c r="P5"/>
      <c r="Q5"/>
      <c r="R5"/>
      <c r="S5"/>
      <c r="T5"/>
      <c r="U5"/>
      <c r="V5"/>
      <c r="W5"/>
      <c r="X5"/>
      <c r="Y5"/>
      <c r="Z5"/>
      <c r="AA5"/>
      <c r="AB5"/>
      <c r="AC5"/>
      <c r="AD5"/>
      <c r="AE5"/>
      <c r="AF5"/>
      <c r="AG5"/>
      <c r="AH5"/>
      <c r="AI5"/>
      <c r="AJ5"/>
      <c r="AK5"/>
      <c r="AL5"/>
      <c r="AM5"/>
      <c r="AN5"/>
      <c r="AO5"/>
      <c r="AP5"/>
      <c r="AQ5"/>
      <c r="AR5"/>
      <c r="AS5"/>
      <c r="AT5"/>
      <c r="AU5"/>
      <c r="AV5"/>
      <c r="AW5"/>
    </row>
    <row r="6" spans="1:49" s="432" customFormat="1" x14ac:dyDescent="0.35">
      <c r="A6" s="694" t="s">
        <v>902</v>
      </c>
      <c r="B6" s="434" t="s">
        <v>904</v>
      </c>
      <c r="C6" s="434"/>
      <c r="D6" s="434"/>
      <c r="E6" s="434"/>
      <c r="F6" s="84"/>
      <c r="G6" s="694" t="s">
        <v>902</v>
      </c>
      <c r="H6" s="694" t="s">
        <v>904</v>
      </c>
      <c r="I6" s="434"/>
      <c r="J6" s="434"/>
      <c r="K6" s="434"/>
      <c r="L6" s="434"/>
      <c r="M6" s="434"/>
      <c r="N6" s="434"/>
      <c r="O6"/>
      <c r="P6"/>
      <c r="Q6"/>
      <c r="R6"/>
      <c r="S6"/>
      <c r="T6"/>
      <c r="U6"/>
      <c r="V6"/>
      <c r="W6"/>
      <c r="X6"/>
      <c r="Y6"/>
      <c r="Z6"/>
      <c r="AA6"/>
      <c r="AB6"/>
      <c r="AC6"/>
      <c r="AD6"/>
      <c r="AE6"/>
      <c r="AF6"/>
      <c r="AG6"/>
      <c r="AH6"/>
      <c r="AI6"/>
      <c r="AJ6"/>
      <c r="AK6"/>
      <c r="AL6"/>
      <c r="AM6"/>
      <c r="AN6"/>
      <c r="AO6"/>
      <c r="AP6"/>
      <c r="AQ6"/>
      <c r="AR6"/>
      <c r="AS6"/>
      <c r="AT6"/>
      <c r="AU6"/>
      <c r="AV6"/>
      <c r="AW6"/>
    </row>
    <row r="7" spans="1:49" s="432" customFormat="1" x14ac:dyDescent="0.35">
      <c r="A7" s="694" t="s">
        <v>247</v>
      </c>
      <c r="B7" s="699" t="s">
        <v>220</v>
      </c>
      <c r="C7" s="699" t="s">
        <v>910</v>
      </c>
      <c r="D7" s="699" t="s">
        <v>903</v>
      </c>
      <c r="E7" s="699" t="s">
        <v>24</v>
      </c>
      <c r="F7" s="84"/>
      <c r="G7" s="694" t="s">
        <v>247</v>
      </c>
      <c r="H7" s="707" t="s">
        <v>238</v>
      </c>
      <c r="I7" s="707" t="s">
        <v>220</v>
      </c>
      <c r="J7" s="707" t="s">
        <v>229</v>
      </c>
      <c r="K7" s="707" t="s">
        <v>513</v>
      </c>
      <c r="L7" s="707" t="s">
        <v>227</v>
      </c>
      <c r="M7" s="707" t="s">
        <v>234</v>
      </c>
      <c r="N7" s="707" t="s">
        <v>24</v>
      </c>
      <c r="O7" s="348"/>
      <c r="P7" s="348"/>
      <c r="Q7" s="348"/>
      <c r="R7" s="348"/>
      <c r="S7"/>
      <c r="T7"/>
      <c r="U7"/>
      <c r="V7"/>
      <c r="W7"/>
      <c r="X7"/>
      <c r="Y7"/>
      <c r="Z7"/>
      <c r="AA7"/>
      <c r="AB7"/>
      <c r="AC7"/>
      <c r="AD7"/>
      <c r="AE7"/>
      <c r="AF7"/>
      <c r="AG7"/>
      <c r="AH7"/>
      <c r="AI7"/>
      <c r="AJ7"/>
      <c r="AK7"/>
      <c r="AL7"/>
      <c r="AM7"/>
      <c r="AN7"/>
      <c r="AO7"/>
      <c r="AP7"/>
      <c r="AQ7"/>
      <c r="AR7"/>
      <c r="AS7"/>
      <c r="AT7"/>
      <c r="AU7"/>
      <c r="AV7"/>
      <c r="AW7"/>
    </row>
    <row r="8" spans="1:49" s="432" customFormat="1" x14ac:dyDescent="0.35">
      <c r="A8" s="695">
        <v>2010</v>
      </c>
      <c r="B8" s="696">
        <v>5252.2857142857147</v>
      </c>
      <c r="C8" s="696"/>
      <c r="D8" s="696">
        <v>9508</v>
      </c>
      <c r="E8" s="697">
        <v>5784.25</v>
      </c>
      <c r="F8" s="84"/>
      <c r="G8" s="695">
        <v>2010</v>
      </c>
      <c r="H8" s="696"/>
      <c r="I8" s="696">
        <v>35675.714285714283</v>
      </c>
      <c r="J8" s="696"/>
      <c r="K8" s="696"/>
      <c r="L8" s="696"/>
      <c r="M8" s="696"/>
      <c r="N8" s="697">
        <v>35675.714285714283</v>
      </c>
      <c r="O8"/>
      <c r="P8"/>
      <c r="Q8"/>
      <c r="R8"/>
      <c r="S8"/>
      <c r="T8"/>
      <c r="U8"/>
      <c r="V8"/>
      <c r="W8"/>
      <c r="X8"/>
      <c r="Y8"/>
      <c r="Z8"/>
      <c r="AA8"/>
      <c r="AB8"/>
      <c r="AC8"/>
      <c r="AD8"/>
      <c r="AE8"/>
      <c r="AF8"/>
      <c r="AG8"/>
      <c r="AH8"/>
      <c r="AI8"/>
      <c r="AJ8"/>
      <c r="AK8"/>
      <c r="AL8"/>
      <c r="AM8"/>
      <c r="AN8"/>
      <c r="AO8"/>
      <c r="AP8"/>
      <c r="AQ8"/>
      <c r="AR8"/>
      <c r="AS8"/>
      <c r="AT8"/>
      <c r="AU8"/>
      <c r="AV8"/>
      <c r="AW8"/>
    </row>
    <row r="9" spans="1:49" s="432" customFormat="1" x14ac:dyDescent="0.35">
      <c r="A9" s="695">
        <v>2011</v>
      </c>
      <c r="B9" s="696">
        <v>11608.666666666666</v>
      </c>
      <c r="C9" s="696"/>
      <c r="D9" s="696"/>
      <c r="E9" s="697">
        <v>11608.666666666666</v>
      </c>
      <c r="F9" s="84"/>
      <c r="G9" s="695">
        <v>2011</v>
      </c>
      <c r="H9" s="696"/>
      <c r="I9" s="696">
        <v>34813.625</v>
      </c>
      <c r="J9" s="696">
        <v>53010</v>
      </c>
      <c r="K9" s="696"/>
      <c r="L9" s="696"/>
      <c r="M9" s="696"/>
      <c r="N9" s="697">
        <v>41812.230769230766</v>
      </c>
      <c r="O9"/>
      <c r="P9"/>
      <c r="Q9"/>
      <c r="R9"/>
      <c r="S9"/>
      <c r="T9"/>
      <c r="U9"/>
      <c r="V9"/>
      <c r="W9"/>
      <c r="X9"/>
      <c r="Y9"/>
      <c r="Z9"/>
      <c r="AA9"/>
      <c r="AB9"/>
      <c r="AC9"/>
      <c r="AD9"/>
      <c r="AE9"/>
      <c r="AF9"/>
      <c r="AG9"/>
      <c r="AH9"/>
      <c r="AI9"/>
      <c r="AJ9"/>
      <c r="AK9"/>
      <c r="AL9"/>
      <c r="AM9"/>
      <c r="AN9"/>
      <c r="AO9"/>
      <c r="AP9"/>
      <c r="AQ9"/>
      <c r="AR9"/>
      <c r="AS9"/>
      <c r="AT9"/>
      <c r="AU9"/>
      <c r="AV9"/>
      <c r="AW9"/>
    </row>
    <row r="10" spans="1:49" s="432" customFormat="1" x14ac:dyDescent="0.35">
      <c r="A10" s="695">
        <v>2012</v>
      </c>
      <c r="B10" s="696">
        <v>16251.076923076924</v>
      </c>
      <c r="C10" s="696"/>
      <c r="D10" s="696"/>
      <c r="E10" s="697">
        <v>16251.076923076924</v>
      </c>
      <c r="F10" s="84"/>
      <c r="G10" s="695">
        <v>2012</v>
      </c>
      <c r="H10" s="696"/>
      <c r="I10" s="696">
        <v>33420.5</v>
      </c>
      <c r="J10" s="696"/>
      <c r="K10" s="696"/>
      <c r="L10" s="696"/>
      <c r="M10" s="696">
        <v>23926</v>
      </c>
      <c r="N10" s="697">
        <v>28673.25</v>
      </c>
      <c r="O10"/>
      <c r="P10"/>
      <c r="Q10"/>
      <c r="R10"/>
      <c r="S10"/>
      <c r="T10"/>
      <c r="U10"/>
      <c r="V10"/>
      <c r="W10"/>
      <c r="X10"/>
      <c r="Y10"/>
      <c r="Z10"/>
      <c r="AA10"/>
      <c r="AB10"/>
      <c r="AC10"/>
      <c r="AD10"/>
      <c r="AE10"/>
      <c r="AF10"/>
      <c r="AG10"/>
      <c r="AH10"/>
      <c r="AI10"/>
      <c r="AJ10"/>
      <c r="AK10"/>
      <c r="AL10"/>
      <c r="AM10"/>
      <c r="AN10"/>
      <c r="AO10"/>
      <c r="AP10"/>
      <c r="AQ10"/>
      <c r="AR10"/>
      <c r="AS10"/>
      <c r="AT10"/>
      <c r="AU10"/>
      <c r="AV10"/>
      <c r="AW10"/>
    </row>
    <row r="11" spans="1:49" s="432" customFormat="1" x14ac:dyDescent="0.35">
      <c r="A11" s="695">
        <v>2013</v>
      </c>
      <c r="B11" s="696">
        <v>16478.555555555555</v>
      </c>
      <c r="C11" s="696"/>
      <c r="D11" s="696"/>
      <c r="E11" s="697">
        <v>16478.555555555555</v>
      </c>
      <c r="F11" s="84"/>
      <c r="G11" s="695">
        <v>2013</v>
      </c>
      <c r="H11" s="696"/>
      <c r="I11" s="696">
        <v>27974</v>
      </c>
      <c r="J11" s="696">
        <v>40216.6</v>
      </c>
      <c r="K11" s="696"/>
      <c r="L11" s="696">
        <v>26263.75</v>
      </c>
      <c r="M11" s="696"/>
      <c r="N11" s="697">
        <v>32156.461538461539</v>
      </c>
      <c r="O11"/>
      <c r="P11"/>
      <c r="Q11"/>
      <c r="R11"/>
      <c r="S11"/>
      <c r="T11"/>
      <c r="U11"/>
      <c r="V11"/>
      <c r="W11"/>
      <c r="X11"/>
      <c r="Y11"/>
      <c r="Z11"/>
      <c r="AA11"/>
      <c r="AB11"/>
      <c r="AC11"/>
      <c r="AD11"/>
      <c r="AE11"/>
      <c r="AF11"/>
      <c r="AG11"/>
      <c r="AH11"/>
      <c r="AI11"/>
      <c r="AJ11"/>
      <c r="AK11"/>
      <c r="AL11"/>
      <c r="AM11"/>
      <c r="AN11"/>
      <c r="AO11"/>
      <c r="AP11"/>
      <c r="AQ11"/>
      <c r="AR11"/>
      <c r="AS11"/>
      <c r="AT11"/>
      <c r="AU11"/>
      <c r="AV11"/>
      <c r="AW11"/>
    </row>
    <row r="12" spans="1:49" s="432" customFormat="1" x14ac:dyDescent="0.35">
      <c r="A12" s="695">
        <v>2014</v>
      </c>
      <c r="B12" s="696">
        <v>12262.7</v>
      </c>
      <c r="C12" s="696"/>
      <c r="D12" s="696">
        <v>7447.2</v>
      </c>
      <c r="E12" s="697">
        <v>10657.533333333333</v>
      </c>
      <c r="F12" s="84"/>
      <c r="G12" s="695">
        <v>2014</v>
      </c>
      <c r="H12" s="696"/>
      <c r="I12" s="696">
        <v>34374.142857142855</v>
      </c>
      <c r="J12" s="696"/>
      <c r="K12" s="696"/>
      <c r="L12" s="696"/>
      <c r="M12" s="696"/>
      <c r="N12" s="697">
        <v>34374.142857142855</v>
      </c>
      <c r="O12"/>
      <c r="P12"/>
      <c r="Q12"/>
      <c r="R12"/>
      <c r="S12"/>
      <c r="T12"/>
      <c r="U12"/>
      <c r="V12"/>
      <c r="W12"/>
      <c r="X12"/>
      <c r="Y12"/>
      <c r="Z12"/>
      <c r="AA12"/>
      <c r="AB12"/>
      <c r="AC12"/>
      <c r="AD12"/>
      <c r="AE12"/>
      <c r="AF12"/>
      <c r="AG12"/>
      <c r="AH12"/>
      <c r="AI12"/>
      <c r="AJ12"/>
      <c r="AK12"/>
      <c r="AL12"/>
      <c r="AM12"/>
      <c r="AN12"/>
      <c r="AO12"/>
      <c r="AP12"/>
      <c r="AQ12"/>
      <c r="AR12"/>
      <c r="AS12"/>
      <c r="AT12"/>
      <c r="AU12"/>
      <c r="AV12"/>
      <c r="AW12"/>
    </row>
    <row r="13" spans="1:49" s="432" customFormat="1" x14ac:dyDescent="0.35">
      <c r="A13" s="695">
        <v>2015</v>
      </c>
      <c r="B13" s="696">
        <v>27793.538461538461</v>
      </c>
      <c r="C13" s="696"/>
      <c r="D13" s="696"/>
      <c r="E13" s="697">
        <v>27793.538461538461</v>
      </c>
      <c r="F13" s="84"/>
      <c r="G13" s="695">
        <v>2015</v>
      </c>
      <c r="H13" s="696"/>
      <c r="I13" s="696">
        <v>41516.571428571428</v>
      </c>
      <c r="J13" s="696">
        <v>38046.5</v>
      </c>
      <c r="K13" s="696"/>
      <c r="L13" s="696"/>
      <c r="M13" s="696">
        <v>43433</v>
      </c>
      <c r="N13" s="697">
        <v>40519.583333333336</v>
      </c>
      <c r="O13" s="693"/>
      <c r="P13" s="693"/>
      <c r="Q13" s="693"/>
      <c r="R13" s="693"/>
      <c r="S13"/>
      <c r="T13"/>
      <c r="U13"/>
      <c r="V13"/>
      <c r="W13"/>
      <c r="X13"/>
      <c r="Y13"/>
      <c r="Z13"/>
      <c r="AA13"/>
      <c r="AB13"/>
      <c r="AC13"/>
      <c r="AD13"/>
      <c r="AE13"/>
      <c r="AF13"/>
      <c r="AG13"/>
      <c r="AH13"/>
      <c r="AI13"/>
      <c r="AJ13"/>
      <c r="AK13"/>
      <c r="AL13"/>
      <c r="AM13"/>
      <c r="AN13"/>
      <c r="AO13"/>
      <c r="AP13"/>
      <c r="AQ13"/>
      <c r="AR13"/>
      <c r="AS13"/>
      <c r="AT13"/>
      <c r="AU13"/>
      <c r="AV13"/>
      <c r="AW13"/>
    </row>
    <row r="14" spans="1:49" s="432" customFormat="1" x14ac:dyDescent="0.35">
      <c r="A14" s="695">
        <v>2016</v>
      </c>
      <c r="B14" s="696">
        <v>18057.5</v>
      </c>
      <c r="C14" s="696">
        <v>9302.6</v>
      </c>
      <c r="D14" s="696"/>
      <c r="E14" s="697">
        <v>15973</v>
      </c>
      <c r="F14" s="84"/>
      <c r="G14" s="695">
        <v>2016</v>
      </c>
      <c r="H14" s="696">
        <v>50890.5</v>
      </c>
      <c r="I14" s="696">
        <v>9245.5</v>
      </c>
      <c r="J14" s="696"/>
      <c r="K14" s="696"/>
      <c r="L14" s="696">
        <v>24650</v>
      </c>
      <c r="M14" s="696">
        <v>20017</v>
      </c>
      <c r="N14" s="697">
        <v>31308.384615384617</v>
      </c>
      <c r="O14" s="10"/>
      <c r="P14" s="10"/>
      <c r="Q14" s="10"/>
      <c r="R14" s="10"/>
      <c r="S14"/>
      <c r="T14"/>
      <c r="U14"/>
      <c r="V14"/>
      <c r="W14"/>
      <c r="X14"/>
      <c r="Y14"/>
      <c r="Z14"/>
      <c r="AA14"/>
      <c r="AB14"/>
      <c r="AC14"/>
      <c r="AD14"/>
      <c r="AE14"/>
      <c r="AF14"/>
      <c r="AG14"/>
      <c r="AH14"/>
      <c r="AI14"/>
      <c r="AJ14"/>
      <c r="AK14"/>
      <c r="AL14"/>
      <c r="AM14"/>
      <c r="AN14"/>
      <c r="AO14"/>
      <c r="AP14"/>
      <c r="AQ14"/>
      <c r="AR14"/>
      <c r="AS14"/>
      <c r="AT14"/>
      <c r="AU14"/>
      <c r="AV14"/>
      <c r="AW14"/>
    </row>
    <row r="15" spans="1:49" s="432" customFormat="1" x14ac:dyDescent="0.35">
      <c r="A15" s="695">
        <v>2017</v>
      </c>
      <c r="B15" s="696">
        <v>18150.307692307691</v>
      </c>
      <c r="C15" s="696"/>
      <c r="D15" s="696"/>
      <c r="E15" s="697">
        <v>18150.307692307691</v>
      </c>
      <c r="F15" s="84"/>
      <c r="G15" s="695">
        <v>2017</v>
      </c>
      <c r="H15" s="696"/>
      <c r="I15" s="696">
        <v>21012.75</v>
      </c>
      <c r="J15" s="696">
        <v>39847.833333333336</v>
      </c>
      <c r="K15" s="696"/>
      <c r="L15" s="696">
        <v>22180</v>
      </c>
      <c r="M15" s="696"/>
      <c r="N15" s="697">
        <v>29418.428571428572</v>
      </c>
      <c r="O15" s="7"/>
      <c r="P15" s="7"/>
      <c r="Q15" s="7"/>
      <c r="R15" s="7"/>
      <c r="S15"/>
      <c r="T15"/>
      <c r="U15"/>
      <c r="V15"/>
      <c r="W15"/>
      <c r="X15"/>
      <c r="Y15"/>
      <c r="Z15"/>
      <c r="AA15"/>
      <c r="AB15"/>
      <c r="AC15"/>
      <c r="AD15"/>
      <c r="AE15"/>
      <c r="AF15"/>
      <c r="AG15"/>
      <c r="AH15"/>
      <c r="AI15"/>
      <c r="AJ15"/>
      <c r="AK15"/>
      <c r="AL15"/>
      <c r="AM15"/>
      <c r="AN15"/>
      <c r="AO15"/>
      <c r="AP15"/>
      <c r="AQ15"/>
      <c r="AR15"/>
      <c r="AS15"/>
      <c r="AT15"/>
      <c r="AU15"/>
      <c r="AV15"/>
      <c r="AW15"/>
    </row>
    <row r="16" spans="1:49" s="432" customFormat="1" x14ac:dyDescent="0.35">
      <c r="A16" s="695">
        <v>2018</v>
      </c>
      <c r="B16" s="696">
        <v>17052.153846153848</v>
      </c>
      <c r="C16" s="696"/>
      <c r="D16" s="696">
        <v>6294.6</v>
      </c>
      <c r="E16" s="697">
        <v>14063.944444444445</v>
      </c>
      <c r="F16" s="84"/>
      <c r="G16" s="695">
        <v>2018</v>
      </c>
      <c r="H16" s="696"/>
      <c r="I16" s="696">
        <v>24173</v>
      </c>
      <c r="J16" s="696"/>
      <c r="K16" s="696"/>
      <c r="L16" s="696"/>
      <c r="M16" s="696"/>
      <c r="N16" s="697">
        <v>24173</v>
      </c>
      <c r="O16"/>
      <c r="P16"/>
      <c r="Q16"/>
      <c r="R16"/>
      <c r="S16"/>
      <c r="T16"/>
      <c r="U16"/>
      <c r="V16"/>
      <c r="W16"/>
      <c r="X16"/>
      <c r="Y16"/>
      <c r="Z16"/>
      <c r="AA16"/>
      <c r="AB16"/>
      <c r="AC16"/>
      <c r="AD16"/>
      <c r="AE16"/>
      <c r="AF16"/>
      <c r="AG16"/>
      <c r="AH16"/>
      <c r="AI16"/>
      <c r="AJ16"/>
      <c r="AK16"/>
      <c r="AL16"/>
      <c r="AM16"/>
      <c r="AN16"/>
      <c r="AO16"/>
      <c r="AP16"/>
      <c r="AQ16"/>
      <c r="AR16"/>
      <c r="AS16"/>
      <c r="AT16"/>
      <c r="AU16"/>
      <c r="AV16"/>
      <c r="AW16"/>
    </row>
    <row r="17" spans="1:14" s="432" customFormat="1" x14ac:dyDescent="0.35">
      <c r="A17" s="695">
        <v>2019</v>
      </c>
      <c r="B17" s="696">
        <v>25122.266666666666</v>
      </c>
      <c r="C17" s="696"/>
      <c r="D17" s="696"/>
      <c r="E17" s="697">
        <v>25122.266666666666</v>
      </c>
      <c r="F17" s="84"/>
      <c r="G17" s="695">
        <v>2019</v>
      </c>
      <c r="H17" s="696"/>
      <c r="I17" s="696">
        <v>21051.25</v>
      </c>
      <c r="J17" s="696">
        <v>29595.833333333332</v>
      </c>
      <c r="K17" s="696">
        <v>13443.5</v>
      </c>
      <c r="L17" s="696"/>
      <c r="M17" s="696"/>
      <c r="N17" s="697">
        <v>23304.5</v>
      </c>
    </row>
    <row r="18" spans="1:14" s="432" customFormat="1" x14ac:dyDescent="0.35">
      <c r="A18" s="698" t="s">
        <v>24</v>
      </c>
      <c r="B18" s="696">
        <v>18028.852173913045</v>
      </c>
      <c r="C18" s="696">
        <v>9302.6</v>
      </c>
      <c r="D18" s="696">
        <v>7110.636363636364</v>
      </c>
      <c r="E18" s="696">
        <v>16778.992366412214</v>
      </c>
      <c r="F18" s="84"/>
      <c r="G18" s="698" t="s">
        <v>24</v>
      </c>
      <c r="H18" s="696">
        <v>50890.5</v>
      </c>
      <c r="I18" s="696">
        <v>29256.293103448275</v>
      </c>
      <c r="J18" s="696">
        <v>39806.961538461539</v>
      </c>
      <c r="K18" s="696">
        <v>13443.5</v>
      </c>
      <c r="L18" s="696">
        <v>24269.444444444445</v>
      </c>
      <c r="M18" s="696">
        <v>26263.8</v>
      </c>
      <c r="N18" s="696">
        <v>32205.849056603773</v>
      </c>
    </row>
    <row r="19" spans="1:14" s="432" customFormat="1" x14ac:dyDescent="0.35">
      <c r="A19"/>
      <c r="B19"/>
      <c r="C19"/>
      <c r="D19"/>
      <c r="F19" s="84"/>
      <c r="G19"/>
      <c r="H19"/>
      <c r="I19"/>
      <c r="J19"/>
      <c r="K19"/>
      <c r="L19"/>
      <c r="M19"/>
      <c r="N19"/>
    </row>
    <row r="20" spans="1:14" x14ac:dyDescent="0.35">
      <c r="A20" s="6"/>
      <c r="B20" s="10"/>
      <c r="C20" s="10"/>
      <c r="D20" s="10"/>
      <c r="E20" s="8"/>
      <c r="F20" s="708"/>
    </row>
    <row r="21" spans="1:14" s="432" customFormat="1" ht="13.15" x14ac:dyDescent="0.4">
      <c r="A21" s="902" t="s">
        <v>913</v>
      </c>
      <c r="B21" s="902"/>
      <c r="C21" s="902"/>
      <c r="D21" s="709"/>
      <c r="E21" s="709"/>
      <c r="F21" s="84"/>
      <c r="G21" s="902" t="s">
        <v>914</v>
      </c>
      <c r="H21" s="902"/>
      <c r="I21" s="902"/>
      <c r="J21" s="709"/>
      <c r="K21" s="709"/>
      <c r="L21"/>
      <c r="M21"/>
      <c r="N21"/>
    </row>
    <row r="22" spans="1:14" x14ac:dyDescent="0.35">
      <c r="A22" s="705"/>
      <c r="B22" s="706" t="s">
        <v>911</v>
      </c>
      <c r="C22" s="706" t="s">
        <v>912</v>
      </c>
      <c r="D22" s="18"/>
      <c r="E22" s="18"/>
      <c r="F22" s="84"/>
      <c r="G22" s="705"/>
      <c r="H22" s="706" t="s">
        <v>911</v>
      </c>
      <c r="I22" s="706" t="s">
        <v>912</v>
      </c>
    </row>
    <row r="23" spans="1:14" x14ac:dyDescent="0.35">
      <c r="A23" s="700" t="s">
        <v>97</v>
      </c>
      <c r="B23" s="701">
        <v>0.25</v>
      </c>
      <c r="C23" s="701"/>
      <c r="D23" s="18"/>
      <c r="E23" s="18"/>
      <c r="F23" s="84"/>
      <c r="G23" s="700" t="s">
        <v>97</v>
      </c>
      <c r="H23" s="10">
        <v>4.47</v>
      </c>
      <c r="I23" s="15" t="s">
        <v>93</v>
      </c>
    </row>
    <row r="24" spans="1:14" x14ac:dyDescent="0.35">
      <c r="A24" s="700" t="s">
        <v>96</v>
      </c>
      <c r="B24" s="701">
        <v>2.1800000000000002</v>
      </c>
      <c r="C24" s="701">
        <v>0.21</v>
      </c>
      <c r="D24" s="18"/>
      <c r="E24" s="18"/>
      <c r="F24" s="84"/>
      <c r="G24" s="700">
        <v>2011</v>
      </c>
      <c r="H24" s="10">
        <v>2.0699999999999998</v>
      </c>
      <c r="I24" s="10"/>
    </row>
    <row r="25" spans="1:14" x14ac:dyDescent="0.35">
      <c r="A25" s="700">
        <v>2012</v>
      </c>
      <c r="B25" s="701">
        <v>0.82</v>
      </c>
      <c r="C25" s="701"/>
      <c r="D25" s="18"/>
      <c r="E25" s="18"/>
      <c r="F25" s="84"/>
      <c r="G25" s="700">
        <v>2012</v>
      </c>
      <c r="H25" s="10">
        <v>1.1599999999999999</v>
      </c>
      <c r="I25" s="10"/>
    </row>
    <row r="26" spans="1:14" x14ac:dyDescent="0.35">
      <c r="A26" s="700" t="s">
        <v>86</v>
      </c>
      <c r="B26" s="701">
        <v>0.32</v>
      </c>
      <c r="C26" s="702"/>
      <c r="D26" s="18"/>
      <c r="E26" s="18"/>
      <c r="F26" s="84"/>
      <c r="G26" s="700" t="s">
        <v>86</v>
      </c>
      <c r="H26" s="10">
        <v>2.14</v>
      </c>
      <c r="I26" s="7"/>
    </row>
    <row r="27" spans="1:14" x14ac:dyDescent="0.35">
      <c r="A27" s="700" t="s">
        <v>87</v>
      </c>
      <c r="B27" s="701">
        <v>0.2</v>
      </c>
      <c r="C27" s="703"/>
      <c r="D27" s="18"/>
      <c r="E27" s="18"/>
      <c r="F27" s="84"/>
      <c r="G27" s="700" t="s">
        <v>87</v>
      </c>
      <c r="H27" s="10">
        <v>5.49</v>
      </c>
      <c r="I27" s="14">
        <v>1.39</v>
      </c>
    </row>
    <row r="28" spans="1:14" x14ac:dyDescent="0.35">
      <c r="A28" s="700" t="s">
        <v>85</v>
      </c>
      <c r="B28" s="701">
        <v>2.5</v>
      </c>
      <c r="C28" s="703">
        <v>0.34</v>
      </c>
      <c r="D28" s="18"/>
      <c r="E28" s="18"/>
      <c r="F28" s="84"/>
      <c r="G28" s="700">
        <v>2015</v>
      </c>
      <c r="H28" s="10">
        <v>1.93</v>
      </c>
      <c r="I28" s="7"/>
    </row>
    <row r="29" spans="1:14" x14ac:dyDescent="0.35">
      <c r="A29" s="700" t="s">
        <v>909</v>
      </c>
      <c r="B29" s="701">
        <v>0.7</v>
      </c>
      <c r="C29" s="703"/>
      <c r="D29" s="704"/>
      <c r="E29" s="18"/>
      <c r="F29" s="84"/>
      <c r="G29" s="700" t="s">
        <v>88</v>
      </c>
      <c r="H29" s="10">
        <v>2.31</v>
      </c>
      <c r="I29" s="7"/>
      <c r="J29" s="9"/>
    </row>
    <row r="30" spans="1:14" x14ac:dyDescent="0.35">
      <c r="A30" s="700" t="s">
        <v>89</v>
      </c>
      <c r="B30" s="701">
        <v>0.39</v>
      </c>
      <c r="C30" s="703"/>
      <c r="D30" s="18"/>
      <c r="E30" s="18"/>
      <c r="F30" s="84"/>
      <c r="G30" s="700" t="s">
        <v>89</v>
      </c>
      <c r="H30" s="10">
        <v>1.99</v>
      </c>
      <c r="I30" s="7"/>
    </row>
    <row r="31" spans="1:14" x14ac:dyDescent="0.35">
      <c r="A31" s="700">
        <v>2018</v>
      </c>
      <c r="B31" s="701">
        <v>0.35</v>
      </c>
      <c r="C31" s="702"/>
      <c r="D31" s="18"/>
      <c r="E31" s="18"/>
      <c r="F31" s="84"/>
      <c r="G31" s="700">
        <v>2018</v>
      </c>
      <c r="H31" s="10">
        <v>1.21</v>
      </c>
      <c r="I31" s="7"/>
    </row>
    <row r="33" spans="3:3" x14ac:dyDescent="0.35">
      <c r="C33" s="434" t="s">
        <v>915</v>
      </c>
    </row>
    <row r="34" spans="3:3" x14ac:dyDescent="0.35">
      <c r="C34" s="710" t="s">
        <v>916</v>
      </c>
    </row>
  </sheetData>
  <mergeCells count="6">
    <mergeCell ref="A1:N1"/>
    <mergeCell ref="G3:N3"/>
    <mergeCell ref="A21:C21"/>
    <mergeCell ref="G21:I21"/>
    <mergeCell ref="A2:J2"/>
    <mergeCell ref="A3:E3"/>
  </mergeCells>
  <hyperlinks>
    <hyperlink ref="C34" r:id="rId3" xr:uid="{8D832B65-F259-4A70-8A6D-531836B33277}"/>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31C61-B966-4659-A61C-AA148E7F86A8}">
  <sheetPr>
    <tabColor rgb="FF92D050"/>
  </sheetPr>
  <dimension ref="A1:V369"/>
  <sheetViews>
    <sheetView topLeftCell="A3" workbookViewId="0">
      <selection activeCell="T38" sqref="T38"/>
    </sheetView>
  </sheetViews>
  <sheetFormatPr defaultRowHeight="12.75" x14ac:dyDescent="0.35"/>
  <cols>
    <col min="1" max="1" width="7.53125" style="39" customWidth="1"/>
    <col min="2" max="2" width="5.59765625" style="39" customWidth="1"/>
    <col min="3" max="3" width="6.265625" style="39" customWidth="1"/>
    <col min="4" max="4" width="15.06640625" style="39" customWidth="1"/>
    <col min="5" max="5" width="11.06640625" style="39" customWidth="1"/>
    <col min="6" max="7" width="5.73046875" style="39" customWidth="1"/>
    <col min="8" max="8" width="25.19921875" style="39" customWidth="1"/>
    <col min="9" max="9" width="12.53125" style="39" customWidth="1"/>
    <col min="10" max="10" width="5.86328125" style="39" customWidth="1"/>
    <col min="11" max="11" width="10.19921875" style="573" bestFit="1" customWidth="1"/>
    <col min="12" max="12" width="5.19921875" style="40" customWidth="1"/>
    <col min="13" max="13" width="13.46484375" style="270" customWidth="1"/>
    <col min="14" max="14" width="6.1328125" style="40" customWidth="1"/>
    <col min="15" max="15" width="11" style="40" customWidth="1"/>
    <col min="16" max="16" width="11.19921875" style="270" customWidth="1"/>
    <col min="17" max="17" width="11.73046875" style="40" customWidth="1"/>
    <col min="18" max="18" width="1.73046875" style="691" customWidth="1"/>
    <col min="19" max="19" width="27.33203125" style="39" customWidth="1"/>
    <col min="20" max="20" width="11.19921875" style="39" customWidth="1"/>
    <col min="21" max="21" width="9.06640625" style="39"/>
    <col min="22" max="22" width="12.53125" style="39" customWidth="1"/>
    <col min="23" max="16384" width="9.06640625" style="39"/>
  </cols>
  <sheetData>
    <row r="1" spans="1:22" ht="21" customHeight="1" x14ac:dyDescent="0.35">
      <c r="A1" s="863" t="s">
        <v>440</v>
      </c>
      <c r="B1" s="863"/>
      <c r="C1" s="863"/>
      <c r="D1" s="863"/>
      <c r="E1" s="863"/>
      <c r="F1" s="863"/>
      <c r="G1" s="863"/>
      <c r="H1" s="863"/>
      <c r="I1" s="863"/>
      <c r="J1" s="863"/>
      <c r="K1" s="863"/>
      <c r="L1" s="863"/>
      <c r="M1" s="863"/>
      <c r="N1" s="863"/>
      <c r="O1" s="863"/>
      <c r="P1" s="863"/>
      <c r="Q1" s="863"/>
      <c r="R1" s="863"/>
      <c r="S1" s="863"/>
      <c r="T1" s="863"/>
      <c r="U1" s="432"/>
    </row>
    <row r="2" spans="1:22" ht="13.15" thickBot="1" x14ac:dyDescent="0.4">
      <c r="A2" s="372" t="s">
        <v>249</v>
      </c>
      <c r="B2" s="373" t="s">
        <v>248</v>
      </c>
      <c r="C2" s="373" t="s">
        <v>247</v>
      </c>
      <c r="D2" s="374" t="s">
        <v>15</v>
      </c>
      <c r="E2" s="374" t="s">
        <v>900</v>
      </c>
      <c r="F2" s="374" t="s">
        <v>246</v>
      </c>
      <c r="G2" s="374" t="s">
        <v>16</v>
      </c>
      <c r="H2" s="374" t="s">
        <v>245</v>
      </c>
      <c r="I2" s="375" t="s">
        <v>897</v>
      </c>
      <c r="J2" s="376" t="s">
        <v>244</v>
      </c>
      <c r="K2" s="572" t="s">
        <v>426</v>
      </c>
      <c r="L2" s="376" t="s">
        <v>17</v>
      </c>
      <c r="M2" s="377" t="s">
        <v>427</v>
      </c>
      <c r="N2" s="376" t="s">
        <v>898</v>
      </c>
      <c r="O2" s="376" t="s">
        <v>219</v>
      </c>
      <c r="P2" s="378" t="s">
        <v>242</v>
      </c>
      <c r="Q2" s="376" t="s">
        <v>241</v>
      </c>
    </row>
    <row r="3" spans="1:22" ht="13.15" thickTop="1" x14ac:dyDescent="0.35">
      <c r="A3" s="582" t="s">
        <v>192</v>
      </c>
      <c r="B3" s="583">
        <v>24</v>
      </c>
      <c r="C3" s="583">
        <v>2010</v>
      </c>
      <c r="D3" s="583" t="s">
        <v>23</v>
      </c>
      <c r="E3" s="583" t="s">
        <v>220</v>
      </c>
      <c r="F3" s="583"/>
      <c r="G3" s="583" t="s">
        <v>20</v>
      </c>
      <c r="H3" s="583" t="s">
        <v>82</v>
      </c>
      <c r="I3" s="583">
        <v>250</v>
      </c>
      <c r="J3" s="583" t="s">
        <v>218</v>
      </c>
      <c r="K3" s="584">
        <f>IF(G3="W",'US CBAs'!$B$19,0)</f>
        <v>1250</v>
      </c>
      <c r="L3" s="583">
        <v>19</v>
      </c>
      <c r="M3" s="585">
        <f>'US CBAs'!$B$12+IF(G3="W",'US CBAs'!$B$19,0)</f>
        <v>2500</v>
      </c>
      <c r="N3" s="583">
        <v>0</v>
      </c>
      <c r="O3" s="586">
        <f t="shared" ref="O3:O23" si="0">(K3*L3)+(M3*N3)</f>
        <v>23750</v>
      </c>
      <c r="P3" s="585">
        <v>0</v>
      </c>
      <c r="Q3" s="586">
        <f t="shared" ref="Q3:Q66" si="1">O3+P3</f>
        <v>23750</v>
      </c>
      <c r="R3" s="84"/>
      <c r="S3" s="404" t="s">
        <v>908</v>
      </c>
      <c r="T3" s="405" t="s">
        <v>6</v>
      </c>
      <c r="U3" s="405" t="s">
        <v>18</v>
      </c>
      <c r="V3" s="406" t="s">
        <v>91</v>
      </c>
    </row>
    <row r="4" spans="1:22" x14ac:dyDescent="0.35">
      <c r="A4" s="587" t="s">
        <v>192</v>
      </c>
      <c r="B4" s="587">
        <v>26</v>
      </c>
      <c r="C4" s="587">
        <v>2010</v>
      </c>
      <c r="D4" s="587" t="s">
        <v>62</v>
      </c>
      <c r="E4" s="587" t="s">
        <v>220</v>
      </c>
      <c r="F4" s="587"/>
      <c r="G4" s="587" t="s">
        <v>20</v>
      </c>
      <c r="H4" s="587" t="s">
        <v>82</v>
      </c>
      <c r="I4" s="588">
        <v>300</v>
      </c>
      <c r="J4" s="587" t="s">
        <v>218</v>
      </c>
      <c r="K4" s="589">
        <f>IF(G4="W",'US CBAs'!$B$19,0)</f>
        <v>1250</v>
      </c>
      <c r="L4" s="587">
        <v>19</v>
      </c>
      <c r="M4" s="590">
        <f>'US CBAs'!$B$12+IF(G4="W",'US CBAs'!$B$19,0)</f>
        <v>2500</v>
      </c>
      <c r="N4" s="587">
        <v>0</v>
      </c>
      <c r="O4" s="591">
        <f t="shared" si="0"/>
        <v>23750</v>
      </c>
      <c r="P4" s="592">
        <v>0</v>
      </c>
      <c r="Q4" s="591">
        <f t="shared" si="1"/>
        <v>23750</v>
      </c>
      <c r="R4" s="84"/>
      <c r="S4" s="322" t="s">
        <v>233</v>
      </c>
      <c r="T4" s="325">
        <f>'US CBAs'!$B$30</f>
        <v>12500</v>
      </c>
      <c r="U4" s="326">
        <v>19</v>
      </c>
      <c r="V4" s="252">
        <f>T4*U4</f>
        <v>237500</v>
      </c>
    </row>
    <row r="5" spans="1:22" x14ac:dyDescent="0.35">
      <c r="A5" s="587" t="s">
        <v>221</v>
      </c>
      <c r="B5" s="587">
        <v>1</v>
      </c>
      <c r="C5" s="587">
        <v>2010</v>
      </c>
      <c r="D5" s="587" t="s">
        <v>26</v>
      </c>
      <c r="E5" s="587" t="s">
        <v>220</v>
      </c>
      <c r="F5" s="587"/>
      <c r="G5" s="587" t="s">
        <v>20</v>
      </c>
      <c r="H5" s="587" t="s">
        <v>82</v>
      </c>
      <c r="I5" s="588">
        <v>500</v>
      </c>
      <c r="J5" s="587" t="s">
        <v>218</v>
      </c>
      <c r="K5" s="589">
        <f>IF(G5="W",'US CBAs'!$B$19,0)</f>
        <v>1250</v>
      </c>
      <c r="L5" s="587">
        <v>19</v>
      </c>
      <c r="M5" s="590">
        <f>'US CBAs'!$B$12+IF(G5="W",'US CBAs'!$B$19,0)</f>
        <v>2500</v>
      </c>
      <c r="N5" s="587">
        <v>0</v>
      </c>
      <c r="O5" s="591">
        <f t="shared" si="0"/>
        <v>23750</v>
      </c>
      <c r="P5" s="592">
        <v>0</v>
      </c>
      <c r="Q5" s="591">
        <f t="shared" si="1"/>
        <v>23750</v>
      </c>
      <c r="R5" s="84"/>
      <c r="S5" s="253" t="s">
        <v>90</v>
      </c>
      <c r="T5" s="325"/>
      <c r="U5" s="326"/>
      <c r="V5" s="257">
        <f>V4</f>
        <v>237500</v>
      </c>
    </row>
    <row r="6" spans="1:22" x14ac:dyDescent="0.35">
      <c r="A6" s="587" t="s">
        <v>221</v>
      </c>
      <c r="B6" s="587">
        <v>3</v>
      </c>
      <c r="C6" s="587">
        <v>2010</v>
      </c>
      <c r="D6" s="587" t="s">
        <v>27</v>
      </c>
      <c r="E6" s="587" t="s">
        <v>220</v>
      </c>
      <c r="F6" s="587"/>
      <c r="G6" s="587" t="s">
        <v>20</v>
      </c>
      <c r="H6" s="587" t="s">
        <v>82</v>
      </c>
      <c r="I6" s="636">
        <v>1200</v>
      </c>
      <c r="J6" s="587" t="s">
        <v>218</v>
      </c>
      <c r="K6" s="589">
        <f>IF(G6="W",'US CBAs'!$B$19,0)</f>
        <v>1250</v>
      </c>
      <c r="L6" s="587">
        <v>19</v>
      </c>
      <c r="M6" s="590">
        <f>'US CBAs'!$B$12+IF(G6="W",'US CBAs'!$B$19,0)</f>
        <v>2500</v>
      </c>
      <c r="N6" s="587">
        <v>0</v>
      </c>
      <c r="O6" s="591">
        <f t="shared" si="0"/>
        <v>23750</v>
      </c>
      <c r="P6" s="590">
        <v>0</v>
      </c>
      <c r="Q6" s="591">
        <f t="shared" si="1"/>
        <v>23750</v>
      </c>
      <c r="R6" s="84"/>
      <c r="S6" s="404" t="s">
        <v>381</v>
      </c>
      <c r="T6" s="405" t="s">
        <v>6</v>
      </c>
      <c r="U6" s="405" t="s">
        <v>18</v>
      </c>
      <c r="V6" s="406" t="s">
        <v>91</v>
      </c>
    </row>
    <row r="7" spans="1:22" x14ac:dyDescent="0.35">
      <c r="A7" s="623" t="s">
        <v>221</v>
      </c>
      <c r="B7" s="631">
        <v>28</v>
      </c>
      <c r="C7" s="631">
        <v>2010</v>
      </c>
      <c r="D7" s="631" t="s">
        <v>35</v>
      </c>
      <c r="E7" s="631" t="s">
        <v>220</v>
      </c>
      <c r="F7" s="631"/>
      <c r="G7" s="631" t="s">
        <v>20</v>
      </c>
      <c r="H7" s="631" t="s">
        <v>481</v>
      </c>
      <c r="I7" s="632">
        <v>3069</v>
      </c>
      <c r="J7" s="631" t="s">
        <v>218</v>
      </c>
      <c r="K7" s="633">
        <f>IF(G7="W",'US CBAs'!$B$19,0)</f>
        <v>1250</v>
      </c>
      <c r="L7" s="631">
        <v>17</v>
      </c>
      <c r="M7" s="634">
        <f>'US CBAs'!$B$12+IF(G7="W",'US CBAs'!$B$19,0)</f>
        <v>2500</v>
      </c>
      <c r="N7" s="631">
        <v>1</v>
      </c>
      <c r="O7" s="635">
        <f t="shared" si="0"/>
        <v>23750</v>
      </c>
      <c r="P7" s="634">
        <v>0</v>
      </c>
      <c r="Q7" s="635">
        <f t="shared" si="1"/>
        <v>23750</v>
      </c>
      <c r="R7" s="84"/>
      <c r="S7" s="322" t="s">
        <v>217</v>
      </c>
      <c r="T7" s="252">
        <f>'US CBAs'!$B$16</f>
        <v>12500</v>
      </c>
      <c r="U7" s="326">
        <v>21</v>
      </c>
      <c r="V7" s="252">
        <f>T7*U7</f>
        <v>262500</v>
      </c>
    </row>
    <row r="8" spans="1:22" x14ac:dyDescent="0.35">
      <c r="A8" s="598" t="s">
        <v>221</v>
      </c>
      <c r="B8" s="599">
        <v>31</v>
      </c>
      <c r="C8" s="599">
        <v>2010</v>
      </c>
      <c r="D8" s="599" t="s">
        <v>35</v>
      </c>
      <c r="E8" s="599" t="s">
        <v>220</v>
      </c>
      <c r="F8" s="599"/>
      <c r="G8" s="599" t="s">
        <v>20</v>
      </c>
      <c r="H8" s="599" t="s">
        <v>498</v>
      </c>
      <c r="I8" s="606">
        <v>3732</v>
      </c>
      <c r="J8" s="599" t="s">
        <v>218</v>
      </c>
      <c r="K8" s="600">
        <f>IF(G8="W",'US CBAs'!$B$19,0)</f>
        <v>1250</v>
      </c>
      <c r="L8" s="599">
        <v>17</v>
      </c>
      <c r="M8" s="601">
        <f>'US CBAs'!$B$12+IF(G8="W",'US CBAs'!$B$19,0)</f>
        <v>2500</v>
      </c>
      <c r="N8" s="599">
        <v>1</v>
      </c>
      <c r="O8" s="602">
        <f t="shared" si="0"/>
        <v>23750</v>
      </c>
      <c r="P8" s="601">
        <v>0</v>
      </c>
      <c r="Q8" s="602">
        <f t="shared" si="1"/>
        <v>23750</v>
      </c>
      <c r="R8" s="84"/>
      <c r="S8" s="322" t="s">
        <v>442</v>
      </c>
      <c r="T8" s="252">
        <f>'US CBAs'!$B$35</f>
        <v>25000</v>
      </c>
      <c r="U8" s="326">
        <v>21</v>
      </c>
      <c r="V8" s="252">
        <f>T8*U8</f>
        <v>525000</v>
      </c>
    </row>
    <row r="9" spans="1:22" x14ac:dyDescent="0.35">
      <c r="A9" s="611" t="s">
        <v>186</v>
      </c>
      <c r="B9" s="612">
        <v>22</v>
      </c>
      <c r="C9" s="612">
        <v>2010</v>
      </c>
      <c r="D9" s="612" t="s">
        <v>27</v>
      </c>
      <c r="E9" s="612" t="s">
        <v>220</v>
      </c>
      <c r="F9" s="612"/>
      <c r="G9" s="612" t="s">
        <v>20</v>
      </c>
      <c r="H9" s="612" t="s">
        <v>495</v>
      </c>
      <c r="I9" s="613">
        <v>10321</v>
      </c>
      <c r="J9" s="612" t="s">
        <v>218</v>
      </c>
      <c r="K9" s="614">
        <f>IF(G9="W",'US CBAs'!$B$19,0)</f>
        <v>1250</v>
      </c>
      <c r="L9" s="612">
        <v>17</v>
      </c>
      <c r="M9" s="615">
        <f>'US CBAs'!$B$12+IF(G9="W",'US CBAs'!$B$19,0)</f>
        <v>2500</v>
      </c>
      <c r="N9" s="612">
        <v>1</v>
      </c>
      <c r="O9" s="616">
        <f t="shared" si="0"/>
        <v>23750</v>
      </c>
      <c r="P9" s="615">
        <v>0</v>
      </c>
      <c r="Q9" s="616">
        <f t="shared" si="1"/>
        <v>23750</v>
      </c>
      <c r="R9" s="84"/>
      <c r="S9" s="322" t="s">
        <v>454</v>
      </c>
      <c r="T9" s="252">
        <f>'US CBAs'!$B$45</f>
        <v>4500</v>
      </c>
      <c r="U9" s="326">
        <v>21</v>
      </c>
      <c r="V9" s="252">
        <f>T9*U9</f>
        <v>94500</v>
      </c>
    </row>
    <row r="10" spans="1:22" s="79" customFormat="1" x14ac:dyDescent="0.35">
      <c r="A10" s="598" t="s">
        <v>230</v>
      </c>
      <c r="B10" s="599">
        <v>13</v>
      </c>
      <c r="C10" s="599">
        <v>2010</v>
      </c>
      <c r="D10" s="599" t="s">
        <v>26</v>
      </c>
      <c r="E10" s="599" t="s">
        <v>220</v>
      </c>
      <c r="F10" s="599"/>
      <c r="G10" s="599" t="s">
        <v>83</v>
      </c>
      <c r="H10" s="599" t="s">
        <v>508</v>
      </c>
      <c r="I10" s="606">
        <v>6493</v>
      </c>
      <c r="J10" s="599" t="s">
        <v>218</v>
      </c>
      <c r="K10" s="600">
        <f>IF(G10="W",'US CBAs'!$B$19,0)</f>
        <v>0</v>
      </c>
      <c r="L10" s="599">
        <v>17</v>
      </c>
      <c r="M10" s="601">
        <f>'US CBAs'!$B$12+IF(G10="W",'US CBAs'!$B$19,0)</f>
        <v>1250</v>
      </c>
      <c r="N10" s="599">
        <v>1</v>
      </c>
      <c r="O10" s="602">
        <f t="shared" si="0"/>
        <v>1250</v>
      </c>
      <c r="P10" s="601">
        <v>0</v>
      </c>
      <c r="Q10" s="602">
        <f t="shared" si="1"/>
        <v>1250</v>
      </c>
      <c r="R10" s="84"/>
      <c r="S10" s="253" t="s">
        <v>90</v>
      </c>
      <c r="T10" s="325"/>
      <c r="U10" s="326"/>
      <c r="V10" s="257">
        <f>V8+V9+V7</f>
        <v>882000</v>
      </c>
    </row>
    <row r="11" spans="1:22" s="79" customFormat="1" x14ac:dyDescent="0.35">
      <c r="A11" s="611" t="s">
        <v>230</v>
      </c>
      <c r="B11" s="612">
        <v>17</v>
      </c>
      <c r="C11" s="612">
        <v>2010</v>
      </c>
      <c r="D11" s="612" t="s">
        <v>26</v>
      </c>
      <c r="E11" s="612" t="s">
        <v>220</v>
      </c>
      <c r="F11" s="612"/>
      <c r="G11" s="612" t="s">
        <v>20</v>
      </c>
      <c r="H11" s="612" t="s">
        <v>483</v>
      </c>
      <c r="I11" s="613">
        <v>5887</v>
      </c>
      <c r="J11" s="612" t="s">
        <v>218</v>
      </c>
      <c r="K11" s="614">
        <f>IF(G11="W",'US CBAs'!$B$19,0)</f>
        <v>1250</v>
      </c>
      <c r="L11" s="612">
        <v>17</v>
      </c>
      <c r="M11" s="615">
        <f>'US CBAs'!$B$12+IF(G11="W",'US CBAs'!$B$19,0)</f>
        <v>2500</v>
      </c>
      <c r="N11" s="612">
        <v>1</v>
      </c>
      <c r="O11" s="616">
        <f t="shared" si="0"/>
        <v>23750</v>
      </c>
      <c r="P11" s="615">
        <v>0</v>
      </c>
      <c r="Q11" s="616">
        <f t="shared" si="1"/>
        <v>23750</v>
      </c>
      <c r="R11" s="84"/>
      <c r="S11" s="404" t="s">
        <v>906</v>
      </c>
      <c r="T11" s="405" t="s">
        <v>6</v>
      </c>
      <c r="U11" s="405" t="s">
        <v>18</v>
      </c>
      <c r="V11" s="406" t="s">
        <v>91</v>
      </c>
    </row>
    <row r="12" spans="1:22" s="79" customFormat="1" x14ac:dyDescent="0.35">
      <c r="A12" s="598" t="s">
        <v>189</v>
      </c>
      <c r="B12" s="599">
        <v>2</v>
      </c>
      <c r="C12" s="599">
        <v>2010</v>
      </c>
      <c r="D12" s="599" t="s">
        <v>25</v>
      </c>
      <c r="E12" s="599" t="s">
        <v>220</v>
      </c>
      <c r="F12" s="599"/>
      <c r="G12" s="599" t="s">
        <v>20</v>
      </c>
      <c r="H12" s="599" t="s">
        <v>500</v>
      </c>
      <c r="I12" s="606">
        <v>4759</v>
      </c>
      <c r="J12" s="599" t="s">
        <v>218</v>
      </c>
      <c r="K12" s="600">
        <f>IF(G12="W",'US CBAs'!$B$19,0)</f>
        <v>1250</v>
      </c>
      <c r="L12" s="599">
        <v>18</v>
      </c>
      <c r="M12" s="601">
        <f>'US CBAs'!$B$12+IF(G12="W",'US CBAs'!$B$19,0)</f>
        <v>2500</v>
      </c>
      <c r="N12" s="599">
        <v>0</v>
      </c>
      <c r="O12" s="602">
        <f t="shared" si="0"/>
        <v>22500</v>
      </c>
      <c r="P12" s="601">
        <v>0</v>
      </c>
      <c r="Q12" s="602">
        <f t="shared" si="1"/>
        <v>22500</v>
      </c>
      <c r="R12" s="84"/>
      <c r="S12" s="79" t="s">
        <v>443</v>
      </c>
      <c r="T12" s="228">
        <f>'US CBAs'!$B$31</f>
        <v>12500</v>
      </c>
      <c r="U12" s="328">
        <v>20</v>
      </c>
      <c r="V12" s="252">
        <f>T12*U12</f>
        <v>250000</v>
      </c>
    </row>
    <row r="13" spans="1:22" s="79" customFormat="1" x14ac:dyDescent="0.35">
      <c r="A13" s="611" t="s">
        <v>189</v>
      </c>
      <c r="B13" s="612">
        <v>6</v>
      </c>
      <c r="C13" s="612">
        <v>2010</v>
      </c>
      <c r="D13" s="612" t="s">
        <v>25</v>
      </c>
      <c r="E13" s="612" t="s">
        <v>220</v>
      </c>
      <c r="F13" s="612"/>
      <c r="G13" s="612" t="s">
        <v>83</v>
      </c>
      <c r="H13" s="612" t="s">
        <v>484</v>
      </c>
      <c r="I13" s="613">
        <v>2505</v>
      </c>
      <c r="J13" s="612" t="s">
        <v>218</v>
      </c>
      <c r="K13" s="614">
        <f>IF(G13="W",'US CBAs'!$B$19,0)</f>
        <v>0</v>
      </c>
      <c r="L13" s="612">
        <v>18</v>
      </c>
      <c r="M13" s="615">
        <f>'US CBAs'!$B$12+IF(G13="W",'US CBAs'!$B$19,0)</f>
        <v>1250</v>
      </c>
      <c r="N13" s="612">
        <v>0</v>
      </c>
      <c r="O13" s="616">
        <f t="shared" si="0"/>
        <v>0</v>
      </c>
      <c r="P13" s="615">
        <v>0</v>
      </c>
      <c r="Q13" s="616">
        <f t="shared" si="1"/>
        <v>0</v>
      </c>
      <c r="R13" s="84"/>
      <c r="S13" s="322" t="s">
        <v>336</v>
      </c>
      <c r="T13" s="325">
        <f>'US CBAs'!$B$17</f>
        <v>12500</v>
      </c>
      <c r="U13" s="326">
        <v>18</v>
      </c>
      <c r="V13" s="252">
        <f>T13*U13</f>
        <v>225000</v>
      </c>
    </row>
    <row r="14" spans="1:22" s="79" customFormat="1" x14ac:dyDescent="0.35">
      <c r="A14" s="598" t="s">
        <v>189</v>
      </c>
      <c r="B14" s="599">
        <v>28</v>
      </c>
      <c r="C14" s="599">
        <v>2010</v>
      </c>
      <c r="D14" s="599" t="s">
        <v>59</v>
      </c>
      <c r="E14" s="604" t="s">
        <v>260</v>
      </c>
      <c r="F14" s="604"/>
      <c r="G14" s="605" t="s">
        <v>20</v>
      </c>
      <c r="H14" s="599" t="s">
        <v>35</v>
      </c>
      <c r="I14" s="606">
        <v>2500</v>
      </c>
      <c r="J14" s="599" t="s">
        <v>218</v>
      </c>
      <c r="K14" s="600">
        <f>IF(G14="W",'US CBAs'!$B$19,0)</f>
        <v>1250</v>
      </c>
      <c r="L14" s="599">
        <v>19</v>
      </c>
      <c r="M14" s="601">
        <f>'US CBAs'!$B$12+IF(G14="W",'US CBAs'!$B$19,0)</f>
        <v>2500</v>
      </c>
      <c r="N14" s="599">
        <v>0</v>
      </c>
      <c r="O14" s="602">
        <f t="shared" si="0"/>
        <v>23750</v>
      </c>
      <c r="P14" s="601">
        <v>0</v>
      </c>
      <c r="Q14" s="602">
        <f t="shared" si="1"/>
        <v>23750</v>
      </c>
      <c r="R14" s="691"/>
      <c r="S14" s="322" t="s">
        <v>455</v>
      </c>
      <c r="T14" s="252">
        <f>'US CBAs'!$B$41</f>
        <v>62500</v>
      </c>
      <c r="U14" s="326">
        <v>18</v>
      </c>
      <c r="V14" s="252">
        <f>T14*U14</f>
        <v>1125000</v>
      </c>
    </row>
    <row r="15" spans="1:22" s="79" customFormat="1" x14ac:dyDescent="0.35">
      <c r="A15" s="598" t="s">
        <v>189</v>
      </c>
      <c r="B15" s="599">
        <v>30</v>
      </c>
      <c r="C15" s="599">
        <v>2010</v>
      </c>
      <c r="D15" s="599" t="s">
        <v>43</v>
      </c>
      <c r="E15" s="604" t="s">
        <v>260</v>
      </c>
      <c r="F15" s="604"/>
      <c r="G15" s="605" t="s">
        <v>20</v>
      </c>
      <c r="H15" s="599" t="s">
        <v>35</v>
      </c>
      <c r="I15" s="606">
        <v>1050</v>
      </c>
      <c r="J15" s="599" t="s">
        <v>218</v>
      </c>
      <c r="K15" s="600">
        <f>IF(G15="W",'US CBAs'!$B$19,0)</f>
        <v>1250</v>
      </c>
      <c r="L15" s="599">
        <v>19</v>
      </c>
      <c r="M15" s="601">
        <f>'US CBAs'!$B$12+IF(G15="W",'US CBAs'!$B$19,0)</f>
        <v>2500</v>
      </c>
      <c r="N15" s="599">
        <v>0</v>
      </c>
      <c r="O15" s="602">
        <f t="shared" si="0"/>
        <v>23750</v>
      </c>
      <c r="P15" s="601">
        <v>0</v>
      </c>
      <c r="Q15" s="602">
        <f t="shared" si="1"/>
        <v>23750</v>
      </c>
      <c r="R15" s="691"/>
      <c r="S15" s="322" t="s">
        <v>454</v>
      </c>
      <c r="T15" s="252">
        <f>'US CBAs'!$B$48</f>
        <v>83333.333333333328</v>
      </c>
      <c r="U15" s="326">
        <v>18</v>
      </c>
      <c r="V15" s="252">
        <f>T15*U15</f>
        <v>1500000</v>
      </c>
    </row>
    <row r="16" spans="1:22" s="79" customFormat="1" x14ac:dyDescent="0.35">
      <c r="A16" s="598" t="s">
        <v>190</v>
      </c>
      <c r="B16" s="599">
        <v>1</v>
      </c>
      <c r="C16" s="599">
        <v>2010</v>
      </c>
      <c r="D16" s="599" t="s">
        <v>36</v>
      </c>
      <c r="E16" s="604" t="s">
        <v>260</v>
      </c>
      <c r="F16" s="604"/>
      <c r="G16" s="605" t="s">
        <v>20</v>
      </c>
      <c r="H16" s="599" t="s">
        <v>35</v>
      </c>
      <c r="I16" s="599">
        <v>503</v>
      </c>
      <c r="J16" s="599" t="s">
        <v>218</v>
      </c>
      <c r="K16" s="600">
        <f>IF(G16="W",'US CBAs'!$B$19,0)</f>
        <v>1250</v>
      </c>
      <c r="L16" s="599">
        <v>19</v>
      </c>
      <c r="M16" s="601">
        <f>'US CBAs'!$B$12+IF(G16="W",'US CBAs'!$B$19,0)</f>
        <v>2500</v>
      </c>
      <c r="N16" s="599">
        <v>0</v>
      </c>
      <c r="O16" s="602">
        <f t="shared" si="0"/>
        <v>23750</v>
      </c>
      <c r="P16" s="601">
        <v>0</v>
      </c>
      <c r="Q16" s="602">
        <f t="shared" si="1"/>
        <v>23750</v>
      </c>
      <c r="R16" s="691"/>
      <c r="S16" s="253" t="s">
        <v>907</v>
      </c>
      <c r="T16" s="325"/>
      <c r="U16" s="326"/>
      <c r="V16" s="257">
        <f>$V12+$V13+$V14+$V15</f>
        <v>3100000</v>
      </c>
    </row>
    <row r="17" spans="1:22" s="79" customFormat="1" x14ac:dyDescent="0.35">
      <c r="A17" s="598" t="s">
        <v>190</v>
      </c>
      <c r="B17" s="599">
        <v>5</v>
      </c>
      <c r="C17" s="599">
        <v>2010</v>
      </c>
      <c r="D17" s="599" t="s">
        <v>35</v>
      </c>
      <c r="E17" s="604" t="s">
        <v>260</v>
      </c>
      <c r="F17" s="629"/>
      <c r="G17" s="605" t="s">
        <v>33</v>
      </c>
      <c r="H17" s="599" t="s">
        <v>35</v>
      </c>
      <c r="I17" s="606">
        <v>8500</v>
      </c>
      <c r="J17" s="599" t="s">
        <v>218</v>
      </c>
      <c r="K17" s="600">
        <f>IF(G17="W",'US CBAs'!$B$19,0)</f>
        <v>0</v>
      </c>
      <c r="L17" s="599">
        <v>19</v>
      </c>
      <c r="M17" s="601">
        <f>'US CBAs'!$B$12+IF(G17="W",'US CBAs'!$B$19,0)</f>
        <v>1250</v>
      </c>
      <c r="N17" s="599">
        <v>0</v>
      </c>
      <c r="O17" s="602">
        <f t="shared" si="0"/>
        <v>0</v>
      </c>
      <c r="P17" s="601">
        <v>0</v>
      </c>
      <c r="Q17" s="602">
        <f t="shared" si="1"/>
        <v>0</v>
      </c>
      <c r="R17" s="691"/>
      <c r="S17" s="404" t="s">
        <v>446</v>
      </c>
      <c r="T17" s="405" t="s">
        <v>6</v>
      </c>
      <c r="U17" s="405" t="s">
        <v>18</v>
      </c>
      <c r="V17" s="406" t="s">
        <v>91</v>
      </c>
    </row>
    <row r="18" spans="1:22" s="79" customFormat="1" x14ac:dyDescent="0.35">
      <c r="A18" s="598" t="s">
        <v>190</v>
      </c>
      <c r="B18" s="599">
        <v>8</v>
      </c>
      <c r="C18" s="599">
        <v>2010</v>
      </c>
      <c r="D18" s="599" t="s">
        <v>36</v>
      </c>
      <c r="E18" s="604" t="s">
        <v>260</v>
      </c>
      <c r="F18" s="604"/>
      <c r="G18" s="605" t="s">
        <v>20</v>
      </c>
      <c r="H18" s="599" t="s">
        <v>35</v>
      </c>
      <c r="I18" s="606">
        <v>2500</v>
      </c>
      <c r="J18" s="599" t="s">
        <v>218</v>
      </c>
      <c r="K18" s="600">
        <f>IF(G18="W",'US CBAs'!$B$19,0)</f>
        <v>1250</v>
      </c>
      <c r="L18" s="599">
        <v>19</v>
      </c>
      <c r="M18" s="601">
        <f>'US CBAs'!$B$12+IF(G18="W",'US CBAs'!$B$19,0)</f>
        <v>2500</v>
      </c>
      <c r="N18" s="599">
        <v>0</v>
      </c>
      <c r="O18" s="602">
        <f t="shared" si="0"/>
        <v>23750</v>
      </c>
      <c r="P18" s="601">
        <v>0</v>
      </c>
      <c r="Q18" s="602">
        <f t="shared" si="1"/>
        <v>23750</v>
      </c>
      <c r="R18" s="691"/>
      <c r="S18" s="322" t="s">
        <v>233</v>
      </c>
      <c r="T18" s="325">
        <f>'US CBAs'!$F$30</f>
        <v>15000</v>
      </c>
      <c r="U18" s="326">
        <v>20</v>
      </c>
      <c r="V18" s="252">
        <f>T18*U18</f>
        <v>300000</v>
      </c>
    </row>
    <row r="19" spans="1:22" s="79" customFormat="1" x14ac:dyDescent="0.35">
      <c r="A19" s="598" t="s">
        <v>190</v>
      </c>
      <c r="B19" s="599">
        <v>20</v>
      </c>
      <c r="C19" s="599">
        <v>2010</v>
      </c>
      <c r="D19" s="599" t="s">
        <v>84</v>
      </c>
      <c r="E19" s="604" t="s">
        <v>260</v>
      </c>
      <c r="F19" s="604"/>
      <c r="G19" s="605" t="s">
        <v>20</v>
      </c>
      <c r="H19" s="599" t="s">
        <v>84</v>
      </c>
      <c r="I19" s="606">
        <v>5000</v>
      </c>
      <c r="J19" s="599" t="s">
        <v>218</v>
      </c>
      <c r="K19" s="600">
        <f>IF(G19="W",'US CBAs'!$B$19,0)</f>
        <v>1250</v>
      </c>
      <c r="L19" s="599">
        <v>19</v>
      </c>
      <c r="M19" s="601">
        <f>'US CBAs'!$B$12+IF(G19="W",'US CBAs'!$B$19,0)</f>
        <v>2500</v>
      </c>
      <c r="N19" s="599">
        <v>0</v>
      </c>
      <c r="O19" s="602">
        <f t="shared" si="0"/>
        <v>23750</v>
      </c>
      <c r="P19" s="601">
        <v>0</v>
      </c>
      <c r="Q19" s="602">
        <f t="shared" si="1"/>
        <v>23750</v>
      </c>
      <c r="R19" s="691"/>
      <c r="S19" s="253" t="s">
        <v>90</v>
      </c>
      <c r="T19" s="325"/>
      <c r="U19" s="326"/>
      <c r="V19" s="257">
        <f>V18</f>
        <v>300000</v>
      </c>
    </row>
    <row r="20" spans="1:22" x14ac:dyDescent="0.35">
      <c r="A20" s="598" t="s">
        <v>190</v>
      </c>
      <c r="B20" s="599">
        <v>27</v>
      </c>
      <c r="C20" s="599">
        <v>2010</v>
      </c>
      <c r="D20" s="599" t="s">
        <v>84</v>
      </c>
      <c r="E20" s="604" t="s">
        <v>260</v>
      </c>
      <c r="F20" s="604"/>
      <c r="G20" s="605" t="s">
        <v>20</v>
      </c>
      <c r="H20" s="599" t="s">
        <v>487</v>
      </c>
      <c r="I20" s="606">
        <v>9508</v>
      </c>
      <c r="J20" s="599" t="s">
        <v>218</v>
      </c>
      <c r="K20" s="600">
        <f>IF(G20="W",'US CBAs'!$B$19,0)</f>
        <v>1250</v>
      </c>
      <c r="L20" s="599">
        <v>19</v>
      </c>
      <c r="M20" s="601">
        <f>'US CBAs'!$B$12+IF(G20="W",'US CBAs'!$B$19,0)</f>
        <v>2500</v>
      </c>
      <c r="N20" s="599">
        <v>0</v>
      </c>
      <c r="O20" s="602">
        <f t="shared" si="0"/>
        <v>23750</v>
      </c>
      <c r="P20" s="601">
        <v>0</v>
      </c>
      <c r="Q20" s="602">
        <f t="shared" si="1"/>
        <v>23750</v>
      </c>
      <c r="S20" s="404" t="s">
        <v>447</v>
      </c>
      <c r="T20" s="405" t="s">
        <v>6</v>
      </c>
      <c r="U20" s="405" t="s">
        <v>18</v>
      </c>
      <c r="V20" s="406" t="s">
        <v>91</v>
      </c>
    </row>
    <row r="21" spans="1:22" x14ac:dyDescent="0.35">
      <c r="A21" s="658" t="s">
        <v>262</v>
      </c>
      <c r="B21" s="599">
        <v>28</v>
      </c>
      <c r="C21" s="599">
        <v>2010</v>
      </c>
      <c r="D21" s="599"/>
      <c r="E21" s="599"/>
      <c r="F21" s="599"/>
      <c r="G21" s="599"/>
      <c r="H21" s="674" t="s">
        <v>431</v>
      </c>
      <c r="I21" s="677"/>
      <c r="J21" s="681"/>
      <c r="K21" s="684">
        <f>'US CBAs'!$B$4</f>
        <v>62500</v>
      </c>
      <c r="L21" s="681">
        <v>18</v>
      </c>
      <c r="M21" s="688"/>
      <c r="N21" s="681"/>
      <c r="O21" s="602">
        <f t="shared" si="0"/>
        <v>1125000</v>
      </c>
      <c r="P21" s="688"/>
      <c r="Q21" s="602">
        <f t="shared" si="1"/>
        <v>1125000</v>
      </c>
      <c r="S21" s="344" t="s">
        <v>217</v>
      </c>
      <c r="T21" s="340">
        <f>'US CBAs'!$F$16</f>
        <v>15000</v>
      </c>
      <c r="U21" s="345">
        <v>23</v>
      </c>
      <c r="V21" s="340">
        <f>T21*U21</f>
        <v>345000</v>
      </c>
    </row>
    <row r="22" spans="1:22" x14ac:dyDescent="0.35">
      <c r="A22" s="658" t="s">
        <v>262</v>
      </c>
      <c r="B22" s="599">
        <v>29</v>
      </c>
      <c r="C22" s="599">
        <v>2010</v>
      </c>
      <c r="D22" s="599"/>
      <c r="E22" s="599"/>
      <c r="F22" s="599"/>
      <c r="G22" s="599"/>
      <c r="H22" s="674" t="s">
        <v>432</v>
      </c>
      <c r="I22" s="677"/>
      <c r="J22" s="681"/>
      <c r="K22" s="684">
        <f>'US CBAs'!$B$5</f>
        <v>43740</v>
      </c>
      <c r="L22" s="681">
        <v>4</v>
      </c>
      <c r="M22" s="688"/>
      <c r="N22" s="681"/>
      <c r="O22" s="602">
        <f t="shared" si="0"/>
        <v>174960</v>
      </c>
      <c r="P22" s="688"/>
      <c r="Q22" s="602">
        <f t="shared" si="1"/>
        <v>174960</v>
      </c>
      <c r="S22" s="344" t="s">
        <v>456</v>
      </c>
      <c r="T22" s="340">
        <f>'US CBAs'!$F$36</f>
        <v>75000</v>
      </c>
      <c r="U22" s="345">
        <v>23</v>
      </c>
      <c r="V22" s="340">
        <f>T22*U22</f>
        <v>1725000</v>
      </c>
    </row>
    <row r="23" spans="1:22" x14ac:dyDescent="0.35">
      <c r="A23" s="658" t="s">
        <v>262</v>
      </c>
      <c r="B23" s="599">
        <v>30</v>
      </c>
      <c r="C23" s="599">
        <v>2010</v>
      </c>
      <c r="D23" s="599"/>
      <c r="E23" s="599"/>
      <c r="F23" s="599"/>
      <c r="G23" s="599"/>
      <c r="H23" s="674" t="s">
        <v>433</v>
      </c>
      <c r="I23" s="677"/>
      <c r="J23" s="681"/>
      <c r="K23" s="684">
        <f>'US CBAs'!$B$6</f>
        <v>31250</v>
      </c>
      <c r="L23" s="681">
        <v>2</v>
      </c>
      <c r="M23" s="688"/>
      <c r="N23" s="681"/>
      <c r="O23" s="602">
        <f t="shared" si="0"/>
        <v>62500</v>
      </c>
      <c r="P23" s="688"/>
      <c r="Q23" s="602">
        <f t="shared" si="1"/>
        <v>62500</v>
      </c>
      <c r="S23" s="344" t="s">
        <v>454</v>
      </c>
      <c r="T23" s="340"/>
      <c r="U23" s="345"/>
      <c r="V23" s="340">
        <f>'US CBAs'!$G$44</f>
        <v>1800000</v>
      </c>
    </row>
    <row r="24" spans="1:22" x14ac:dyDescent="0.35">
      <c r="A24" s="658" t="s">
        <v>262</v>
      </c>
      <c r="B24" s="599">
        <v>31</v>
      </c>
      <c r="C24" s="599">
        <v>2010</v>
      </c>
      <c r="D24" s="599"/>
      <c r="E24" s="599"/>
      <c r="F24" s="599"/>
      <c r="G24" s="599"/>
      <c r="H24" s="674" t="s">
        <v>434</v>
      </c>
      <c r="I24" s="677"/>
      <c r="J24" s="681"/>
      <c r="K24" s="684"/>
      <c r="L24" s="681"/>
      <c r="M24" s="688">
        <f>'US CBAs'!$B$8</f>
        <v>313</v>
      </c>
      <c r="N24" s="681">
        <v>20</v>
      </c>
      <c r="O24" s="602">
        <f>(M24*N24)</f>
        <v>6260</v>
      </c>
      <c r="P24" s="688"/>
      <c r="Q24" s="602">
        <f t="shared" si="1"/>
        <v>6260</v>
      </c>
      <c r="S24" s="341" t="s">
        <v>90</v>
      </c>
      <c r="T24" s="330"/>
      <c r="U24" s="345"/>
      <c r="V24" s="316">
        <f>SUM($V21:$V23)</f>
        <v>3870000</v>
      </c>
    </row>
    <row r="25" spans="1:22" x14ac:dyDescent="0.35">
      <c r="A25" s="598" t="s">
        <v>191</v>
      </c>
      <c r="B25" s="599">
        <v>21</v>
      </c>
      <c r="C25" s="599">
        <v>2011</v>
      </c>
      <c r="D25" s="599" t="s">
        <v>26</v>
      </c>
      <c r="E25" s="599" t="s">
        <v>220</v>
      </c>
      <c r="F25" s="599"/>
      <c r="G25" s="599" t="s">
        <v>33</v>
      </c>
      <c r="H25" s="599" t="s">
        <v>25</v>
      </c>
      <c r="I25" s="606">
        <v>10000</v>
      </c>
      <c r="J25" s="599" t="s">
        <v>218</v>
      </c>
      <c r="K25" s="600">
        <f>IF(G25="W",'US CBAs'!$B$19,0)</f>
        <v>0</v>
      </c>
      <c r="L25" s="599">
        <v>17</v>
      </c>
      <c r="M25" s="601">
        <f>'US CBAs'!$B$12+IF(G25="W",'US CBAs'!$B$19,0)</f>
        <v>1250</v>
      </c>
      <c r="N25" s="599">
        <v>1</v>
      </c>
      <c r="O25" s="602">
        <f t="shared" ref="O25:O47" si="2">(K25*L25)+(M25*N25)</f>
        <v>1250</v>
      </c>
      <c r="P25" s="601">
        <v>0</v>
      </c>
      <c r="Q25" s="602">
        <f t="shared" si="1"/>
        <v>1250</v>
      </c>
      <c r="S25" s="404" t="s">
        <v>389</v>
      </c>
      <c r="T25" s="405" t="s">
        <v>6</v>
      </c>
      <c r="U25" s="405" t="s">
        <v>18</v>
      </c>
      <c r="V25" s="406" t="s">
        <v>91</v>
      </c>
    </row>
    <row r="26" spans="1:22" x14ac:dyDescent="0.35">
      <c r="A26" s="598" t="s">
        <v>191</v>
      </c>
      <c r="B26" s="599">
        <v>23</v>
      </c>
      <c r="C26" s="599">
        <v>2011</v>
      </c>
      <c r="D26" s="599" t="s">
        <v>29</v>
      </c>
      <c r="E26" s="599" t="s">
        <v>220</v>
      </c>
      <c r="F26" s="599"/>
      <c r="G26" s="599" t="s">
        <v>20</v>
      </c>
      <c r="H26" s="599" t="s">
        <v>25</v>
      </c>
      <c r="I26" s="606">
        <v>7000</v>
      </c>
      <c r="J26" s="599" t="s">
        <v>218</v>
      </c>
      <c r="K26" s="600">
        <f>IF(G26="W",'US CBAs'!$B$19,0)</f>
        <v>1250</v>
      </c>
      <c r="L26" s="599">
        <v>17</v>
      </c>
      <c r="M26" s="601">
        <f>'US CBAs'!$B$12+IF(G26="W",'US CBAs'!$B$19,0)</f>
        <v>2500</v>
      </c>
      <c r="N26" s="599">
        <v>1</v>
      </c>
      <c r="O26" s="602">
        <f t="shared" si="2"/>
        <v>23750</v>
      </c>
      <c r="P26" s="601">
        <v>0</v>
      </c>
      <c r="Q26" s="602">
        <f t="shared" si="1"/>
        <v>23750</v>
      </c>
      <c r="S26" s="79" t="s">
        <v>443</v>
      </c>
      <c r="T26" s="228">
        <f>'US CBAs'!$F$31</f>
        <v>15000</v>
      </c>
      <c r="U26" s="328">
        <v>19</v>
      </c>
      <c r="V26" s="252">
        <f>T26*U26</f>
        <v>285000</v>
      </c>
    </row>
    <row r="27" spans="1:22" ht="13.15" thickBot="1" x14ac:dyDescent="0.4">
      <c r="A27" s="598" t="s">
        <v>191</v>
      </c>
      <c r="B27" s="599">
        <v>25</v>
      </c>
      <c r="C27" s="599">
        <v>2011</v>
      </c>
      <c r="D27" s="599" t="s">
        <v>25</v>
      </c>
      <c r="E27" s="599" t="s">
        <v>220</v>
      </c>
      <c r="F27" s="599"/>
      <c r="G27" s="599" t="s">
        <v>20</v>
      </c>
      <c r="H27" s="599" t="s">
        <v>25</v>
      </c>
      <c r="I27" s="606">
        <v>12000</v>
      </c>
      <c r="J27" s="599" t="s">
        <v>218</v>
      </c>
      <c r="K27" s="600">
        <f>IF(G27="W",'US CBAs'!$B$19,0)</f>
        <v>1250</v>
      </c>
      <c r="L27" s="599">
        <v>17</v>
      </c>
      <c r="M27" s="601">
        <f>'US CBAs'!$B$12+IF(G27="W",'US CBAs'!$B$19,0)</f>
        <v>2500</v>
      </c>
      <c r="N27" s="599">
        <v>1</v>
      </c>
      <c r="O27" s="602">
        <f t="shared" si="2"/>
        <v>23750</v>
      </c>
      <c r="P27" s="601">
        <v>0</v>
      </c>
      <c r="Q27" s="602">
        <f t="shared" si="1"/>
        <v>23750</v>
      </c>
      <c r="S27" s="322" t="s">
        <v>336</v>
      </c>
      <c r="T27" s="325">
        <f>'US CBAs'!$F$17</f>
        <v>15000</v>
      </c>
      <c r="U27" s="326">
        <v>20</v>
      </c>
      <c r="V27" s="252">
        <f>T27*U27</f>
        <v>300000</v>
      </c>
    </row>
    <row r="28" spans="1:22" ht="13.15" thickTop="1" x14ac:dyDescent="0.35">
      <c r="A28" s="582" t="s">
        <v>221</v>
      </c>
      <c r="B28" s="583">
        <v>2</v>
      </c>
      <c r="C28" s="583">
        <v>2011</v>
      </c>
      <c r="D28" s="583" t="s">
        <v>50</v>
      </c>
      <c r="E28" s="583" t="s">
        <v>220</v>
      </c>
      <c r="F28" s="583"/>
      <c r="G28" s="583" t="s">
        <v>20</v>
      </c>
      <c r="H28" s="583" t="s">
        <v>82</v>
      </c>
      <c r="I28" s="583">
        <v>350</v>
      </c>
      <c r="J28" s="583" t="s">
        <v>218</v>
      </c>
      <c r="K28" s="584">
        <f>IF(G28="W",'US CBAs'!$B$19,0)</f>
        <v>1250</v>
      </c>
      <c r="L28" s="583">
        <v>17</v>
      </c>
      <c r="M28" s="585">
        <f>'US CBAs'!$B$12+IF(G28="W",'US CBAs'!$B$19,0)</f>
        <v>2500</v>
      </c>
      <c r="N28" s="583">
        <v>1</v>
      </c>
      <c r="O28" s="586">
        <f t="shared" si="2"/>
        <v>23750</v>
      </c>
      <c r="P28" s="585">
        <v>0</v>
      </c>
      <c r="Q28" s="586">
        <f t="shared" si="1"/>
        <v>23750</v>
      </c>
      <c r="S28" s="79" t="s">
        <v>90</v>
      </c>
      <c r="V28" s="316">
        <f>SUM($V26:$V27)</f>
        <v>585000</v>
      </c>
    </row>
    <row r="29" spans="1:22" x14ac:dyDescent="0.35">
      <c r="A29" s="587" t="s">
        <v>221</v>
      </c>
      <c r="B29" s="587">
        <v>4</v>
      </c>
      <c r="C29" s="587">
        <v>2011</v>
      </c>
      <c r="D29" s="587" t="s">
        <v>62</v>
      </c>
      <c r="E29" s="587" t="s">
        <v>220</v>
      </c>
      <c r="F29" s="587"/>
      <c r="G29" s="587" t="s">
        <v>20</v>
      </c>
      <c r="H29" s="587" t="s">
        <v>82</v>
      </c>
      <c r="I29" s="588">
        <v>400</v>
      </c>
      <c r="J29" s="587" t="s">
        <v>218</v>
      </c>
      <c r="K29" s="589">
        <f>IF(G29="W",'US CBAs'!$B$19,0)</f>
        <v>1250</v>
      </c>
      <c r="L29" s="587">
        <v>17</v>
      </c>
      <c r="M29" s="590">
        <f>'US CBAs'!$B$12+IF(G29="W",'US CBAs'!$B$19,0)</f>
        <v>2500</v>
      </c>
      <c r="N29" s="587">
        <v>1</v>
      </c>
      <c r="O29" s="591">
        <f t="shared" si="2"/>
        <v>23750</v>
      </c>
      <c r="P29" s="592">
        <v>0</v>
      </c>
      <c r="Q29" s="591">
        <f t="shared" si="1"/>
        <v>23750</v>
      </c>
      <c r="S29" s="404" t="s">
        <v>388</v>
      </c>
      <c r="T29" s="405" t="s">
        <v>6</v>
      </c>
      <c r="U29" s="405" t="s">
        <v>18</v>
      </c>
      <c r="V29" s="406" t="s">
        <v>91</v>
      </c>
    </row>
    <row r="30" spans="1:22" x14ac:dyDescent="0.35">
      <c r="A30" s="587" t="s">
        <v>221</v>
      </c>
      <c r="B30" s="587">
        <v>7</v>
      </c>
      <c r="C30" s="587">
        <v>2011</v>
      </c>
      <c r="D30" s="587" t="s">
        <v>265</v>
      </c>
      <c r="E30" s="587" t="s">
        <v>220</v>
      </c>
      <c r="F30" s="587"/>
      <c r="G30" s="587" t="s">
        <v>20</v>
      </c>
      <c r="H30" s="587" t="s">
        <v>82</v>
      </c>
      <c r="I30" s="588">
        <v>250</v>
      </c>
      <c r="J30" s="587" t="s">
        <v>218</v>
      </c>
      <c r="K30" s="589">
        <f>IF(G30="W",'US CBAs'!$B$19,0)</f>
        <v>1250</v>
      </c>
      <c r="L30" s="587">
        <v>17</v>
      </c>
      <c r="M30" s="590">
        <f>'US CBAs'!$B$12+IF(G30="W",'US CBAs'!$B$19,0)</f>
        <v>2500</v>
      </c>
      <c r="N30" s="587">
        <v>1</v>
      </c>
      <c r="O30" s="591">
        <f t="shared" si="2"/>
        <v>23750</v>
      </c>
      <c r="P30" s="592">
        <v>0</v>
      </c>
      <c r="Q30" s="591">
        <f t="shared" si="1"/>
        <v>23750</v>
      </c>
      <c r="S30" s="434" t="s">
        <v>457</v>
      </c>
      <c r="T30" s="79"/>
      <c r="U30" s="79"/>
      <c r="V30" s="203">
        <f>'US CBAs'!$G$52</f>
        <v>425000</v>
      </c>
    </row>
    <row r="31" spans="1:22" x14ac:dyDescent="0.35">
      <c r="A31" s="587" t="s">
        <v>221</v>
      </c>
      <c r="B31" s="587">
        <v>9</v>
      </c>
      <c r="C31" s="587">
        <v>2011</v>
      </c>
      <c r="D31" s="587" t="s">
        <v>23</v>
      </c>
      <c r="E31" s="587" t="s">
        <v>220</v>
      </c>
      <c r="F31" s="587"/>
      <c r="G31" s="587" t="s">
        <v>20</v>
      </c>
      <c r="H31" s="587" t="s">
        <v>82</v>
      </c>
      <c r="I31" s="636">
        <v>1500</v>
      </c>
      <c r="J31" s="587" t="s">
        <v>218</v>
      </c>
      <c r="K31" s="589">
        <f>IF(G31="W",'US CBAs'!$B$19,0)</f>
        <v>1250</v>
      </c>
      <c r="L31" s="587">
        <v>17</v>
      </c>
      <c r="M31" s="590">
        <f>'US CBAs'!$B$12+IF(G31="W",'US CBAs'!$B$19,0)</f>
        <v>2500</v>
      </c>
      <c r="N31" s="587">
        <v>1</v>
      </c>
      <c r="O31" s="591">
        <f t="shared" si="2"/>
        <v>23750</v>
      </c>
      <c r="P31" s="590">
        <v>0</v>
      </c>
      <c r="Q31" s="591">
        <f t="shared" si="1"/>
        <v>23750</v>
      </c>
      <c r="S31" s="253" t="s">
        <v>90</v>
      </c>
      <c r="T31" s="325"/>
      <c r="U31" s="326"/>
      <c r="V31" s="257">
        <f>V30</f>
        <v>425000</v>
      </c>
    </row>
    <row r="32" spans="1:22" ht="13.15" thickBot="1" x14ac:dyDescent="0.4">
      <c r="A32" s="587" t="s">
        <v>240</v>
      </c>
      <c r="B32" s="594">
        <v>2</v>
      </c>
      <c r="C32" s="594">
        <v>2011</v>
      </c>
      <c r="D32" s="594" t="s">
        <v>61</v>
      </c>
      <c r="E32" s="594" t="s">
        <v>220</v>
      </c>
      <c r="F32" s="594"/>
      <c r="G32" s="594" t="s">
        <v>33</v>
      </c>
      <c r="H32" s="594" t="s">
        <v>61</v>
      </c>
      <c r="I32" s="610">
        <v>5801</v>
      </c>
      <c r="J32" s="594" t="s">
        <v>218</v>
      </c>
      <c r="K32" s="595">
        <f>IF(G32="W",'US CBAs'!$B$19,0)</f>
        <v>0</v>
      </c>
      <c r="L32" s="594">
        <v>17</v>
      </c>
      <c r="M32" s="596">
        <f>'US CBAs'!$B$12+IF(G32="W",'US CBAs'!$B$19,0)</f>
        <v>1250</v>
      </c>
      <c r="N32" s="594">
        <v>1</v>
      </c>
      <c r="O32" s="597">
        <f t="shared" si="2"/>
        <v>1250</v>
      </c>
      <c r="P32" s="596">
        <v>0</v>
      </c>
      <c r="Q32" s="597">
        <f t="shared" si="1"/>
        <v>1250</v>
      </c>
      <c r="S32" s="404" t="s">
        <v>452</v>
      </c>
      <c r="T32" s="405" t="s">
        <v>6</v>
      </c>
      <c r="U32" s="405" t="s">
        <v>18</v>
      </c>
      <c r="V32" s="406" t="s">
        <v>91</v>
      </c>
    </row>
    <row r="33" spans="1:22" ht="13.15" thickTop="1" x14ac:dyDescent="0.35">
      <c r="A33" s="617" t="s">
        <v>186</v>
      </c>
      <c r="B33" s="618">
        <v>14</v>
      </c>
      <c r="C33" s="618">
        <v>2011</v>
      </c>
      <c r="D33" s="618" t="s">
        <v>50</v>
      </c>
      <c r="E33" s="618" t="s">
        <v>220</v>
      </c>
      <c r="F33" s="618"/>
      <c r="G33" s="618" t="s">
        <v>20</v>
      </c>
      <c r="H33" s="618" t="s">
        <v>495</v>
      </c>
      <c r="I33" s="619">
        <v>5234</v>
      </c>
      <c r="J33" s="618" t="s">
        <v>218</v>
      </c>
      <c r="K33" s="620">
        <f>IF(G33="W",'US CBAs'!$B$19,0)</f>
        <v>1250</v>
      </c>
      <c r="L33" s="618">
        <v>17</v>
      </c>
      <c r="M33" s="621">
        <f>'US CBAs'!$B$12+IF(G33="W",'US CBAs'!$B$19,0)</f>
        <v>2500</v>
      </c>
      <c r="N33" s="618">
        <v>1</v>
      </c>
      <c r="O33" s="622">
        <f t="shared" si="2"/>
        <v>23750</v>
      </c>
      <c r="P33" s="621">
        <v>0</v>
      </c>
      <c r="Q33" s="622">
        <f t="shared" si="1"/>
        <v>23750</v>
      </c>
      <c r="S33" s="79" t="s">
        <v>428</v>
      </c>
      <c r="T33" s="228">
        <f>'US CBAs'!$J$25</f>
        <v>5000</v>
      </c>
      <c r="U33" s="328">
        <v>22</v>
      </c>
      <c r="V33" s="252">
        <f>T33*U33</f>
        <v>110000</v>
      </c>
    </row>
    <row r="34" spans="1:22" s="79" customFormat="1" x14ac:dyDescent="0.35">
      <c r="A34" s="598" t="s">
        <v>186</v>
      </c>
      <c r="B34" s="599">
        <v>18</v>
      </c>
      <c r="C34" s="599">
        <v>2011</v>
      </c>
      <c r="D34" s="599" t="s">
        <v>50</v>
      </c>
      <c r="E34" s="599" t="s">
        <v>220</v>
      </c>
      <c r="F34" s="599"/>
      <c r="G34" s="599" t="s">
        <v>20</v>
      </c>
      <c r="H34" s="599" t="s">
        <v>502</v>
      </c>
      <c r="I34" s="606">
        <v>5323</v>
      </c>
      <c r="J34" s="599" t="s">
        <v>218</v>
      </c>
      <c r="K34" s="600">
        <f>IF(G34="W",'US CBAs'!$B$19,0)</f>
        <v>1250</v>
      </c>
      <c r="L34" s="599">
        <v>17</v>
      </c>
      <c r="M34" s="601">
        <f>'US CBAs'!$B$12+IF(G34="W",'US CBAs'!$B$19,0)</f>
        <v>2500</v>
      </c>
      <c r="N34" s="599">
        <v>1</v>
      </c>
      <c r="O34" s="602">
        <f t="shared" si="2"/>
        <v>23750</v>
      </c>
      <c r="P34" s="601">
        <v>0</v>
      </c>
      <c r="Q34" s="602">
        <f t="shared" si="1"/>
        <v>23750</v>
      </c>
      <c r="R34" s="691"/>
      <c r="S34" s="322" t="s">
        <v>429</v>
      </c>
      <c r="T34" s="252">
        <f>'US CBAs'!$J$25</f>
        <v>5000</v>
      </c>
      <c r="U34" s="326">
        <v>22</v>
      </c>
      <c r="V34" s="252">
        <f>T34*U34</f>
        <v>110000</v>
      </c>
    </row>
    <row r="35" spans="1:22" s="79" customFormat="1" x14ac:dyDescent="0.35">
      <c r="A35" s="611" t="s">
        <v>223</v>
      </c>
      <c r="B35" s="612">
        <v>5</v>
      </c>
      <c r="C35" s="612">
        <v>2011</v>
      </c>
      <c r="D35" s="612" t="s">
        <v>35</v>
      </c>
      <c r="E35" s="612" t="s">
        <v>220</v>
      </c>
      <c r="F35" s="612"/>
      <c r="G35" s="612" t="s">
        <v>20</v>
      </c>
      <c r="H35" s="612" t="s">
        <v>485</v>
      </c>
      <c r="I35" s="613">
        <v>5852</v>
      </c>
      <c r="J35" s="612" t="s">
        <v>218</v>
      </c>
      <c r="K35" s="614">
        <f>IF(G35="W",'US CBAs'!$B$19,0)</f>
        <v>1250</v>
      </c>
      <c r="L35" s="612">
        <v>17</v>
      </c>
      <c r="M35" s="615">
        <f>'US CBAs'!$B$12+IF(G35="W",'US CBAs'!$B$19,0)</f>
        <v>2500</v>
      </c>
      <c r="N35" s="612">
        <v>1</v>
      </c>
      <c r="O35" s="616">
        <f t="shared" si="2"/>
        <v>23750</v>
      </c>
      <c r="P35" s="615">
        <v>0</v>
      </c>
      <c r="Q35" s="616">
        <f t="shared" si="1"/>
        <v>23750</v>
      </c>
      <c r="R35" s="691"/>
      <c r="S35" s="322" t="s">
        <v>233</v>
      </c>
      <c r="T35" s="325">
        <f>'US CBAs'!$J$30</f>
        <v>37500</v>
      </c>
      <c r="U35" s="326">
        <v>19</v>
      </c>
      <c r="V35" s="252">
        <f>T35*U35</f>
        <v>712500</v>
      </c>
    </row>
    <row r="36" spans="1:22" s="79" customFormat="1" x14ac:dyDescent="0.35">
      <c r="A36" s="598" t="s">
        <v>223</v>
      </c>
      <c r="B36" s="599">
        <v>28</v>
      </c>
      <c r="C36" s="599">
        <v>2011</v>
      </c>
      <c r="D36" s="599" t="s">
        <v>52</v>
      </c>
      <c r="E36" s="599" t="s">
        <v>1</v>
      </c>
      <c r="F36" s="599"/>
      <c r="G36" s="599" t="s">
        <v>20</v>
      </c>
      <c r="H36" s="599" t="s">
        <v>27</v>
      </c>
      <c r="I36" s="606">
        <v>21859</v>
      </c>
      <c r="J36" s="599" t="s">
        <v>218</v>
      </c>
      <c r="K36" s="600">
        <f>IF(G36="W",'US CBAs'!$B$19,0)</f>
        <v>1250</v>
      </c>
      <c r="L36" s="599">
        <v>21</v>
      </c>
      <c r="M36" s="601">
        <f>'US CBAs'!$B$12+IF(G36="W",'US CBAs'!$B$19,0)</f>
        <v>2500</v>
      </c>
      <c r="N36" s="599">
        <v>0</v>
      </c>
      <c r="O36" s="602">
        <f t="shared" si="2"/>
        <v>26250</v>
      </c>
      <c r="P36" s="601">
        <v>0</v>
      </c>
      <c r="Q36" s="602">
        <f t="shared" si="1"/>
        <v>26250</v>
      </c>
      <c r="R36" s="691"/>
      <c r="S36" s="47" t="s">
        <v>90</v>
      </c>
      <c r="T36" s="39"/>
      <c r="U36" s="39"/>
      <c r="V36" s="316">
        <f>SUM($V33:$V35)</f>
        <v>932500</v>
      </c>
    </row>
    <row r="37" spans="1:22" s="79" customFormat="1" x14ac:dyDescent="0.35">
      <c r="A37" s="598" t="s">
        <v>230</v>
      </c>
      <c r="B37" s="599">
        <v>2</v>
      </c>
      <c r="C37" s="599">
        <v>2011</v>
      </c>
      <c r="D37" s="599" t="s">
        <v>64</v>
      </c>
      <c r="E37" s="599" t="s">
        <v>1</v>
      </c>
      <c r="F37" s="599"/>
      <c r="G37" s="599" t="s">
        <v>20</v>
      </c>
      <c r="H37" s="599" t="s">
        <v>27</v>
      </c>
      <c r="I37" s="606">
        <v>25475</v>
      </c>
      <c r="J37" s="599" t="s">
        <v>218</v>
      </c>
      <c r="K37" s="600">
        <f>IF(G37="W",'US CBAs'!$B$19,0)</f>
        <v>1250</v>
      </c>
      <c r="L37" s="599">
        <v>21</v>
      </c>
      <c r="M37" s="601">
        <f>'US CBAs'!$B$12+IF(G37="W",'US CBAs'!$B$19,0)</f>
        <v>2500</v>
      </c>
      <c r="N37" s="599">
        <v>0</v>
      </c>
      <c r="O37" s="602">
        <f t="shared" si="2"/>
        <v>26250</v>
      </c>
      <c r="P37" s="601">
        <v>0</v>
      </c>
      <c r="Q37" s="602">
        <f t="shared" si="1"/>
        <v>26250</v>
      </c>
      <c r="R37" s="691"/>
      <c r="S37" s="404" t="s">
        <v>568</v>
      </c>
      <c r="T37" s="405" t="s">
        <v>6</v>
      </c>
      <c r="U37" s="405" t="s">
        <v>18</v>
      </c>
      <c r="V37" s="406" t="s">
        <v>91</v>
      </c>
    </row>
    <row r="38" spans="1:22" s="79" customFormat="1" x14ac:dyDescent="0.35">
      <c r="A38" s="598" t="s">
        <v>230</v>
      </c>
      <c r="B38" s="599">
        <v>6</v>
      </c>
      <c r="C38" s="599">
        <v>2011</v>
      </c>
      <c r="D38" s="599" t="s">
        <v>26</v>
      </c>
      <c r="E38" s="599" t="s">
        <v>1</v>
      </c>
      <c r="F38" s="599"/>
      <c r="G38" s="599" t="s">
        <v>33</v>
      </c>
      <c r="H38" s="599" t="s">
        <v>27</v>
      </c>
      <c r="I38" s="606">
        <v>23468</v>
      </c>
      <c r="J38" s="599" t="s">
        <v>218</v>
      </c>
      <c r="K38" s="600">
        <f>IF(G38="W",'US CBAs'!$B$19,0)</f>
        <v>0</v>
      </c>
      <c r="L38" s="599">
        <v>21</v>
      </c>
      <c r="M38" s="601">
        <f>'US CBAs'!$B$12+IF(G38="W",'US CBAs'!$B$19,0)</f>
        <v>1250</v>
      </c>
      <c r="N38" s="599">
        <v>0</v>
      </c>
      <c r="O38" s="602">
        <f t="shared" si="2"/>
        <v>0</v>
      </c>
      <c r="P38" s="601">
        <v>0</v>
      </c>
      <c r="Q38" s="602">
        <f t="shared" si="1"/>
        <v>0</v>
      </c>
      <c r="R38" s="691"/>
      <c r="S38" s="322" t="s">
        <v>289</v>
      </c>
      <c r="T38" s="252">
        <f>'US CBAs'!$J$16</f>
        <v>37500</v>
      </c>
      <c r="U38" s="326">
        <v>23</v>
      </c>
      <c r="V38" s="252">
        <f>T38*U38</f>
        <v>862500</v>
      </c>
    </row>
    <row r="39" spans="1:22" s="79" customFormat="1" x14ac:dyDescent="0.35">
      <c r="A39" s="598" t="s">
        <v>230</v>
      </c>
      <c r="B39" s="599">
        <v>10</v>
      </c>
      <c r="C39" s="599">
        <v>2011</v>
      </c>
      <c r="D39" s="603" t="s">
        <v>424</v>
      </c>
      <c r="E39" s="599" t="s">
        <v>1</v>
      </c>
      <c r="F39" s="599"/>
      <c r="G39" s="599" t="s">
        <v>83</v>
      </c>
      <c r="H39" s="599" t="s">
        <v>27</v>
      </c>
      <c r="I39" s="606">
        <v>25598</v>
      </c>
      <c r="J39" s="599" t="s">
        <v>218</v>
      </c>
      <c r="K39" s="600">
        <f>IF(G39="W",'US CBAs'!$B$19,0)</f>
        <v>0</v>
      </c>
      <c r="L39" s="599">
        <v>21</v>
      </c>
      <c r="M39" s="601">
        <f>'US CBAs'!$B$12+IF(G39="W",'US CBAs'!$B$19,0)</f>
        <v>1250</v>
      </c>
      <c r="N39" s="599">
        <v>0</v>
      </c>
      <c r="O39" s="602">
        <f t="shared" si="2"/>
        <v>0</v>
      </c>
      <c r="P39" s="601">
        <v>0</v>
      </c>
      <c r="Q39" s="602">
        <f t="shared" si="1"/>
        <v>0</v>
      </c>
      <c r="R39" s="691"/>
      <c r="S39" s="322" t="s">
        <v>569</v>
      </c>
      <c r="T39" s="325"/>
      <c r="U39" s="326"/>
      <c r="V39" s="252">
        <f>'US CBAs'!$K$36</f>
        <v>2530000</v>
      </c>
    </row>
    <row r="40" spans="1:22" s="79" customFormat="1" x14ac:dyDescent="0.35">
      <c r="A40" s="598" t="s">
        <v>230</v>
      </c>
      <c r="B40" s="599">
        <v>13</v>
      </c>
      <c r="C40" s="599">
        <v>2011</v>
      </c>
      <c r="D40" s="599" t="s">
        <v>53</v>
      </c>
      <c r="E40" s="599" t="s">
        <v>1</v>
      </c>
      <c r="F40" s="599"/>
      <c r="G40" s="599" t="s">
        <v>20</v>
      </c>
      <c r="H40" s="599" t="s">
        <v>27</v>
      </c>
      <c r="I40" s="606">
        <v>25676</v>
      </c>
      <c r="J40" s="599" t="s">
        <v>218</v>
      </c>
      <c r="K40" s="600">
        <f>IF(G40="W",'US CBAs'!$B$19,0)</f>
        <v>1250</v>
      </c>
      <c r="L40" s="599">
        <v>21</v>
      </c>
      <c r="M40" s="601">
        <f>'US CBAs'!$B$12+IF(G40="W",'US CBAs'!$B$19,0)</f>
        <v>2500</v>
      </c>
      <c r="N40" s="599">
        <v>0</v>
      </c>
      <c r="O40" s="602">
        <f t="shared" si="2"/>
        <v>26250</v>
      </c>
      <c r="P40" s="601">
        <v>0</v>
      </c>
      <c r="Q40" s="602">
        <f t="shared" si="1"/>
        <v>26250</v>
      </c>
      <c r="R40" s="691"/>
      <c r="S40" s="79" t="s">
        <v>454</v>
      </c>
      <c r="V40" s="252">
        <f>'US CBAs'!$K$44</f>
        <v>1400000</v>
      </c>
    </row>
    <row r="41" spans="1:22" s="79" customFormat="1" x14ac:dyDescent="0.35">
      <c r="A41" s="598" t="s">
        <v>230</v>
      </c>
      <c r="B41" s="599">
        <v>17</v>
      </c>
      <c r="C41" s="599">
        <v>2011</v>
      </c>
      <c r="D41" s="603" t="s">
        <v>425</v>
      </c>
      <c r="E41" s="599" t="s">
        <v>1</v>
      </c>
      <c r="F41" s="599"/>
      <c r="G41" s="599" t="s">
        <v>83</v>
      </c>
      <c r="H41" s="599" t="s">
        <v>27</v>
      </c>
      <c r="I41" s="606">
        <v>48817</v>
      </c>
      <c r="J41" s="599" t="s">
        <v>218</v>
      </c>
      <c r="K41" s="600">
        <f>IF(G41="W",'US CBAs'!$B$19,0)</f>
        <v>0</v>
      </c>
      <c r="L41" s="599">
        <v>21</v>
      </c>
      <c r="M41" s="601">
        <f>'US CBAs'!$B$12+IF(G41="W",'US CBAs'!$B$19,0)</f>
        <v>1250</v>
      </c>
      <c r="N41" s="599">
        <v>0</v>
      </c>
      <c r="O41" s="602">
        <f t="shared" si="2"/>
        <v>0</v>
      </c>
      <c r="P41" s="601">
        <v>0</v>
      </c>
      <c r="Q41" s="602">
        <f t="shared" si="1"/>
        <v>0</v>
      </c>
      <c r="R41" s="691"/>
      <c r="S41" s="79" t="s">
        <v>570</v>
      </c>
      <c r="T41" s="39"/>
      <c r="U41" s="39"/>
      <c r="V41" s="318">
        <f>V40/4</f>
        <v>350000</v>
      </c>
    </row>
    <row r="42" spans="1:22" s="79" customFormat="1" x14ac:dyDescent="0.35">
      <c r="A42" s="611" t="s">
        <v>222</v>
      </c>
      <c r="B42" s="612">
        <v>17</v>
      </c>
      <c r="C42" s="612">
        <v>2011</v>
      </c>
      <c r="D42" s="612" t="s">
        <v>29</v>
      </c>
      <c r="E42" s="612" t="s">
        <v>220</v>
      </c>
      <c r="F42" s="612"/>
      <c r="G42" s="612" t="s">
        <v>83</v>
      </c>
      <c r="H42" s="612" t="s">
        <v>504</v>
      </c>
      <c r="I42" s="613">
        <v>16191</v>
      </c>
      <c r="J42" s="612" t="s">
        <v>218</v>
      </c>
      <c r="K42" s="614">
        <f>IF(G42="W",'US CBAs'!$B$19,0)</f>
        <v>0</v>
      </c>
      <c r="L42" s="612">
        <v>21</v>
      </c>
      <c r="M42" s="615">
        <f>'US CBAs'!$B$12+IF(G42="W",'US CBAs'!$B$19,0)</f>
        <v>1250</v>
      </c>
      <c r="N42" s="612">
        <v>0</v>
      </c>
      <c r="O42" s="616">
        <f t="shared" si="2"/>
        <v>0</v>
      </c>
      <c r="P42" s="615">
        <v>0</v>
      </c>
      <c r="Q42" s="616">
        <f t="shared" si="1"/>
        <v>0</v>
      </c>
      <c r="R42" s="691"/>
      <c r="S42" s="47" t="s">
        <v>90</v>
      </c>
      <c r="V42" s="318">
        <f>SUM(V38:V41)</f>
        <v>5142500</v>
      </c>
    </row>
    <row r="43" spans="1:22" s="79" customFormat="1" x14ac:dyDescent="0.35">
      <c r="A43" s="598" t="s">
        <v>222</v>
      </c>
      <c r="B43" s="599">
        <v>22</v>
      </c>
      <c r="C43" s="599">
        <v>2011</v>
      </c>
      <c r="D43" s="599" t="s">
        <v>29</v>
      </c>
      <c r="E43" s="599" t="s">
        <v>220</v>
      </c>
      <c r="F43" s="599"/>
      <c r="G43" s="599" t="s">
        <v>20</v>
      </c>
      <c r="H43" s="599" t="s">
        <v>499</v>
      </c>
      <c r="I43" s="606">
        <v>18570</v>
      </c>
      <c r="J43" s="599" t="s">
        <v>218</v>
      </c>
      <c r="K43" s="600">
        <f>IF(G43="W",'US CBAs'!$B$19,0)</f>
        <v>1250</v>
      </c>
      <c r="L43" s="599">
        <v>21</v>
      </c>
      <c r="M43" s="601">
        <f>'US CBAs'!$B$12+IF(G43="W",'US CBAs'!$B$19,0)</f>
        <v>2500</v>
      </c>
      <c r="N43" s="599">
        <v>0</v>
      </c>
      <c r="O43" s="602">
        <f t="shared" si="2"/>
        <v>26250</v>
      </c>
      <c r="P43" s="601">
        <v>0</v>
      </c>
      <c r="Q43" s="602">
        <f t="shared" si="1"/>
        <v>26250</v>
      </c>
      <c r="R43" s="691"/>
      <c r="S43" s="39"/>
      <c r="T43" s="39"/>
      <c r="U43" s="39"/>
      <c r="V43" s="39"/>
    </row>
    <row r="44" spans="1:22" s="79" customFormat="1" x14ac:dyDescent="0.35">
      <c r="A44" s="598" t="s">
        <v>190</v>
      </c>
      <c r="B44" s="599">
        <v>19</v>
      </c>
      <c r="C44" s="599">
        <v>2011</v>
      </c>
      <c r="D44" s="599" t="s">
        <v>26</v>
      </c>
      <c r="E44" s="599" t="s">
        <v>220</v>
      </c>
      <c r="F44" s="599"/>
      <c r="G44" s="599" t="s">
        <v>83</v>
      </c>
      <c r="H44" s="599" t="s">
        <v>493</v>
      </c>
      <c r="I44" s="606">
        <v>18482</v>
      </c>
      <c r="J44" s="599" t="s">
        <v>218</v>
      </c>
      <c r="K44" s="600">
        <f>IF(G44="W",'US CBAs'!$B$19,0)</f>
        <v>0</v>
      </c>
      <c r="L44" s="599">
        <v>21</v>
      </c>
      <c r="M44" s="601">
        <f>'US CBAs'!$B$12+IF(G44="W",'US CBAs'!$B$19,0)</f>
        <v>1250</v>
      </c>
      <c r="N44" s="599">
        <v>0</v>
      </c>
      <c r="O44" s="602">
        <f t="shared" si="2"/>
        <v>0</v>
      </c>
      <c r="P44" s="601">
        <v>0</v>
      </c>
      <c r="Q44" s="602">
        <f t="shared" si="1"/>
        <v>0</v>
      </c>
      <c r="R44" s="691"/>
      <c r="S44" s="39"/>
      <c r="T44" s="39"/>
      <c r="U44" s="39"/>
      <c r="V44" s="39"/>
    </row>
    <row r="45" spans="1:22" s="79" customFormat="1" x14ac:dyDescent="0.35">
      <c r="A45" s="658" t="s">
        <v>262</v>
      </c>
      <c r="B45" s="599">
        <v>28</v>
      </c>
      <c r="C45" s="599">
        <v>2011</v>
      </c>
      <c r="D45" s="599"/>
      <c r="E45" s="599"/>
      <c r="F45" s="599"/>
      <c r="G45" s="599"/>
      <c r="H45" s="674" t="s">
        <v>431</v>
      </c>
      <c r="I45" s="677"/>
      <c r="J45" s="681"/>
      <c r="K45" s="684">
        <f>'US CBAs'!$B$4</f>
        <v>62500</v>
      </c>
      <c r="L45" s="681">
        <v>18</v>
      </c>
      <c r="M45" s="688"/>
      <c r="N45" s="681"/>
      <c r="O45" s="602">
        <f t="shared" si="2"/>
        <v>1125000</v>
      </c>
      <c r="P45" s="688"/>
      <c r="Q45" s="602">
        <f t="shared" si="1"/>
        <v>1125000</v>
      </c>
      <c r="R45" s="691"/>
      <c r="S45" s="39"/>
      <c r="T45" s="39"/>
      <c r="U45" s="39"/>
      <c r="V45" s="39"/>
    </row>
    <row r="46" spans="1:22" x14ac:dyDescent="0.35">
      <c r="A46" s="658" t="s">
        <v>262</v>
      </c>
      <c r="B46" s="599">
        <v>29</v>
      </c>
      <c r="C46" s="599">
        <v>2011</v>
      </c>
      <c r="D46" s="599"/>
      <c r="E46" s="599"/>
      <c r="F46" s="599"/>
      <c r="G46" s="599"/>
      <c r="H46" s="674" t="s">
        <v>432</v>
      </c>
      <c r="I46" s="677"/>
      <c r="J46" s="681"/>
      <c r="K46" s="684">
        <f>'US CBAs'!$B$5</f>
        <v>43740</v>
      </c>
      <c r="L46" s="681">
        <v>4</v>
      </c>
      <c r="M46" s="688"/>
      <c r="N46" s="681"/>
      <c r="O46" s="602">
        <f t="shared" si="2"/>
        <v>174960</v>
      </c>
      <c r="P46" s="688"/>
      <c r="Q46" s="602">
        <f t="shared" si="1"/>
        <v>174960</v>
      </c>
    </row>
    <row r="47" spans="1:22" x14ac:dyDescent="0.35">
      <c r="A47" s="658" t="s">
        <v>262</v>
      </c>
      <c r="B47" s="599">
        <v>30</v>
      </c>
      <c r="C47" s="599">
        <v>2011</v>
      </c>
      <c r="D47" s="599"/>
      <c r="E47" s="599"/>
      <c r="F47" s="599"/>
      <c r="G47" s="599"/>
      <c r="H47" s="674" t="s">
        <v>433</v>
      </c>
      <c r="I47" s="677"/>
      <c r="J47" s="681"/>
      <c r="K47" s="684">
        <f>'US CBAs'!$B$6</f>
        <v>31250</v>
      </c>
      <c r="L47" s="681">
        <v>2</v>
      </c>
      <c r="M47" s="688"/>
      <c r="N47" s="681"/>
      <c r="O47" s="602">
        <f t="shared" si="2"/>
        <v>62500</v>
      </c>
      <c r="P47" s="688"/>
      <c r="Q47" s="602">
        <f t="shared" si="1"/>
        <v>62500</v>
      </c>
    </row>
    <row r="48" spans="1:22" x14ac:dyDescent="0.35">
      <c r="A48" s="658" t="s">
        <v>262</v>
      </c>
      <c r="B48" s="599">
        <v>31</v>
      </c>
      <c r="C48" s="599">
        <v>2011</v>
      </c>
      <c r="D48" s="599"/>
      <c r="E48" s="599"/>
      <c r="F48" s="599"/>
      <c r="G48" s="599"/>
      <c r="H48" s="674" t="s">
        <v>434</v>
      </c>
      <c r="I48" s="677"/>
      <c r="J48" s="681"/>
      <c r="K48" s="684"/>
      <c r="L48" s="681"/>
      <c r="M48" s="688">
        <f>'US CBAs'!$B$8</f>
        <v>313</v>
      </c>
      <c r="N48" s="681">
        <v>20</v>
      </c>
      <c r="O48" s="602">
        <f>(M48*N48)</f>
        <v>6260</v>
      </c>
      <c r="P48" s="688"/>
      <c r="Q48" s="602">
        <f t="shared" si="1"/>
        <v>6260</v>
      </c>
    </row>
    <row r="49" spans="1:17" x14ac:dyDescent="0.35">
      <c r="A49" s="598" t="s">
        <v>191</v>
      </c>
      <c r="B49" s="599">
        <v>20</v>
      </c>
      <c r="C49" s="599">
        <v>2012</v>
      </c>
      <c r="D49" s="599" t="s">
        <v>264</v>
      </c>
      <c r="E49" s="599" t="s">
        <v>261</v>
      </c>
      <c r="F49" s="599"/>
      <c r="G49" s="599" t="s">
        <v>20</v>
      </c>
      <c r="H49" s="599" t="s">
        <v>29</v>
      </c>
      <c r="I49" s="606">
        <v>6321</v>
      </c>
      <c r="J49" s="599" t="s">
        <v>218</v>
      </c>
      <c r="K49" s="600">
        <f>IF(G49="W",'US CBAs'!$B$19,0)</f>
        <v>1250</v>
      </c>
      <c r="L49" s="599">
        <v>20</v>
      </c>
      <c r="M49" s="601">
        <f>'US CBAs'!$B$12+IF(G49="W",'US CBAs'!$B$19,0)</f>
        <v>2500</v>
      </c>
      <c r="N49" s="599">
        <v>0</v>
      </c>
      <c r="O49" s="602">
        <f t="shared" ref="O49:O83" si="3">(K49*L49)+(M49*N49)</f>
        <v>25000</v>
      </c>
      <c r="P49" s="601">
        <v>0</v>
      </c>
      <c r="Q49" s="602">
        <f t="shared" si="1"/>
        <v>25000</v>
      </c>
    </row>
    <row r="50" spans="1:17" x14ac:dyDescent="0.35">
      <c r="A50" s="598" t="s">
        <v>191</v>
      </c>
      <c r="B50" s="599">
        <v>22</v>
      </c>
      <c r="C50" s="599">
        <v>2012</v>
      </c>
      <c r="D50" s="599" t="s">
        <v>43</v>
      </c>
      <c r="E50" s="599" t="s">
        <v>261</v>
      </c>
      <c r="F50" s="599"/>
      <c r="G50" s="599" t="s">
        <v>20</v>
      </c>
      <c r="H50" s="599" t="s">
        <v>29</v>
      </c>
      <c r="I50" s="606">
        <v>6259</v>
      </c>
      <c r="J50" s="599" t="s">
        <v>218</v>
      </c>
      <c r="K50" s="600">
        <f>IF(G50="W",'US CBAs'!$B$19,0)</f>
        <v>1250</v>
      </c>
      <c r="L50" s="599">
        <v>20</v>
      </c>
      <c r="M50" s="601">
        <f>'US CBAs'!$B$12+IF(G50="W",'US CBAs'!$B$19,0)</f>
        <v>2500</v>
      </c>
      <c r="N50" s="599">
        <v>0</v>
      </c>
      <c r="O50" s="602">
        <f t="shared" si="3"/>
        <v>25000</v>
      </c>
      <c r="P50" s="601">
        <v>0</v>
      </c>
      <c r="Q50" s="602">
        <f t="shared" si="1"/>
        <v>25000</v>
      </c>
    </row>
    <row r="51" spans="1:17" x14ac:dyDescent="0.35">
      <c r="A51" s="598" t="s">
        <v>191</v>
      </c>
      <c r="B51" s="599">
        <v>24</v>
      </c>
      <c r="C51" s="599">
        <v>2012</v>
      </c>
      <c r="D51" s="599" t="s">
        <v>35</v>
      </c>
      <c r="E51" s="599" t="s">
        <v>261</v>
      </c>
      <c r="F51" s="599"/>
      <c r="G51" s="599" t="s">
        <v>20</v>
      </c>
      <c r="H51" s="599" t="s">
        <v>29</v>
      </c>
      <c r="I51" s="606">
        <v>7599</v>
      </c>
      <c r="J51" s="599" t="s">
        <v>218</v>
      </c>
      <c r="K51" s="600">
        <f>IF(G51="W",'US CBAs'!$B$19,0)</f>
        <v>1250</v>
      </c>
      <c r="L51" s="599">
        <v>20</v>
      </c>
      <c r="M51" s="601">
        <f>'US CBAs'!$B$12+IF(G51="W",'US CBAs'!$B$19,0)</f>
        <v>2500</v>
      </c>
      <c r="N51" s="599">
        <v>0</v>
      </c>
      <c r="O51" s="602">
        <f t="shared" si="3"/>
        <v>25000</v>
      </c>
      <c r="P51" s="601">
        <v>0</v>
      </c>
      <c r="Q51" s="602">
        <f t="shared" si="1"/>
        <v>25000</v>
      </c>
    </row>
    <row r="52" spans="1:17" x14ac:dyDescent="0.35">
      <c r="A52" s="598" t="s">
        <v>191</v>
      </c>
      <c r="B52" s="599">
        <v>27</v>
      </c>
      <c r="C52" s="599">
        <v>2012</v>
      </c>
      <c r="D52" s="599" t="s">
        <v>36</v>
      </c>
      <c r="E52" s="599" t="s">
        <v>261</v>
      </c>
      <c r="F52" s="599"/>
      <c r="G52" s="599" t="s">
        <v>20</v>
      </c>
      <c r="H52" s="599" t="s">
        <v>29</v>
      </c>
      <c r="I52" s="606">
        <v>22954</v>
      </c>
      <c r="J52" s="599" t="s">
        <v>218</v>
      </c>
      <c r="K52" s="600">
        <f>IF(G52="W",'US CBAs'!$B$19,0)</f>
        <v>1250</v>
      </c>
      <c r="L52" s="599">
        <v>20</v>
      </c>
      <c r="M52" s="601">
        <f>'US CBAs'!$B$12+IF(G52="W",'US CBAs'!$B$19,0)</f>
        <v>2500</v>
      </c>
      <c r="N52" s="599">
        <v>0</v>
      </c>
      <c r="O52" s="602">
        <f t="shared" si="3"/>
        <v>25000</v>
      </c>
      <c r="P52" s="601">
        <v>0</v>
      </c>
      <c r="Q52" s="602">
        <f t="shared" si="1"/>
        <v>25000</v>
      </c>
    </row>
    <row r="53" spans="1:17" x14ac:dyDescent="0.35">
      <c r="A53" s="598" t="s">
        <v>191</v>
      </c>
      <c r="B53" s="599">
        <v>29</v>
      </c>
      <c r="C53" s="599">
        <v>2012</v>
      </c>
      <c r="D53" s="599" t="s">
        <v>29</v>
      </c>
      <c r="E53" s="599" t="s">
        <v>261</v>
      </c>
      <c r="F53" s="599"/>
      <c r="G53" s="599" t="s">
        <v>20</v>
      </c>
      <c r="H53" s="599" t="s">
        <v>29</v>
      </c>
      <c r="I53" s="606">
        <v>25427</v>
      </c>
      <c r="J53" s="599" t="s">
        <v>218</v>
      </c>
      <c r="K53" s="600">
        <f>IF(G53="W",'US CBAs'!$B$19,0)</f>
        <v>1250</v>
      </c>
      <c r="L53" s="599">
        <v>20</v>
      </c>
      <c r="M53" s="601">
        <f>'US CBAs'!$B$12+IF(G53="W",'US CBAs'!$B$19,0)</f>
        <v>2500</v>
      </c>
      <c r="N53" s="599">
        <v>0</v>
      </c>
      <c r="O53" s="602">
        <f t="shared" si="3"/>
        <v>25000</v>
      </c>
      <c r="P53" s="601">
        <v>0</v>
      </c>
      <c r="Q53" s="602">
        <f t="shared" si="1"/>
        <v>25000</v>
      </c>
    </row>
    <row r="54" spans="1:17" x14ac:dyDescent="0.35">
      <c r="A54" s="611" t="s">
        <v>192</v>
      </c>
      <c r="B54" s="612">
        <v>11</v>
      </c>
      <c r="C54" s="612">
        <v>2012</v>
      </c>
      <c r="D54" s="612" t="s">
        <v>38</v>
      </c>
      <c r="E54" s="612" t="s">
        <v>220</v>
      </c>
      <c r="F54" s="612"/>
      <c r="G54" s="612" t="s">
        <v>20</v>
      </c>
      <c r="H54" s="612" t="s">
        <v>492</v>
      </c>
      <c r="I54" s="613">
        <v>20677</v>
      </c>
      <c r="J54" s="612" t="s">
        <v>218</v>
      </c>
      <c r="K54" s="614">
        <f>IF(G54="W",'US CBAs'!$B$19,0)</f>
        <v>1250</v>
      </c>
      <c r="L54" s="612">
        <v>18</v>
      </c>
      <c r="M54" s="615">
        <f>'US CBAs'!$B$12+IF(G54="W",'US CBAs'!$B$19,0)</f>
        <v>2500</v>
      </c>
      <c r="N54" s="612">
        <v>0</v>
      </c>
      <c r="O54" s="616">
        <f t="shared" si="3"/>
        <v>22500</v>
      </c>
      <c r="P54" s="615">
        <v>0</v>
      </c>
      <c r="Q54" s="616">
        <f t="shared" si="1"/>
        <v>22500</v>
      </c>
    </row>
    <row r="55" spans="1:17" ht="13.15" thickBot="1" x14ac:dyDescent="0.4">
      <c r="A55" s="598" t="s">
        <v>192</v>
      </c>
      <c r="B55" s="599">
        <v>29</v>
      </c>
      <c r="C55" s="599">
        <v>2012</v>
      </c>
      <c r="D55" s="599" t="s">
        <v>51</v>
      </c>
      <c r="E55" s="599" t="s">
        <v>220</v>
      </c>
      <c r="F55" s="599"/>
      <c r="G55" s="599" t="s">
        <v>20</v>
      </c>
      <c r="H55" s="599" t="s">
        <v>82</v>
      </c>
      <c r="I55" s="599">
        <v>300</v>
      </c>
      <c r="J55" s="599" t="s">
        <v>218</v>
      </c>
      <c r="K55" s="600">
        <f>IF(G55="W",'US CBAs'!$B$19,0)</f>
        <v>1250</v>
      </c>
      <c r="L55" s="599">
        <v>18</v>
      </c>
      <c r="M55" s="601">
        <f>'US CBAs'!$B$12+IF(G55="W",'US CBAs'!$B$19,0)</f>
        <v>2500</v>
      </c>
      <c r="N55" s="599">
        <v>0</v>
      </c>
      <c r="O55" s="602">
        <f t="shared" si="3"/>
        <v>22500</v>
      </c>
      <c r="P55" s="601">
        <v>0</v>
      </c>
      <c r="Q55" s="602">
        <f t="shared" si="1"/>
        <v>22500</v>
      </c>
    </row>
    <row r="56" spans="1:17" ht="13.15" thickTop="1" x14ac:dyDescent="0.35">
      <c r="A56" s="582" t="s">
        <v>221</v>
      </c>
      <c r="B56" s="583">
        <v>2</v>
      </c>
      <c r="C56" s="583">
        <v>2012</v>
      </c>
      <c r="D56" s="583" t="s">
        <v>62</v>
      </c>
      <c r="E56" s="583" t="s">
        <v>220</v>
      </c>
      <c r="F56" s="583"/>
      <c r="G56" s="583" t="s">
        <v>20</v>
      </c>
      <c r="H56" s="583" t="s">
        <v>82</v>
      </c>
      <c r="I56" s="583">
        <v>300</v>
      </c>
      <c r="J56" s="583" t="s">
        <v>218</v>
      </c>
      <c r="K56" s="584">
        <f>IF(G56="W",'US CBAs'!$B$19,0)</f>
        <v>1250</v>
      </c>
      <c r="L56" s="583">
        <v>18</v>
      </c>
      <c r="M56" s="585">
        <f>'US CBAs'!$B$12+IF(G56="W",'US CBAs'!$B$19,0)</f>
        <v>2500</v>
      </c>
      <c r="N56" s="583">
        <v>0</v>
      </c>
      <c r="O56" s="586">
        <f t="shared" si="3"/>
        <v>22500</v>
      </c>
      <c r="P56" s="585">
        <v>0</v>
      </c>
      <c r="Q56" s="586">
        <f t="shared" si="1"/>
        <v>22500</v>
      </c>
    </row>
    <row r="57" spans="1:17" x14ac:dyDescent="0.35">
      <c r="A57" s="587" t="s">
        <v>221</v>
      </c>
      <c r="B57" s="587">
        <v>5</v>
      </c>
      <c r="C57" s="587">
        <v>2012</v>
      </c>
      <c r="D57" s="587" t="s">
        <v>50</v>
      </c>
      <c r="E57" s="587" t="s">
        <v>220</v>
      </c>
      <c r="F57" s="587"/>
      <c r="G57" s="587" t="s">
        <v>33</v>
      </c>
      <c r="H57" s="587" t="s">
        <v>82</v>
      </c>
      <c r="I57" s="607">
        <v>1000</v>
      </c>
      <c r="J57" s="587" t="s">
        <v>218</v>
      </c>
      <c r="K57" s="589">
        <f>IF(G57="W",'US CBAs'!$B$19,0)</f>
        <v>0</v>
      </c>
      <c r="L57" s="587">
        <v>18</v>
      </c>
      <c r="M57" s="590">
        <f>'US CBAs'!$B$12+IF(G57="W",'US CBAs'!$B$19,0)</f>
        <v>1250</v>
      </c>
      <c r="N57" s="587">
        <v>0</v>
      </c>
      <c r="O57" s="591">
        <f t="shared" si="3"/>
        <v>0</v>
      </c>
      <c r="P57" s="592">
        <v>0</v>
      </c>
      <c r="Q57" s="591">
        <f t="shared" si="1"/>
        <v>0</v>
      </c>
    </row>
    <row r="58" spans="1:17" x14ac:dyDescent="0.35">
      <c r="A58" s="587" t="s">
        <v>221</v>
      </c>
      <c r="B58" s="587">
        <v>7</v>
      </c>
      <c r="C58" s="587">
        <v>2012</v>
      </c>
      <c r="D58" s="587" t="s">
        <v>26</v>
      </c>
      <c r="E58" s="587" t="s">
        <v>220</v>
      </c>
      <c r="F58" s="587"/>
      <c r="G58" s="587" t="s">
        <v>20</v>
      </c>
      <c r="H58" s="587" t="s">
        <v>82</v>
      </c>
      <c r="I58" s="588">
        <v>400</v>
      </c>
      <c r="J58" s="587" t="s">
        <v>218</v>
      </c>
      <c r="K58" s="589">
        <f>IF(G58="W",'US CBAs'!$B$19,0)</f>
        <v>1250</v>
      </c>
      <c r="L58" s="587">
        <v>18</v>
      </c>
      <c r="M58" s="590">
        <f>'US CBAs'!$B$12+IF(G58="W",'US CBAs'!$B$19,0)</f>
        <v>2500</v>
      </c>
      <c r="N58" s="587">
        <v>0</v>
      </c>
      <c r="O58" s="591">
        <f t="shared" si="3"/>
        <v>22500</v>
      </c>
      <c r="P58" s="592">
        <v>0</v>
      </c>
      <c r="Q58" s="591">
        <f t="shared" si="1"/>
        <v>22500</v>
      </c>
    </row>
    <row r="59" spans="1:17" x14ac:dyDescent="0.35">
      <c r="A59" s="587" t="s">
        <v>240</v>
      </c>
      <c r="B59" s="587">
        <v>1</v>
      </c>
      <c r="C59" s="587">
        <v>2012</v>
      </c>
      <c r="D59" s="587" t="s">
        <v>50</v>
      </c>
      <c r="E59" s="587" t="s">
        <v>220</v>
      </c>
      <c r="F59" s="587"/>
      <c r="G59" s="587" t="s">
        <v>83</v>
      </c>
      <c r="H59" s="587" t="s">
        <v>50</v>
      </c>
      <c r="I59" s="636">
        <v>15159</v>
      </c>
      <c r="J59" s="587" t="s">
        <v>218</v>
      </c>
      <c r="K59" s="589">
        <f>IF(G59="W",'US CBAs'!$B$19,0)</f>
        <v>0</v>
      </c>
      <c r="L59" s="587">
        <v>18</v>
      </c>
      <c r="M59" s="590">
        <f>'US CBAs'!$B$12+IF(G59="W",'US CBAs'!$B$19,0)</f>
        <v>1250</v>
      </c>
      <c r="N59" s="587">
        <v>0</v>
      </c>
      <c r="O59" s="591">
        <f t="shared" si="3"/>
        <v>0</v>
      </c>
      <c r="P59" s="590">
        <v>0</v>
      </c>
      <c r="Q59" s="591">
        <f t="shared" si="1"/>
        <v>0</v>
      </c>
    </row>
    <row r="60" spans="1:17" ht="13.15" thickBot="1" x14ac:dyDescent="0.4">
      <c r="A60" s="587" t="s">
        <v>240</v>
      </c>
      <c r="B60" s="594">
        <v>3</v>
      </c>
      <c r="C60" s="594">
        <v>2012</v>
      </c>
      <c r="D60" s="594" t="s">
        <v>41</v>
      </c>
      <c r="E60" s="594" t="s">
        <v>220</v>
      </c>
      <c r="F60" s="594"/>
      <c r="G60" s="594" t="s">
        <v>20</v>
      </c>
      <c r="H60" s="594" t="s">
        <v>50</v>
      </c>
      <c r="I60" s="678"/>
      <c r="J60" s="594" t="s">
        <v>218</v>
      </c>
      <c r="K60" s="595">
        <f>IF(G60="W",'US CBAs'!$B$19,0)</f>
        <v>1250</v>
      </c>
      <c r="L60" s="594">
        <v>18</v>
      </c>
      <c r="M60" s="596">
        <f>'US CBAs'!$B$12+IF(G60="W",'US CBAs'!$B$19,0)</f>
        <v>2500</v>
      </c>
      <c r="N60" s="594">
        <v>0</v>
      </c>
      <c r="O60" s="597">
        <f t="shared" si="3"/>
        <v>22500</v>
      </c>
      <c r="P60" s="596">
        <v>0</v>
      </c>
      <c r="Q60" s="597">
        <f t="shared" si="1"/>
        <v>22500</v>
      </c>
    </row>
    <row r="61" spans="1:17" ht="13.15" thickTop="1" x14ac:dyDescent="0.35">
      <c r="A61" s="617" t="s">
        <v>186</v>
      </c>
      <c r="B61" s="618">
        <v>27</v>
      </c>
      <c r="C61" s="618">
        <v>2012</v>
      </c>
      <c r="D61" s="618" t="s">
        <v>25</v>
      </c>
      <c r="E61" s="618" t="s">
        <v>220</v>
      </c>
      <c r="F61" s="618"/>
      <c r="G61" s="618" t="s">
        <v>20</v>
      </c>
      <c r="H61" s="618" t="s">
        <v>484</v>
      </c>
      <c r="I61" s="619">
        <v>18573</v>
      </c>
      <c r="J61" s="618" t="s">
        <v>218</v>
      </c>
      <c r="K61" s="620">
        <f>IF(G61="W",'US CBAs'!$B$19,0)</f>
        <v>1250</v>
      </c>
      <c r="L61" s="618">
        <v>18</v>
      </c>
      <c r="M61" s="621">
        <f>'US CBAs'!$B$12+IF(G61="W",'US CBAs'!$B$19,0)</f>
        <v>2500</v>
      </c>
      <c r="N61" s="618">
        <v>0</v>
      </c>
      <c r="O61" s="622">
        <f t="shared" si="3"/>
        <v>22500</v>
      </c>
      <c r="P61" s="621">
        <v>0</v>
      </c>
      <c r="Q61" s="622">
        <f t="shared" si="1"/>
        <v>22500</v>
      </c>
    </row>
    <row r="62" spans="1:17" x14ac:dyDescent="0.35">
      <c r="A62" s="598" t="s">
        <v>223</v>
      </c>
      <c r="B62" s="599">
        <v>16</v>
      </c>
      <c r="C62" s="599">
        <v>2012</v>
      </c>
      <c r="D62" s="599" t="s">
        <v>26</v>
      </c>
      <c r="E62" s="599" t="s">
        <v>220</v>
      </c>
      <c r="F62" s="599"/>
      <c r="G62" s="599" t="s">
        <v>20</v>
      </c>
      <c r="H62" s="599" t="s">
        <v>26</v>
      </c>
      <c r="I62" s="606">
        <v>2751</v>
      </c>
      <c r="J62" s="599" t="s">
        <v>218</v>
      </c>
      <c r="K62" s="600">
        <f>IF(G62="W",'US CBAs'!$B$19,0)</f>
        <v>1250</v>
      </c>
      <c r="L62" s="599">
        <v>18</v>
      </c>
      <c r="M62" s="601">
        <f>'US CBAs'!$B$12+IF(G62="W",'US CBAs'!$B$19,0)</f>
        <v>2500</v>
      </c>
      <c r="N62" s="599">
        <v>0</v>
      </c>
      <c r="O62" s="602">
        <f t="shared" si="3"/>
        <v>22500</v>
      </c>
      <c r="P62" s="601">
        <v>0</v>
      </c>
      <c r="Q62" s="602">
        <f t="shared" si="1"/>
        <v>22500</v>
      </c>
    </row>
    <row r="63" spans="1:17" x14ac:dyDescent="0.35">
      <c r="A63" s="598" t="s">
        <v>223</v>
      </c>
      <c r="B63" s="599">
        <v>18</v>
      </c>
      <c r="C63" s="599">
        <v>2012</v>
      </c>
      <c r="D63" s="599" t="s">
        <v>50</v>
      </c>
      <c r="E63" s="599" t="s">
        <v>220</v>
      </c>
      <c r="F63" s="599"/>
      <c r="G63" s="599" t="s">
        <v>20</v>
      </c>
      <c r="H63" s="599" t="s">
        <v>26</v>
      </c>
      <c r="I63" s="606">
        <v>1309</v>
      </c>
      <c r="J63" s="599" t="s">
        <v>218</v>
      </c>
      <c r="K63" s="600">
        <f>IF(G63="W",'US CBAs'!$B$19,0)</f>
        <v>1250</v>
      </c>
      <c r="L63" s="599">
        <v>18</v>
      </c>
      <c r="M63" s="601">
        <f>'US CBAs'!$B$12+IF(G63="W",'US CBAs'!$B$19,0)</f>
        <v>2500</v>
      </c>
      <c r="N63" s="599">
        <v>0</v>
      </c>
      <c r="O63" s="602">
        <f t="shared" si="3"/>
        <v>22500</v>
      </c>
      <c r="P63" s="601">
        <v>0</v>
      </c>
      <c r="Q63" s="602">
        <f t="shared" si="1"/>
        <v>22500</v>
      </c>
    </row>
    <row r="64" spans="1:17" x14ac:dyDescent="0.35">
      <c r="A64" s="611" t="s">
        <v>223</v>
      </c>
      <c r="B64" s="612">
        <v>30</v>
      </c>
      <c r="C64" s="612">
        <v>2012</v>
      </c>
      <c r="D64" s="612" t="s">
        <v>29</v>
      </c>
      <c r="E64" s="612" t="s">
        <v>220</v>
      </c>
      <c r="F64" s="612"/>
      <c r="G64" s="612" t="s">
        <v>20</v>
      </c>
      <c r="H64" s="612" t="s">
        <v>498</v>
      </c>
      <c r="I64" s="613">
        <v>16805</v>
      </c>
      <c r="J64" s="612" t="s">
        <v>218</v>
      </c>
      <c r="K64" s="614">
        <f>IF(G64="W",'US CBAs'!$B$19,0)</f>
        <v>1250</v>
      </c>
      <c r="L64" s="612">
        <v>18</v>
      </c>
      <c r="M64" s="615">
        <f>'US CBAs'!$B$12+IF(G64="W",'US CBAs'!$B$19,0)</f>
        <v>2500</v>
      </c>
      <c r="N64" s="612">
        <v>0</v>
      </c>
      <c r="O64" s="616">
        <f t="shared" si="3"/>
        <v>22500</v>
      </c>
      <c r="P64" s="615">
        <v>0</v>
      </c>
      <c r="Q64" s="616">
        <f t="shared" si="1"/>
        <v>22500</v>
      </c>
    </row>
    <row r="65" spans="1:17" x14ac:dyDescent="0.35">
      <c r="A65" s="598" t="s">
        <v>230</v>
      </c>
      <c r="B65" s="599">
        <v>25</v>
      </c>
      <c r="C65" s="599">
        <v>2012</v>
      </c>
      <c r="D65" s="599" t="s">
        <v>53</v>
      </c>
      <c r="E65" s="599" t="s">
        <v>2</v>
      </c>
      <c r="F65" s="599"/>
      <c r="G65" s="599" t="s">
        <v>20</v>
      </c>
      <c r="H65" s="599" t="s">
        <v>19</v>
      </c>
      <c r="I65" s="606">
        <v>18090</v>
      </c>
      <c r="J65" s="599" t="s">
        <v>218</v>
      </c>
      <c r="K65" s="600">
        <f>IF(G65="W",'US CBAs'!$B$19,0)</f>
        <v>1250</v>
      </c>
      <c r="L65" s="599">
        <v>18</v>
      </c>
      <c r="M65" s="601">
        <f>'US CBAs'!$B$12+IF(G65="W",'US CBAs'!$B$19,0)</f>
        <v>2500</v>
      </c>
      <c r="N65" s="599">
        <v>0</v>
      </c>
      <c r="O65" s="602">
        <f t="shared" si="3"/>
        <v>22500</v>
      </c>
      <c r="P65" s="601">
        <v>0</v>
      </c>
      <c r="Q65" s="602">
        <f t="shared" si="1"/>
        <v>22500</v>
      </c>
    </row>
    <row r="66" spans="1:17" x14ac:dyDescent="0.35">
      <c r="A66" s="598" t="s">
        <v>230</v>
      </c>
      <c r="B66" s="599">
        <v>28</v>
      </c>
      <c r="C66" s="599">
        <v>2012</v>
      </c>
      <c r="D66" s="599" t="s">
        <v>64</v>
      </c>
      <c r="E66" s="599" t="s">
        <v>2</v>
      </c>
      <c r="F66" s="599"/>
      <c r="G66" s="599" t="s">
        <v>20</v>
      </c>
      <c r="H66" s="599" t="s">
        <v>19</v>
      </c>
      <c r="I66" s="606">
        <v>11313</v>
      </c>
      <c r="J66" s="599" t="s">
        <v>218</v>
      </c>
      <c r="K66" s="600">
        <f>IF(G66="W",'US CBAs'!$B$19,0)</f>
        <v>1250</v>
      </c>
      <c r="L66" s="599">
        <v>18</v>
      </c>
      <c r="M66" s="601">
        <f>'US CBAs'!$B$12+IF(G66="W",'US CBAs'!$B$19,0)</f>
        <v>2500</v>
      </c>
      <c r="N66" s="599">
        <v>0</v>
      </c>
      <c r="O66" s="602">
        <f t="shared" si="3"/>
        <v>22500</v>
      </c>
      <c r="P66" s="601">
        <v>0</v>
      </c>
      <c r="Q66" s="602">
        <f t="shared" si="1"/>
        <v>22500</v>
      </c>
    </row>
    <row r="67" spans="1:17" x14ac:dyDescent="0.35">
      <c r="A67" s="598" t="s">
        <v>230</v>
      </c>
      <c r="B67" s="599">
        <v>31</v>
      </c>
      <c r="C67" s="599">
        <v>2012</v>
      </c>
      <c r="D67" s="599" t="s">
        <v>52</v>
      </c>
      <c r="E67" s="599" t="s">
        <v>2</v>
      </c>
      <c r="F67" s="599"/>
      <c r="G67" s="599" t="s">
        <v>20</v>
      </c>
      <c r="H67" s="599" t="s">
        <v>61</v>
      </c>
      <c r="I67" s="606">
        <v>29522</v>
      </c>
      <c r="J67" s="599" t="s">
        <v>218</v>
      </c>
      <c r="K67" s="600">
        <f>IF(G67="W",'US CBAs'!$B$19,0)</f>
        <v>1250</v>
      </c>
      <c r="L67" s="599">
        <v>18</v>
      </c>
      <c r="M67" s="601">
        <f>'US CBAs'!$B$12+IF(G67="W",'US CBAs'!$B$19,0)</f>
        <v>2500</v>
      </c>
      <c r="N67" s="599">
        <v>0</v>
      </c>
      <c r="O67" s="602">
        <f t="shared" si="3"/>
        <v>22500</v>
      </c>
      <c r="P67" s="601">
        <v>0</v>
      </c>
      <c r="Q67" s="602">
        <f t="shared" ref="Q67:Q130" si="4">O67+P67</f>
        <v>22500</v>
      </c>
    </row>
    <row r="68" spans="1:17" x14ac:dyDescent="0.35">
      <c r="A68" s="598" t="s">
        <v>203</v>
      </c>
      <c r="B68" s="599">
        <v>3</v>
      </c>
      <c r="C68" s="599">
        <v>2012</v>
      </c>
      <c r="D68" s="599" t="s">
        <v>38</v>
      </c>
      <c r="E68" s="599" t="s">
        <v>2</v>
      </c>
      <c r="F68" s="599"/>
      <c r="G68" s="599" t="s">
        <v>20</v>
      </c>
      <c r="H68" s="599" t="s">
        <v>61</v>
      </c>
      <c r="I68" s="606">
        <v>10441</v>
      </c>
      <c r="J68" s="599" t="s">
        <v>218</v>
      </c>
      <c r="K68" s="600">
        <f>IF(G68="W",'US CBAs'!$B$19,0)</f>
        <v>1250</v>
      </c>
      <c r="L68" s="599">
        <v>18</v>
      </c>
      <c r="M68" s="601">
        <f>'US CBAs'!$B$12+IF(G68="W",'US CBAs'!$B$19,0)</f>
        <v>2500</v>
      </c>
      <c r="N68" s="599">
        <v>0</v>
      </c>
      <c r="O68" s="602">
        <f t="shared" si="3"/>
        <v>22500</v>
      </c>
      <c r="P68" s="601">
        <v>0</v>
      </c>
      <c r="Q68" s="602">
        <f t="shared" si="4"/>
        <v>22500</v>
      </c>
    </row>
    <row r="69" spans="1:17" x14ac:dyDescent="0.35">
      <c r="A69" s="598" t="s">
        <v>203</v>
      </c>
      <c r="B69" s="599">
        <v>6</v>
      </c>
      <c r="C69" s="599">
        <v>2012</v>
      </c>
      <c r="D69" s="599" t="s">
        <v>29</v>
      </c>
      <c r="E69" s="599" t="s">
        <v>2</v>
      </c>
      <c r="F69" s="599"/>
      <c r="G69" s="599" t="s">
        <v>20</v>
      </c>
      <c r="H69" s="599" t="s">
        <v>61</v>
      </c>
      <c r="I69" s="606">
        <v>26640</v>
      </c>
      <c r="J69" s="599" t="s">
        <v>218</v>
      </c>
      <c r="K69" s="600">
        <f>IF(G69="W",'US CBAs'!$B$19,0)</f>
        <v>1250</v>
      </c>
      <c r="L69" s="599">
        <v>18</v>
      </c>
      <c r="M69" s="601">
        <f>'US CBAs'!$B$12+IF(G69="W",'US CBAs'!$B$19,0)</f>
        <v>2500</v>
      </c>
      <c r="N69" s="599">
        <v>0</v>
      </c>
      <c r="O69" s="602">
        <f t="shared" si="3"/>
        <v>22500</v>
      </c>
      <c r="P69" s="601">
        <v>0</v>
      </c>
      <c r="Q69" s="602">
        <f t="shared" si="4"/>
        <v>22500</v>
      </c>
    </row>
    <row r="70" spans="1:17" x14ac:dyDescent="0.35">
      <c r="A70" s="598" t="s">
        <v>203</v>
      </c>
      <c r="B70" s="599">
        <v>9</v>
      </c>
      <c r="C70" s="599">
        <v>2012</v>
      </c>
      <c r="D70" s="599" t="s">
        <v>50</v>
      </c>
      <c r="E70" s="599" t="s">
        <v>2</v>
      </c>
      <c r="F70" s="599"/>
      <c r="G70" s="599" t="s">
        <v>20</v>
      </c>
      <c r="H70" s="599" t="s">
        <v>61</v>
      </c>
      <c r="I70" s="606">
        <v>80203</v>
      </c>
      <c r="J70" s="599" t="s">
        <v>218</v>
      </c>
      <c r="K70" s="600">
        <f>IF(G70="W",'US CBAs'!$B$19,0)</f>
        <v>1250</v>
      </c>
      <c r="L70" s="599">
        <v>18</v>
      </c>
      <c r="M70" s="601">
        <f>'US CBAs'!$B$12+IF(G70="W",'US CBAs'!$B$19,0)</f>
        <v>2500</v>
      </c>
      <c r="N70" s="599">
        <v>0</v>
      </c>
      <c r="O70" s="602">
        <f t="shared" si="3"/>
        <v>22500</v>
      </c>
      <c r="P70" s="601">
        <v>0</v>
      </c>
      <c r="Q70" s="602">
        <f t="shared" si="4"/>
        <v>22500</v>
      </c>
    </row>
    <row r="71" spans="1:17" x14ac:dyDescent="0.35">
      <c r="A71" s="611" t="s">
        <v>222</v>
      </c>
      <c r="B71" s="612">
        <v>1</v>
      </c>
      <c r="C71" s="612">
        <v>2012</v>
      </c>
      <c r="D71" s="612" t="s">
        <v>36</v>
      </c>
      <c r="E71" s="612" t="s">
        <v>220</v>
      </c>
      <c r="F71" s="612"/>
      <c r="G71" s="612" t="s">
        <v>20</v>
      </c>
      <c r="H71" s="612" t="s">
        <v>507</v>
      </c>
      <c r="I71" s="613">
        <v>13208</v>
      </c>
      <c r="J71" s="612" t="s">
        <v>218</v>
      </c>
      <c r="K71" s="614">
        <f>IF(G71="W",'US CBAs'!$B$19,0)</f>
        <v>1250</v>
      </c>
      <c r="L71" s="612">
        <v>18</v>
      </c>
      <c r="M71" s="615">
        <f>'US CBAs'!$B$12+IF(G71="W",'US CBAs'!$B$19,0)</f>
        <v>2500</v>
      </c>
      <c r="N71" s="612">
        <v>0</v>
      </c>
      <c r="O71" s="616">
        <f t="shared" si="3"/>
        <v>22500</v>
      </c>
      <c r="P71" s="615">
        <v>0</v>
      </c>
      <c r="Q71" s="616">
        <f t="shared" si="4"/>
        <v>22500</v>
      </c>
    </row>
    <row r="72" spans="1:17" x14ac:dyDescent="0.35">
      <c r="A72" s="598" t="s">
        <v>222</v>
      </c>
      <c r="B72" s="599">
        <v>16</v>
      </c>
      <c r="C72" s="599">
        <v>2012</v>
      </c>
      <c r="D72" s="599" t="s">
        <v>37</v>
      </c>
      <c r="E72" s="599" t="s">
        <v>220</v>
      </c>
      <c r="F72" s="599"/>
      <c r="G72" s="599" t="s">
        <v>20</v>
      </c>
      <c r="H72" s="599" t="s">
        <v>481</v>
      </c>
      <c r="I72" s="606">
        <v>19851</v>
      </c>
      <c r="J72" s="599" t="s">
        <v>218</v>
      </c>
      <c r="K72" s="600">
        <f>IF(G72="W",'US CBAs'!$B$19,0)</f>
        <v>1250</v>
      </c>
      <c r="L72" s="599">
        <v>18</v>
      </c>
      <c r="M72" s="601">
        <f>'US CBAs'!$B$12+IF(G72="W",'US CBAs'!$B$19,0)</f>
        <v>2500</v>
      </c>
      <c r="N72" s="599">
        <v>0</v>
      </c>
      <c r="O72" s="602">
        <f t="shared" si="3"/>
        <v>22500</v>
      </c>
      <c r="P72" s="601">
        <v>0</v>
      </c>
      <c r="Q72" s="602">
        <f t="shared" si="4"/>
        <v>22500</v>
      </c>
    </row>
    <row r="73" spans="1:17" x14ac:dyDescent="0.35">
      <c r="A73" s="611" t="s">
        <v>222</v>
      </c>
      <c r="B73" s="612">
        <v>19</v>
      </c>
      <c r="C73" s="612">
        <v>2012</v>
      </c>
      <c r="D73" s="612" t="s">
        <v>37</v>
      </c>
      <c r="E73" s="612" t="s">
        <v>220</v>
      </c>
      <c r="F73" s="612"/>
      <c r="G73" s="612" t="s">
        <v>20</v>
      </c>
      <c r="H73" s="612" t="s">
        <v>496</v>
      </c>
      <c r="I73" s="613">
        <v>18589</v>
      </c>
      <c r="J73" s="612" t="s">
        <v>218</v>
      </c>
      <c r="K73" s="614">
        <f>IF(G73="W",'US CBAs'!$B$19,0)</f>
        <v>1250</v>
      </c>
      <c r="L73" s="612">
        <v>18</v>
      </c>
      <c r="M73" s="615">
        <f>'US CBAs'!$B$12+IF(G73="W",'US CBAs'!$B$19,0)</f>
        <v>2500</v>
      </c>
      <c r="N73" s="612">
        <v>0</v>
      </c>
      <c r="O73" s="616">
        <f t="shared" si="3"/>
        <v>22500</v>
      </c>
      <c r="P73" s="615">
        <v>0</v>
      </c>
      <c r="Q73" s="616">
        <f t="shared" si="4"/>
        <v>22500</v>
      </c>
    </row>
    <row r="74" spans="1:17" x14ac:dyDescent="0.35">
      <c r="A74" s="598" t="s">
        <v>189</v>
      </c>
      <c r="B74" s="599">
        <v>20</v>
      </c>
      <c r="C74" s="599">
        <v>2012</v>
      </c>
      <c r="D74" s="599" t="s">
        <v>27</v>
      </c>
      <c r="E74" s="599" t="s">
        <v>220</v>
      </c>
      <c r="F74" s="599"/>
      <c r="G74" s="599" t="s">
        <v>83</v>
      </c>
      <c r="H74" s="599" t="s">
        <v>487</v>
      </c>
      <c r="I74" s="606">
        <v>19522</v>
      </c>
      <c r="J74" s="599" t="s">
        <v>218</v>
      </c>
      <c r="K74" s="600">
        <f>IF(G74="W",'US CBAs'!$B$19,0)</f>
        <v>0</v>
      </c>
      <c r="L74" s="599">
        <v>18</v>
      </c>
      <c r="M74" s="601">
        <f>'US CBAs'!$B$12+IF(G74="W",'US CBAs'!$B$19,0)</f>
        <v>1250</v>
      </c>
      <c r="N74" s="599">
        <v>0</v>
      </c>
      <c r="O74" s="602">
        <f t="shared" si="3"/>
        <v>0</v>
      </c>
      <c r="P74" s="601">
        <v>0</v>
      </c>
      <c r="Q74" s="602">
        <f t="shared" si="4"/>
        <v>0</v>
      </c>
    </row>
    <row r="75" spans="1:17" x14ac:dyDescent="0.35">
      <c r="A75" s="611" t="s">
        <v>189</v>
      </c>
      <c r="B75" s="612">
        <v>23</v>
      </c>
      <c r="C75" s="612">
        <v>2012</v>
      </c>
      <c r="D75" s="612" t="s">
        <v>27</v>
      </c>
      <c r="E75" s="612" t="s">
        <v>220</v>
      </c>
      <c r="F75" s="612"/>
      <c r="G75" s="612" t="s">
        <v>83</v>
      </c>
      <c r="H75" s="612" t="s">
        <v>483</v>
      </c>
      <c r="I75" s="613">
        <v>18870</v>
      </c>
      <c r="J75" s="612" t="s">
        <v>218</v>
      </c>
      <c r="K75" s="614">
        <f>IF(G75="W",'US CBAs'!$B$19,0)</f>
        <v>0</v>
      </c>
      <c r="L75" s="612">
        <v>18</v>
      </c>
      <c r="M75" s="615">
        <f>'US CBAs'!$B$12+IF(G75="W",'US CBAs'!$B$19,0)</f>
        <v>1250</v>
      </c>
      <c r="N75" s="612">
        <v>0</v>
      </c>
      <c r="O75" s="616">
        <f t="shared" si="3"/>
        <v>0</v>
      </c>
      <c r="P75" s="615">
        <v>0</v>
      </c>
      <c r="Q75" s="616">
        <f t="shared" si="4"/>
        <v>0</v>
      </c>
    </row>
    <row r="76" spans="1:17" x14ac:dyDescent="0.35">
      <c r="A76" s="598" t="s">
        <v>190</v>
      </c>
      <c r="B76" s="599">
        <v>28</v>
      </c>
      <c r="C76" s="599">
        <v>2012</v>
      </c>
      <c r="D76" s="599" t="s">
        <v>65</v>
      </c>
      <c r="E76" s="599" t="s">
        <v>220</v>
      </c>
      <c r="F76" s="599"/>
      <c r="G76" s="599" t="s">
        <v>20</v>
      </c>
      <c r="H76" s="599" t="s">
        <v>499</v>
      </c>
      <c r="I76" s="606">
        <v>10092</v>
      </c>
      <c r="J76" s="599" t="s">
        <v>218</v>
      </c>
      <c r="K76" s="600">
        <f>IF(G76="W",'US CBAs'!$B$19,0)</f>
        <v>1250</v>
      </c>
      <c r="L76" s="599">
        <v>18</v>
      </c>
      <c r="M76" s="601">
        <f>'US CBAs'!$B$12+IF(G76="W",'US CBAs'!$B$19,0)</f>
        <v>2500</v>
      </c>
      <c r="N76" s="599">
        <v>0</v>
      </c>
      <c r="O76" s="602">
        <f t="shared" si="3"/>
        <v>22500</v>
      </c>
      <c r="P76" s="601">
        <v>0</v>
      </c>
      <c r="Q76" s="602">
        <f t="shared" si="4"/>
        <v>22500</v>
      </c>
    </row>
    <row r="77" spans="1:17" x14ac:dyDescent="0.35">
      <c r="A77" s="611" t="s">
        <v>262</v>
      </c>
      <c r="B77" s="612">
        <v>1</v>
      </c>
      <c r="C77" s="612">
        <v>2012</v>
      </c>
      <c r="D77" s="612" t="s">
        <v>65</v>
      </c>
      <c r="E77" s="612" t="s">
        <v>220</v>
      </c>
      <c r="F77" s="612"/>
      <c r="G77" s="612" t="s">
        <v>20</v>
      </c>
      <c r="H77" s="612" t="s">
        <v>493</v>
      </c>
      <c r="I77" s="613">
        <v>11570</v>
      </c>
      <c r="J77" s="612" t="s">
        <v>218</v>
      </c>
      <c r="K77" s="614">
        <f>IF(G77="W",'US CBAs'!$B$19,0)</f>
        <v>1250</v>
      </c>
      <c r="L77" s="612">
        <v>18</v>
      </c>
      <c r="M77" s="615">
        <f>'US CBAs'!$B$12+IF(G77="W",'US CBAs'!$B$19,0)</f>
        <v>2500</v>
      </c>
      <c r="N77" s="612">
        <v>0</v>
      </c>
      <c r="O77" s="616">
        <f t="shared" si="3"/>
        <v>22500</v>
      </c>
      <c r="P77" s="615">
        <v>0</v>
      </c>
      <c r="Q77" s="616">
        <f t="shared" si="4"/>
        <v>22500</v>
      </c>
    </row>
    <row r="78" spans="1:17" x14ac:dyDescent="0.35">
      <c r="A78" s="598" t="s">
        <v>262</v>
      </c>
      <c r="B78" s="599">
        <v>8</v>
      </c>
      <c r="C78" s="599">
        <v>2012</v>
      </c>
      <c r="D78" s="599" t="s">
        <v>25</v>
      </c>
      <c r="E78" s="599" t="s">
        <v>220</v>
      </c>
      <c r="F78" s="599"/>
      <c r="G78" s="599" t="s">
        <v>20</v>
      </c>
      <c r="H78" s="599" t="s">
        <v>565</v>
      </c>
      <c r="I78" s="606">
        <v>17371</v>
      </c>
      <c r="J78" s="599" t="s">
        <v>218</v>
      </c>
      <c r="K78" s="600">
        <f>IF(G78="W",'US CBAs'!$B$19,0)</f>
        <v>1250</v>
      </c>
      <c r="L78" s="599">
        <v>18</v>
      </c>
      <c r="M78" s="601">
        <f>'US CBAs'!$B$12+IF(G78="W",'US CBAs'!$B$19,0)</f>
        <v>2500</v>
      </c>
      <c r="N78" s="599">
        <v>0</v>
      </c>
      <c r="O78" s="602">
        <f t="shared" si="3"/>
        <v>22500</v>
      </c>
      <c r="P78" s="601">
        <v>0</v>
      </c>
      <c r="Q78" s="602">
        <f t="shared" si="4"/>
        <v>22500</v>
      </c>
    </row>
    <row r="79" spans="1:17" x14ac:dyDescent="0.35">
      <c r="A79" s="611" t="s">
        <v>262</v>
      </c>
      <c r="B79" s="612">
        <v>12</v>
      </c>
      <c r="C79" s="612">
        <v>2012</v>
      </c>
      <c r="D79" s="612" t="s">
        <v>25</v>
      </c>
      <c r="E79" s="612" t="s">
        <v>220</v>
      </c>
      <c r="F79" s="612"/>
      <c r="G79" s="612" t="s">
        <v>20</v>
      </c>
      <c r="H79" s="612" t="s">
        <v>492</v>
      </c>
      <c r="I79" s="613">
        <v>15643</v>
      </c>
      <c r="J79" s="612" t="s">
        <v>218</v>
      </c>
      <c r="K79" s="614">
        <f>IF(G79="W",'US CBAs'!$B$19,0)</f>
        <v>1250</v>
      </c>
      <c r="L79" s="612">
        <v>18</v>
      </c>
      <c r="M79" s="615">
        <f>'US CBAs'!$B$12+IF(G79="W",'US CBAs'!$B$19,0)</f>
        <v>2500</v>
      </c>
      <c r="N79" s="612">
        <v>0</v>
      </c>
      <c r="O79" s="616">
        <f t="shared" si="3"/>
        <v>22500</v>
      </c>
      <c r="P79" s="615">
        <v>0</v>
      </c>
      <c r="Q79" s="616">
        <f t="shared" si="4"/>
        <v>22500</v>
      </c>
    </row>
    <row r="80" spans="1:17" x14ac:dyDescent="0.35">
      <c r="A80" s="587" t="s">
        <v>262</v>
      </c>
      <c r="B80" s="587">
        <v>15</v>
      </c>
      <c r="C80" s="587">
        <v>2012</v>
      </c>
      <c r="D80" s="587" t="s">
        <v>25</v>
      </c>
      <c r="E80" s="587" t="s">
        <v>220</v>
      </c>
      <c r="F80" s="587"/>
      <c r="G80" s="587" t="s">
        <v>20</v>
      </c>
      <c r="H80" s="647" t="s">
        <v>482</v>
      </c>
      <c r="I80" s="607">
        <v>10493</v>
      </c>
      <c r="J80" s="587" t="s">
        <v>218</v>
      </c>
      <c r="K80" s="589">
        <f>IF(G80="W",'US CBAs'!$B$19,0)</f>
        <v>1250</v>
      </c>
      <c r="L80" s="587">
        <v>18</v>
      </c>
      <c r="M80" s="590">
        <f>'US CBAs'!$B$12+IF(G80="W",'US CBAs'!$B$19,0)</f>
        <v>2500</v>
      </c>
      <c r="N80" s="587">
        <v>0</v>
      </c>
      <c r="O80" s="591">
        <f t="shared" si="3"/>
        <v>22500</v>
      </c>
      <c r="P80" s="592">
        <v>0</v>
      </c>
      <c r="Q80" s="591">
        <f t="shared" si="4"/>
        <v>22500</v>
      </c>
    </row>
    <row r="81" spans="1:22" s="79" customFormat="1" x14ac:dyDescent="0.35">
      <c r="A81" s="658" t="s">
        <v>262</v>
      </c>
      <c r="B81" s="599">
        <v>28</v>
      </c>
      <c r="C81" s="587">
        <v>2012</v>
      </c>
      <c r="D81" s="587"/>
      <c r="E81" s="587"/>
      <c r="F81" s="587"/>
      <c r="G81" s="587"/>
      <c r="H81" s="648" t="s">
        <v>431</v>
      </c>
      <c r="I81" s="649"/>
      <c r="J81" s="650"/>
      <c r="K81" s="651">
        <f>'US CBAs'!$B$4</f>
        <v>62500</v>
      </c>
      <c r="L81" s="650">
        <v>18</v>
      </c>
      <c r="M81" s="652"/>
      <c r="N81" s="650"/>
      <c r="O81" s="591">
        <f t="shared" si="3"/>
        <v>1125000</v>
      </c>
      <c r="P81" s="652"/>
      <c r="Q81" s="591">
        <f t="shared" si="4"/>
        <v>1125000</v>
      </c>
      <c r="R81" s="691"/>
      <c r="S81" s="39"/>
      <c r="T81" s="39"/>
      <c r="U81" s="39"/>
      <c r="V81" s="39"/>
    </row>
    <row r="82" spans="1:22" s="79" customFormat="1" ht="13.15" thickBot="1" x14ac:dyDescent="0.4">
      <c r="A82" s="658" t="s">
        <v>262</v>
      </c>
      <c r="B82" s="599">
        <v>29</v>
      </c>
      <c r="C82" s="587">
        <v>2012</v>
      </c>
      <c r="D82" s="594"/>
      <c r="E82" s="594"/>
      <c r="F82" s="594"/>
      <c r="G82" s="594"/>
      <c r="H82" s="675" t="s">
        <v>432</v>
      </c>
      <c r="I82" s="679"/>
      <c r="J82" s="682"/>
      <c r="K82" s="686">
        <f>'US CBAs'!$B$5</f>
        <v>43740</v>
      </c>
      <c r="L82" s="682">
        <v>4</v>
      </c>
      <c r="M82" s="689"/>
      <c r="N82" s="682"/>
      <c r="O82" s="597">
        <f t="shared" si="3"/>
        <v>174960</v>
      </c>
      <c r="P82" s="689"/>
      <c r="Q82" s="597">
        <f t="shared" si="4"/>
        <v>174960</v>
      </c>
      <c r="R82" s="691"/>
      <c r="S82" s="39"/>
      <c r="T82" s="39"/>
      <c r="U82" s="39"/>
      <c r="V82" s="39"/>
    </row>
    <row r="83" spans="1:22" s="79" customFormat="1" ht="13.15" thickTop="1" x14ac:dyDescent="0.35">
      <c r="A83" s="658" t="s">
        <v>262</v>
      </c>
      <c r="B83" s="599">
        <v>30</v>
      </c>
      <c r="C83" s="587">
        <v>2012</v>
      </c>
      <c r="D83" s="583"/>
      <c r="E83" s="583"/>
      <c r="F83" s="583"/>
      <c r="G83" s="583"/>
      <c r="H83" s="673" t="s">
        <v>433</v>
      </c>
      <c r="I83" s="676"/>
      <c r="J83" s="680"/>
      <c r="K83" s="683">
        <f>'US CBAs'!$B$6</f>
        <v>31250</v>
      </c>
      <c r="L83" s="680">
        <v>2</v>
      </c>
      <c r="M83" s="687"/>
      <c r="N83" s="680"/>
      <c r="O83" s="602">
        <f t="shared" si="3"/>
        <v>62500</v>
      </c>
      <c r="P83" s="688"/>
      <c r="Q83" s="602">
        <f t="shared" si="4"/>
        <v>62500</v>
      </c>
      <c r="R83" s="691"/>
      <c r="S83" s="39"/>
      <c r="T83" s="39"/>
      <c r="U83" s="39"/>
      <c r="V83" s="39"/>
    </row>
    <row r="84" spans="1:22" s="79" customFormat="1" x14ac:dyDescent="0.35">
      <c r="A84" s="658" t="s">
        <v>262</v>
      </c>
      <c r="B84" s="599">
        <v>31</v>
      </c>
      <c r="C84" s="587">
        <v>2012</v>
      </c>
      <c r="D84" s="599"/>
      <c r="E84" s="599"/>
      <c r="F84" s="599"/>
      <c r="G84" s="599"/>
      <c r="H84" s="674" t="s">
        <v>434</v>
      </c>
      <c r="I84" s="677"/>
      <c r="J84" s="681"/>
      <c r="K84" s="685"/>
      <c r="L84" s="677"/>
      <c r="M84" s="688">
        <f>'US CBAs'!$B$8</f>
        <v>313</v>
      </c>
      <c r="N84" s="681">
        <v>20</v>
      </c>
      <c r="O84" s="602">
        <f>(M84*N84)</f>
        <v>6260</v>
      </c>
      <c r="P84" s="688"/>
      <c r="Q84" s="602">
        <f t="shared" si="4"/>
        <v>6260</v>
      </c>
      <c r="R84" s="691"/>
      <c r="S84" s="39"/>
      <c r="T84" s="39"/>
      <c r="U84" s="39"/>
      <c r="V84" s="39"/>
    </row>
    <row r="85" spans="1:22" s="79" customFormat="1" x14ac:dyDescent="0.35">
      <c r="A85" s="611" t="s">
        <v>192</v>
      </c>
      <c r="B85" s="612">
        <v>9</v>
      </c>
      <c r="C85" s="612">
        <v>2013</v>
      </c>
      <c r="D85" s="612" t="s">
        <v>19</v>
      </c>
      <c r="E85" s="612" t="s">
        <v>220</v>
      </c>
      <c r="F85" s="612"/>
      <c r="G85" s="612" t="s">
        <v>20</v>
      </c>
      <c r="H85" s="612" t="s">
        <v>482</v>
      </c>
      <c r="I85" s="613">
        <v>18656</v>
      </c>
      <c r="J85" s="612"/>
      <c r="K85" s="614">
        <f>IF(G85="W",'US CBAs'!$F$19,0)</f>
        <v>1350</v>
      </c>
      <c r="L85" s="612">
        <v>17</v>
      </c>
      <c r="M85" s="615">
        <f>'US CBAs'!$F$12+IF(G85="W",'US CBAs'!$F$19,0)</f>
        <v>2700</v>
      </c>
      <c r="N85" s="612">
        <v>1</v>
      </c>
      <c r="O85" s="616">
        <f t="shared" ref="O85:O103" si="5">(K85*L85)+(M85*N85)</f>
        <v>25650</v>
      </c>
      <c r="P85" s="615">
        <f>IF(J85="",I85*'US CBAs'!$G$55,0)</f>
        <v>22387.200000000001</v>
      </c>
      <c r="Q85" s="616">
        <f t="shared" si="4"/>
        <v>48037.2</v>
      </c>
      <c r="R85" s="691"/>
      <c r="S85" s="39"/>
      <c r="T85" s="39"/>
      <c r="U85" s="39"/>
      <c r="V85" s="39"/>
    </row>
    <row r="86" spans="1:22" s="79" customFormat="1" x14ac:dyDescent="0.35">
      <c r="A86" s="598" t="s">
        <v>192</v>
      </c>
      <c r="B86" s="599">
        <v>13</v>
      </c>
      <c r="C86" s="599">
        <v>2013</v>
      </c>
      <c r="D86" s="599" t="s">
        <v>19</v>
      </c>
      <c r="E86" s="599" t="s">
        <v>220</v>
      </c>
      <c r="F86" s="599"/>
      <c r="G86" s="599" t="s">
        <v>20</v>
      </c>
      <c r="H86" s="599" t="s">
        <v>486</v>
      </c>
      <c r="I86" s="606">
        <v>14224</v>
      </c>
      <c r="J86" s="599"/>
      <c r="K86" s="600">
        <f>IF(G86="W",'US CBAs'!$F$19,0)</f>
        <v>1350</v>
      </c>
      <c r="L86" s="599">
        <v>17</v>
      </c>
      <c r="M86" s="601">
        <f>'US CBAs'!$F$12+IF(G86="W",'US CBAs'!$F$19,0)</f>
        <v>2700</v>
      </c>
      <c r="N86" s="599">
        <v>1</v>
      </c>
      <c r="O86" s="602">
        <f t="shared" si="5"/>
        <v>25650</v>
      </c>
      <c r="P86" s="601">
        <f>IF(J86="",I86*'US CBAs'!$G$55,0)</f>
        <v>17068.8</v>
      </c>
      <c r="Q86" s="602">
        <f t="shared" si="4"/>
        <v>42718.8</v>
      </c>
      <c r="R86" s="691"/>
      <c r="S86" s="39"/>
      <c r="T86" s="39"/>
      <c r="U86" s="39"/>
      <c r="V86" s="39"/>
    </row>
    <row r="87" spans="1:22" s="79" customFormat="1" x14ac:dyDescent="0.35">
      <c r="A87" s="598" t="s">
        <v>221</v>
      </c>
      <c r="B87" s="599">
        <v>6</v>
      </c>
      <c r="C87" s="599">
        <v>2013</v>
      </c>
      <c r="D87" s="599" t="s">
        <v>23</v>
      </c>
      <c r="E87" s="599" t="s">
        <v>220</v>
      </c>
      <c r="F87" s="599"/>
      <c r="G87" s="599" t="s">
        <v>20</v>
      </c>
      <c r="H87" s="599" t="s">
        <v>82</v>
      </c>
      <c r="I87" s="599">
        <v>500</v>
      </c>
      <c r="J87" s="599" t="s">
        <v>218</v>
      </c>
      <c r="K87" s="600">
        <f>IF(G87="W",'US CBAs'!$F$19,0)</f>
        <v>1350</v>
      </c>
      <c r="L87" s="599">
        <v>22</v>
      </c>
      <c r="M87" s="601">
        <f>'US CBAs'!$F$12+IF(G87="W",'US CBAs'!$F$19,0)</f>
        <v>2700</v>
      </c>
      <c r="N87" s="599">
        <v>0</v>
      </c>
      <c r="O87" s="602">
        <f t="shared" si="5"/>
        <v>29700</v>
      </c>
      <c r="P87" s="601">
        <f>IF(J87="",I87*'US CBAs'!$G$55,0)</f>
        <v>0</v>
      </c>
      <c r="Q87" s="602">
        <f t="shared" si="4"/>
        <v>29700</v>
      </c>
      <c r="R87" s="691"/>
      <c r="S87" s="39"/>
      <c r="T87" s="39"/>
      <c r="U87" s="39"/>
      <c r="V87" s="39"/>
    </row>
    <row r="88" spans="1:22" s="79" customFormat="1" x14ac:dyDescent="0.35">
      <c r="A88" s="598" t="s">
        <v>221</v>
      </c>
      <c r="B88" s="599">
        <v>8</v>
      </c>
      <c r="C88" s="599">
        <v>2013</v>
      </c>
      <c r="D88" s="599" t="s">
        <v>25</v>
      </c>
      <c r="E88" s="599" t="s">
        <v>220</v>
      </c>
      <c r="F88" s="599"/>
      <c r="G88" s="599" t="s">
        <v>20</v>
      </c>
      <c r="H88" s="599" t="s">
        <v>82</v>
      </c>
      <c r="I88" s="599">
        <v>500</v>
      </c>
      <c r="J88" s="599" t="s">
        <v>218</v>
      </c>
      <c r="K88" s="600">
        <f>IF(G88="W",'US CBAs'!$F$19,0)</f>
        <v>1350</v>
      </c>
      <c r="L88" s="599">
        <v>22</v>
      </c>
      <c r="M88" s="601">
        <f>'US CBAs'!$F$12+IF(G88="W",'US CBAs'!$F$19,0)</f>
        <v>2700</v>
      </c>
      <c r="N88" s="599">
        <v>0</v>
      </c>
      <c r="O88" s="602">
        <f t="shared" si="5"/>
        <v>29700</v>
      </c>
      <c r="P88" s="601">
        <f>IF(J88="",I88*'US CBAs'!$G$55,0)</f>
        <v>0</v>
      </c>
      <c r="Q88" s="602">
        <f t="shared" si="4"/>
        <v>29700</v>
      </c>
      <c r="R88" s="691"/>
      <c r="S88" s="39"/>
      <c r="T88" s="39"/>
      <c r="U88" s="39"/>
      <c r="V88" s="39"/>
    </row>
    <row r="89" spans="1:22" s="79" customFormat="1" x14ac:dyDescent="0.35">
      <c r="A89" s="598" t="s">
        <v>221</v>
      </c>
      <c r="B89" s="599">
        <v>11</v>
      </c>
      <c r="C89" s="599">
        <v>2013</v>
      </c>
      <c r="D89" s="599" t="s">
        <v>26</v>
      </c>
      <c r="E89" s="599" t="s">
        <v>220</v>
      </c>
      <c r="F89" s="599"/>
      <c r="G89" s="599" t="s">
        <v>83</v>
      </c>
      <c r="H89" s="599" t="s">
        <v>82</v>
      </c>
      <c r="I89" s="599">
        <v>750</v>
      </c>
      <c r="J89" s="599" t="s">
        <v>218</v>
      </c>
      <c r="K89" s="600">
        <f>IF(G89="W",'US CBAs'!$F$19,0)</f>
        <v>0</v>
      </c>
      <c r="L89" s="599">
        <v>22</v>
      </c>
      <c r="M89" s="601">
        <f>'US CBAs'!$F$12+IF(G89="W",'US CBAs'!$F$19,0)</f>
        <v>1350</v>
      </c>
      <c r="N89" s="599">
        <v>0</v>
      </c>
      <c r="O89" s="602">
        <f t="shared" si="5"/>
        <v>0</v>
      </c>
      <c r="P89" s="601">
        <f>IF(J89="",I89*'US CBAs'!$G$55,0)</f>
        <v>0</v>
      </c>
      <c r="Q89" s="602">
        <f t="shared" si="4"/>
        <v>0</v>
      </c>
      <c r="R89" s="691"/>
      <c r="S89" s="39"/>
      <c r="T89" s="39"/>
      <c r="U89" s="39"/>
      <c r="V89" s="39"/>
    </row>
    <row r="90" spans="1:22" x14ac:dyDescent="0.35">
      <c r="A90" s="587" t="s">
        <v>221</v>
      </c>
      <c r="B90" s="587">
        <v>13</v>
      </c>
      <c r="C90" s="587">
        <v>2013</v>
      </c>
      <c r="D90" s="587" t="s">
        <v>27</v>
      </c>
      <c r="E90" s="587" t="s">
        <v>220</v>
      </c>
      <c r="F90" s="587"/>
      <c r="G90" s="587" t="s">
        <v>20</v>
      </c>
      <c r="H90" s="587" t="s">
        <v>82</v>
      </c>
      <c r="I90" s="636">
        <v>1200</v>
      </c>
      <c r="J90" s="587" t="s">
        <v>218</v>
      </c>
      <c r="K90" s="600">
        <f>IF(G90="W",'US CBAs'!$F$19,0)</f>
        <v>1350</v>
      </c>
      <c r="L90" s="587">
        <v>22</v>
      </c>
      <c r="M90" s="601">
        <f>'US CBAs'!$F$12+IF(G90="W",'US CBAs'!$F$19,0)</f>
        <v>2700</v>
      </c>
      <c r="N90" s="587">
        <v>0</v>
      </c>
      <c r="O90" s="602">
        <f t="shared" si="5"/>
        <v>29700</v>
      </c>
      <c r="P90" s="601">
        <f>IF(J90="",I90*'US CBAs'!$G$55,0)</f>
        <v>0</v>
      </c>
      <c r="Q90" s="602">
        <f t="shared" si="4"/>
        <v>29700</v>
      </c>
    </row>
    <row r="91" spans="1:22" x14ac:dyDescent="0.35">
      <c r="A91" s="593" t="s">
        <v>240</v>
      </c>
      <c r="B91" s="587">
        <v>5</v>
      </c>
      <c r="C91" s="587">
        <v>2013</v>
      </c>
      <c r="D91" s="587" t="s">
        <v>27</v>
      </c>
      <c r="E91" s="587" t="s">
        <v>220</v>
      </c>
      <c r="F91" s="587"/>
      <c r="G91" s="587" t="s">
        <v>83</v>
      </c>
      <c r="H91" s="587" t="s">
        <v>27</v>
      </c>
      <c r="I91" s="636">
        <v>16090</v>
      </c>
      <c r="J91" s="587" t="s">
        <v>218</v>
      </c>
      <c r="K91" s="600">
        <f>IF(G91="W",'US CBAs'!$F$19,0)</f>
        <v>0</v>
      </c>
      <c r="L91" s="587">
        <v>16</v>
      </c>
      <c r="M91" s="601">
        <f>'US CBAs'!$F$12+IF(G91="W",'US CBAs'!$F$19,0)</f>
        <v>1350</v>
      </c>
      <c r="N91" s="587">
        <v>2</v>
      </c>
      <c r="O91" s="602">
        <f t="shared" si="5"/>
        <v>2700</v>
      </c>
      <c r="P91" s="601">
        <f>IF(J91="",I91*'US CBAs'!$G$55,0)</f>
        <v>0</v>
      </c>
      <c r="Q91" s="602">
        <f t="shared" si="4"/>
        <v>2700</v>
      </c>
    </row>
    <row r="92" spans="1:22" x14ac:dyDescent="0.35">
      <c r="A92" s="587" t="s">
        <v>240</v>
      </c>
      <c r="B92" s="587">
        <v>9</v>
      </c>
      <c r="C92" s="587">
        <v>2013</v>
      </c>
      <c r="D92" s="587" t="s">
        <v>30</v>
      </c>
      <c r="E92" s="599" t="s">
        <v>220</v>
      </c>
      <c r="F92" s="587"/>
      <c r="G92" s="587" t="s">
        <v>20</v>
      </c>
      <c r="H92" s="599" t="s">
        <v>30</v>
      </c>
      <c r="I92" s="636">
        <v>8000</v>
      </c>
      <c r="J92" s="587" t="s">
        <v>218</v>
      </c>
      <c r="K92" s="600">
        <f>IF(G92="W",'US CBAs'!$F$19,0)</f>
        <v>1350</v>
      </c>
      <c r="L92" s="587">
        <v>16</v>
      </c>
      <c r="M92" s="601">
        <f>'US CBAs'!$F$12+IF(G92="W",'US CBAs'!$F$19,0)</f>
        <v>2700</v>
      </c>
      <c r="N92" s="587">
        <v>2</v>
      </c>
      <c r="O92" s="602">
        <f t="shared" si="5"/>
        <v>27000</v>
      </c>
      <c r="P92" s="601">
        <f>IF(J92="",I92*'US CBAs'!$G$55,0)</f>
        <v>0</v>
      </c>
      <c r="Q92" s="602">
        <f t="shared" si="4"/>
        <v>27000</v>
      </c>
    </row>
    <row r="93" spans="1:22" x14ac:dyDescent="0.35">
      <c r="A93" s="587" t="s">
        <v>223</v>
      </c>
      <c r="B93" s="587">
        <v>2</v>
      </c>
      <c r="C93" s="587">
        <v>2013</v>
      </c>
      <c r="D93" s="587" t="s">
        <v>29</v>
      </c>
      <c r="E93" s="599" t="s">
        <v>220</v>
      </c>
      <c r="F93" s="587"/>
      <c r="G93" s="587" t="s">
        <v>20</v>
      </c>
      <c r="H93" s="587" t="s">
        <v>29</v>
      </c>
      <c r="I93" s="636">
        <v>22453</v>
      </c>
      <c r="J93" s="587" t="s">
        <v>218</v>
      </c>
      <c r="K93" s="600">
        <f>IF(G93="W",'US CBAs'!$F$19,0)</f>
        <v>1350</v>
      </c>
      <c r="L93" s="587">
        <v>16</v>
      </c>
      <c r="M93" s="601">
        <f>'US CBAs'!$F$12+IF(G93="W",'US CBAs'!$F$19,0)</f>
        <v>2700</v>
      </c>
      <c r="N93" s="587">
        <v>2</v>
      </c>
      <c r="O93" s="602">
        <f t="shared" si="5"/>
        <v>27000</v>
      </c>
      <c r="P93" s="601">
        <f>IF(J93="",I93*'US CBAs'!$G$55,0)</f>
        <v>0</v>
      </c>
      <c r="Q93" s="602">
        <f t="shared" si="4"/>
        <v>27000</v>
      </c>
    </row>
    <row r="94" spans="1:22" x14ac:dyDescent="0.35">
      <c r="A94" s="623" t="s">
        <v>223</v>
      </c>
      <c r="B94" s="623">
        <v>15</v>
      </c>
      <c r="C94" s="623">
        <v>2013</v>
      </c>
      <c r="D94" s="623" t="s">
        <v>34</v>
      </c>
      <c r="E94" s="612" t="s">
        <v>220</v>
      </c>
      <c r="F94" s="623"/>
      <c r="G94" s="623" t="s">
        <v>20</v>
      </c>
      <c r="H94" s="623" t="s">
        <v>488</v>
      </c>
      <c r="I94" s="628">
        <v>13035</v>
      </c>
      <c r="J94" s="623"/>
      <c r="K94" s="614">
        <f>IF(G94="W",'US CBAs'!$F$19,0)</f>
        <v>1350</v>
      </c>
      <c r="L94" s="623">
        <v>16</v>
      </c>
      <c r="M94" s="615">
        <f>'US CBAs'!$F$12+IF(G94="W",'US CBAs'!$F$19,0)</f>
        <v>2700</v>
      </c>
      <c r="N94" s="623">
        <v>2</v>
      </c>
      <c r="O94" s="616">
        <f t="shared" si="5"/>
        <v>27000</v>
      </c>
      <c r="P94" s="615">
        <f>IF(J94="",I94*'US CBAs'!$G$55,0)</f>
        <v>15642</v>
      </c>
      <c r="Q94" s="616">
        <f t="shared" si="4"/>
        <v>42642</v>
      </c>
    </row>
    <row r="95" spans="1:22" x14ac:dyDescent="0.35">
      <c r="A95" s="623" t="s">
        <v>223</v>
      </c>
      <c r="B95" s="623">
        <v>20</v>
      </c>
      <c r="C95" s="623">
        <v>2013</v>
      </c>
      <c r="D95" s="623" t="s">
        <v>34</v>
      </c>
      <c r="E95" s="612" t="s">
        <v>220</v>
      </c>
      <c r="F95" s="623"/>
      <c r="G95" s="623" t="s">
        <v>20</v>
      </c>
      <c r="H95" s="623" t="s">
        <v>485</v>
      </c>
      <c r="I95" s="628">
        <v>18961</v>
      </c>
      <c r="J95" s="623"/>
      <c r="K95" s="614">
        <f>IF(G95="W",'US CBAs'!$F$19,0)</f>
        <v>1350</v>
      </c>
      <c r="L95" s="623">
        <v>16</v>
      </c>
      <c r="M95" s="615">
        <f>'US CBAs'!$F$12+IF(G95="W",'US CBAs'!$F$19,0)</f>
        <v>2700</v>
      </c>
      <c r="N95" s="623">
        <v>2</v>
      </c>
      <c r="O95" s="616">
        <f t="shared" si="5"/>
        <v>27000</v>
      </c>
      <c r="P95" s="615">
        <f>IF(J95="",I95*'US CBAs'!$G$55,0)</f>
        <v>22753.200000000001</v>
      </c>
      <c r="Q95" s="616">
        <f t="shared" si="4"/>
        <v>49753.2</v>
      </c>
    </row>
    <row r="96" spans="1:22" x14ac:dyDescent="0.35">
      <c r="A96" s="623" t="s">
        <v>222</v>
      </c>
      <c r="B96" s="623">
        <v>3</v>
      </c>
      <c r="C96" s="623">
        <v>2013</v>
      </c>
      <c r="D96" s="623" t="s">
        <v>35</v>
      </c>
      <c r="E96" s="612" t="s">
        <v>220</v>
      </c>
      <c r="F96" s="623"/>
      <c r="G96" s="623" t="s">
        <v>20</v>
      </c>
      <c r="H96" s="612" t="s">
        <v>491</v>
      </c>
      <c r="I96" s="628">
        <v>12594</v>
      </c>
      <c r="J96" s="623"/>
      <c r="K96" s="614">
        <f>IF(G96="W",'US CBAs'!$F$19,0)</f>
        <v>1350</v>
      </c>
      <c r="L96" s="623">
        <v>17</v>
      </c>
      <c r="M96" s="615">
        <f>'US CBAs'!$F$12+IF(G96="W",'US CBAs'!$F$19,0)</f>
        <v>2700</v>
      </c>
      <c r="N96" s="623">
        <v>0</v>
      </c>
      <c r="O96" s="616">
        <f t="shared" si="5"/>
        <v>22950</v>
      </c>
      <c r="P96" s="615">
        <f>IF(J96="",I96*'US CBAs'!$G$55,0)</f>
        <v>15112.8</v>
      </c>
      <c r="Q96" s="616">
        <f t="shared" si="4"/>
        <v>38062.800000000003</v>
      </c>
    </row>
    <row r="97" spans="1:17" x14ac:dyDescent="0.35">
      <c r="A97" s="623" t="s">
        <v>189</v>
      </c>
      <c r="B97" s="623">
        <v>20</v>
      </c>
      <c r="C97" s="623">
        <v>2013</v>
      </c>
      <c r="D97" s="623" t="s">
        <v>37</v>
      </c>
      <c r="E97" s="612" t="s">
        <v>220</v>
      </c>
      <c r="F97" s="623"/>
      <c r="G97" s="623" t="s">
        <v>20</v>
      </c>
      <c r="H97" s="612" t="s">
        <v>492</v>
      </c>
      <c r="I97" s="628">
        <v>19109</v>
      </c>
      <c r="J97" s="623"/>
      <c r="K97" s="614">
        <f>IF(G97="W",'US CBAs'!$F$19,0)</f>
        <v>1350</v>
      </c>
      <c r="L97" s="623">
        <v>17</v>
      </c>
      <c r="M97" s="615">
        <f>'US CBAs'!$F$12+IF(G97="W",'US CBAs'!$F$19,0)</f>
        <v>2700</v>
      </c>
      <c r="N97" s="623">
        <v>0</v>
      </c>
      <c r="O97" s="616">
        <f t="shared" si="5"/>
        <v>22950</v>
      </c>
      <c r="P97" s="615">
        <f>IF(J97="",I97*'US CBAs'!$G$55,0)</f>
        <v>22930.799999999999</v>
      </c>
      <c r="Q97" s="616">
        <f t="shared" si="4"/>
        <v>45880.800000000003</v>
      </c>
    </row>
    <row r="98" spans="1:17" x14ac:dyDescent="0.35">
      <c r="A98" s="623" t="s">
        <v>189</v>
      </c>
      <c r="B98" s="623">
        <v>27</v>
      </c>
      <c r="C98" s="623">
        <v>2013</v>
      </c>
      <c r="D98" s="623" t="s">
        <v>38</v>
      </c>
      <c r="E98" s="612" t="s">
        <v>220</v>
      </c>
      <c r="F98" s="623"/>
      <c r="G98" s="623" t="s">
        <v>20</v>
      </c>
      <c r="H98" s="623" t="s">
        <v>481</v>
      </c>
      <c r="I98" s="628">
        <v>16315</v>
      </c>
      <c r="J98" s="623"/>
      <c r="K98" s="614">
        <f>IF(G98="W",'US CBAs'!$F$19,0)</f>
        <v>1350</v>
      </c>
      <c r="L98" s="623">
        <v>17</v>
      </c>
      <c r="M98" s="615">
        <f>'US CBAs'!$F$12+IF(G98="W",'US CBAs'!$F$19,0)</f>
        <v>2700</v>
      </c>
      <c r="N98" s="623">
        <v>0</v>
      </c>
      <c r="O98" s="616">
        <f t="shared" si="5"/>
        <v>22950</v>
      </c>
      <c r="P98" s="615">
        <f>IF(J98="",I98*'US CBAs'!$G$55,0)</f>
        <v>19578</v>
      </c>
      <c r="Q98" s="616">
        <f t="shared" si="4"/>
        <v>42528</v>
      </c>
    </row>
    <row r="99" spans="1:17" x14ac:dyDescent="0.35">
      <c r="A99" s="623" t="s">
        <v>189</v>
      </c>
      <c r="B99" s="623">
        <v>30</v>
      </c>
      <c r="C99" s="623">
        <v>2013</v>
      </c>
      <c r="D99" s="623" t="s">
        <v>38</v>
      </c>
      <c r="E99" s="612" t="s">
        <v>220</v>
      </c>
      <c r="F99" s="623"/>
      <c r="G99" s="623" t="s">
        <v>83</v>
      </c>
      <c r="H99" s="623" t="s">
        <v>495</v>
      </c>
      <c r="I99" s="628">
        <v>15139</v>
      </c>
      <c r="J99" s="623"/>
      <c r="K99" s="614">
        <f>IF(G99="W",'US CBAs'!$F$19,0)</f>
        <v>0</v>
      </c>
      <c r="L99" s="623">
        <v>17</v>
      </c>
      <c r="M99" s="615">
        <f>'US CBAs'!$F$12+IF(G99="W",'US CBAs'!$F$19,0)</f>
        <v>1350</v>
      </c>
      <c r="N99" s="623">
        <v>0</v>
      </c>
      <c r="O99" s="616">
        <f t="shared" si="5"/>
        <v>0</v>
      </c>
      <c r="P99" s="615">
        <f>IF(J99="",I99*'US CBAs'!$G$55,0)</f>
        <v>18166.8</v>
      </c>
      <c r="Q99" s="616">
        <f t="shared" si="4"/>
        <v>18166.8</v>
      </c>
    </row>
    <row r="100" spans="1:17" x14ac:dyDescent="0.35">
      <c r="A100" s="623" t="s">
        <v>190</v>
      </c>
      <c r="B100" s="623">
        <v>10</v>
      </c>
      <c r="C100" s="623">
        <v>2013</v>
      </c>
      <c r="D100" s="623" t="s">
        <v>41</v>
      </c>
      <c r="E100" s="612" t="s">
        <v>220</v>
      </c>
      <c r="F100" s="623"/>
      <c r="G100" s="623" t="s">
        <v>20</v>
      </c>
      <c r="H100" s="623" t="s">
        <v>482</v>
      </c>
      <c r="I100" s="628">
        <v>20274</v>
      </c>
      <c r="J100" s="623"/>
      <c r="K100" s="614">
        <f>IF(G100="W",'US CBAs'!$F$19,0)</f>
        <v>1350</v>
      </c>
      <c r="L100" s="623">
        <v>17</v>
      </c>
      <c r="M100" s="615">
        <f>'US CBAs'!$F$12+IF(G100="W",'US CBAs'!$F$19,0)</f>
        <v>2700</v>
      </c>
      <c r="N100" s="623">
        <v>0</v>
      </c>
      <c r="O100" s="616">
        <f t="shared" si="5"/>
        <v>22950</v>
      </c>
      <c r="P100" s="615">
        <f>IF(J100="",I100*'US CBAs'!$G$55,0)</f>
        <v>24328.799999999999</v>
      </c>
      <c r="Q100" s="616">
        <f t="shared" si="4"/>
        <v>47278.8</v>
      </c>
    </row>
    <row r="101" spans="1:17" x14ac:dyDescent="0.35">
      <c r="A101" s="647" t="s">
        <v>262</v>
      </c>
      <c r="B101" s="587">
        <v>28</v>
      </c>
      <c r="C101" s="593">
        <v>2013</v>
      </c>
      <c r="D101" s="593"/>
      <c r="E101" s="599"/>
      <c r="F101" s="593"/>
      <c r="G101" s="593"/>
      <c r="H101" s="648" t="s">
        <v>431</v>
      </c>
      <c r="I101" s="653"/>
      <c r="J101" s="654"/>
      <c r="K101" s="684">
        <f>'US CBAs'!$F$4</f>
        <v>72000</v>
      </c>
      <c r="L101" s="654">
        <v>18</v>
      </c>
      <c r="M101" s="688"/>
      <c r="N101" s="654"/>
      <c r="O101" s="690">
        <f t="shared" si="5"/>
        <v>1296000</v>
      </c>
      <c r="P101" s="688"/>
      <c r="Q101" s="690">
        <f t="shared" si="4"/>
        <v>1296000</v>
      </c>
    </row>
    <row r="102" spans="1:17" x14ac:dyDescent="0.35">
      <c r="A102" s="647" t="s">
        <v>262</v>
      </c>
      <c r="B102" s="587">
        <v>29</v>
      </c>
      <c r="C102" s="593">
        <v>2013</v>
      </c>
      <c r="D102" s="593"/>
      <c r="E102" s="599"/>
      <c r="F102" s="593"/>
      <c r="G102" s="593"/>
      <c r="H102" s="656" t="s">
        <v>432</v>
      </c>
      <c r="I102" s="653"/>
      <c r="J102" s="654"/>
      <c r="K102" s="684">
        <f>'US CBAs'!$F$5</f>
        <v>51000</v>
      </c>
      <c r="L102" s="654">
        <v>4</v>
      </c>
      <c r="M102" s="688"/>
      <c r="N102" s="654"/>
      <c r="O102" s="690">
        <f t="shared" si="5"/>
        <v>204000</v>
      </c>
      <c r="P102" s="688"/>
      <c r="Q102" s="690">
        <f t="shared" si="4"/>
        <v>204000</v>
      </c>
    </row>
    <row r="103" spans="1:17" x14ac:dyDescent="0.35">
      <c r="A103" s="647" t="s">
        <v>262</v>
      </c>
      <c r="B103" s="587">
        <v>30</v>
      </c>
      <c r="C103" s="593">
        <v>2013</v>
      </c>
      <c r="D103" s="593"/>
      <c r="E103" s="599"/>
      <c r="F103" s="593"/>
      <c r="G103" s="593"/>
      <c r="H103" s="648" t="s">
        <v>433</v>
      </c>
      <c r="I103" s="653"/>
      <c r="J103" s="654"/>
      <c r="K103" s="684">
        <f>'US CBAs'!$F$6</f>
        <v>36000</v>
      </c>
      <c r="L103" s="654">
        <v>2</v>
      </c>
      <c r="M103" s="688"/>
      <c r="N103" s="654"/>
      <c r="O103" s="690">
        <f t="shared" si="5"/>
        <v>72000</v>
      </c>
      <c r="P103" s="688"/>
      <c r="Q103" s="690">
        <f t="shared" si="4"/>
        <v>72000</v>
      </c>
    </row>
    <row r="104" spans="1:17" x14ac:dyDescent="0.35">
      <c r="A104" s="647" t="s">
        <v>262</v>
      </c>
      <c r="B104" s="587">
        <v>31</v>
      </c>
      <c r="C104" s="593">
        <v>2013</v>
      </c>
      <c r="D104" s="593"/>
      <c r="E104" s="599"/>
      <c r="F104" s="593"/>
      <c r="G104" s="593"/>
      <c r="H104" s="648" t="s">
        <v>434</v>
      </c>
      <c r="I104" s="653"/>
      <c r="J104" s="654"/>
      <c r="K104" s="684"/>
      <c r="L104" s="654"/>
      <c r="M104" s="688">
        <f>'US CBAs'!$F$8</f>
        <v>500</v>
      </c>
      <c r="N104" s="654">
        <v>20</v>
      </c>
      <c r="O104" s="690">
        <f>(M104*N104)</f>
        <v>10000</v>
      </c>
      <c r="P104" s="688"/>
      <c r="Q104" s="690">
        <f t="shared" si="4"/>
        <v>10000</v>
      </c>
    </row>
    <row r="105" spans="1:17" x14ac:dyDescent="0.35">
      <c r="A105" s="623" t="s">
        <v>191</v>
      </c>
      <c r="B105" s="623">
        <v>31</v>
      </c>
      <c r="C105" s="623">
        <v>2014</v>
      </c>
      <c r="D105" s="623" t="s">
        <v>29</v>
      </c>
      <c r="E105" s="612" t="s">
        <v>220</v>
      </c>
      <c r="F105" s="623"/>
      <c r="G105" s="623" t="s">
        <v>20</v>
      </c>
      <c r="H105" s="623" t="s">
        <v>492</v>
      </c>
      <c r="I105" s="628">
        <v>20862</v>
      </c>
      <c r="J105" s="623"/>
      <c r="K105" s="614">
        <f>IF(G105="W",'US CBAs'!$F$19,0)</f>
        <v>1350</v>
      </c>
      <c r="L105" s="623">
        <v>16</v>
      </c>
      <c r="M105" s="615">
        <f>'US CBAs'!$F$12+IF(G105="W",'US CBAs'!$F$19,0)</f>
        <v>2700</v>
      </c>
      <c r="N105" s="623">
        <v>2</v>
      </c>
      <c r="O105" s="616">
        <f t="shared" ref="O105:O131" si="6">(K105*L105)+(M105*N105)</f>
        <v>27000</v>
      </c>
      <c r="P105" s="615">
        <f>IF(J105="",I105*'US CBAs'!$G$55,0)</f>
        <v>25034.399999999998</v>
      </c>
      <c r="Q105" s="616">
        <f t="shared" si="4"/>
        <v>52034.399999999994</v>
      </c>
    </row>
    <row r="106" spans="1:17" x14ac:dyDescent="0.35">
      <c r="A106" s="623" t="s">
        <v>192</v>
      </c>
      <c r="B106" s="623">
        <v>8</v>
      </c>
      <c r="C106" s="623">
        <v>2014</v>
      </c>
      <c r="D106" s="623" t="s">
        <v>49</v>
      </c>
      <c r="E106" s="612" t="s">
        <v>220</v>
      </c>
      <c r="F106" s="623"/>
      <c r="G106" s="623" t="s">
        <v>20</v>
      </c>
      <c r="H106" s="623" t="s">
        <v>482</v>
      </c>
      <c r="I106" s="628">
        <v>8857</v>
      </c>
      <c r="J106" s="623"/>
      <c r="K106" s="614">
        <f>IF(G106="W",'US CBAs'!$F$19,0)</f>
        <v>1350</v>
      </c>
      <c r="L106" s="623">
        <v>16</v>
      </c>
      <c r="M106" s="615">
        <f>'US CBAs'!$F$12+IF(G106="W",'US CBAs'!$F$19,0)</f>
        <v>2700</v>
      </c>
      <c r="N106" s="623">
        <v>2</v>
      </c>
      <c r="O106" s="616">
        <f t="shared" si="6"/>
        <v>27000</v>
      </c>
      <c r="P106" s="615">
        <f>IF(J106="",I106*'US CBAs'!$G$55,0)</f>
        <v>10628.4</v>
      </c>
      <c r="Q106" s="616">
        <f t="shared" si="4"/>
        <v>37628.400000000001</v>
      </c>
    </row>
    <row r="107" spans="1:17" x14ac:dyDescent="0.35">
      <c r="A107" s="623" t="s">
        <v>192</v>
      </c>
      <c r="B107" s="623">
        <v>13</v>
      </c>
      <c r="C107" s="623">
        <v>2014</v>
      </c>
      <c r="D107" s="623" t="s">
        <v>49</v>
      </c>
      <c r="E107" s="612" t="s">
        <v>220</v>
      </c>
      <c r="F107" s="623"/>
      <c r="G107" s="623" t="s">
        <v>20</v>
      </c>
      <c r="H107" s="612" t="s">
        <v>500</v>
      </c>
      <c r="I107" s="628">
        <v>16133</v>
      </c>
      <c r="J107" s="623"/>
      <c r="K107" s="614">
        <f>IF(G107="W",'US CBAs'!$F$19,0)</f>
        <v>1350</v>
      </c>
      <c r="L107" s="623">
        <v>16</v>
      </c>
      <c r="M107" s="615">
        <f>'US CBAs'!$F$12+IF(G107="W",'US CBAs'!$F$19,0)</f>
        <v>2700</v>
      </c>
      <c r="N107" s="623">
        <v>2</v>
      </c>
      <c r="O107" s="616">
        <f t="shared" si="6"/>
        <v>27000</v>
      </c>
      <c r="P107" s="615">
        <f>IF(J107="",I107*'US CBAs'!$G$55,0)</f>
        <v>19359.599999999999</v>
      </c>
      <c r="Q107" s="616">
        <f t="shared" si="4"/>
        <v>46359.6</v>
      </c>
    </row>
    <row r="108" spans="1:17" x14ac:dyDescent="0.35">
      <c r="A108" s="598" t="s">
        <v>221</v>
      </c>
      <c r="B108" s="599">
        <v>5</v>
      </c>
      <c r="C108" s="587">
        <v>2014</v>
      </c>
      <c r="D108" s="587" t="s">
        <v>50</v>
      </c>
      <c r="E108" s="599" t="s">
        <v>220</v>
      </c>
      <c r="F108" s="587"/>
      <c r="G108" s="587" t="s">
        <v>83</v>
      </c>
      <c r="H108" s="599" t="s">
        <v>82</v>
      </c>
      <c r="I108" s="587">
        <v>500</v>
      </c>
      <c r="J108" s="587" t="s">
        <v>218</v>
      </c>
      <c r="K108" s="600">
        <f>IF(G108="W",'US CBAs'!$F$19,0)</f>
        <v>0</v>
      </c>
      <c r="L108" s="587">
        <v>22</v>
      </c>
      <c r="M108" s="601">
        <f>'US CBAs'!$F$12+IF(G108="W",'US CBAs'!$F$19,0)</f>
        <v>1350</v>
      </c>
      <c r="N108" s="587">
        <v>1</v>
      </c>
      <c r="O108" s="602">
        <f t="shared" si="6"/>
        <v>1350</v>
      </c>
      <c r="P108" s="601">
        <f>IF(J108="",I108*'US CBAs'!$G$55,0)</f>
        <v>0</v>
      </c>
      <c r="Q108" s="602">
        <f t="shared" si="4"/>
        <v>1350</v>
      </c>
    </row>
    <row r="109" spans="1:17" x14ac:dyDescent="0.35">
      <c r="A109" s="598" t="s">
        <v>221</v>
      </c>
      <c r="B109" s="599">
        <v>7</v>
      </c>
      <c r="C109" s="587">
        <v>2014</v>
      </c>
      <c r="D109" s="587" t="s">
        <v>26</v>
      </c>
      <c r="E109" s="599" t="s">
        <v>220</v>
      </c>
      <c r="F109" s="587"/>
      <c r="G109" s="587" t="s">
        <v>33</v>
      </c>
      <c r="H109" s="587" t="s">
        <v>82</v>
      </c>
      <c r="I109" s="636">
        <v>2000</v>
      </c>
      <c r="J109" s="587" t="s">
        <v>218</v>
      </c>
      <c r="K109" s="600">
        <f>IF(G109="W",'US CBAs'!$F$19,0)</f>
        <v>0</v>
      </c>
      <c r="L109" s="587">
        <v>22</v>
      </c>
      <c r="M109" s="601">
        <f>'US CBAs'!$F$12+IF(G109="W",'US CBAs'!$F$19,0)</f>
        <v>1350</v>
      </c>
      <c r="N109" s="587">
        <v>1</v>
      </c>
      <c r="O109" s="602">
        <f t="shared" si="6"/>
        <v>1350</v>
      </c>
      <c r="P109" s="601">
        <f>IF(J109="",I109*'US CBAs'!$G$55,0)</f>
        <v>0</v>
      </c>
      <c r="Q109" s="602">
        <f t="shared" si="4"/>
        <v>1350</v>
      </c>
    </row>
    <row r="110" spans="1:17" x14ac:dyDescent="0.35">
      <c r="A110" s="598" t="s">
        <v>221</v>
      </c>
      <c r="B110" s="599">
        <v>10</v>
      </c>
      <c r="C110" s="587">
        <v>2014</v>
      </c>
      <c r="D110" s="587" t="s">
        <v>51</v>
      </c>
      <c r="E110" s="599" t="s">
        <v>220</v>
      </c>
      <c r="F110" s="587"/>
      <c r="G110" s="587" t="s">
        <v>33</v>
      </c>
      <c r="H110" s="599" t="s">
        <v>82</v>
      </c>
      <c r="I110" s="587">
        <v>750</v>
      </c>
      <c r="J110" s="587" t="s">
        <v>218</v>
      </c>
      <c r="K110" s="600">
        <f>IF(G110="W",'US CBAs'!$F$19,0)</f>
        <v>0</v>
      </c>
      <c r="L110" s="587">
        <v>22</v>
      </c>
      <c r="M110" s="601">
        <f>'US CBAs'!$F$12+IF(G110="W",'US CBAs'!$F$19,0)</f>
        <v>1350</v>
      </c>
      <c r="N110" s="587">
        <v>1</v>
      </c>
      <c r="O110" s="602">
        <f t="shared" si="6"/>
        <v>1350</v>
      </c>
      <c r="P110" s="601">
        <f>IF(J110="",I110*'US CBAs'!$G$55,0)</f>
        <v>0</v>
      </c>
      <c r="Q110" s="602">
        <f t="shared" si="4"/>
        <v>1350</v>
      </c>
    </row>
    <row r="111" spans="1:17" x14ac:dyDescent="0.35">
      <c r="A111" s="598" t="s">
        <v>221</v>
      </c>
      <c r="B111" s="599">
        <v>12</v>
      </c>
      <c r="C111" s="593">
        <v>2014</v>
      </c>
      <c r="D111" s="593" t="s">
        <v>52</v>
      </c>
      <c r="E111" s="599" t="s">
        <v>220</v>
      </c>
      <c r="F111" s="593"/>
      <c r="G111" s="593" t="s">
        <v>20</v>
      </c>
      <c r="H111" s="599" t="s">
        <v>82</v>
      </c>
      <c r="I111" s="587">
        <v>250</v>
      </c>
      <c r="J111" s="593" t="s">
        <v>218</v>
      </c>
      <c r="K111" s="600">
        <f>IF(G111="W",'US CBAs'!$F$19,0)</f>
        <v>1350</v>
      </c>
      <c r="L111" s="593">
        <v>22</v>
      </c>
      <c r="M111" s="601">
        <f>'US CBAs'!$F$12+IF(G111="W",'US CBAs'!$F$19,0)</f>
        <v>2700</v>
      </c>
      <c r="N111" s="593">
        <v>1</v>
      </c>
      <c r="O111" s="602">
        <f t="shared" si="6"/>
        <v>32400</v>
      </c>
      <c r="P111" s="601">
        <f>IF(J111="",I111*'US CBAs'!$G$55,0)</f>
        <v>0</v>
      </c>
      <c r="Q111" s="602">
        <f t="shared" si="4"/>
        <v>32400</v>
      </c>
    </row>
    <row r="112" spans="1:17" x14ac:dyDescent="0.35">
      <c r="A112" s="623" t="s">
        <v>240</v>
      </c>
      <c r="B112" s="623">
        <v>6</v>
      </c>
      <c r="C112" s="623">
        <v>2014</v>
      </c>
      <c r="D112" s="623" t="s">
        <v>25</v>
      </c>
      <c r="E112" s="612" t="s">
        <v>220</v>
      </c>
      <c r="F112" s="623"/>
      <c r="G112" s="623" t="s">
        <v>20</v>
      </c>
      <c r="H112" s="612" t="s">
        <v>496</v>
      </c>
      <c r="I112" s="628">
        <v>14903</v>
      </c>
      <c r="J112" s="623"/>
      <c r="K112" s="614">
        <f>IF(G112="W",'US CBAs'!$F$19,0)</f>
        <v>1350</v>
      </c>
      <c r="L112" s="623">
        <v>17</v>
      </c>
      <c r="M112" s="615">
        <f>'US CBAs'!$F$12+IF(G112="W",'US CBAs'!$F$19,0)</f>
        <v>2700</v>
      </c>
      <c r="N112" s="623">
        <v>1</v>
      </c>
      <c r="O112" s="616">
        <f t="shared" si="6"/>
        <v>25650</v>
      </c>
      <c r="P112" s="615">
        <f>IF(J112="",I112*'US CBAs'!$G$55,0)</f>
        <v>17883.599999999999</v>
      </c>
      <c r="Q112" s="616">
        <f t="shared" si="4"/>
        <v>43533.599999999999</v>
      </c>
    </row>
    <row r="113" spans="1:17" x14ac:dyDescent="0.35">
      <c r="A113" s="623" t="s">
        <v>240</v>
      </c>
      <c r="B113" s="623">
        <v>10</v>
      </c>
      <c r="C113" s="623">
        <v>2014</v>
      </c>
      <c r="D113" s="623" t="s">
        <v>25</v>
      </c>
      <c r="E113" s="612" t="s">
        <v>220</v>
      </c>
      <c r="F113" s="623"/>
      <c r="G113" s="623" t="s">
        <v>20</v>
      </c>
      <c r="H113" s="623" t="s">
        <v>481</v>
      </c>
      <c r="I113" s="628">
        <v>12857</v>
      </c>
      <c r="J113" s="623"/>
      <c r="K113" s="614">
        <f>IF(G113="W",'US CBAs'!$F$19,0)</f>
        <v>1350</v>
      </c>
      <c r="L113" s="623">
        <v>17</v>
      </c>
      <c r="M113" s="615">
        <f>'US CBAs'!$F$12+IF(G113="W",'US CBAs'!$F$19,0)</f>
        <v>2700</v>
      </c>
      <c r="N113" s="623">
        <v>1</v>
      </c>
      <c r="O113" s="616">
        <f t="shared" si="6"/>
        <v>25650</v>
      </c>
      <c r="P113" s="615">
        <f>IF(J113="",I113*'US CBAs'!$G$55,0)</f>
        <v>15428.4</v>
      </c>
      <c r="Q113" s="616">
        <f t="shared" si="4"/>
        <v>41078.400000000001</v>
      </c>
    </row>
    <row r="114" spans="1:17" x14ac:dyDescent="0.35">
      <c r="A114" s="587" t="s">
        <v>186</v>
      </c>
      <c r="B114" s="587">
        <v>8</v>
      </c>
      <c r="C114" s="593">
        <v>2014</v>
      </c>
      <c r="D114" s="593" t="s">
        <v>29</v>
      </c>
      <c r="E114" s="587" t="s">
        <v>220</v>
      </c>
      <c r="F114" s="593"/>
      <c r="G114" s="643" t="s">
        <v>83</v>
      </c>
      <c r="H114" s="593" t="s">
        <v>29</v>
      </c>
      <c r="I114" s="608">
        <v>28255</v>
      </c>
      <c r="J114" s="593" t="s">
        <v>218</v>
      </c>
      <c r="K114" s="589">
        <f>IF(G114="W",'US CBAs'!$F$19,0)</f>
        <v>0</v>
      </c>
      <c r="L114" s="593">
        <v>17</v>
      </c>
      <c r="M114" s="590">
        <f>'US CBAs'!$F$12+IF(G114="W",'US CBAs'!$F$19,0)</f>
        <v>1350</v>
      </c>
      <c r="N114" s="593">
        <v>1</v>
      </c>
      <c r="O114" s="591">
        <f t="shared" si="6"/>
        <v>1350</v>
      </c>
      <c r="P114" s="590">
        <f>IF(J114="",I114*'US CBAs'!$G$55,0)</f>
        <v>0</v>
      </c>
      <c r="Q114" s="591">
        <f t="shared" si="4"/>
        <v>1350</v>
      </c>
    </row>
    <row r="115" spans="1:17" x14ac:dyDescent="0.35">
      <c r="A115" s="623" t="s">
        <v>223</v>
      </c>
      <c r="B115" s="623">
        <v>14</v>
      </c>
      <c r="C115" s="623">
        <v>2014</v>
      </c>
      <c r="D115" s="623" t="s">
        <v>53</v>
      </c>
      <c r="E115" s="623" t="s">
        <v>220</v>
      </c>
      <c r="F115" s="623"/>
      <c r="G115" s="623" t="s">
        <v>20</v>
      </c>
      <c r="H115" s="623" t="s">
        <v>482</v>
      </c>
      <c r="I115" s="628">
        <v>9799</v>
      </c>
      <c r="J115" s="623"/>
      <c r="K115" s="625">
        <f>IF(G115="W",'US CBAs'!$F$19,0)</f>
        <v>1350</v>
      </c>
      <c r="L115" s="623">
        <v>17</v>
      </c>
      <c r="M115" s="626">
        <f>'US CBAs'!$F$12+IF(G115="W",'US CBAs'!$F$19,0)</f>
        <v>2700</v>
      </c>
      <c r="N115" s="623">
        <v>1</v>
      </c>
      <c r="O115" s="627">
        <f t="shared" si="6"/>
        <v>25650</v>
      </c>
      <c r="P115" s="626">
        <f>IF(J115="",I115*'US CBAs'!$G$55,0)</f>
        <v>11758.8</v>
      </c>
      <c r="Q115" s="627">
        <f t="shared" si="4"/>
        <v>37408.800000000003</v>
      </c>
    </row>
    <row r="116" spans="1:17" x14ac:dyDescent="0.35">
      <c r="A116" s="623" t="s">
        <v>223</v>
      </c>
      <c r="B116" s="623">
        <v>19</v>
      </c>
      <c r="C116" s="623">
        <v>2014</v>
      </c>
      <c r="D116" s="623" t="s">
        <v>53</v>
      </c>
      <c r="E116" s="623" t="s">
        <v>220</v>
      </c>
      <c r="F116" s="623"/>
      <c r="G116" s="623" t="s">
        <v>83</v>
      </c>
      <c r="H116" s="623" t="s">
        <v>483</v>
      </c>
      <c r="I116" s="628">
        <v>14695</v>
      </c>
      <c r="J116" s="623"/>
      <c r="K116" s="625">
        <f>IF(G116="W",'US CBAs'!$F$19,0)</f>
        <v>0</v>
      </c>
      <c r="L116" s="623">
        <v>17</v>
      </c>
      <c r="M116" s="626">
        <f>'US CBAs'!$F$12+IF(G116="W",'US CBAs'!$F$19,0)</f>
        <v>1350</v>
      </c>
      <c r="N116" s="623">
        <v>1</v>
      </c>
      <c r="O116" s="627">
        <f t="shared" si="6"/>
        <v>1350</v>
      </c>
      <c r="P116" s="626">
        <f>IF(J116="",I116*'US CBAs'!$G$55,0)</f>
        <v>17634</v>
      </c>
      <c r="Q116" s="627">
        <f t="shared" si="4"/>
        <v>18984</v>
      </c>
    </row>
    <row r="117" spans="1:17" x14ac:dyDescent="0.35">
      <c r="A117" s="623" t="s">
        <v>203</v>
      </c>
      <c r="B117" s="623">
        <v>20</v>
      </c>
      <c r="C117" s="623">
        <v>2014</v>
      </c>
      <c r="D117" s="623" t="s">
        <v>55</v>
      </c>
      <c r="E117" s="623" t="s">
        <v>220</v>
      </c>
      <c r="F117" s="623"/>
      <c r="G117" s="623" t="s">
        <v>20</v>
      </c>
      <c r="H117" s="623" t="s">
        <v>502</v>
      </c>
      <c r="I117" s="628">
        <v>9992</v>
      </c>
      <c r="J117" s="623"/>
      <c r="K117" s="625">
        <f>IF(G117="W",'US CBAs'!$F$19,0)</f>
        <v>1350</v>
      </c>
      <c r="L117" s="623">
        <v>20</v>
      </c>
      <c r="M117" s="626">
        <f>'US CBAs'!$F$12+IF(G117="W",'US CBAs'!$F$19,0)</f>
        <v>2700</v>
      </c>
      <c r="N117" s="623">
        <v>0</v>
      </c>
      <c r="O117" s="627">
        <f t="shared" si="6"/>
        <v>27000</v>
      </c>
      <c r="P117" s="626">
        <f>IF(J117="",I117*'US CBAs'!$G$55,0)</f>
        <v>11990.4</v>
      </c>
      <c r="Q117" s="627">
        <f t="shared" si="4"/>
        <v>38990.400000000001</v>
      </c>
    </row>
    <row r="118" spans="1:17" x14ac:dyDescent="0.35">
      <c r="A118" s="623" t="s">
        <v>222</v>
      </c>
      <c r="B118" s="623">
        <v>13</v>
      </c>
      <c r="C118" s="623">
        <v>2014</v>
      </c>
      <c r="D118" s="623" t="s">
        <v>35</v>
      </c>
      <c r="E118" s="623" t="s">
        <v>220</v>
      </c>
      <c r="F118" s="623"/>
      <c r="G118" s="623" t="s">
        <v>20</v>
      </c>
      <c r="H118" s="623" t="s">
        <v>498</v>
      </c>
      <c r="I118" s="628">
        <v>8849</v>
      </c>
      <c r="J118" s="623"/>
      <c r="K118" s="625">
        <f>IF(G118="W",'US CBAs'!$F$19,0)</f>
        <v>1350</v>
      </c>
      <c r="L118" s="623">
        <v>19</v>
      </c>
      <c r="M118" s="626">
        <f>'US CBAs'!$F$12+IF(G118="W",'US CBAs'!$F$19,0)</f>
        <v>2700</v>
      </c>
      <c r="N118" s="623">
        <v>0</v>
      </c>
      <c r="O118" s="627">
        <f t="shared" si="6"/>
        <v>25650</v>
      </c>
      <c r="P118" s="626">
        <f>IF(J118="",I118*'US CBAs'!$G$55,0)</f>
        <v>10618.8</v>
      </c>
      <c r="Q118" s="627">
        <f t="shared" si="4"/>
        <v>36268.800000000003</v>
      </c>
    </row>
    <row r="119" spans="1:17" x14ac:dyDescent="0.35">
      <c r="A119" s="623" t="s">
        <v>222</v>
      </c>
      <c r="B119" s="623">
        <v>18</v>
      </c>
      <c r="C119" s="623">
        <v>2014</v>
      </c>
      <c r="D119" s="623" t="s">
        <v>35</v>
      </c>
      <c r="E119" s="623" t="s">
        <v>220</v>
      </c>
      <c r="F119" s="623"/>
      <c r="G119" s="623" t="s">
        <v>20</v>
      </c>
      <c r="H119" s="623" t="s">
        <v>507</v>
      </c>
      <c r="I119" s="628">
        <v>5680</v>
      </c>
      <c r="J119" s="623"/>
      <c r="K119" s="625">
        <f>IF(G119="W",'US CBAs'!$F$19,0)</f>
        <v>1350</v>
      </c>
      <c r="L119" s="623">
        <v>19</v>
      </c>
      <c r="M119" s="626">
        <f>'US CBAs'!$F$12+IF(G119="W",'US CBAs'!$F$19,0)</f>
        <v>2700</v>
      </c>
      <c r="N119" s="623">
        <v>0</v>
      </c>
      <c r="O119" s="627">
        <f t="shared" si="6"/>
        <v>25650</v>
      </c>
      <c r="P119" s="626">
        <f>IF(J119="",I119*'US CBAs'!$G$55,0)</f>
        <v>6816</v>
      </c>
      <c r="Q119" s="627">
        <f t="shared" si="4"/>
        <v>32466</v>
      </c>
    </row>
    <row r="120" spans="1:17" x14ac:dyDescent="0.35">
      <c r="A120" s="623" t="s">
        <v>189</v>
      </c>
      <c r="B120" s="623">
        <v>15</v>
      </c>
      <c r="C120" s="623">
        <v>2014</v>
      </c>
      <c r="D120" s="623" t="s">
        <v>228</v>
      </c>
      <c r="E120" s="624" t="s">
        <v>260</v>
      </c>
      <c r="F120" s="623"/>
      <c r="G120" s="623" t="s">
        <v>20</v>
      </c>
      <c r="H120" s="623" t="s">
        <v>504</v>
      </c>
      <c r="I120" s="628">
        <v>3621</v>
      </c>
      <c r="J120" s="623" t="s">
        <v>218</v>
      </c>
      <c r="K120" s="625">
        <f>IF(G120="W",'US CBAs'!$F$19,0)</f>
        <v>1350</v>
      </c>
      <c r="L120" s="623">
        <v>19</v>
      </c>
      <c r="M120" s="626">
        <f>'US CBAs'!$F$12+IF(G120="W",'US CBAs'!$F$19,0)</f>
        <v>2700</v>
      </c>
      <c r="N120" s="623">
        <v>0</v>
      </c>
      <c r="O120" s="627">
        <f t="shared" si="6"/>
        <v>25650</v>
      </c>
      <c r="P120" s="626">
        <f>IF(J120="",I120*'US CBAs'!$G$55,0)</f>
        <v>0</v>
      </c>
      <c r="Q120" s="627">
        <f t="shared" si="4"/>
        <v>25650</v>
      </c>
    </row>
    <row r="121" spans="1:17" x14ac:dyDescent="0.35">
      <c r="A121" s="623" t="s">
        <v>189</v>
      </c>
      <c r="B121" s="623">
        <v>17</v>
      </c>
      <c r="C121" s="623">
        <v>2014</v>
      </c>
      <c r="D121" s="623" t="s">
        <v>43</v>
      </c>
      <c r="E121" s="624" t="s">
        <v>260</v>
      </c>
      <c r="F121" s="623"/>
      <c r="G121" s="623" t="s">
        <v>20</v>
      </c>
      <c r="H121" s="623" t="s">
        <v>487</v>
      </c>
      <c r="I121" s="628">
        <v>6796</v>
      </c>
      <c r="J121" s="623" t="s">
        <v>218</v>
      </c>
      <c r="K121" s="625">
        <f>IF(G121="W",'US CBAs'!$F$19,0)</f>
        <v>1350</v>
      </c>
      <c r="L121" s="623">
        <v>19</v>
      </c>
      <c r="M121" s="626">
        <f>'US CBAs'!$F$12+IF(G121="W",'US CBAs'!$F$19,0)</f>
        <v>2700</v>
      </c>
      <c r="N121" s="623">
        <v>0</v>
      </c>
      <c r="O121" s="627">
        <f t="shared" si="6"/>
        <v>25650</v>
      </c>
      <c r="P121" s="626">
        <f>IF(J121="",I121*'US CBAs'!$G$55,0)</f>
        <v>0</v>
      </c>
      <c r="Q121" s="627">
        <f t="shared" si="4"/>
        <v>25650</v>
      </c>
    </row>
    <row r="122" spans="1:17" x14ac:dyDescent="0.35">
      <c r="A122" s="623" t="s">
        <v>189</v>
      </c>
      <c r="B122" s="623">
        <v>20</v>
      </c>
      <c r="C122" s="623">
        <v>2014</v>
      </c>
      <c r="D122" s="623" t="s">
        <v>59</v>
      </c>
      <c r="E122" s="624" t="s">
        <v>260</v>
      </c>
      <c r="F122" s="623"/>
      <c r="G122" s="623" t="s">
        <v>20</v>
      </c>
      <c r="H122" s="623" t="s">
        <v>491</v>
      </c>
      <c r="I122" s="628">
        <v>6421</v>
      </c>
      <c r="J122" s="623" t="s">
        <v>218</v>
      </c>
      <c r="K122" s="625">
        <f>IF(G122="W",'US CBAs'!$F$19,0)</f>
        <v>1350</v>
      </c>
      <c r="L122" s="623">
        <v>19</v>
      </c>
      <c r="M122" s="626">
        <f>'US CBAs'!$F$12+IF(G122="W",'US CBAs'!$F$19,0)</f>
        <v>2700</v>
      </c>
      <c r="N122" s="623">
        <v>0</v>
      </c>
      <c r="O122" s="627">
        <f t="shared" si="6"/>
        <v>25650</v>
      </c>
      <c r="P122" s="626">
        <f>IF(J122="",I122*'US CBAs'!$G$55,0)</f>
        <v>0</v>
      </c>
      <c r="Q122" s="627">
        <f t="shared" si="4"/>
        <v>25650</v>
      </c>
    </row>
    <row r="123" spans="1:17" x14ac:dyDescent="0.35">
      <c r="A123" s="623" t="s">
        <v>189</v>
      </c>
      <c r="B123" s="623">
        <v>24</v>
      </c>
      <c r="C123" s="623">
        <v>2014</v>
      </c>
      <c r="D123" s="623" t="s">
        <v>35</v>
      </c>
      <c r="E123" s="624" t="s">
        <v>260</v>
      </c>
      <c r="F123" s="623"/>
      <c r="G123" s="623" t="s">
        <v>20</v>
      </c>
      <c r="H123" s="623" t="s">
        <v>484</v>
      </c>
      <c r="I123" s="628">
        <v>8773</v>
      </c>
      <c r="J123" s="623" t="s">
        <v>218</v>
      </c>
      <c r="K123" s="625">
        <f>IF(G123="W",'US CBAs'!$F$19,0)</f>
        <v>1350</v>
      </c>
      <c r="L123" s="623">
        <v>19</v>
      </c>
      <c r="M123" s="626">
        <f>'US CBAs'!$F$12+IF(G123="W",'US CBAs'!$F$19,0)</f>
        <v>2700</v>
      </c>
      <c r="N123" s="623">
        <v>0</v>
      </c>
      <c r="O123" s="627">
        <f t="shared" si="6"/>
        <v>25650</v>
      </c>
      <c r="P123" s="626">
        <f>IF(J123="",I123*'US CBAs'!$G$55,0)</f>
        <v>0</v>
      </c>
      <c r="Q123" s="627">
        <f t="shared" si="4"/>
        <v>25650</v>
      </c>
    </row>
    <row r="124" spans="1:17" x14ac:dyDescent="0.35">
      <c r="A124" s="623" t="s">
        <v>189</v>
      </c>
      <c r="B124" s="623">
        <v>26</v>
      </c>
      <c r="C124" s="623">
        <v>2014</v>
      </c>
      <c r="D124" s="623" t="s">
        <v>36</v>
      </c>
      <c r="E124" s="624" t="s">
        <v>260</v>
      </c>
      <c r="F124" s="623"/>
      <c r="G124" s="623" t="s">
        <v>20</v>
      </c>
      <c r="H124" s="623" t="s">
        <v>484</v>
      </c>
      <c r="I124" s="628">
        <v>11625</v>
      </c>
      <c r="J124" s="623" t="s">
        <v>218</v>
      </c>
      <c r="K124" s="625">
        <f>IF(G124="W",'US CBAs'!$F$19,0)</f>
        <v>1350</v>
      </c>
      <c r="L124" s="623">
        <v>19</v>
      </c>
      <c r="M124" s="626">
        <f>'US CBAs'!$F$12+IF(G124="W",'US CBAs'!$F$19,0)</f>
        <v>2700</v>
      </c>
      <c r="N124" s="623">
        <v>0</v>
      </c>
      <c r="O124" s="627">
        <f t="shared" si="6"/>
        <v>25650</v>
      </c>
      <c r="P124" s="626">
        <f>IF(J124="",I124*'US CBAs'!$G$55,0)</f>
        <v>0</v>
      </c>
      <c r="Q124" s="627">
        <f t="shared" si="4"/>
        <v>25650</v>
      </c>
    </row>
    <row r="125" spans="1:17" x14ac:dyDescent="0.35">
      <c r="A125" s="587" t="s">
        <v>262</v>
      </c>
      <c r="B125" s="587">
        <v>10</v>
      </c>
      <c r="C125" s="587">
        <v>2014</v>
      </c>
      <c r="D125" s="587" t="s">
        <v>25</v>
      </c>
      <c r="E125" s="587" t="s">
        <v>220</v>
      </c>
      <c r="F125" s="587"/>
      <c r="G125" s="647" t="s">
        <v>83</v>
      </c>
      <c r="H125" s="587" t="s">
        <v>41</v>
      </c>
      <c r="I125" s="587">
        <v>300</v>
      </c>
      <c r="J125" s="587" t="s">
        <v>218</v>
      </c>
      <c r="K125" s="589">
        <f>IF(G125="W",'US CBAs'!$F$19,0)</f>
        <v>0</v>
      </c>
      <c r="L125" s="587">
        <v>21</v>
      </c>
      <c r="M125" s="590">
        <f>'US CBAs'!$F$12+IF(G125="W",'US CBAs'!$F$19,0)</f>
        <v>1350</v>
      </c>
      <c r="N125" s="587">
        <v>0</v>
      </c>
      <c r="O125" s="591">
        <f t="shared" si="6"/>
        <v>0</v>
      </c>
      <c r="P125" s="590">
        <f>IF(J125="",I125*'US CBAs'!$G$55,0)</f>
        <v>0</v>
      </c>
      <c r="Q125" s="591">
        <f t="shared" si="4"/>
        <v>0</v>
      </c>
    </row>
    <row r="126" spans="1:17" x14ac:dyDescent="0.35">
      <c r="A126" s="587" t="s">
        <v>262</v>
      </c>
      <c r="B126" s="587">
        <v>14</v>
      </c>
      <c r="C126" s="587">
        <v>2014</v>
      </c>
      <c r="D126" s="587" t="s">
        <v>41</v>
      </c>
      <c r="E126" s="587" t="s">
        <v>220</v>
      </c>
      <c r="F126" s="587"/>
      <c r="G126" s="587" t="s">
        <v>33</v>
      </c>
      <c r="H126" s="587" t="s">
        <v>41</v>
      </c>
      <c r="I126" s="636">
        <v>5421</v>
      </c>
      <c r="J126" s="587" t="s">
        <v>218</v>
      </c>
      <c r="K126" s="589">
        <f>IF(G126="W",'US CBAs'!$F$19,0)</f>
        <v>0</v>
      </c>
      <c r="L126" s="587">
        <v>21</v>
      </c>
      <c r="M126" s="590">
        <f>'US CBAs'!$F$12+IF(G126="W",'US CBAs'!$F$19,0)</f>
        <v>1350</v>
      </c>
      <c r="N126" s="587">
        <v>0</v>
      </c>
      <c r="O126" s="591">
        <f t="shared" si="6"/>
        <v>0</v>
      </c>
      <c r="P126" s="590">
        <f>IF(J126="",I126*'US CBAs'!$G$55,0)</f>
        <v>0</v>
      </c>
      <c r="Q126" s="591">
        <f t="shared" si="4"/>
        <v>0</v>
      </c>
    </row>
    <row r="127" spans="1:17" x14ac:dyDescent="0.35">
      <c r="A127" s="587" t="s">
        <v>262</v>
      </c>
      <c r="B127" s="587">
        <v>18</v>
      </c>
      <c r="C127" s="587">
        <v>2014</v>
      </c>
      <c r="D127" s="587" t="s">
        <v>60</v>
      </c>
      <c r="E127" s="587" t="s">
        <v>220</v>
      </c>
      <c r="F127" s="587"/>
      <c r="G127" s="587" t="s">
        <v>20</v>
      </c>
      <c r="H127" s="587" t="s">
        <v>41</v>
      </c>
      <c r="I127" s="587">
        <v>750</v>
      </c>
      <c r="J127" s="587" t="s">
        <v>218</v>
      </c>
      <c r="K127" s="589">
        <f>IF(G127="W",'US CBAs'!$F$19,0)</f>
        <v>1350</v>
      </c>
      <c r="L127" s="587">
        <v>21</v>
      </c>
      <c r="M127" s="590">
        <f>'US CBAs'!$F$12+IF(G127="W",'US CBAs'!$F$19,0)</f>
        <v>2700</v>
      </c>
      <c r="N127" s="587">
        <v>0</v>
      </c>
      <c r="O127" s="591">
        <f t="shared" si="6"/>
        <v>28350</v>
      </c>
      <c r="P127" s="590">
        <f>IF(J127="",I127*'US CBAs'!$G$55,0)</f>
        <v>0</v>
      </c>
      <c r="Q127" s="591">
        <f t="shared" si="4"/>
        <v>28350</v>
      </c>
    </row>
    <row r="128" spans="1:17" x14ac:dyDescent="0.35">
      <c r="A128" s="587" t="s">
        <v>262</v>
      </c>
      <c r="B128" s="587">
        <v>21</v>
      </c>
      <c r="C128" s="587">
        <v>2014</v>
      </c>
      <c r="D128" s="587" t="s">
        <v>41</v>
      </c>
      <c r="E128" s="587" t="s">
        <v>220</v>
      </c>
      <c r="F128" s="587"/>
      <c r="G128" s="647" t="s">
        <v>83</v>
      </c>
      <c r="H128" s="587" t="s">
        <v>41</v>
      </c>
      <c r="I128" s="636">
        <v>11000</v>
      </c>
      <c r="J128" s="587" t="s">
        <v>218</v>
      </c>
      <c r="K128" s="589">
        <f>IF(G128="W",'US CBAs'!$F$19,0)</f>
        <v>0</v>
      </c>
      <c r="L128" s="587">
        <v>21</v>
      </c>
      <c r="M128" s="590">
        <f>'US CBAs'!$F$12+IF(G128="W",'US CBAs'!$F$19,0)</f>
        <v>1350</v>
      </c>
      <c r="N128" s="587">
        <v>0</v>
      </c>
      <c r="O128" s="591">
        <f t="shared" si="6"/>
        <v>0</v>
      </c>
      <c r="P128" s="590">
        <f>IF(J128="",I128*'US CBAs'!$G$55,0)</f>
        <v>0</v>
      </c>
      <c r="Q128" s="591">
        <f t="shared" si="4"/>
        <v>0</v>
      </c>
    </row>
    <row r="129" spans="1:17" x14ac:dyDescent="0.35">
      <c r="A129" s="647" t="s">
        <v>262</v>
      </c>
      <c r="B129" s="587">
        <v>28</v>
      </c>
      <c r="C129" s="593">
        <v>2014</v>
      </c>
      <c r="D129" s="593"/>
      <c r="E129" s="593"/>
      <c r="F129" s="593"/>
      <c r="G129" s="593"/>
      <c r="H129" s="656" t="s">
        <v>431</v>
      </c>
      <c r="I129" s="653"/>
      <c r="J129" s="654"/>
      <c r="K129" s="651">
        <f>'US CBAs'!$F$4</f>
        <v>72000</v>
      </c>
      <c r="L129" s="654">
        <v>18</v>
      </c>
      <c r="M129" s="652"/>
      <c r="N129" s="654"/>
      <c r="O129" s="657">
        <f t="shared" si="6"/>
        <v>1296000</v>
      </c>
      <c r="P129" s="652"/>
      <c r="Q129" s="657">
        <f t="shared" si="4"/>
        <v>1296000</v>
      </c>
    </row>
    <row r="130" spans="1:17" x14ac:dyDescent="0.35">
      <c r="A130" s="647" t="s">
        <v>262</v>
      </c>
      <c r="B130" s="587">
        <v>29</v>
      </c>
      <c r="C130" s="593">
        <v>2014</v>
      </c>
      <c r="D130" s="593"/>
      <c r="E130" s="593"/>
      <c r="F130" s="593"/>
      <c r="G130" s="593"/>
      <c r="H130" s="656" t="s">
        <v>432</v>
      </c>
      <c r="I130" s="653"/>
      <c r="J130" s="654"/>
      <c r="K130" s="651">
        <f>'US CBAs'!$F$5</f>
        <v>51000</v>
      </c>
      <c r="L130" s="654">
        <v>4</v>
      </c>
      <c r="M130" s="652"/>
      <c r="N130" s="654"/>
      <c r="O130" s="657">
        <f t="shared" si="6"/>
        <v>204000</v>
      </c>
      <c r="P130" s="652"/>
      <c r="Q130" s="657">
        <f t="shared" si="4"/>
        <v>204000</v>
      </c>
    </row>
    <row r="131" spans="1:17" x14ac:dyDescent="0.35">
      <c r="A131" s="647" t="s">
        <v>262</v>
      </c>
      <c r="B131" s="587">
        <v>30</v>
      </c>
      <c r="C131" s="593">
        <v>2014</v>
      </c>
      <c r="D131" s="593"/>
      <c r="E131" s="593"/>
      <c r="F131" s="593"/>
      <c r="G131" s="593"/>
      <c r="H131" s="656" t="s">
        <v>433</v>
      </c>
      <c r="I131" s="653"/>
      <c r="J131" s="654"/>
      <c r="K131" s="651">
        <f>'US CBAs'!$F$6</f>
        <v>36000</v>
      </c>
      <c r="L131" s="654">
        <v>2</v>
      </c>
      <c r="M131" s="652"/>
      <c r="N131" s="654"/>
      <c r="O131" s="657">
        <f t="shared" si="6"/>
        <v>72000</v>
      </c>
      <c r="P131" s="652"/>
      <c r="Q131" s="657">
        <f t="shared" ref="Q131:Q194" si="7">O131+P131</f>
        <v>72000</v>
      </c>
    </row>
    <row r="132" spans="1:17" x14ac:dyDescent="0.35">
      <c r="A132" s="647" t="s">
        <v>262</v>
      </c>
      <c r="B132" s="587">
        <v>31</v>
      </c>
      <c r="C132" s="593">
        <v>2014</v>
      </c>
      <c r="D132" s="593"/>
      <c r="E132" s="593"/>
      <c r="F132" s="593"/>
      <c r="G132" s="593"/>
      <c r="H132" s="656" t="s">
        <v>434</v>
      </c>
      <c r="I132" s="653"/>
      <c r="J132" s="654"/>
      <c r="K132" s="651"/>
      <c r="L132" s="654"/>
      <c r="M132" s="652">
        <f>'US CBAs'!$F$8</f>
        <v>500</v>
      </c>
      <c r="N132" s="654">
        <v>20</v>
      </c>
      <c r="O132" s="657">
        <f>(M132*N132)</f>
        <v>10000</v>
      </c>
      <c r="P132" s="652"/>
      <c r="Q132" s="657">
        <f t="shared" si="7"/>
        <v>10000</v>
      </c>
    </row>
    <row r="133" spans="1:17" x14ac:dyDescent="0.35">
      <c r="A133" s="593" t="s">
        <v>192</v>
      </c>
      <c r="B133" s="593">
        <v>8</v>
      </c>
      <c r="C133" s="593">
        <v>2015</v>
      </c>
      <c r="D133" s="593" t="s">
        <v>53</v>
      </c>
      <c r="E133" s="593" t="s">
        <v>220</v>
      </c>
      <c r="F133" s="593"/>
      <c r="G133" s="593" t="s">
        <v>33</v>
      </c>
      <c r="H133" s="593" t="s">
        <v>53</v>
      </c>
      <c r="I133" s="608">
        <v>15663</v>
      </c>
      <c r="J133" s="593" t="s">
        <v>218</v>
      </c>
      <c r="K133" s="589">
        <f>IF(G133="W",'US CBAs'!$F$19,0)</f>
        <v>0</v>
      </c>
      <c r="L133" s="593">
        <v>18</v>
      </c>
      <c r="M133" s="590">
        <f>'US CBAs'!$F$12+IF(G133="W",'US CBAs'!$F$19,0)</f>
        <v>1350</v>
      </c>
      <c r="N133" s="593">
        <v>0</v>
      </c>
      <c r="O133" s="609">
        <f t="shared" ref="O133:O161" si="8">(K133*L133)+(M133*N133)</f>
        <v>0</v>
      </c>
      <c r="P133" s="590">
        <f>IF(J133="",I133*'US CBAs'!$G$55,0)</f>
        <v>0</v>
      </c>
      <c r="Q133" s="609">
        <f t="shared" si="7"/>
        <v>0</v>
      </c>
    </row>
    <row r="134" spans="1:17" x14ac:dyDescent="0.35">
      <c r="A134" s="587" t="s">
        <v>192</v>
      </c>
      <c r="B134" s="587">
        <v>13</v>
      </c>
      <c r="C134" s="593">
        <v>2015</v>
      </c>
      <c r="D134" s="593" t="s">
        <v>61</v>
      </c>
      <c r="E134" s="587" t="s">
        <v>220</v>
      </c>
      <c r="F134" s="593"/>
      <c r="G134" s="593" t="s">
        <v>20</v>
      </c>
      <c r="H134" s="587" t="s">
        <v>61</v>
      </c>
      <c r="I134" s="608">
        <v>14369</v>
      </c>
      <c r="J134" s="593" t="s">
        <v>218</v>
      </c>
      <c r="K134" s="589">
        <f>IF(G134="W",'US CBAs'!$F$19,0)</f>
        <v>1350</v>
      </c>
      <c r="L134" s="593">
        <v>18</v>
      </c>
      <c r="M134" s="590">
        <f>'US CBAs'!$F$12+IF(G134="W",'US CBAs'!$F$19,0)</f>
        <v>2700</v>
      </c>
      <c r="N134" s="593">
        <v>0</v>
      </c>
      <c r="O134" s="591">
        <f t="shared" si="8"/>
        <v>24300</v>
      </c>
      <c r="P134" s="590">
        <f>IF(J134="",I134*'US CBAs'!$G$55,0)</f>
        <v>0</v>
      </c>
      <c r="Q134" s="591">
        <f t="shared" si="7"/>
        <v>24300</v>
      </c>
    </row>
    <row r="135" spans="1:17" x14ac:dyDescent="0.35">
      <c r="A135" s="587" t="s">
        <v>221</v>
      </c>
      <c r="B135" s="587">
        <v>4</v>
      </c>
      <c r="C135" s="587">
        <v>2015</v>
      </c>
      <c r="D135" s="587" t="s">
        <v>62</v>
      </c>
      <c r="E135" s="587" t="s">
        <v>220</v>
      </c>
      <c r="F135" s="587"/>
      <c r="G135" s="587" t="s">
        <v>20</v>
      </c>
      <c r="H135" s="587" t="s">
        <v>82</v>
      </c>
      <c r="I135" s="587">
        <v>500</v>
      </c>
      <c r="J135" s="587" t="s">
        <v>218</v>
      </c>
      <c r="K135" s="589">
        <f>IF(G135="W",'US CBAs'!$F$19,0)</f>
        <v>1350</v>
      </c>
      <c r="L135" s="587">
        <v>22</v>
      </c>
      <c r="M135" s="590">
        <f>'US CBAs'!$F$12+IF(G135="W",'US CBAs'!$F$19,0)</f>
        <v>2700</v>
      </c>
      <c r="N135" s="587">
        <v>1</v>
      </c>
      <c r="O135" s="591">
        <f t="shared" si="8"/>
        <v>32400</v>
      </c>
      <c r="P135" s="590">
        <f>IF(J135="",I135*'US CBAs'!$G$55,0)</f>
        <v>0</v>
      </c>
      <c r="Q135" s="591">
        <f t="shared" si="7"/>
        <v>32400</v>
      </c>
    </row>
    <row r="136" spans="1:17" x14ac:dyDescent="0.35">
      <c r="A136" s="587" t="s">
        <v>221</v>
      </c>
      <c r="B136" s="587">
        <v>6</v>
      </c>
      <c r="C136" s="587">
        <v>2015</v>
      </c>
      <c r="D136" s="587" t="s">
        <v>55</v>
      </c>
      <c r="E136" s="587" t="s">
        <v>220</v>
      </c>
      <c r="F136" s="587"/>
      <c r="G136" s="587" t="s">
        <v>20</v>
      </c>
      <c r="H136" s="587" t="s">
        <v>82</v>
      </c>
      <c r="I136" s="587">
        <v>500</v>
      </c>
      <c r="J136" s="587" t="s">
        <v>218</v>
      </c>
      <c r="K136" s="589">
        <f>IF(G136="W",'US CBAs'!$F$19,0)</f>
        <v>1350</v>
      </c>
      <c r="L136" s="587">
        <v>22</v>
      </c>
      <c r="M136" s="590">
        <f>'US CBAs'!$F$12+IF(G136="W",'US CBAs'!$F$19,0)</f>
        <v>2700</v>
      </c>
      <c r="N136" s="587">
        <v>1</v>
      </c>
      <c r="O136" s="591">
        <f t="shared" si="8"/>
        <v>32400</v>
      </c>
      <c r="P136" s="590">
        <f>IF(J136="",I136*'US CBAs'!$G$55,0)</f>
        <v>0</v>
      </c>
      <c r="Q136" s="591">
        <f t="shared" si="7"/>
        <v>32400</v>
      </c>
    </row>
    <row r="137" spans="1:17" x14ac:dyDescent="0.35">
      <c r="A137" s="587" t="s">
        <v>221</v>
      </c>
      <c r="B137" s="587">
        <v>9</v>
      </c>
      <c r="C137" s="587">
        <v>2015</v>
      </c>
      <c r="D137" s="587" t="s">
        <v>23</v>
      </c>
      <c r="E137" s="587" t="s">
        <v>220</v>
      </c>
      <c r="F137" s="587"/>
      <c r="G137" s="647" t="s">
        <v>83</v>
      </c>
      <c r="H137" s="587" t="s">
        <v>82</v>
      </c>
      <c r="I137" s="587">
        <v>500</v>
      </c>
      <c r="J137" s="587" t="s">
        <v>218</v>
      </c>
      <c r="K137" s="589">
        <f>IF(G137="W",'US CBAs'!$F$19,0)</f>
        <v>0</v>
      </c>
      <c r="L137" s="587">
        <v>22</v>
      </c>
      <c r="M137" s="590">
        <f>'US CBAs'!$F$12+IF(G137="W",'US CBAs'!$F$19,0)</f>
        <v>1350</v>
      </c>
      <c r="N137" s="587">
        <v>1</v>
      </c>
      <c r="O137" s="591">
        <f t="shared" si="8"/>
        <v>1350</v>
      </c>
      <c r="P137" s="590">
        <f>IF(J137="",I137*'US CBAs'!$G$55,0)</f>
        <v>0</v>
      </c>
      <c r="Q137" s="591">
        <f t="shared" si="7"/>
        <v>1350</v>
      </c>
    </row>
    <row r="138" spans="1:17" x14ac:dyDescent="0.35">
      <c r="A138" s="593" t="s">
        <v>221</v>
      </c>
      <c r="B138" s="593">
        <v>11</v>
      </c>
      <c r="C138" s="593">
        <v>2015</v>
      </c>
      <c r="D138" s="593" t="s">
        <v>53</v>
      </c>
      <c r="E138" s="593" t="s">
        <v>220</v>
      </c>
      <c r="F138" s="593"/>
      <c r="G138" s="593" t="s">
        <v>20</v>
      </c>
      <c r="H138" s="593" t="s">
        <v>82</v>
      </c>
      <c r="I138" s="608">
        <v>1500</v>
      </c>
      <c r="J138" s="593" t="s">
        <v>218</v>
      </c>
      <c r="K138" s="589">
        <f>IF(G138="W",'US CBAs'!$F$19,0)</f>
        <v>1350</v>
      </c>
      <c r="L138" s="593">
        <v>22</v>
      </c>
      <c r="M138" s="590">
        <f>'US CBAs'!$F$12+IF(G138="W",'US CBAs'!$F$19,0)</f>
        <v>2700</v>
      </c>
      <c r="N138" s="593">
        <v>1</v>
      </c>
      <c r="O138" s="609">
        <f t="shared" si="8"/>
        <v>32400</v>
      </c>
      <c r="P138" s="590">
        <f>IF(J138="",I138*'US CBAs'!$G$55,0)</f>
        <v>0</v>
      </c>
      <c r="Q138" s="609">
        <f t="shared" si="7"/>
        <v>32400</v>
      </c>
    </row>
    <row r="139" spans="1:17" x14ac:dyDescent="0.35">
      <c r="A139" s="623" t="s">
        <v>240</v>
      </c>
      <c r="B139" s="623">
        <v>4</v>
      </c>
      <c r="C139" s="623">
        <v>2015</v>
      </c>
      <c r="D139" s="623" t="s">
        <v>38</v>
      </c>
      <c r="E139" s="623" t="s">
        <v>220</v>
      </c>
      <c r="F139" s="623"/>
      <c r="G139" s="623" t="s">
        <v>20</v>
      </c>
      <c r="H139" s="623" t="s">
        <v>501</v>
      </c>
      <c r="I139" s="628">
        <v>35817</v>
      </c>
      <c r="J139" s="623"/>
      <c r="K139" s="625">
        <f>IF(G139="W",'US CBAs'!$F$19,0)</f>
        <v>1350</v>
      </c>
      <c r="L139" s="623">
        <v>18</v>
      </c>
      <c r="M139" s="626">
        <f>'US CBAs'!$F$12+IF(G139="W",'US CBAs'!$F$19,0)</f>
        <v>2700</v>
      </c>
      <c r="N139" s="623">
        <v>0</v>
      </c>
      <c r="O139" s="627">
        <f t="shared" si="8"/>
        <v>24300</v>
      </c>
      <c r="P139" s="626">
        <f>IF(J139="",I139*'US CBAs'!$G$55,0)</f>
        <v>42980.4</v>
      </c>
      <c r="Q139" s="627">
        <f t="shared" si="7"/>
        <v>67280.399999999994</v>
      </c>
    </row>
    <row r="140" spans="1:17" x14ac:dyDescent="0.35">
      <c r="A140" s="623" t="s">
        <v>186</v>
      </c>
      <c r="B140" s="623">
        <v>10</v>
      </c>
      <c r="C140" s="623">
        <v>2015</v>
      </c>
      <c r="D140" s="623" t="s">
        <v>65</v>
      </c>
      <c r="E140" s="623" t="s">
        <v>220</v>
      </c>
      <c r="F140" s="623"/>
      <c r="G140" s="623" t="s">
        <v>20</v>
      </c>
      <c r="H140" s="623" t="s">
        <v>481</v>
      </c>
      <c r="I140" s="628">
        <v>18000</v>
      </c>
      <c r="J140" s="623"/>
      <c r="K140" s="625">
        <f>IF(G140="W",'US CBAs'!$F$19,0)</f>
        <v>1350</v>
      </c>
      <c r="L140" s="623">
        <v>23</v>
      </c>
      <c r="M140" s="626">
        <f>'US CBAs'!$F$12+IF(G140="W",'US CBAs'!$F$19,0)</f>
        <v>2700</v>
      </c>
      <c r="N140" s="623">
        <v>0</v>
      </c>
      <c r="O140" s="627">
        <f t="shared" si="8"/>
        <v>31050</v>
      </c>
      <c r="P140" s="626">
        <f>IF(J140="",I140*'US CBAs'!$G$55,0)</f>
        <v>21600</v>
      </c>
      <c r="Q140" s="627">
        <f t="shared" si="7"/>
        <v>52650</v>
      </c>
    </row>
    <row r="141" spans="1:17" x14ac:dyDescent="0.35">
      <c r="A141" s="623" t="s">
        <v>186</v>
      </c>
      <c r="B141" s="623">
        <v>17</v>
      </c>
      <c r="C141" s="623">
        <v>2015</v>
      </c>
      <c r="D141" s="623" t="s">
        <v>35</v>
      </c>
      <c r="E141" s="623" t="s">
        <v>220</v>
      </c>
      <c r="F141" s="623"/>
      <c r="G141" s="623" t="s">
        <v>20</v>
      </c>
      <c r="H141" s="623" t="s">
        <v>481</v>
      </c>
      <c r="I141" s="628">
        <v>27000</v>
      </c>
      <c r="J141" s="623"/>
      <c r="K141" s="625">
        <f>IF(G141="W",'US CBAs'!$F$19,0)</f>
        <v>1350</v>
      </c>
      <c r="L141" s="623">
        <v>23</v>
      </c>
      <c r="M141" s="626">
        <f>'US CBAs'!$F$12+IF(G141="W",'US CBAs'!$F$19,0)</f>
        <v>2700</v>
      </c>
      <c r="N141" s="623">
        <v>0</v>
      </c>
      <c r="O141" s="627">
        <f t="shared" si="8"/>
        <v>31050</v>
      </c>
      <c r="P141" s="626">
        <f>IF(J141="",I141*'US CBAs'!$G$55,0)</f>
        <v>32400</v>
      </c>
      <c r="Q141" s="627">
        <f t="shared" si="7"/>
        <v>63450</v>
      </c>
    </row>
    <row r="142" spans="1:17" x14ac:dyDescent="0.35">
      <c r="A142" s="623" t="s">
        <v>186</v>
      </c>
      <c r="B142" s="623">
        <v>30</v>
      </c>
      <c r="C142" s="623">
        <v>2015</v>
      </c>
      <c r="D142" s="623" t="s">
        <v>34</v>
      </c>
      <c r="E142" s="623" t="s">
        <v>220</v>
      </c>
      <c r="F142" s="623"/>
      <c r="G142" s="623" t="s">
        <v>83</v>
      </c>
      <c r="H142" s="623" t="s">
        <v>485</v>
      </c>
      <c r="I142" s="628">
        <v>26467</v>
      </c>
      <c r="J142" s="623"/>
      <c r="K142" s="625">
        <f>IF(G142="W",'US CBAs'!$F$19,0)</f>
        <v>0</v>
      </c>
      <c r="L142" s="623">
        <v>23</v>
      </c>
      <c r="M142" s="626">
        <f>'US CBAs'!$F$12+IF(G142="W",'US CBAs'!$F$19,0)</f>
        <v>1350</v>
      </c>
      <c r="N142" s="623">
        <v>0</v>
      </c>
      <c r="O142" s="627">
        <f t="shared" si="8"/>
        <v>0</v>
      </c>
      <c r="P142" s="626">
        <f>IF(J142="",I142*'US CBAs'!$G$55,0)</f>
        <v>31760.399999999998</v>
      </c>
      <c r="Q142" s="627">
        <f t="shared" si="7"/>
        <v>31760.399999999998</v>
      </c>
    </row>
    <row r="143" spans="1:17" x14ac:dyDescent="0.35">
      <c r="A143" s="593" t="s">
        <v>223</v>
      </c>
      <c r="B143" s="593">
        <v>8</v>
      </c>
      <c r="C143" s="593">
        <v>2015</v>
      </c>
      <c r="D143" s="593" t="s">
        <v>37</v>
      </c>
      <c r="E143" s="593" t="s">
        <v>1</v>
      </c>
      <c r="F143" s="593"/>
      <c r="G143" s="593" t="s">
        <v>20</v>
      </c>
      <c r="H143" s="593" t="s">
        <v>29</v>
      </c>
      <c r="I143" s="608">
        <v>31148</v>
      </c>
      <c r="J143" s="593" t="s">
        <v>218</v>
      </c>
      <c r="K143" s="589">
        <f>IF(G143="W",'US CBAs'!$F$19,0)</f>
        <v>1350</v>
      </c>
      <c r="L143" s="593">
        <v>23</v>
      </c>
      <c r="M143" s="590">
        <f>'US CBAs'!$F$12+IF(G143="W",'US CBAs'!$F$19,0)</f>
        <v>2700</v>
      </c>
      <c r="N143" s="593">
        <v>0</v>
      </c>
      <c r="O143" s="609">
        <f t="shared" si="8"/>
        <v>31050</v>
      </c>
      <c r="P143" s="590">
        <f>IF(J143="",I143*'US CBAs'!$G$55,0)</f>
        <v>0</v>
      </c>
      <c r="Q143" s="609">
        <f t="shared" si="7"/>
        <v>31050</v>
      </c>
    </row>
    <row r="144" spans="1:17" x14ac:dyDescent="0.35">
      <c r="A144" s="593" t="s">
        <v>223</v>
      </c>
      <c r="B144" s="593">
        <v>12</v>
      </c>
      <c r="C144" s="593">
        <v>2015</v>
      </c>
      <c r="D144" s="593" t="s">
        <v>26</v>
      </c>
      <c r="E144" s="593" t="s">
        <v>1</v>
      </c>
      <c r="F144" s="593"/>
      <c r="G144" s="643" t="s">
        <v>83</v>
      </c>
      <c r="H144" s="593" t="s">
        <v>29</v>
      </c>
      <c r="I144" s="608">
        <v>32716</v>
      </c>
      <c r="J144" s="593" t="s">
        <v>218</v>
      </c>
      <c r="K144" s="589">
        <f>IF(G144="W",'US CBAs'!$F$19,0)</f>
        <v>0</v>
      </c>
      <c r="L144" s="593">
        <v>23</v>
      </c>
      <c r="M144" s="590">
        <f>'US CBAs'!$F$12+IF(G144="W",'US CBAs'!$F$19,0)</f>
        <v>1350</v>
      </c>
      <c r="N144" s="593">
        <v>0</v>
      </c>
      <c r="O144" s="609">
        <f t="shared" si="8"/>
        <v>0</v>
      </c>
      <c r="P144" s="590">
        <f>IF(J144="",I144*'US CBAs'!$G$55,0)</f>
        <v>0</v>
      </c>
      <c r="Q144" s="609">
        <f t="shared" si="7"/>
        <v>0</v>
      </c>
    </row>
    <row r="145" spans="1:17" x14ac:dyDescent="0.35">
      <c r="A145" s="593" t="s">
        <v>223</v>
      </c>
      <c r="B145" s="593">
        <v>16</v>
      </c>
      <c r="C145" s="593">
        <v>2015</v>
      </c>
      <c r="D145" s="593" t="s">
        <v>58</v>
      </c>
      <c r="E145" s="593" t="s">
        <v>1</v>
      </c>
      <c r="F145" s="593"/>
      <c r="G145" s="593" t="s">
        <v>20</v>
      </c>
      <c r="H145" s="593" t="s">
        <v>29</v>
      </c>
      <c r="I145" s="608">
        <v>52193</v>
      </c>
      <c r="J145" s="593" t="s">
        <v>218</v>
      </c>
      <c r="K145" s="589">
        <f>IF(G145="W",'US CBAs'!$F$19,0)</f>
        <v>1350</v>
      </c>
      <c r="L145" s="593">
        <v>23</v>
      </c>
      <c r="M145" s="590">
        <f>'US CBAs'!$F$12+IF(G145="W",'US CBAs'!$F$19,0)</f>
        <v>2700</v>
      </c>
      <c r="N145" s="593">
        <v>0</v>
      </c>
      <c r="O145" s="609">
        <f t="shared" si="8"/>
        <v>31050</v>
      </c>
      <c r="P145" s="590">
        <f>IF(J145="",I145*'US CBAs'!$G$55,0)</f>
        <v>0</v>
      </c>
      <c r="Q145" s="609">
        <f t="shared" si="7"/>
        <v>31050</v>
      </c>
    </row>
    <row r="146" spans="1:17" x14ac:dyDescent="0.35">
      <c r="A146" s="587" t="s">
        <v>223</v>
      </c>
      <c r="B146" s="587">
        <v>22</v>
      </c>
      <c r="C146" s="593">
        <v>2015</v>
      </c>
      <c r="D146" s="593" t="s">
        <v>64</v>
      </c>
      <c r="E146" s="593" t="s">
        <v>1</v>
      </c>
      <c r="F146" s="593"/>
      <c r="G146" s="593" t="s">
        <v>20</v>
      </c>
      <c r="H146" s="593" t="s">
        <v>29</v>
      </c>
      <c r="I146" s="608">
        <v>19412</v>
      </c>
      <c r="J146" s="593" t="s">
        <v>218</v>
      </c>
      <c r="K146" s="589">
        <f>IF(G146="W",'US CBAs'!$F$19,0)</f>
        <v>1350</v>
      </c>
      <c r="L146" s="593">
        <v>23</v>
      </c>
      <c r="M146" s="590">
        <f>'US CBAs'!$F$12+IF(G146="W",'US CBAs'!$F$19,0)</f>
        <v>2700</v>
      </c>
      <c r="N146" s="593">
        <v>0</v>
      </c>
      <c r="O146" s="609">
        <f t="shared" si="8"/>
        <v>31050</v>
      </c>
      <c r="P146" s="590">
        <f>IF(J146="",I146*'US CBAs'!$G$55,0)</f>
        <v>0</v>
      </c>
      <c r="Q146" s="609">
        <f t="shared" si="7"/>
        <v>31050</v>
      </c>
    </row>
    <row r="147" spans="1:17" x14ac:dyDescent="0.35">
      <c r="A147" s="593" t="s">
        <v>223</v>
      </c>
      <c r="B147" s="593">
        <v>26</v>
      </c>
      <c r="C147" s="593">
        <v>2015</v>
      </c>
      <c r="D147" s="593" t="s">
        <v>25</v>
      </c>
      <c r="E147" s="593" t="s">
        <v>1</v>
      </c>
      <c r="F147" s="593"/>
      <c r="G147" s="593" t="s">
        <v>20</v>
      </c>
      <c r="H147" s="593" t="s">
        <v>29</v>
      </c>
      <c r="I147" s="608">
        <v>24141</v>
      </c>
      <c r="J147" s="593" t="s">
        <v>218</v>
      </c>
      <c r="K147" s="589">
        <f>IF(G147="W",'US CBAs'!$F$19,0)</f>
        <v>1350</v>
      </c>
      <c r="L147" s="593">
        <v>23</v>
      </c>
      <c r="M147" s="590">
        <f>'US CBAs'!$F$12+IF(G147="W",'US CBAs'!$F$19,0)</f>
        <v>2700</v>
      </c>
      <c r="N147" s="593">
        <v>0</v>
      </c>
      <c r="O147" s="609">
        <f t="shared" si="8"/>
        <v>31050</v>
      </c>
      <c r="P147" s="590">
        <f>IF(J147="",I147*'US CBAs'!$G$55,0)</f>
        <v>0</v>
      </c>
      <c r="Q147" s="609">
        <f t="shared" si="7"/>
        <v>31050</v>
      </c>
    </row>
    <row r="148" spans="1:17" x14ac:dyDescent="0.35">
      <c r="A148" s="593" t="s">
        <v>223</v>
      </c>
      <c r="B148" s="593">
        <v>30</v>
      </c>
      <c r="C148" s="593">
        <v>2015</v>
      </c>
      <c r="D148" s="593" t="s">
        <v>27</v>
      </c>
      <c r="E148" s="593" t="s">
        <v>1</v>
      </c>
      <c r="F148" s="593"/>
      <c r="G148" s="593" t="s">
        <v>20</v>
      </c>
      <c r="H148" s="593" t="s">
        <v>29</v>
      </c>
      <c r="I148" s="608">
        <v>51176</v>
      </c>
      <c r="J148" s="593" t="s">
        <v>218</v>
      </c>
      <c r="K148" s="589">
        <f>IF(G148="W",'US CBAs'!$F$19,0)</f>
        <v>1350</v>
      </c>
      <c r="L148" s="593">
        <v>23</v>
      </c>
      <c r="M148" s="590">
        <f>'US CBAs'!$F$12+IF(G148="W",'US CBAs'!$F$19,0)</f>
        <v>2700</v>
      </c>
      <c r="N148" s="593">
        <v>0</v>
      </c>
      <c r="O148" s="609">
        <f t="shared" si="8"/>
        <v>31050</v>
      </c>
      <c r="P148" s="590">
        <f>IF(J148="",I148*'US CBAs'!$G$55,0)</f>
        <v>0</v>
      </c>
      <c r="Q148" s="609">
        <f t="shared" si="7"/>
        <v>31050</v>
      </c>
    </row>
    <row r="149" spans="1:17" x14ac:dyDescent="0.35">
      <c r="A149" s="593" t="s">
        <v>230</v>
      </c>
      <c r="B149" s="593">
        <v>5</v>
      </c>
      <c r="C149" s="593">
        <v>2015</v>
      </c>
      <c r="D149" s="593" t="s">
        <v>50</v>
      </c>
      <c r="E149" s="593" t="s">
        <v>1</v>
      </c>
      <c r="F149" s="593"/>
      <c r="G149" s="593" t="s">
        <v>20</v>
      </c>
      <c r="H149" s="593" t="s">
        <v>29</v>
      </c>
      <c r="I149" s="608">
        <v>53341</v>
      </c>
      <c r="J149" s="593" t="s">
        <v>218</v>
      </c>
      <c r="K149" s="589">
        <f>IF(G149="W",'US CBAs'!$F$19,0)</f>
        <v>1350</v>
      </c>
      <c r="L149" s="593">
        <v>23</v>
      </c>
      <c r="M149" s="590">
        <f>'US CBAs'!$F$12+IF(G149="W",'US CBAs'!$F$19,0)</f>
        <v>2700</v>
      </c>
      <c r="N149" s="593">
        <v>0</v>
      </c>
      <c r="O149" s="609">
        <f t="shared" si="8"/>
        <v>31050</v>
      </c>
      <c r="P149" s="590">
        <f>IF(J149="",I149*'US CBAs'!$G$55,0)</f>
        <v>0</v>
      </c>
      <c r="Q149" s="609">
        <f t="shared" si="7"/>
        <v>31050</v>
      </c>
    </row>
    <row r="150" spans="1:17" x14ac:dyDescent="0.35">
      <c r="A150" s="623" t="s">
        <v>203</v>
      </c>
      <c r="B150" s="623">
        <v>16</v>
      </c>
      <c r="C150" s="623">
        <v>2015</v>
      </c>
      <c r="D150" s="623" t="s">
        <v>36</v>
      </c>
      <c r="E150" s="623" t="s">
        <v>220</v>
      </c>
      <c r="F150" s="623"/>
      <c r="G150" s="623" t="s">
        <v>20</v>
      </c>
      <c r="H150" s="623" t="s">
        <v>484</v>
      </c>
      <c r="I150" s="628">
        <v>44028</v>
      </c>
      <c r="J150" s="623"/>
      <c r="K150" s="625">
        <f>IF(G150="W",'US CBAs'!$F$19,0)</f>
        <v>1350</v>
      </c>
      <c r="L150" s="623">
        <v>22</v>
      </c>
      <c r="M150" s="626">
        <f>'US CBAs'!$F$12+IF(G150="W",'US CBAs'!$F$19,0)</f>
        <v>2700</v>
      </c>
      <c r="N150" s="623">
        <v>1</v>
      </c>
      <c r="O150" s="627">
        <f t="shared" si="8"/>
        <v>32400</v>
      </c>
      <c r="P150" s="626">
        <f>IF(J150="",I150*'US CBAs'!$G$55,0)</f>
        <v>52833.599999999999</v>
      </c>
      <c r="Q150" s="627">
        <f t="shared" si="7"/>
        <v>85233.600000000006</v>
      </c>
    </row>
    <row r="151" spans="1:17" x14ac:dyDescent="0.35">
      <c r="A151" s="611" t="s">
        <v>203</v>
      </c>
      <c r="B151" s="612">
        <v>19</v>
      </c>
      <c r="C151" s="623">
        <v>2015</v>
      </c>
      <c r="D151" s="623" t="s">
        <v>36</v>
      </c>
      <c r="E151" s="623" t="s">
        <v>220</v>
      </c>
      <c r="F151" s="623"/>
      <c r="G151" s="623" t="s">
        <v>20</v>
      </c>
      <c r="H151" s="623" t="s">
        <v>486</v>
      </c>
      <c r="I151" s="628">
        <v>20535</v>
      </c>
      <c r="J151" s="623"/>
      <c r="K151" s="625">
        <f>IF(G151="W",'US CBAs'!$F$19,0)</f>
        <v>1350</v>
      </c>
      <c r="L151" s="623">
        <v>22</v>
      </c>
      <c r="M151" s="626">
        <f>'US CBAs'!$F$12+IF(G151="W",'US CBAs'!$F$19,0)</f>
        <v>2700</v>
      </c>
      <c r="N151" s="623">
        <v>1</v>
      </c>
      <c r="O151" s="627">
        <f t="shared" si="8"/>
        <v>32400</v>
      </c>
      <c r="P151" s="626">
        <f>IF(J151="",I151*'US CBAs'!$G$55,0)</f>
        <v>24642</v>
      </c>
      <c r="Q151" s="627">
        <f t="shared" si="7"/>
        <v>57042</v>
      </c>
    </row>
    <row r="152" spans="1:17" x14ac:dyDescent="0.35">
      <c r="A152" s="611" t="s">
        <v>222</v>
      </c>
      <c r="B152" s="612">
        <v>17</v>
      </c>
      <c r="C152" s="623">
        <v>2015</v>
      </c>
      <c r="D152" s="623" t="s">
        <v>59</v>
      </c>
      <c r="E152" s="623" t="s">
        <v>220</v>
      </c>
      <c r="F152" s="623"/>
      <c r="G152" s="623" t="s">
        <v>20</v>
      </c>
      <c r="H152" s="623" t="s">
        <v>489</v>
      </c>
      <c r="I152" s="628">
        <v>34538</v>
      </c>
      <c r="J152" s="623"/>
      <c r="K152" s="625">
        <f>IF(G152="W",'US CBAs'!$F$19,0)</f>
        <v>1350</v>
      </c>
      <c r="L152" s="623">
        <v>22</v>
      </c>
      <c r="M152" s="626">
        <f>'US CBAs'!$F$12+IF(G152="W",'US CBAs'!$F$19,0)</f>
        <v>2700</v>
      </c>
      <c r="N152" s="623">
        <v>1</v>
      </c>
      <c r="O152" s="627">
        <f t="shared" si="8"/>
        <v>32400</v>
      </c>
      <c r="P152" s="626">
        <f>IF(J152="",I152*'US CBAs'!$G$55,0)</f>
        <v>41445.599999999999</v>
      </c>
      <c r="Q152" s="627">
        <f t="shared" si="7"/>
        <v>73845.600000000006</v>
      </c>
    </row>
    <row r="153" spans="1:17" x14ac:dyDescent="0.35">
      <c r="A153" s="611" t="s">
        <v>222</v>
      </c>
      <c r="B153" s="612">
        <v>20</v>
      </c>
      <c r="C153" s="623">
        <v>2015</v>
      </c>
      <c r="D153" s="623" t="s">
        <v>59</v>
      </c>
      <c r="E153" s="623" t="s">
        <v>220</v>
      </c>
      <c r="F153" s="623"/>
      <c r="G153" s="623" t="s">
        <v>20</v>
      </c>
      <c r="H153" s="623" t="s">
        <v>503</v>
      </c>
      <c r="I153" s="628">
        <v>35753</v>
      </c>
      <c r="J153" s="623"/>
      <c r="K153" s="625">
        <f>IF(G153="W",'US CBAs'!$F$19,0)</f>
        <v>1350</v>
      </c>
      <c r="L153" s="623">
        <v>22</v>
      </c>
      <c r="M153" s="626">
        <f>'US CBAs'!$F$12+IF(G153="W",'US CBAs'!$F$19,0)</f>
        <v>2700</v>
      </c>
      <c r="N153" s="623">
        <v>1</v>
      </c>
      <c r="O153" s="627">
        <f t="shared" si="8"/>
        <v>32400</v>
      </c>
      <c r="P153" s="626">
        <f>IF(J153="",I153*'US CBAs'!$G$55,0)</f>
        <v>42903.6</v>
      </c>
      <c r="Q153" s="627">
        <f t="shared" si="7"/>
        <v>75303.600000000006</v>
      </c>
    </row>
    <row r="154" spans="1:17" x14ac:dyDescent="0.35">
      <c r="A154" s="611" t="s">
        <v>189</v>
      </c>
      <c r="B154" s="612">
        <v>21</v>
      </c>
      <c r="C154" s="623">
        <v>2015</v>
      </c>
      <c r="D154" s="623" t="s">
        <v>41</v>
      </c>
      <c r="E154" s="623" t="s">
        <v>220</v>
      </c>
      <c r="F154" s="623"/>
      <c r="G154" s="623" t="s">
        <v>83</v>
      </c>
      <c r="H154" s="623" t="s">
        <v>497</v>
      </c>
      <c r="I154" s="628">
        <v>23603</v>
      </c>
      <c r="J154" s="623"/>
      <c r="K154" s="625">
        <f>IF(G154="W",'US CBAs'!$F$19,0)</f>
        <v>0</v>
      </c>
      <c r="L154" s="623">
        <v>19</v>
      </c>
      <c r="M154" s="626">
        <f>'US CBAs'!$F$12+IF(G154="W",'US CBAs'!$F$19,0)</f>
        <v>1350</v>
      </c>
      <c r="N154" s="623">
        <v>2</v>
      </c>
      <c r="O154" s="627">
        <f t="shared" si="8"/>
        <v>2700</v>
      </c>
      <c r="P154" s="626">
        <f>IF(J154="",I154*'US CBAs'!$G$55,0)</f>
        <v>28323.599999999999</v>
      </c>
      <c r="Q154" s="627">
        <f t="shared" si="7"/>
        <v>31023.599999999999</v>
      </c>
    </row>
    <row r="155" spans="1:17" x14ac:dyDescent="0.35">
      <c r="A155" s="623" t="s">
        <v>189</v>
      </c>
      <c r="B155" s="623">
        <v>25</v>
      </c>
      <c r="C155" s="623">
        <v>2015</v>
      </c>
      <c r="D155" s="623" t="s">
        <v>41</v>
      </c>
      <c r="E155" s="623" t="s">
        <v>220</v>
      </c>
      <c r="F155" s="623"/>
      <c r="G155" s="623" t="s">
        <v>20</v>
      </c>
      <c r="H155" s="623" t="s">
        <v>482</v>
      </c>
      <c r="I155" s="628">
        <v>32869</v>
      </c>
      <c r="J155" s="623"/>
      <c r="K155" s="625">
        <f>IF(G155="W",'US CBAs'!$F$19,0)</f>
        <v>1350</v>
      </c>
      <c r="L155" s="623">
        <v>19</v>
      </c>
      <c r="M155" s="626">
        <f>'US CBAs'!$F$12+IF(G155="W",'US CBAs'!$F$19,0)</f>
        <v>2700</v>
      </c>
      <c r="N155" s="623">
        <v>2</v>
      </c>
      <c r="O155" s="627">
        <f t="shared" si="8"/>
        <v>31050</v>
      </c>
      <c r="P155" s="626">
        <f>IF(J155="",I155*'US CBAs'!$G$55,0)</f>
        <v>39442.799999999996</v>
      </c>
      <c r="Q155" s="627">
        <f t="shared" si="7"/>
        <v>70492.799999999988</v>
      </c>
    </row>
    <row r="156" spans="1:17" x14ac:dyDescent="0.35">
      <c r="A156" s="623" t="s">
        <v>262</v>
      </c>
      <c r="B156" s="623">
        <v>10</v>
      </c>
      <c r="C156" s="623">
        <v>2015</v>
      </c>
      <c r="D156" s="623" t="s">
        <v>228</v>
      </c>
      <c r="E156" s="623" t="s">
        <v>220</v>
      </c>
      <c r="F156" s="623"/>
      <c r="G156" s="623" t="s">
        <v>20</v>
      </c>
      <c r="H156" s="623" t="s">
        <v>492</v>
      </c>
      <c r="I156" s="628">
        <v>10690</v>
      </c>
      <c r="J156" s="623"/>
      <c r="K156" s="625">
        <f>IF(G156="W",'US CBAs'!$F$19,0)</f>
        <v>1350</v>
      </c>
      <c r="L156" s="623">
        <v>19</v>
      </c>
      <c r="M156" s="626">
        <f>'US CBAs'!$F$12+IF(G156="W",'US CBAs'!$F$19,0)</f>
        <v>2700</v>
      </c>
      <c r="N156" s="623">
        <v>2</v>
      </c>
      <c r="O156" s="627">
        <f t="shared" si="8"/>
        <v>31050</v>
      </c>
      <c r="P156" s="626">
        <f>IF(J156="",I156*'US CBAs'!$G$55,0)</f>
        <v>12828</v>
      </c>
      <c r="Q156" s="627">
        <f t="shared" si="7"/>
        <v>43878</v>
      </c>
    </row>
    <row r="157" spans="1:17" x14ac:dyDescent="0.35">
      <c r="A157" s="623" t="s">
        <v>262</v>
      </c>
      <c r="B157" s="623">
        <v>13</v>
      </c>
      <c r="C157" s="623">
        <v>2015</v>
      </c>
      <c r="D157" s="623" t="s">
        <v>25</v>
      </c>
      <c r="E157" s="623" t="s">
        <v>220</v>
      </c>
      <c r="F157" s="623"/>
      <c r="G157" s="623" t="s">
        <v>20</v>
      </c>
      <c r="H157" s="623" t="s">
        <v>493</v>
      </c>
      <c r="I157" s="628">
        <v>19066</v>
      </c>
      <c r="J157" s="623"/>
      <c r="K157" s="625">
        <f>IF(G157="W",'US CBAs'!$F$19,0)</f>
        <v>1350</v>
      </c>
      <c r="L157" s="623">
        <v>19</v>
      </c>
      <c r="M157" s="626">
        <f>'US CBAs'!$F$12+IF(G157="W",'US CBAs'!$F$19,0)</f>
        <v>2700</v>
      </c>
      <c r="N157" s="623">
        <v>2</v>
      </c>
      <c r="O157" s="627">
        <f t="shared" si="8"/>
        <v>31050</v>
      </c>
      <c r="P157" s="626">
        <f>IF(J157="",I157*'US CBAs'!$G$55,0)</f>
        <v>22879.200000000001</v>
      </c>
      <c r="Q157" s="627">
        <f t="shared" si="7"/>
        <v>53929.2</v>
      </c>
    </row>
    <row r="158" spans="1:17" x14ac:dyDescent="0.35">
      <c r="A158" s="623" t="s">
        <v>262</v>
      </c>
      <c r="B158" s="623">
        <v>16</v>
      </c>
      <c r="C158" s="623">
        <v>2015</v>
      </c>
      <c r="D158" s="623" t="s">
        <v>25</v>
      </c>
      <c r="E158" s="623" t="s">
        <v>220</v>
      </c>
      <c r="F158" s="623"/>
      <c r="G158" s="623" t="s">
        <v>33</v>
      </c>
      <c r="H158" s="623" t="s">
        <v>505</v>
      </c>
      <c r="I158" s="628">
        <v>32950</v>
      </c>
      <c r="J158" s="623"/>
      <c r="K158" s="625">
        <f>IF(G158="W",'US CBAs'!$F$19,0)</f>
        <v>0</v>
      </c>
      <c r="L158" s="623">
        <v>19</v>
      </c>
      <c r="M158" s="626">
        <f>'US CBAs'!$F$12+IF(G158="W",'US CBAs'!$F$19,0)</f>
        <v>1350</v>
      </c>
      <c r="N158" s="623">
        <v>2</v>
      </c>
      <c r="O158" s="627">
        <f t="shared" si="8"/>
        <v>2700</v>
      </c>
      <c r="P158" s="626">
        <f>IF(J158="",I158*'US CBAs'!$G$55,0)</f>
        <v>39540</v>
      </c>
      <c r="Q158" s="627">
        <f t="shared" si="7"/>
        <v>42240</v>
      </c>
    </row>
    <row r="159" spans="1:17" x14ac:dyDescent="0.35">
      <c r="A159" s="647" t="s">
        <v>262</v>
      </c>
      <c r="B159" s="587">
        <v>28</v>
      </c>
      <c r="C159" s="593">
        <v>2015</v>
      </c>
      <c r="D159" s="593"/>
      <c r="E159" s="593"/>
      <c r="F159" s="593"/>
      <c r="G159" s="593"/>
      <c r="H159" s="656" t="s">
        <v>431</v>
      </c>
      <c r="I159" s="653"/>
      <c r="J159" s="654"/>
      <c r="K159" s="651">
        <f>'US CBAs'!$F$4</f>
        <v>72000</v>
      </c>
      <c r="L159" s="654">
        <v>18</v>
      </c>
      <c r="M159" s="652"/>
      <c r="N159" s="654"/>
      <c r="O159" s="657">
        <f t="shared" si="8"/>
        <v>1296000</v>
      </c>
      <c r="P159" s="652"/>
      <c r="Q159" s="657">
        <f t="shared" si="7"/>
        <v>1296000</v>
      </c>
    </row>
    <row r="160" spans="1:17" x14ac:dyDescent="0.35">
      <c r="A160" s="647" t="s">
        <v>262</v>
      </c>
      <c r="B160" s="587">
        <v>29</v>
      </c>
      <c r="C160" s="593">
        <v>2015</v>
      </c>
      <c r="D160" s="593"/>
      <c r="E160" s="593"/>
      <c r="F160" s="593"/>
      <c r="G160" s="593"/>
      <c r="H160" s="656" t="s">
        <v>432</v>
      </c>
      <c r="I160" s="653"/>
      <c r="J160" s="654"/>
      <c r="K160" s="651">
        <f>'US CBAs'!$F$5</f>
        <v>51000</v>
      </c>
      <c r="L160" s="654">
        <v>4</v>
      </c>
      <c r="M160" s="652"/>
      <c r="N160" s="654"/>
      <c r="O160" s="657">
        <f t="shared" si="8"/>
        <v>204000</v>
      </c>
      <c r="P160" s="652"/>
      <c r="Q160" s="657">
        <f t="shared" si="7"/>
        <v>204000</v>
      </c>
    </row>
    <row r="161" spans="1:17" x14ac:dyDescent="0.35">
      <c r="A161" s="647" t="s">
        <v>262</v>
      </c>
      <c r="B161" s="587">
        <v>30</v>
      </c>
      <c r="C161" s="593">
        <v>2015</v>
      </c>
      <c r="D161" s="593"/>
      <c r="E161" s="593"/>
      <c r="F161" s="593"/>
      <c r="G161" s="593"/>
      <c r="H161" s="656" t="s">
        <v>433</v>
      </c>
      <c r="I161" s="653"/>
      <c r="J161" s="654"/>
      <c r="K161" s="651">
        <f>'US CBAs'!$F$6</f>
        <v>36000</v>
      </c>
      <c r="L161" s="654">
        <v>2</v>
      </c>
      <c r="M161" s="652"/>
      <c r="N161" s="654"/>
      <c r="O161" s="657">
        <f t="shared" si="8"/>
        <v>72000</v>
      </c>
      <c r="P161" s="652"/>
      <c r="Q161" s="657">
        <f t="shared" si="7"/>
        <v>72000</v>
      </c>
    </row>
    <row r="162" spans="1:17" x14ac:dyDescent="0.35">
      <c r="A162" s="647" t="s">
        <v>262</v>
      </c>
      <c r="B162" s="587">
        <v>31</v>
      </c>
      <c r="C162" s="593">
        <v>2015</v>
      </c>
      <c r="D162" s="593"/>
      <c r="E162" s="593"/>
      <c r="F162" s="593"/>
      <c r="G162" s="593"/>
      <c r="H162" s="656" t="s">
        <v>434</v>
      </c>
      <c r="I162" s="653"/>
      <c r="J162" s="654"/>
      <c r="K162" s="659"/>
      <c r="L162" s="653"/>
      <c r="M162" s="652">
        <f>'US CBAs'!$F$8</f>
        <v>500</v>
      </c>
      <c r="N162" s="654">
        <v>20</v>
      </c>
      <c r="O162" s="657">
        <f>(M162*N162)</f>
        <v>10000</v>
      </c>
      <c r="P162" s="652"/>
      <c r="Q162" s="657">
        <f t="shared" si="7"/>
        <v>10000</v>
      </c>
    </row>
    <row r="163" spans="1:17" x14ac:dyDescent="0.35">
      <c r="A163" s="623" t="s">
        <v>191</v>
      </c>
      <c r="B163" s="623">
        <v>23</v>
      </c>
      <c r="C163" s="623">
        <v>2016</v>
      </c>
      <c r="D163" s="623" t="s">
        <v>65</v>
      </c>
      <c r="E163" s="623" t="s">
        <v>220</v>
      </c>
      <c r="F163" s="623"/>
      <c r="G163" s="623" t="s">
        <v>20</v>
      </c>
      <c r="H163" s="623" t="s">
        <v>481</v>
      </c>
      <c r="I163" s="628">
        <v>23309</v>
      </c>
      <c r="J163" s="623"/>
      <c r="K163" s="625">
        <f>IF(G163="W",'US CBAs'!$F$19,0)</f>
        <v>1350</v>
      </c>
      <c r="L163" s="623">
        <v>20</v>
      </c>
      <c r="M163" s="626">
        <f>'US CBAs'!$F$12+IF(G163="W",'US CBAs'!$F$19,0)</f>
        <v>2700</v>
      </c>
      <c r="N163" s="623">
        <v>0</v>
      </c>
      <c r="O163" s="627">
        <f t="shared" ref="O163:O190" si="9">(K163*L163)+(M163*N163)</f>
        <v>27000</v>
      </c>
      <c r="P163" s="626">
        <f>IF(J163="",I163*'US CBAs'!$G$55,0)</f>
        <v>27970.799999999999</v>
      </c>
      <c r="Q163" s="627">
        <f t="shared" si="7"/>
        <v>54970.8</v>
      </c>
    </row>
    <row r="164" spans="1:17" x14ac:dyDescent="0.35">
      <c r="A164" s="623" t="s">
        <v>192</v>
      </c>
      <c r="B164" s="623">
        <v>10</v>
      </c>
      <c r="C164" s="623">
        <v>2016</v>
      </c>
      <c r="D164" s="623" t="s">
        <v>36</v>
      </c>
      <c r="E164" s="623" t="s">
        <v>261</v>
      </c>
      <c r="F164" s="623"/>
      <c r="G164" s="623" t="s">
        <v>20</v>
      </c>
      <c r="H164" s="623" t="s">
        <v>492</v>
      </c>
      <c r="I164" s="628">
        <v>8143</v>
      </c>
      <c r="J164" s="623" t="s">
        <v>218</v>
      </c>
      <c r="K164" s="625">
        <f>IF(G164="W",'US CBAs'!$F$19,0)</f>
        <v>1350</v>
      </c>
      <c r="L164" s="623">
        <v>18</v>
      </c>
      <c r="M164" s="626">
        <f>'US CBAs'!$F$12+IF(G164="W",'US CBAs'!$F$19,0)</f>
        <v>2700</v>
      </c>
      <c r="N164" s="623">
        <v>1</v>
      </c>
      <c r="O164" s="627">
        <f t="shared" si="9"/>
        <v>27000</v>
      </c>
      <c r="P164" s="626">
        <f>IF(J164="",I164*'US CBAs'!$G$55,0)</f>
        <v>0</v>
      </c>
      <c r="Q164" s="627">
        <f t="shared" si="7"/>
        <v>27000</v>
      </c>
    </row>
    <row r="165" spans="1:17" x14ac:dyDescent="0.35">
      <c r="A165" s="623" t="s">
        <v>192</v>
      </c>
      <c r="B165" s="623">
        <v>13</v>
      </c>
      <c r="C165" s="623">
        <v>2016</v>
      </c>
      <c r="D165" s="623" t="s">
        <v>35</v>
      </c>
      <c r="E165" s="623" t="s">
        <v>261</v>
      </c>
      <c r="F165" s="623"/>
      <c r="G165" s="623" t="s">
        <v>20</v>
      </c>
      <c r="H165" s="623" t="s">
        <v>492</v>
      </c>
      <c r="I165" s="628">
        <v>15032</v>
      </c>
      <c r="J165" s="623" t="s">
        <v>218</v>
      </c>
      <c r="K165" s="625">
        <f>IF(G165="W",'US CBAs'!$F$19,0)</f>
        <v>1350</v>
      </c>
      <c r="L165" s="623">
        <v>18</v>
      </c>
      <c r="M165" s="626">
        <f>'US CBAs'!$F$12+IF(G165="W",'US CBAs'!$F$19,0)</f>
        <v>2700</v>
      </c>
      <c r="N165" s="623">
        <v>1</v>
      </c>
      <c r="O165" s="627">
        <f t="shared" si="9"/>
        <v>27000</v>
      </c>
      <c r="P165" s="626">
        <f>IF(J165="",I165*'US CBAs'!$G$55,0)</f>
        <v>0</v>
      </c>
      <c r="Q165" s="627">
        <f t="shared" si="7"/>
        <v>27000</v>
      </c>
    </row>
    <row r="166" spans="1:17" x14ac:dyDescent="0.35">
      <c r="A166" s="623" t="s">
        <v>192</v>
      </c>
      <c r="B166" s="623">
        <v>15</v>
      </c>
      <c r="C166" s="623">
        <v>2016</v>
      </c>
      <c r="D166" s="623" t="s">
        <v>71</v>
      </c>
      <c r="E166" s="623" t="s">
        <v>261</v>
      </c>
      <c r="F166" s="623"/>
      <c r="G166" s="623" t="s">
        <v>20</v>
      </c>
      <c r="H166" s="623" t="s">
        <v>492</v>
      </c>
      <c r="I166" s="628">
        <v>7658</v>
      </c>
      <c r="J166" s="623" t="s">
        <v>218</v>
      </c>
      <c r="K166" s="625">
        <f>IF(G166="W",'US CBAs'!$F$19,0)</f>
        <v>1350</v>
      </c>
      <c r="L166" s="623">
        <v>18</v>
      </c>
      <c r="M166" s="626">
        <f>'US CBAs'!$F$12+IF(G166="W",'US CBAs'!$F$19,0)</f>
        <v>2700</v>
      </c>
      <c r="N166" s="623">
        <v>1</v>
      </c>
      <c r="O166" s="627">
        <f t="shared" si="9"/>
        <v>27000</v>
      </c>
      <c r="P166" s="626">
        <f>IF(J166="",I166*'US CBAs'!$G$55,0)</f>
        <v>0</v>
      </c>
      <c r="Q166" s="627">
        <f t="shared" si="7"/>
        <v>27000</v>
      </c>
    </row>
    <row r="167" spans="1:17" x14ac:dyDescent="0.35">
      <c r="A167" s="623" t="s">
        <v>192</v>
      </c>
      <c r="B167" s="623">
        <v>19</v>
      </c>
      <c r="C167" s="623">
        <v>2016</v>
      </c>
      <c r="D167" s="623" t="s">
        <v>228</v>
      </c>
      <c r="E167" s="623" t="s">
        <v>261</v>
      </c>
      <c r="F167" s="623"/>
      <c r="G167" s="623" t="s">
        <v>20</v>
      </c>
      <c r="H167" s="623" t="s">
        <v>492</v>
      </c>
      <c r="I167" s="628">
        <v>5561</v>
      </c>
      <c r="J167" s="623" t="s">
        <v>218</v>
      </c>
      <c r="K167" s="625">
        <f>IF(G167="W",'US CBAs'!$F$19,0)</f>
        <v>1350</v>
      </c>
      <c r="L167" s="623">
        <v>18</v>
      </c>
      <c r="M167" s="626">
        <f>'US CBAs'!$F$12+IF(G167="W",'US CBAs'!$F$19,0)</f>
        <v>2700</v>
      </c>
      <c r="N167" s="623">
        <v>1</v>
      </c>
      <c r="O167" s="627">
        <f t="shared" si="9"/>
        <v>27000</v>
      </c>
      <c r="P167" s="626">
        <f>IF(J167="",I167*'US CBAs'!$G$55,0)</f>
        <v>0</v>
      </c>
      <c r="Q167" s="627">
        <f t="shared" si="7"/>
        <v>27000</v>
      </c>
    </row>
    <row r="168" spans="1:17" x14ac:dyDescent="0.35">
      <c r="A168" s="623" t="s">
        <v>192</v>
      </c>
      <c r="B168" s="623">
        <v>21</v>
      </c>
      <c r="C168" s="623">
        <v>2016</v>
      </c>
      <c r="D168" s="623" t="s">
        <v>29</v>
      </c>
      <c r="E168" s="623" t="s">
        <v>261</v>
      </c>
      <c r="F168" s="623"/>
      <c r="G168" s="623" t="s">
        <v>20</v>
      </c>
      <c r="H168" s="623" t="s">
        <v>492</v>
      </c>
      <c r="I168" s="628">
        <v>10119</v>
      </c>
      <c r="J168" s="623" t="s">
        <v>218</v>
      </c>
      <c r="K168" s="625">
        <f>IF(G168="W",'US CBAs'!$F$19,0)</f>
        <v>1350</v>
      </c>
      <c r="L168" s="623">
        <v>18</v>
      </c>
      <c r="M168" s="626">
        <f>'US CBAs'!$F$12+IF(G168="W",'US CBAs'!$F$19,0)</f>
        <v>2700</v>
      </c>
      <c r="N168" s="623">
        <v>1</v>
      </c>
      <c r="O168" s="627">
        <f t="shared" si="9"/>
        <v>27000</v>
      </c>
      <c r="P168" s="626">
        <f>IF(J168="",I168*'US CBAs'!$G$55,0)</f>
        <v>0</v>
      </c>
      <c r="Q168" s="627">
        <f t="shared" si="7"/>
        <v>27000</v>
      </c>
    </row>
    <row r="169" spans="1:17" x14ac:dyDescent="0.35">
      <c r="A169" s="623" t="s">
        <v>221</v>
      </c>
      <c r="B169" s="623">
        <v>3</v>
      </c>
      <c r="C169" s="623">
        <v>2016</v>
      </c>
      <c r="D169" s="623" t="s">
        <v>61</v>
      </c>
      <c r="E169" s="623" t="s">
        <v>220</v>
      </c>
      <c r="F169" s="623"/>
      <c r="G169" s="623" t="s">
        <v>20</v>
      </c>
      <c r="H169" s="623" t="s">
        <v>482</v>
      </c>
      <c r="I169" s="628">
        <v>13027</v>
      </c>
      <c r="J169" s="623"/>
      <c r="K169" s="625">
        <f>IF(G169="W",'US CBAs'!$F$19,0)</f>
        <v>1350</v>
      </c>
      <c r="L169" s="623">
        <v>20</v>
      </c>
      <c r="M169" s="626">
        <f>'US CBAs'!$F$12+IF(G169="W",'US CBAs'!$F$19,0)</f>
        <v>2700</v>
      </c>
      <c r="N169" s="623">
        <v>2</v>
      </c>
      <c r="O169" s="627">
        <f t="shared" si="9"/>
        <v>32400</v>
      </c>
      <c r="P169" s="626">
        <f>IF(J169="",I169*'US CBAs'!$G$55,0)</f>
        <v>15632.4</v>
      </c>
      <c r="Q169" s="627">
        <f t="shared" si="7"/>
        <v>48032.4</v>
      </c>
    </row>
    <row r="170" spans="1:17" x14ac:dyDescent="0.35">
      <c r="A170" s="623" t="s">
        <v>221</v>
      </c>
      <c r="B170" s="623">
        <v>6</v>
      </c>
      <c r="C170" s="623">
        <v>2016</v>
      </c>
      <c r="D170" s="623" t="s">
        <v>53</v>
      </c>
      <c r="E170" s="623" t="s">
        <v>220</v>
      </c>
      <c r="F170" s="623"/>
      <c r="G170" s="623" t="s">
        <v>20</v>
      </c>
      <c r="H170" s="623" t="s">
        <v>486</v>
      </c>
      <c r="I170" s="628">
        <v>25363</v>
      </c>
      <c r="J170" s="623"/>
      <c r="K170" s="625">
        <f>IF(G170="W",'US CBAs'!$F$19,0)</f>
        <v>1350</v>
      </c>
      <c r="L170" s="623">
        <v>20</v>
      </c>
      <c r="M170" s="626">
        <f>'US CBAs'!$F$12+IF(G170="W",'US CBAs'!$F$19,0)</f>
        <v>2700</v>
      </c>
      <c r="N170" s="623">
        <v>2</v>
      </c>
      <c r="O170" s="627">
        <f t="shared" si="9"/>
        <v>32400</v>
      </c>
      <c r="P170" s="626">
        <f>IF(J170="",I170*'US CBAs'!$G$55,0)</f>
        <v>30435.599999999999</v>
      </c>
      <c r="Q170" s="627">
        <f t="shared" si="7"/>
        <v>62835.6</v>
      </c>
    </row>
    <row r="171" spans="1:17" x14ac:dyDescent="0.35">
      <c r="A171" s="623" t="s">
        <v>221</v>
      </c>
      <c r="B171" s="623">
        <v>9</v>
      </c>
      <c r="C171" s="623">
        <v>2016</v>
      </c>
      <c r="D171" s="623" t="s">
        <v>27</v>
      </c>
      <c r="E171" s="623" t="s">
        <v>220</v>
      </c>
      <c r="F171" s="623"/>
      <c r="G171" s="623" t="s">
        <v>20</v>
      </c>
      <c r="H171" s="623" t="s">
        <v>482</v>
      </c>
      <c r="I171" s="628">
        <v>13501</v>
      </c>
      <c r="J171" s="623"/>
      <c r="K171" s="625">
        <f>IF(G171="W",'US CBAs'!$F$19,0)</f>
        <v>1350</v>
      </c>
      <c r="L171" s="623">
        <v>20</v>
      </c>
      <c r="M171" s="626">
        <f>'US CBAs'!$F$12+IF(G171="W",'US CBAs'!$F$19,0)</f>
        <v>2700</v>
      </c>
      <c r="N171" s="623">
        <v>2</v>
      </c>
      <c r="O171" s="627">
        <f t="shared" si="9"/>
        <v>32400</v>
      </c>
      <c r="P171" s="626">
        <f>IF(J171="",I171*'US CBAs'!$G$55,0)</f>
        <v>16201.199999999999</v>
      </c>
      <c r="Q171" s="627">
        <f t="shared" si="7"/>
        <v>48601.2</v>
      </c>
    </row>
    <row r="172" spans="1:17" x14ac:dyDescent="0.35">
      <c r="A172" s="623" t="s">
        <v>240</v>
      </c>
      <c r="B172" s="623">
        <v>6</v>
      </c>
      <c r="C172" s="623">
        <v>2016</v>
      </c>
      <c r="D172" s="623" t="s">
        <v>64</v>
      </c>
      <c r="E172" s="623" t="s">
        <v>220</v>
      </c>
      <c r="F172" s="623"/>
      <c r="G172" s="623" t="s">
        <v>20</v>
      </c>
      <c r="H172" s="623" t="s">
        <v>483</v>
      </c>
      <c r="I172" s="628">
        <v>21792</v>
      </c>
      <c r="J172" s="623"/>
      <c r="K172" s="625">
        <f>IF(G172="W",'US CBAs'!$F$19,0)</f>
        <v>1350</v>
      </c>
      <c r="L172" s="623">
        <v>16</v>
      </c>
      <c r="M172" s="626">
        <f>'US CBAs'!$F$12+IF(G172="W",'US CBAs'!$F$19,0)</f>
        <v>2700</v>
      </c>
      <c r="N172" s="623">
        <v>1</v>
      </c>
      <c r="O172" s="627">
        <f t="shared" si="9"/>
        <v>24300</v>
      </c>
      <c r="P172" s="626">
        <f>IF(J172="",I172*'US CBAs'!$G$55,0)</f>
        <v>26150.399999999998</v>
      </c>
      <c r="Q172" s="627">
        <f t="shared" si="7"/>
        <v>50450.399999999994</v>
      </c>
    </row>
    <row r="173" spans="1:17" x14ac:dyDescent="0.35">
      <c r="A173" s="623" t="s">
        <v>240</v>
      </c>
      <c r="B173" s="623">
        <v>10</v>
      </c>
      <c r="C173" s="623">
        <v>2016</v>
      </c>
      <c r="D173" s="623" t="s">
        <v>64</v>
      </c>
      <c r="E173" s="623" t="s">
        <v>220</v>
      </c>
      <c r="F173" s="623"/>
      <c r="G173" s="623" t="s">
        <v>20</v>
      </c>
      <c r="H173" s="623" t="s">
        <v>484</v>
      </c>
      <c r="I173" s="628">
        <v>17275</v>
      </c>
      <c r="J173" s="623"/>
      <c r="K173" s="625">
        <f>IF(G173="W",'US CBAs'!$F$19,0)</f>
        <v>1350</v>
      </c>
      <c r="L173" s="623">
        <v>16</v>
      </c>
      <c r="M173" s="626">
        <f>'US CBAs'!$F$12+IF(G173="W",'US CBAs'!$F$19,0)</f>
        <v>2700</v>
      </c>
      <c r="N173" s="623">
        <v>1</v>
      </c>
      <c r="O173" s="627">
        <f t="shared" si="9"/>
        <v>24300</v>
      </c>
      <c r="P173" s="626">
        <f>IF(J173="",I173*'US CBAs'!$G$55,0)</f>
        <v>20730</v>
      </c>
      <c r="Q173" s="627">
        <f t="shared" si="7"/>
        <v>45030</v>
      </c>
    </row>
    <row r="174" spans="1:17" x14ac:dyDescent="0.35">
      <c r="A174" s="623" t="s">
        <v>223</v>
      </c>
      <c r="B174" s="623">
        <v>2</v>
      </c>
      <c r="C174" s="623">
        <v>2016</v>
      </c>
      <c r="D174" s="623" t="s">
        <v>50</v>
      </c>
      <c r="E174" s="623" t="s">
        <v>220</v>
      </c>
      <c r="F174" s="623"/>
      <c r="G174" s="623" t="s">
        <v>83</v>
      </c>
      <c r="H174" s="623" t="s">
        <v>496</v>
      </c>
      <c r="I174" s="628">
        <v>18572</v>
      </c>
      <c r="J174" s="623"/>
      <c r="K174" s="625">
        <f>IF(G174="W",'US CBAs'!$F$19,0)</f>
        <v>0</v>
      </c>
      <c r="L174" s="623">
        <v>17</v>
      </c>
      <c r="M174" s="626">
        <f>'US CBAs'!$F$12+IF(G174="W",'US CBAs'!$F$19,0)</f>
        <v>1350</v>
      </c>
      <c r="N174" s="623">
        <v>0</v>
      </c>
      <c r="O174" s="627">
        <f t="shared" si="9"/>
        <v>0</v>
      </c>
      <c r="P174" s="626">
        <f>IF(J174="",I174*'US CBAs'!$G$55,0)</f>
        <v>22286.399999999998</v>
      </c>
      <c r="Q174" s="627">
        <f t="shared" si="7"/>
        <v>22286.399999999998</v>
      </c>
    </row>
    <row r="175" spans="1:17" x14ac:dyDescent="0.35">
      <c r="A175" s="623" t="s">
        <v>223</v>
      </c>
      <c r="B175" s="623">
        <v>5</v>
      </c>
      <c r="C175" s="623">
        <v>2016</v>
      </c>
      <c r="D175" s="623" t="s">
        <v>50</v>
      </c>
      <c r="E175" s="623" t="s">
        <v>220</v>
      </c>
      <c r="F175" s="623"/>
      <c r="G175" s="623" t="s">
        <v>20</v>
      </c>
      <c r="H175" s="623" t="s">
        <v>495</v>
      </c>
      <c r="I175" s="628">
        <v>23535</v>
      </c>
      <c r="J175" s="623"/>
      <c r="K175" s="625">
        <f>IF(G175="W",'US CBAs'!$F$19,0)</f>
        <v>1350</v>
      </c>
      <c r="L175" s="623">
        <v>17</v>
      </c>
      <c r="M175" s="626">
        <f>'US CBAs'!$F$12+IF(G175="W",'US CBAs'!$F$19,0)</f>
        <v>2700</v>
      </c>
      <c r="N175" s="623">
        <v>0</v>
      </c>
      <c r="O175" s="627">
        <f t="shared" si="9"/>
        <v>22950</v>
      </c>
      <c r="P175" s="626">
        <f>IF(J175="",I175*'US CBAs'!$G$55,0)</f>
        <v>28242</v>
      </c>
      <c r="Q175" s="627">
        <f t="shared" si="7"/>
        <v>51192</v>
      </c>
    </row>
    <row r="176" spans="1:17" x14ac:dyDescent="0.35">
      <c r="A176" s="623" t="s">
        <v>230</v>
      </c>
      <c r="B176" s="623">
        <v>9</v>
      </c>
      <c r="C176" s="623">
        <v>2016</v>
      </c>
      <c r="D176" s="623" t="s">
        <v>74</v>
      </c>
      <c r="E176" s="623" t="s">
        <v>220</v>
      </c>
      <c r="F176" s="623"/>
      <c r="G176" s="623" t="s">
        <v>20</v>
      </c>
      <c r="H176" s="623" t="s">
        <v>487</v>
      </c>
      <c r="I176" s="628">
        <v>19272</v>
      </c>
      <c r="J176" s="623"/>
      <c r="K176" s="625">
        <f>IF(G176="W",'US CBAs'!$F$19,0)</f>
        <v>1350</v>
      </c>
      <c r="L176" s="623">
        <v>17</v>
      </c>
      <c r="M176" s="626">
        <f>'US CBAs'!$F$12+IF(G176="W",'US CBAs'!$F$19,0)</f>
        <v>2700</v>
      </c>
      <c r="N176" s="623">
        <v>0</v>
      </c>
      <c r="O176" s="627">
        <f t="shared" si="9"/>
        <v>22950</v>
      </c>
      <c r="P176" s="626">
        <f>IF(J176="",I176*'US CBAs'!$G$55,0)</f>
        <v>23126.399999999998</v>
      </c>
      <c r="Q176" s="627">
        <f t="shared" si="7"/>
        <v>46076.399999999994</v>
      </c>
    </row>
    <row r="177" spans="1:17" x14ac:dyDescent="0.35">
      <c r="A177" s="623" t="s">
        <v>230</v>
      </c>
      <c r="B177" s="623">
        <v>22</v>
      </c>
      <c r="C177" s="623">
        <v>2016</v>
      </c>
      <c r="D177" s="623" t="s">
        <v>36</v>
      </c>
      <c r="E177" s="623" t="s">
        <v>220</v>
      </c>
      <c r="F177" s="623"/>
      <c r="G177" s="623" t="s">
        <v>20</v>
      </c>
      <c r="H177" s="623" t="s">
        <v>504</v>
      </c>
      <c r="I177" s="628">
        <v>12635</v>
      </c>
      <c r="J177" s="623"/>
      <c r="K177" s="625">
        <f>IF(G177="W",'US CBAs'!$F$19,0)</f>
        <v>1350</v>
      </c>
      <c r="L177" s="623">
        <v>17</v>
      </c>
      <c r="M177" s="626">
        <f>'US CBAs'!$F$12+IF(G177="W",'US CBAs'!$F$19,0)</f>
        <v>2700</v>
      </c>
      <c r="N177" s="623">
        <v>0</v>
      </c>
      <c r="O177" s="627">
        <f t="shared" si="9"/>
        <v>22950</v>
      </c>
      <c r="P177" s="626">
        <f>IF(J177="",I177*'US CBAs'!$G$55,0)</f>
        <v>15162</v>
      </c>
      <c r="Q177" s="627">
        <f t="shared" si="7"/>
        <v>38112</v>
      </c>
    </row>
    <row r="178" spans="1:17" x14ac:dyDescent="0.35">
      <c r="A178" s="587" t="s">
        <v>203</v>
      </c>
      <c r="B178" s="587">
        <v>3</v>
      </c>
      <c r="C178" s="587">
        <v>2016</v>
      </c>
      <c r="D178" s="587" t="s">
        <v>38</v>
      </c>
      <c r="E178" s="587" t="s">
        <v>2</v>
      </c>
      <c r="F178" s="587"/>
      <c r="G178" s="587" t="s">
        <v>20</v>
      </c>
      <c r="H178" s="587" t="s">
        <v>41</v>
      </c>
      <c r="I178" s="636">
        <v>9556</v>
      </c>
      <c r="J178" s="587" t="s">
        <v>218</v>
      </c>
      <c r="K178" s="589">
        <f>IF(G178="W",'US CBAs'!$F$19,0)</f>
        <v>1350</v>
      </c>
      <c r="L178" s="587">
        <v>17</v>
      </c>
      <c r="M178" s="590">
        <f>'US CBAs'!$F$12+IF(G178="W",'US CBAs'!$F$19,0)</f>
        <v>2700</v>
      </c>
      <c r="N178" s="587">
        <v>0</v>
      </c>
      <c r="O178" s="591">
        <f t="shared" si="9"/>
        <v>22950</v>
      </c>
      <c r="P178" s="590">
        <f>IF(J178="",I178*'US CBAs'!$G$55,0)</f>
        <v>0</v>
      </c>
      <c r="Q178" s="591">
        <f t="shared" si="7"/>
        <v>22950</v>
      </c>
    </row>
    <row r="179" spans="1:17" x14ac:dyDescent="0.35">
      <c r="A179" s="593" t="s">
        <v>203</v>
      </c>
      <c r="B179" s="593">
        <v>6</v>
      </c>
      <c r="C179" s="593">
        <v>2016</v>
      </c>
      <c r="D179" s="593" t="s">
        <v>53</v>
      </c>
      <c r="E179" s="587" t="s">
        <v>2</v>
      </c>
      <c r="F179" s="593"/>
      <c r="G179" s="593" t="s">
        <v>20</v>
      </c>
      <c r="H179" s="587" t="s">
        <v>41</v>
      </c>
      <c r="I179" s="608">
        <v>11782</v>
      </c>
      <c r="J179" s="593" t="s">
        <v>218</v>
      </c>
      <c r="K179" s="589">
        <f>IF(G179="W",'US CBAs'!$F$19,0)</f>
        <v>1350</v>
      </c>
      <c r="L179" s="593">
        <v>17</v>
      </c>
      <c r="M179" s="590">
        <f>'US CBAs'!$F$12+IF(G179="W",'US CBAs'!$F$19,0)</f>
        <v>2700</v>
      </c>
      <c r="N179" s="593">
        <v>0</v>
      </c>
      <c r="O179" s="591">
        <f t="shared" si="9"/>
        <v>22950</v>
      </c>
      <c r="P179" s="590">
        <f>IF(J179="",I179*'US CBAs'!$G$55,0)</f>
        <v>0</v>
      </c>
      <c r="Q179" s="591">
        <f t="shared" si="7"/>
        <v>22950</v>
      </c>
    </row>
    <row r="180" spans="1:17" x14ac:dyDescent="0.35">
      <c r="A180" s="593" t="s">
        <v>203</v>
      </c>
      <c r="B180" s="593">
        <v>9</v>
      </c>
      <c r="C180" s="593">
        <v>2016</v>
      </c>
      <c r="D180" s="593" t="s">
        <v>64</v>
      </c>
      <c r="E180" s="593" t="s">
        <v>2</v>
      </c>
      <c r="F180" s="593"/>
      <c r="G180" s="643" t="s">
        <v>83</v>
      </c>
      <c r="H180" s="593" t="s">
        <v>41</v>
      </c>
      <c r="I180" s="608">
        <v>30557</v>
      </c>
      <c r="J180" s="593" t="s">
        <v>218</v>
      </c>
      <c r="K180" s="589">
        <f>IF(G180="W",'US CBAs'!$F$19,0)</f>
        <v>0</v>
      </c>
      <c r="L180" s="593">
        <v>18</v>
      </c>
      <c r="M180" s="590">
        <f>'US CBAs'!$F$12+IF(G180="W",'US CBAs'!$F$19,0)</f>
        <v>1350</v>
      </c>
      <c r="N180" s="593">
        <v>0</v>
      </c>
      <c r="O180" s="609">
        <f t="shared" si="9"/>
        <v>0</v>
      </c>
      <c r="P180" s="590">
        <f>IF(J180="",I180*'US CBAs'!$G$55,0)</f>
        <v>0</v>
      </c>
      <c r="Q180" s="609">
        <f t="shared" si="7"/>
        <v>0</v>
      </c>
    </row>
    <row r="181" spans="1:17" x14ac:dyDescent="0.35">
      <c r="A181" s="593" t="s">
        <v>203</v>
      </c>
      <c r="B181" s="593">
        <v>12</v>
      </c>
      <c r="C181" s="593">
        <v>2016</v>
      </c>
      <c r="D181" s="593" t="s">
        <v>26</v>
      </c>
      <c r="E181" s="587" t="s">
        <v>2</v>
      </c>
      <c r="F181" s="593"/>
      <c r="G181" s="643" t="s">
        <v>83</v>
      </c>
      <c r="H181" s="593" t="s">
        <v>41</v>
      </c>
      <c r="I181" s="608">
        <v>13892</v>
      </c>
      <c r="J181" s="593" t="s">
        <v>218</v>
      </c>
      <c r="K181" s="589">
        <f>IF(G181="W",'US CBAs'!$F$19,0)</f>
        <v>0</v>
      </c>
      <c r="L181" s="593">
        <v>18</v>
      </c>
      <c r="M181" s="590">
        <f>'US CBAs'!$F$12+IF(G181="W",'US CBAs'!$F$19,0)</f>
        <v>1350</v>
      </c>
      <c r="N181" s="593">
        <v>0</v>
      </c>
      <c r="O181" s="591">
        <f t="shared" si="9"/>
        <v>0</v>
      </c>
      <c r="P181" s="590">
        <f>IF(J181="",I181*'US CBAs'!$G$55,0)</f>
        <v>0</v>
      </c>
      <c r="Q181" s="591">
        <f t="shared" si="7"/>
        <v>0</v>
      </c>
    </row>
    <row r="182" spans="1:17" x14ac:dyDescent="0.35">
      <c r="A182" s="623" t="s">
        <v>222</v>
      </c>
      <c r="B182" s="623">
        <v>15</v>
      </c>
      <c r="C182" s="623">
        <v>2016</v>
      </c>
      <c r="D182" s="623" t="s">
        <v>78</v>
      </c>
      <c r="E182" s="623" t="s">
        <v>220</v>
      </c>
      <c r="F182" s="623"/>
      <c r="G182" s="623" t="s">
        <v>20</v>
      </c>
      <c r="H182" s="623" t="s">
        <v>495</v>
      </c>
      <c r="I182" s="628">
        <v>10490</v>
      </c>
      <c r="J182" s="623"/>
      <c r="K182" s="625">
        <f>IF(G182="W",'US CBAs'!$F$19,0)</f>
        <v>1350</v>
      </c>
      <c r="L182" s="623">
        <v>20</v>
      </c>
      <c r="M182" s="626">
        <f>'US CBAs'!$F$12+IF(G182="W",'US CBAs'!$F$19,0)</f>
        <v>2700</v>
      </c>
      <c r="N182" s="623">
        <v>0</v>
      </c>
      <c r="O182" s="627">
        <f t="shared" si="9"/>
        <v>27000</v>
      </c>
      <c r="P182" s="626">
        <f>IF(J182="",I182*'US CBAs'!$G$55,0)</f>
        <v>12588</v>
      </c>
      <c r="Q182" s="627">
        <f t="shared" si="7"/>
        <v>39588</v>
      </c>
    </row>
    <row r="183" spans="1:17" x14ac:dyDescent="0.35">
      <c r="A183" s="623" t="s">
        <v>222</v>
      </c>
      <c r="B183" s="623">
        <v>18</v>
      </c>
      <c r="C183" s="623">
        <v>2016</v>
      </c>
      <c r="D183" s="623" t="s">
        <v>30</v>
      </c>
      <c r="E183" s="623" t="s">
        <v>220</v>
      </c>
      <c r="F183" s="623"/>
      <c r="G183" s="623" t="s">
        <v>20</v>
      </c>
      <c r="H183" s="623" t="s">
        <v>500</v>
      </c>
      <c r="I183" s="628">
        <v>15652</v>
      </c>
      <c r="J183" s="623"/>
      <c r="K183" s="625">
        <f>IF(G183="W",'US CBAs'!$F$19,0)</f>
        <v>1350</v>
      </c>
      <c r="L183" s="623">
        <v>20</v>
      </c>
      <c r="M183" s="626">
        <f>'US CBAs'!$F$12+IF(G183="W",'US CBAs'!$F$19,0)</f>
        <v>2700</v>
      </c>
      <c r="N183" s="623">
        <v>0</v>
      </c>
      <c r="O183" s="627">
        <f t="shared" si="9"/>
        <v>27000</v>
      </c>
      <c r="P183" s="626">
        <f>IF(J183="",I183*'US CBAs'!$G$55,0)</f>
        <v>18782.399999999998</v>
      </c>
      <c r="Q183" s="627">
        <f t="shared" si="7"/>
        <v>45782.399999999994</v>
      </c>
    </row>
    <row r="184" spans="1:17" x14ac:dyDescent="0.35">
      <c r="A184" s="623" t="s">
        <v>189</v>
      </c>
      <c r="B184" s="623">
        <v>19</v>
      </c>
      <c r="C184" s="623">
        <v>2016</v>
      </c>
      <c r="D184" s="623" t="s">
        <v>55</v>
      </c>
      <c r="E184" s="623" t="s">
        <v>220</v>
      </c>
      <c r="F184" s="623"/>
      <c r="G184" s="623" t="s">
        <v>20</v>
      </c>
      <c r="H184" s="623" t="s">
        <v>498</v>
      </c>
      <c r="I184" s="628">
        <v>14336</v>
      </c>
      <c r="J184" s="623"/>
      <c r="K184" s="625">
        <f>IF(G184="W",'US CBAs'!$F$19,0)</f>
        <v>1350</v>
      </c>
      <c r="L184" s="623">
        <v>16</v>
      </c>
      <c r="M184" s="626">
        <f>'US CBAs'!$F$12+IF(G184="W",'US CBAs'!$F$19,0)</f>
        <v>2700</v>
      </c>
      <c r="N184" s="623">
        <v>2</v>
      </c>
      <c r="O184" s="627">
        <f t="shared" si="9"/>
        <v>27000</v>
      </c>
      <c r="P184" s="626">
        <f>IF(J184="",I184*'US CBAs'!$G$55,0)</f>
        <v>17203.2</v>
      </c>
      <c r="Q184" s="627">
        <f t="shared" si="7"/>
        <v>44203.199999999997</v>
      </c>
    </row>
    <row r="185" spans="1:17" x14ac:dyDescent="0.35">
      <c r="A185" s="623" t="s">
        <v>189</v>
      </c>
      <c r="B185" s="623">
        <v>23</v>
      </c>
      <c r="C185" s="623">
        <v>2016</v>
      </c>
      <c r="D185" s="623" t="s">
        <v>55</v>
      </c>
      <c r="E185" s="623" t="s">
        <v>220</v>
      </c>
      <c r="F185" s="623"/>
      <c r="G185" s="623" t="s">
        <v>20</v>
      </c>
      <c r="H185" s="623" t="s">
        <v>506</v>
      </c>
      <c r="I185" s="628">
        <v>23400</v>
      </c>
      <c r="J185" s="623"/>
      <c r="K185" s="625">
        <f>IF(G185="W",'US CBAs'!$F$19,0)</f>
        <v>1350</v>
      </c>
      <c r="L185" s="623">
        <v>16</v>
      </c>
      <c r="M185" s="626">
        <f>'US CBAs'!$F$12+IF(G185="W",'US CBAs'!$F$19,0)</f>
        <v>2700</v>
      </c>
      <c r="N185" s="623">
        <v>2</v>
      </c>
      <c r="O185" s="627">
        <f t="shared" si="9"/>
        <v>27000</v>
      </c>
      <c r="P185" s="626">
        <f>IF(J185="",I185*'US CBAs'!$G$55,0)</f>
        <v>28080</v>
      </c>
      <c r="Q185" s="627">
        <f t="shared" si="7"/>
        <v>55080</v>
      </c>
    </row>
    <row r="186" spans="1:17" x14ac:dyDescent="0.35">
      <c r="A186" s="623" t="s">
        <v>190</v>
      </c>
      <c r="B186" s="623">
        <v>10</v>
      </c>
      <c r="C186" s="623">
        <v>2016</v>
      </c>
      <c r="D186" s="623" t="s">
        <v>81</v>
      </c>
      <c r="E186" s="623" t="s">
        <v>220</v>
      </c>
      <c r="F186" s="623"/>
      <c r="G186" s="623" t="s">
        <v>20</v>
      </c>
      <c r="H186" s="623" t="s">
        <v>481</v>
      </c>
      <c r="I186" s="628">
        <v>16425</v>
      </c>
      <c r="J186" s="623"/>
      <c r="K186" s="625">
        <f>IF(G186="W",'US CBAs'!$F$19,0)</f>
        <v>1350</v>
      </c>
      <c r="L186" s="623">
        <v>17</v>
      </c>
      <c r="M186" s="626">
        <f>'US CBAs'!$F$12+IF(G186="W",'US CBAs'!$F$19,0)</f>
        <v>2700</v>
      </c>
      <c r="N186" s="623">
        <v>1</v>
      </c>
      <c r="O186" s="627">
        <f t="shared" si="9"/>
        <v>25650</v>
      </c>
      <c r="P186" s="626">
        <f>IF(J186="",I186*'US CBAs'!$G$55,0)</f>
        <v>19710</v>
      </c>
      <c r="Q186" s="627">
        <f t="shared" si="7"/>
        <v>45360</v>
      </c>
    </row>
    <row r="187" spans="1:17" x14ac:dyDescent="0.35">
      <c r="A187" s="623" t="s">
        <v>190</v>
      </c>
      <c r="B187" s="623">
        <v>13</v>
      </c>
      <c r="C187" s="623">
        <v>2016</v>
      </c>
      <c r="D187" s="623" t="s">
        <v>81</v>
      </c>
      <c r="E187" s="623" t="s">
        <v>220</v>
      </c>
      <c r="F187" s="623"/>
      <c r="G187" s="623" t="s">
        <v>20</v>
      </c>
      <c r="H187" s="623" t="s">
        <v>481</v>
      </c>
      <c r="I187" s="628">
        <v>20336</v>
      </c>
      <c r="J187" s="623"/>
      <c r="K187" s="625">
        <f>IF(G187="W",'US CBAs'!$F$19,0)</f>
        <v>1350</v>
      </c>
      <c r="L187" s="623">
        <v>17</v>
      </c>
      <c r="M187" s="626">
        <f>'US CBAs'!$F$12+IF(G187="W",'US CBAs'!$F$19,0)</f>
        <v>2700</v>
      </c>
      <c r="N187" s="623">
        <v>1</v>
      </c>
      <c r="O187" s="627">
        <f t="shared" si="9"/>
        <v>25650</v>
      </c>
      <c r="P187" s="626">
        <f>IF(J187="",I187*'US CBAs'!$G$55,0)</f>
        <v>24403.200000000001</v>
      </c>
      <c r="Q187" s="627">
        <f t="shared" si="7"/>
        <v>50053.2</v>
      </c>
    </row>
    <row r="188" spans="1:17" x14ac:dyDescent="0.35">
      <c r="A188" s="647" t="s">
        <v>262</v>
      </c>
      <c r="B188" s="587">
        <v>28</v>
      </c>
      <c r="C188" s="593">
        <v>2016</v>
      </c>
      <c r="D188" s="593"/>
      <c r="E188" s="593"/>
      <c r="F188" s="593"/>
      <c r="G188" s="593"/>
      <c r="H188" s="656" t="s">
        <v>431</v>
      </c>
      <c r="I188" s="653"/>
      <c r="J188" s="654"/>
      <c r="K188" s="651">
        <f>'US CBAs'!$F$4</f>
        <v>72000</v>
      </c>
      <c r="L188" s="654">
        <v>18</v>
      </c>
      <c r="M188" s="652"/>
      <c r="N188" s="654"/>
      <c r="O188" s="657">
        <f t="shared" si="9"/>
        <v>1296000</v>
      </c>
      <c r="P188" s="652"/>
      <c r="Q188" s="657">
        <f t="shared" si="7"/>
        <v>1296000</v>
      </c>
    </row>
    <row r="189" spans="1:17" x14ac:dyDescent="0.35">
      <c r="A189" s="647" t="s">
        <v>262</v>
      </c>
      <c r="B189" s="587">
        <v>29</v>
      </c>
      <c r="C189" s="593">
        <v>2016</v>
      </c>
      <c r="D189" s="593"/>
      <c r="E189" s="593"/>
      <c r="F189" s="593"/>
      <c r="G189" s="593"/>
      <c r="H189" s="656" t="s">
        <v>432</v>
      </c>
      <c r="I189" s="653"/>
      <c r="J189" s="654"/>
      <c r="K189" s="651">
        <f>'US CBAs'!$F$5</f>
        <v>51000</v>
      </c>
      <c r="L189" s="654">
        <v>4</v>
      </c>
      <c r="M189" s="652"/>
      <c r="N189" s="654"/>
      <c r="O189" s="655">
        <f t="shared" si="9"/>
        <v>204000</v>
      </c>
      <c r="P189" s="652"/>
      <c r="Q189" s="655">
        <f t="shared" si="7"/>
        <v>204000</v>
      </c>
    </row>
    <row r="190" spans="1:17" x14ac:dyDescent="0.35">
      <c r="A190" s="647" t="s">
        <v>262</v>
      </c>
      <c r="B190" s="587">
        <v>30</v>
      </c>
      <c r="C190" s="593">
        <v>2016</v>
      </c>
      <c r="D190" s="593"/>
      <c r="E190" s="593"/>
      <c r="F190" s="593"/>
      <c r="G190" s="593"/>
      <c r="H190" s="656" t="s">
        <v>433</v>
      </c>
      <c r="I190" s="653"/>
      <c r="J190" s="654"/>
      <c r="K190" s="651">
        <f>'US CBAs'!$F$6</f>
        <v>36000</v>
      </c>
      <c r="L190" s="654">
        <v>2</v>
      </c>
      <c r="M190" s="652"/>
      <c r="N190" s="654"/>
      <c r="O190" s="655">
        <f t="shared" si="9"/>
        <v>72000</v>
      </c>
      <c r="P190" s="652"/>
      <c r="Q190" s="655">
        <f t="shared" si="7"/>
        <v>72000</v>
      </c>
    </row>
    <row r="191" spans="1:17" x14ac:dyDescent="0.35">
      <c r="A191" s="647" t="s">
        <v>262</v>
      </c>
      <c r="B191" s="587">
        <v>31</v>
      </c>
      <c r="C191" s="593">
        <v>2016</v>
      </c>
      <c r="D191" s="593"/>
      <c r="E191" s="593"/>
      <c r="F191" s="593"/>
      <c r="G191" s="593"/>
      <c r="H191" s="656" t="s">
        <v>434</v>
      </c>
      <c r="I191" s="653"/>
      <c r="J191" s="654"/>
      <c r="K191" s="659"/>
      <c r="L191" s="653"/>
      <c r="M191" s="652">
        <f>'US CBAs'!$F$8</f>
        <v>500</v>
      </c>
      <c r="N191" s="654">
        <v>20</v>
      </c>
      <c r="O191" s="655">
        <f>(M191*N191)</f>
        <v>10000</v>
      </c>
      <c r="P191" s="652"/>
      <c r="Q191" s="655">
        <f t="shared" si="7"/>
        <v>10000</v>
      </c>
    </row>
    <row r="192" spans="1:17" x14ac:dyDescent="0.35">
      <c r="A192" s="623" t="s">
        <v>221</v>
      </c>
      <c r="B192" s="623">
        <v>1</v>
      </c>
      <c r="C192" s="623">
        <v>2017</v>
      </c>
      <c r="D192" s="623" t="s">
        <v>27</v>
      </c>
      <c r="E192" s="623" t="s">
        <v>220</v>
      </c>
      <c r="F192" s="623" t="s">
        <v>28</v>
      </c>
      <c r="G192" s="623" t="s">
        <v>20</v>
      </c>
      <c r="H192" s="623" t="s">
        <v>484</v>
      </c>
      <c r="I192" s="628">
        <v>16318</v>
      </c>
      <c r="J192" s="623"/>
      <c r="K192" s="625">
        <f>IF(G192="L",0,
IF(AND(E192="Friendly",F192="T1",G192="W"),'US CBAs'!$J$19,
IF(AND(E192="Friendly",F192="T2",G192="W"),'US CBAs'!$J$20,
IF(AND(E192="Friendly",F192="",G192="W"),'US CBAs'!$J$21,
IF(AND(E192="Friendly",F192="T1",G192="D"),'US CBAs'!$J$22,
IF(AND(E192="Friendly",F192="",G192="D"),'US CBAs'!$J$23,
IF(AND(E192="WC qual",G192="W"),'US CBAs'!$J$27,
IF(AND(E192="WC qual",G192="D"),0,
IF(AND(E192="Oly qual",G192="W"),'US CBAs'!$J$27,
IF(AND(E192="Oly qual",G192="D"),0,
IF(E192="Olympics",0,
IF(E192="World Cup",'US CBAs'!$J$14,
0))))))))))))</f>
        <v>8500</v>
      </c>
      <c r="L192" s="623">
        <v>20</v>
      </c>
      <c r="M192" s="626">
        <f>$K192+'US CBAs'!$J$13</f>
        <v>12250</v>
      </c>
      <c r="N192" s="623">
        <v>3</v>
      </c>
      <c r="O192" s="627">
        <f t="shared" ref="O192:O223" si="10">(K192*L192)+(M192*N192)</f>
        <v>206750</v>
      </c>
      <c r="P192" s="644">
        <f>IF(J192="",I192*'US CBAs'!$K$55,0)</f>
        <v>24477</v>
      </c>
      <c r="Q192" s="627">
        <f t="shared" si="7"/>
        <v>231227</v>
      </c>
    </row>
    <row r="193" spans="1:17" x14ac:dyDescent="0.35">
      <c r="A193" s="623" t="s">
        <v>221</v>
      </c>
      <c r="B193" s="623">
        <v>4</v>
      </c>
      <c r="C193" s="623">
        <v>2017</v>
      </c>
      <c r="D193" s="623" t="s">
        <v>61</v>
      </c>
      <c r="E193" s="623" t="s">
        <v>220</v>
      </c>
      <c r="F193" s="623" t="s">
        <v>31</v>
      </c>
      <c r="G193" s="623" t="s">
        <v>33</v>
      </c>
      <c r="H193" s="623" t="s">
        <v>485</v>
      </c>
      <c r="I193" s="628">
        <v>26500</v>
      </c>
      <c r="J193" s="623"/>
      <c r="K193" s="625">
        <f>IF(G193="L",0,
IF(AND(E193="Friendly",F193="T1",G193="W"),'US CBAs'!$J$19,
IF(AND(E193="Friendly",F193="T2",G193="W"),'US CBAs'!$J$20,
IF(AND(E193="Friendly",F193="",G193="W"),'US CBAs'!$J$21,
IF(AND(E193="Friendly",F193="T1",G193="D"),'US CBAs'!$J$22,
IF(AND(E193="Friendly",F193="",G193="D"),'US CBAs'!$J$23,
IF(AND(E193="WC qual",G193="W"),'US CBAs'!$J$27,
IF(AND(E193="WC qual",G193="D"),0,
IF(AND(E193="Oly qual",G193="W"),'US CBAs'!$J$27,
IF(AND(E193="Oly qual",G193="D"),0,
IF(E193="Olympics",0,
IF(E193="World Cup",'US CBAs'!$J$14,
0))))))))))))</f>
        <v>0</v>
      </c>
      <c r="L193" s="623">
        <v>20</v>
      </c>
      <c r="M193" s="626">
        <f>$K193+'US CBAs'!$J$13</f>
        <v>3750</v>
      </c>
      <c r="N193" s="623">
        <v>3</v>
      </c>
      <c r="O193" s="627">
        <f t="shared" si="10"/>
        <v>11250</v>
      </c>
      <c r="P193" s="644">
        <f>IF(J193="",I193*'US CBAs'!$K$55,0)</f>
        <v>39750</v>
      </c>
      <c r="Q193" s="627">
        <f t="shared" si="7"/>
        <v>51000</v>
      </c>
    </row>
    <row r="194" spans="1:17" x14ac:dyDescent="0.35">
      <c r="A194" s="611" t="s">
        <v>221</v>
      </c>
      <c r="B194" s="612">
        <v>7</v>
      </c>
      <c r="C194" s="623">
        <v>2017</v>
      </c>
      <c r="D194" s="623" t="s">
        <v>53</v>
      </c>
      <c r="E194" s="623" t="s">
        <v>220</v>
      </c>
      <c r="F194" s="623" t="s">
        <v>28</v>
      </c>
      <c r="G194" s="623" t="s">
        <v>33</v>
      </c>
      <c r="H194" s="623" t="s">
        <v>491</v>
      </c>
      <c r="I194" s="628">
        <v>21638</v>
      </c>
      <c r="J194" s="623"/>
      <c r="K194" s="625">
        <f>IF(G194="L",0,
IF(AND(E194="Friendly",F194="T1",G194="W"),'US CBAs'!$J$19,
IF(AND(E194="Friendly",F194="T2",G194="W"),'US CBAs'!$J$20,
IF(AND(E194="Friendly",F194="",G194="W"),'US CBAs'!$J$21,
IF(AND(E194="Friendly",F194="T1",G194="D"),'US CBAs'!$J$22,
IF(AND(E194="Friendly",F194="",G194="D"),'US CBAs'!$J$23,
IF(AND(E194="WC qual",G194="W"),'US CBAs'!$J$27,
IF(AND(E194="WC qual",G194="D"),0,
IF(AND(E194="Oly qual",G194="W"),'US CBAs'!$J$27,
IF(AND(E194="Oly qual",G194="D"),0,
IF(E194="Olympics",0,
IF(E194="World Cup",'US CBAs'!$J$14,
0))))))))))))</f>
        <v>0</v>
      </c>
      <c r="L194" s="623">
        <v>20</v>
      </c>
      <c r="M194" s="626">
        <f>$K194+'US CBAs'!$J$13</f>
        <v>3750</v>
      </c>
      <c r="N194" s="623">
        <v>3</v>
      </c>
      <c r="O194" s="627">
        <f t="shared" si="10"/>
        <v>11250</v>
      </c>
      <c r="P194" s="644">
        <f>IF(J194="",I194*'US CBAs'!$K$55,0)</f>
        <v>32457</v>
      </c>
      <c r="Q194" s="627">
        <f t="shared" si="7"/>
        <v>43707</v>
      </c>
    </row>
    <row r="195" spans="1:17" x14ac:dyDescent="0.35">
      <c r="A195" s="611" t="s">
        <v>240</v>
      </c>
      <c r="B195" s="612">
        <v>6</v>
      </c>
      <c r="C195" s="623">
        <v>2017</v>
      </c>
      <c r="D195" s="623" t="s">
        <v>49</v>
      </c>
      <c r="E195" s="623" t="s">
        <v>220</v>
      </c>
      <c r="F195" s="623"/>
      <c r="G195" s="623" t="s">
        <v>20</v>
      </c>
      <c r="H195" s="623" t="s">
        <v>492</v>
      </c>
      <c r="I195" s="628">
        <v>15191</v>
      </c>
      <c r="J195" s="623"/>
      <c r="K195" s="625">
        <f>IF(G195="L",0,
IF(AND(E195="Friendly",F195="T1",G195="W"),'US CBAs'!$J$19,
IF(AND(E195="Friendly",F195="T2",G195="W"),'US CBAs'!$J$20,
IF(AND(E195="Friendly",F195="",G195="W"),'US CBAs'!$J$21,
IF(AND(E195="Friendly",F195="T1",G195="D"),'US CBAs'!$J$22,
IF(AND(E195="Friendly",F195="",G195="D"),'US CBAs'!$J$23,
IF(AND(E195="WC qual",G195="W"),'US CBAs'!$J$27,
IF(AND(E195="WC qual",G195="D"),0,
IF(AND(E195="Oly qual",G195="W"),'US CBAs'!$J$27,
IF(AND(E195="Oly qual",G195="D"),0,
IF(E195="Olympics",0,
IF(E195="World Cup",'US CBAs'!$J$14,
0))))))))))))</f>
        <v>5250</v>
      </c>
      <c r="L195" s="623">
        <v>16</v>
      </c>
      <c r="M195" s="626">
        <f>$K195+'US CBAs'!$J$13</f>
        <v>9000</v>
      </c>
      <c r="N195" s="623">
        <v>2</v>
      </c>
      <c r="O195" s="627">
        <f t="shared" si="10"/>
        <v>102000</v>
      </c>
      <c r="P195" s="644">
        <f>IF(J195="",I195*'US CBAs'!$K$55,0)</f>
        <v>22786.5</v>
      </c>
      <c r="Q195" s="627">
        <f t="shared" ref="Q195:Q257" si="11">O195+P195</f>
        <v>124786.5</v>
      </c>
    </row>
    <row r="196" spans="1:17" x14ac:dyDescent="0.35">
      <c r="A196" s="611" t="s">
        <v>240</v>
      </c>
      <c r="B196" s="612">
        <v>9</v>
      </c>
      <c r="C196" s="623">
        <v>2017</v>
      </c>
      <c r="D196" s="623" t="s">
        <v>49</v>
      </c>
      <c r="E196" s="623" t="s">
        <v>220</v>
      </c>
      <c r="F196" s="623"/>
      <c r="G196" s="623" t="s">
        <v>20</v>
      </c>
      <c r="H196" s="623" t="s">
        <v>492</v>
      </c>
      <c r="I196" s="628">
        <v>11347</v>
      </c>
      <c r="J196" s="623"/>
      <c r="K196" s="625">
        <f>IF(G196="L",0,
IF(AND(E196="Friendly",F196="T1",G196="W"),'US CBAs'!$J$19,
IF(AND(E196="Friendly",F196="T2",G196="W"),'US CBAs'!$J$20,
IF(AND(E196="Friendly",F196="",G196="W"),'US CBAs'!$J$21,
IF(AND(E196="Friendly",F196="T1",G196="D"),'US CBAs'!$J$22,
IF(AND(E196="Friendly",F196="",G196="D"),'US CBAs'!$J$23,
IF(AND(E196="WC qual",G196="W"),'US CBAs'!$J$27,
IF(AND(E196="WC qual",G196="D"),0,
IF(AND(E196="Oly qual",G196="W"),'US CBAs'!$J$27,
IF(AND(E196="Oly qual",G196="D"),0,
IF(E196="Olympics",0,
IF(E196="World Cup",'US CBAs'!$J$14,
0))))))))))))</f>
        <v>5250</v>
      </c>
      <c r="L196" s="623">
        <v>16</v>
      </c>
      <c r="M196" s="626">
        <f>$K196+'US CBAs'!$J$13</f>
        <v>9000</v>
      </c>
      <c r="N196" s="623">
        <v>2</v>
      </c>
      <c r="O196" s="627">
        <f t="shared" si="10"/>
        <v>102000</v>
      </c>
      <c r="P196" s="644">
        <f>IF(J196="",I196*'US CBAs'!$K$55,0)</f>
        <v>17020.5</v>
      </c>
      <c r="Q196" s="627">
        <f t="shared" si="11"/>
        <v>119020.5</v>
      </c>
    </row>
    <row r="197" spans="1:17" x14ac:dyDescent="0.35">
      <c r="A197" s="598" t="s">
        <v>223</v>
      </c>
      <c r="B197" s="599">
        <v>8</v>
      </c>
      <c r="C197" s="587">
        <v>2017</v>
      </c>
      <c r="D197" s="587" t="s">
        <v>26</v>
      </c>
      <c r="E197" s="587" t="s">
        <v>220</v>
      </c>
      <c r="F197" s="587"/>
      <c r="G197" s="587" t="s">
        <v>20</v>
      </c>
      <c r="H197" s="587" t="s">
        <v>26</v>
      </c>
      <c r="I197" s="636">
        <v>10011</v>
      </c>
      <c r="J197" s="587" t="s">
        <v>218</v>
      </c>
      <c r="K197" s="589">
        <f>IF(G197="L",0,
IF(AND(E197="Friendly",F197="T1",G197="W"),'US CBAs'!$J$19,
IF(AND(E197="Friendly",F197="T2",G197="W"),'US CBAs'!$J$20,
IF(AND(E197="Friendly",F197="",G197="W"),'US CBAs'!$J$21,
IF(AND(E197="Friendly",F197="T1",G197="D"),'US CBAs'!$J$22,
IF(AND(E197="Friendly",F197="",G197="D"),'US CBAs'!$J$23,
IF(AND(E197="WC qual",G197="W"),'US CBAs'!$J$27,
IF(AND(E197="WC qual",G197="D"),0,
IF(AND(E197="Oly qual",G197="W"),'US CBAs'!$J$27,
IF(AND(E197="Oly qual",G197="D"),0,
IF(E197="Olympics",0,
IF(E197="World Cup",'US CBAs'!$J$14,
0))))))))))))</f>
        <v>5250</v>
      </c>
      <c r="L197" s="587">
        <v>16</v>
      </c>
      <c r="M197" s="590">
        <f>$K197+'US CBAs'!$J$13</f>
        <v>9000</v>
      </c>
      <c r="N197" s="587">
        <v>2</v>
      </c>
      <c r="O197" s="627">
        <f t="shared" si="10"/>
        <v>102000</v>
      </c>
      <c r="P197" s="644">
        <f>IF(J197="",I197*'US CBAs'!$K$55,0)</f>
        <v>0</v>
      </c>
      <c r="Q197" s="627">
        <f t="shared" si="11"/>
        <v>102000</v>
      </c>
    </row>
    <row r="198" spans="1:17" x14ac:dyDescent="0.35">
      <c r="A198" s="587" t="s">
        <v>223</v>
      </c>
      <c r="B198" s="587">
        <v>11</v>
      </c>
      <c r="C198" s="587">
        <v>2017</v>
      </c>
      <c r="D198" s="587" t="s">
        <v>62</v>
      </c>
      <c r="E198" s="587" t="s">
        <v>220</v>
      </c>
      <c r="F198" s="587"/>
      <c r="G198" s="587" t="s">
        <v>20</v>
      </c>
      <c r="H198" s="587" t="s">
        <v>62</v>
      </c>
      <c r="I198" s="636">
        <v>3866</v>
      </c>
      <c r="J198" s="587" t="s">
        <v>218</v>
      </c>
      <c r="K198" s="589">
        <f>IF(G198="L",0,
IF(AND(E198="Friendly",F198="T1",G198="W"),'US CBAs'!$J$19,
IF(AND(E198="Friendly",F198="T2",G198="W"),'US CBAs'!$J$20,
IF(AND(E198="Friendly",F198="",G198="W"),'US CBAs'!$J$21,
IF(AND(E198="Friendly",F198="T1",G198="D"),'US CBAs'!$J$22,
IF(AND(E198="Friendly",F198="",G198="D"),'US CBAs'!$J$23,
IF(AND(E198="WC qual",G198="W"),'US CBAs'!$J$27,
IF(AND(E198="WC qual",G198="D"),0,
IF(AND(E198="Oly qual",G198="W"),'US CBAs'!$J$27,
IF(AND(E198="Oly qual",G198="D"),0,
IF(E198="Olympics",0,
IF(E198="World Cup",'US CBAs'!$J$14,
0))))))))))))</f>
        <v>5250</v>
      </c>
      <c r="L198" s="587">
        <v>16</v>
      </c>
      <c r="M198" s="590">
        <f>$K198+'US CBAs'!$J$13</f>
        <v>9000</v>
      </c>
      <c r="N198" s="587">
        <v>2</v>
      </c>
      <c r="O198" s="627">
        <f t="shared" si="10"/>
        <v>102000</v>
      </c>
      <c r="P198" s="644">
        <f>IF(J198="",I198*'US CBAs'!$K$55,0)</f>
        <v>0</v>
      </c>
      <c r="Q198" s="627">
        <f t="shared" si="11"/>
        <v>102000</v>
      </c>
    </row>
    <row r="199" spans="1:17" x14ac:dyDescent="0.35">
      <c r="A199" s="623" t="s">
        <v>230</v>
      </c>
      <c r="B199" s="623">
        <v>27</v>
      </c>
      <c r="C199" s="623">
        <v>2017</v>
      </c>
      <c r="D199" s="623" t="s">
        <v>37</v>
      </c>
      <c r="E199" s="623" t="s">
        <v>220</v>
      </c>
      <c r="F199" s="623" t="s">
        <v>31</v>
      </c>
      <c r="G199" s="623" t="s">
        <v>33</v>
      </c>
      <c r="H199" s="623" t="s">
        <v>497</v>
      </c>
      <c r="I199" s="628">
        <v>15748</v>
      </c>
      <c r="J199" s="623"/>
      <c r="K199" s="625">
        <f>IF(G199="L",0,
IF(AND(E199="Friendly",F199="T1",G199="W"),'US CBAs'!$J$19,
IF(AND(E199="Friendly",F199="T2",G199="W"),'US CBAs'!$J$20,
IF(AND(E199="Friendly",F199="",G199="W"),'US CBAs'!$J$21,
IF(AND(E199="Friendly",F199="T1",G199="D"),'US CBAs'!$J$22,
IF(AND(E199="Friendly",F199="",G199="D"),'US CBAs'!$J$23,
IF(AND(E199="WC qual",G199="W"),'US CBAs'!$J$27,
IF(AND(E199="WC qual",G199="D"),0,
IF(AND(E199="Oly qual",G199="W"),'US CBAs'!$J$27,
IF(AND(E199="Oly qual",G199="D"),0,
IF(E199="Olympics",0,
IF(E199="World Cup",'US CBAs'!$J$14,
0))))))))))))</f>
        <v>0</v>
      </c>
      <c r="L199" s="623">
        <v>17</v>
      </c>
      <c r="M199" s="626">
        <f>$K199+'US CBAs'!$J$13</f>
        <v>3750</v>
      </c>
      <c r="N199" s="623">
        <v>6</v>
      </c>
      <c r="O199" s="627">
        <f t="shared" si="10"/>
        <v>22500</v>
      </c>
      <c r="P199" s="644">
        <f>IF(J199="",I199*'US CBAs'!$K$55,0)</f>
        <v>23622</v>
      </c>
      <c r="Q199" s="627">
        <f t="shared" si="11"/>
        <v>46122</v>
      </c>
    </row>
    <row r="200" spans="1:17" x14ac:dyDescent="0.35">
      <c r="A200" s="623" t="s">
        <v>230</v>
      </c>
      <c r="B200" s="623">
        <v>30</v>
      </c>
      <c r="C200" s="623">
        <v>2017</v>
      </c>
      <c r="D200" s="623" t="s">
        <v>41</v>
      </c>
      <c r="E200" s="623" t="s">
        <v>220</v>
      </c>
      <c r="F200" s="623"/>
      <c r="G200" s="623" t="s">
        <v>20</v>
      </c>
      <c r="H200" s="623" t="s">
        <v>481</v>
      </c>
      <c r="I200" s="628">
        <v>21096</v>
      </c>
      <c r="J200" s="646"/>
      <c r="K200" s="625">
        <f>IF(G200="L",0,
IF(AND(E200="Friendly",F200="T1",G200="W"),'US CBAs'!$J$19,
IF(AND(E200="Friendly",F200="T2",G200="W"),'US CBAs'!$J$20,
IF(AND(E200="Friendly",F200="",G200="W"),'US CBAs'!$J$21,
IF(AND(E200="Friendly",F200="T1",G200="D"),'US CBAs'!$J$22,
IF(AND(E200="Friendly",F200="",G200="D"),'US CBAs'!$J$23,
IF(AND(E200="WC qual",G200="W"),'US CBAs'!$J$27,
IF(AND(E200="WC qual",G200="D"),0,
IF(AND(E200="Oly qual",G200="W"),'US CBAs'!$J$27,
IF(AND(E200="Oly qual",G200="D"),0,
IF(E200="Olympics",0,
IF(E200="World Cup",'US CBAs'!$J$14,
0))))))))))))</f>
        <v>5250</v>
      </c>
      <c r="L200" s="623">
        <v>17</v>
      </c>
      <c r="M200" s="626">
        <f>$K200+'US CBAs'!$J$13</f>
        <v>9000</v>
      </c>
      <c r="N200" s="623">
        <v>6</v>
      </c>
      <c r="O200" s="627">
        <f t="shared" si="10"/>
        <v>143250</v>
      </c>
      <c r="P200" s="644">
        <f>IF(J200="",I200*'US CBAs'!$K$55,0)</f>
        <v>31644</v>
      </c>
      <c r="Q200" s="627">
        <f t="shared" si="11"/>
        <v>174894</v>
      </c>
    </row>
    <row r="201" spans="1:17" x14ac:dyDescent="0.35">
      <c r="A201" s="623" t="s">
        <v>203</v>
      </c>
      <c r="B201" s="623">
        <v>3</v>
      </c>
      <c r="C201" s="623">
        <v>2017</v>
      </c>
      <c r="D201" s="623" t="s">
        <v>50</v>
      </c>
      <c r="E201" s="623" t="s">
        <v>220</v>
      </c>
      <c r="F201" s="623"/>
      <c r="G201" s="623" t="s">
        <v>20</v>
      </c>
      <c r="H201" s="623" t="s">
        <v>481</v>
      </c>
      <c r="I201" s="628">
        <v>23161</v>
      </c>
      <c r="J201" s="623"/>
      <c r="K201" s="625">
        <f>IF(G201="L",0,
IF(AND(E201="Friendly",F201="T1",G201="W"),'US CBAs'!$J$19,
IF(AND(E201="Friendly",F201="T2",G201="W"),'US CBAs'!$J$20,
IF(AND(E201="Friendly",F201="",G201="W"),'US CBAs'!$J$21,
IF(AND(E201="Friendly",F201="T1",G201="D"),'US CBAs'!$J$22,
IF(AND(E201="Friendly",F201="",G201="D"),'US CBAs'!$J$23,
IF(AND(E201="WC qual",G201="W"),'US CBAs'!$J$27,
IF(AND(E201="WC qual",G201="D"),0,
IF(AND(E201="Oly qual",G201="W"),'US CBAs'!$J$27,
IF(AND(E201="Oly qual",G201="D"),0,
IF(E201="Olympics",0,
IF(E201="World Cup",'US CBAs'!$J$14,
0))))))))))))</f>
        <v>5250</v>
      </c>
      <c r="L201" s="623">
        <v>17</v>
      </c>
      <c r="M201" s="626">
        <f>$K201+'US CBAs'!$J$13</f>
        <v>9000</v>
      </c>
      <c r="N201" s="623">
        <v>6</v>
      </c>
      <c r="O201" s="627">
        <f t="shared" si="10"/>
        <v>143250</v>
      </c>
      <c r="P201" s="644">
        <f>IF(J201="",I201*'US CBAs'!$K$55,0)</f>
        <v>34741.5</v>
      </c>
      <c r="Q201" s="627">
        <f t="shared" si="11"/>
        <v>177991.5</v>
      </c>
    </row>
    <row r="202" spans="1:17" x14ac:dyDescent="0.35">
      <c r="A202" s="623" t="s">
        <v>222</v>
      </c>
      <c r="B202" s="623">
        <v>15</v>
      </c>
      <c r="C202" s="623">
        <v>2017</v>
      </c>
      <c r="D202" s="623" t="s">
        <v>38</v>
      </c>
      <c r="E202" s="623" t="s">
        <v>220</v>
      </c>
      <c r="F202" s="623"/>
      <c r="G202" s="623" t="s">
        <v>20</v>
      </c>
      <c r="H202" s="623" t="s">
        <v>496</v>
      </c>
      <c r="I202" s="628">
        <v>17301</v>
      </c>
      <c r="J202" s="623"/>
      <c r="K202" s="625">
        <f>IF(G202="L",0,
IF(AND(E202="Friendly",F202="T1",G202="W"),'US CBAs'!$J$19,
IF(AND(E202="Friendly",F202="T2",G202="W"),'US CBAs'!$J$20,
IF(AND(E202="Friendly",F202="",G202="W"),'US CBAs'!$J$21,
IF(AND(E202="Friendly",F202="T1",G202="D"),'US CBAs'!$J$22,
IF(AND(E202="Friendly",F202="",G202="D"),'US CBAs'!$J$23,
IF(AND(E202="WC qual",G202="W"),'US CBAs'!$J$27,
IF(AND(E202="WC qual",G202="D"),0,
IF(AND(E202="Oly qual",G202="W"),'US CBAs'!$J$27,
IF(AND(E202="Oly qual",G202="D"),0,
IF(E202="Olympics",0,
IF(E202="World Cup",'US CBAs'!$J$14,
0))))))))))))</f>
        <v>5250</v>
      </c>
      <c r="L202" s="623">
        <v>14</v>
      </c>
      <c r="M202" s="626">
        <f>$K202+'US CBAs'!$J$13</f>
        <v>9000</v>
      </c>
      <c r="N202" s="623">
        <v>8</v>
      </c>
      <c r="O202" s="627">
        <f t="shared" si="10"/>
        <v>145500</v>
      </c>
      <c r="P202" s="644">
        <f>IF(J202="",I202*'US CBAs'!$K$55,0)</f>
        <v>25951.5</v>
      </c>
      <c r="Q202" s="627">
        <f t="shared" si="11"/>
        <v>171451.5</v>
      </c>
    </row>
    <row r="203" spans="1:17" x14ac:dyDescent="0.35">
      <c r="A203" s="623" t="s">
        <v>222</v>
      </c>
      <c r="B203" s="623">
        <v>19</v>
      </c>
      <c r="C203" s="623">
        <v>2017</v>
      </c>
      <c r="D203" s="623" t="s">
        <v>38</v>
      </c>
      <c r="E203" s="623" t="s">
        <v>220</v>
      </c>
      <c r="F203" s="623"/>
      <c r="G203" s="623" t="s">
        <v>20</v>
      </c>
      <c r="H203" s="623" t="s">
        <v>495</v>
      </c>
      <c r="I203" s="628">
        <v>30596</v>
      </c>
      <c r="J203" s="623"/>
      <c r="K203" s="625">
        <f>IF(G203="L",0,
IF(AND(E203="Friendly",F203="T1",G203="W"),'US CBAs'!$J$19,
IF(AND(E203="Friendly",F203="T2",G203="W"),'US CBAs'!$J$20,
IF(AND(E203="Friendly",F203="",G203="W"),'US CBAs'!$J$21,
IF(AND(E203="Friendly",F203="T1",G203="D"),'US CBAs'!$J$22,
IF(AND(E203="Friendly",F203="",G203="D"),'US CBAs'!$J$23,
IF(AND(E203="WC qual",G203="W"),'US CBAs'!$J$27,
IF(AND(E203="WC qual",G203="D"),0,
IF(AND(E203="Oly qual",G203="W"),'US CBAs'!$J$27,
IF(AND(E203="Oly qual",G203="D"),0,
IF(E203="Olympics",0,
IF(E203="World Cup",'US CBAs'!$J$14,
0))))))))))))</f>
        <v>5250</v>
      </c>
      <c r="L203" s="623">
        <v>14</v>
      </c>
      <c r="M203" s="626">
        <f>$K203+'US CBAs'!$J$13</f>
        <v>9000</v>
      </c>
      <c r="N203" s="623">
        <v>8</v>
      </c>
      <c r="O203" s="627">
        <f t="shared" si="10"/>
        <v>145500</v>
      </c>
      <c r="P203" s="644">
        <f>IF(J203="",I203*'US CBAs'!$K$55,0)</f>
        <v>45894</v>
      </c>
      <c r="Q203" s="627">
        <f t="shared" si="11"/>
        <v>191394</v>
      </c>
    </row>
    <row r="204" spans="1:17" x14ac:dyDescent="0.35">
      <c r="A204" s="623" t="s">
        <v>189</v>
      </c>
      <c r="B204" s="623">
        <v>19</v>
      </c>
      <c r="C204" s="623">
        <v>2017</v>
      </c>
      <c r="D204" s="623" t="s">
        <v>34</v>
      </c>
      <c r="E204" s="623" t="s">
        <v>220</v>
      </c>
      <c r="F204" s="623"/>
      <c r="G204" s="623" t="s">
        <v>20</v>
      </c>
      <c r="H204" s="623" t="s">
        <v>505</v>
      </c>
      <c r="I204" s="628">
        <v>9371</v>
      </c>
      <c r="J204" s="623"/>
      <c r="K204" s="625">
        <f>IF(G204="L",0,
IF(AND(E204="Friendly",F204="T1",G204="W"),'US CBAs'!$J$19,
IF(AND(E204="Friendly",F204="T2",G204="W"),'US CBAs'!$J$20,
IF(AND(E204="Friendly",F204="",G204="W"),'US CBAs'!$J$21,
IF(AND(E204="Friendly",F204="T1",G204="D"),'US CBAs'!$J$22,
IF(AND(E204="Friendly",F204="",G204="D"),'US CBAs'!$J$23,
IF(AND(E204="WC qual",G204="W"),'US CBAs'!$J$27,
IF(AND(E204="WC qual",G204="D"),0,
IF(AND(E204="Oly qual",G204="W"),'US CBAs'!$J$27,
IF(AND(E204="Oly qual",G204="D"),0,
IF(E204="Olympics",0,
IF(E204="World Cup",'US CBAs'!$J$14,
0))))))))))))</f>
        <v>5250</v>
      </c>
      <c r="L204" s="623">
        <v>14</v>
      </c>
      <c r="M204" s="626">
        <f>$K204+'US CBAs'!$J$13</f>
        <v>9000</v>
      </c>
      <c r="N204" s="623">
        <v>3</v>
      </c>
      <c r="O204" s="627">
        <f t="shared" si="10"/>
        <v>100500</v>
      </c>
      <c r="P204" s="644">
        <f>IF(J204="",I204*'US CBAs'!$K$55,0)</f>
        <v>14056.5</v>
      </c>
      <c r="Q204" s="627">
        <f t="shared" si="11"/>
        <v>114556.5</v>
      </c>
    </row>
    <row r="205" spans="1:17" x14ac:dyDescent="0.35">
      <c r="A205" s="623" t="s">
        <v>189</v>
      </c>
      <c r="B205" s="623">
        <v>22</v>
      </c>
      <c r="C205" s="623">
        <v>2017</v>
      </c>
      <c r="D205" s="623" t="s">
        <v>34</v>
      </c>
      <c r="E205" s="623" t="s">
        <v>220</v>
      </c>
      <c r="F205" s="623"/>
      <c r="G205" s="623" t="s">
        <v>20</v>
      </c>
      <c r="H205" s="623" t="s">
        <v>502</v>
      </c>
      <c r="I205" s="628">
        <v>9727</v>
      </c>
      <c r="J205" s="623"/>
      <c r="K205" s="625">
        <f>IF(G205="L",0,
IF(AND(E205="Friendly",F205="T1",G205="W"),'US CBAs'!$J$19,
IF(AND(E205="Friendly",F205="T2",G205="W"),'US CBAs'!$J$20,
IF(AND(E205="Friendly",F205="",G205="W"),'US CBAs'!$J$21,
IF(AND(E205="Friendly",F205="T1",G205="D"),'US CBAs'!$J$22,
IF(AND(E205="Friendly",F205="",G205="D"),'US CBAs'!$J$23,
IF(AND(E205="WC qual",G205="W"),'US CBAs'!$J$27,
IF(AND(E205="WC qual",G205="D"),0,
IF(AND(E205="Oly qual",G205="W"),'US CBAs'!$J$27,
IF(AND(E205="Oly qual",G205="D"),0,
IF(E205="Olympics",0,
IF(E205="World Cup",'US CBAs'!$J$14,
0))))))))))))</f>
        <v>5250</v>
      </c>
      <c r="L205" s="623">
        <v>14</v>
      </c>
      <c r="M205" s="626">
        <f>$K205+'US CBAs'!$J$13</f>
        <v>9000</v>
      </c>
      <c r="N205" s="623">
        <v>4</v>
      </c>
      <c r="O205" s="627">
        <f t="shared" si="10"/>
        <v>109500</v>
      </c>
      <c r="P205" s="644">
        <f>IF(J205="",I205*'US CBAs'!$K$55,0)</f>
        <v>14590.5</v>
      </c>
      <c r="Q205" s="627">
        <f t="shared" si="11"/>
        <v>124090.5</v>
      </c>
    </row>
    <row r="206" spans="1:17" x14ac:dyDescent="0.35">
      <c r="A206" s="587" t="s">
        <v>190</v>
      </c>
      <c r="B206" s="587">
        <v>9</v>
      </c>
      <c r="C206" s="593">
        <v>2017</v>
      </c>
      <c r="D206" s="593" t="s">
        <v>29</v>
      </c>
      <c r="E206" s="593" t="s">
        <v>220</v>
      </c>
      <c r="F206" s="593" t="s">
        <v>28</v>
      </c>
      <c r="G206" s="643" t="s">
        <v>83</v>
      </c>
      <c r="H206" s="593" t="s">
        <v>29</v>
      </c>
      <c r="I206" s="608">
        <v>28017</v>
      </c>
      <c r="J206" s="593" t="s">
        <v>218</v>
      </c>
      <c r="K206" s="589">
        <f>IF(G206="L",0,
IF(AND(E206="Friendly",F206="T1",G206="W"),'US CBAs'!$J$19,
IF(AND(E206="Friendly",F206="T2",G206="W"),'US CBAs'!$J$20,
IF(AND(E206="Friendly",F206="",G206="W"),'US CBAs'!$J$21,
IF(AND(E206="Friendly",F206="T1",G206="D"),'US CBAs'!$J$22,
IF(AND(E206="Friendly",F206="",G206="D"),'US CBAs'!$J$23,
IF(AND(E206="WC qual",G206="W"),'US CBAs'!$J$27,
IF(AND(E206="WC qual",G206="D"),0,
IF(AND(E206="Oly qual",G206="W"),'US CBAs'!$J$27,
IF(AND(E206="Oly qual",G206="D"),0,
IF(E206="Olympics",0,
IF(E206="World Cup",'US CBAs'!$J$14,
0))))))))))))</f>
        <v>1750</v>
      </c>
      <c r="L206" s="593">
        <v>15</v>
      </c>
      <c r="M206" s="590">
        <f>$K206+'US CBAs'!$J$13</f>
        <v>5500</v>
      </c>
      <c r="N206" s="593">
        <v>3</v>
      </c>
      <c r="O206" s="627">
        <f t="shared" si="10"/>
        <v>42750</v>
      </c>
      <c r="P206" s="644">
        <f>IF(J206="",I206*'US CBAs'!$K$55,0)</f>
        <v>0</v>
      </c>
      <c r="Q206" s="627">
        <f t="shared" si="11"/>
        <v>42750</v>
      </c>
    </row>
    <row r="207" spans="1:17" x14ac:dyDescent="0.35">
      <c r="A207" s="623" t="s">
        <v>190</v>
      </c>
      <c r="B207" s="623">
        <v>12</v>
      </c>
      <c r="C207" s="623">
        <v>2017</v>
      </c>
      <c r="D207" s="623" t="s">
        <v>29</v>
      </c>
      <c r="E207" s="623" t="s">
        <v>220</v>
      </c>
      <c r="F207" s="623" t="s">
        <v>28</v>
      </c>
      <c r="G207" s="623" t="s">
        <v>20</v>
      </c>
      <c r="H207" s="623" t="s">
        <v>481</v>
      </c>
      <c r="I207" s="628">
        <v>17960</v>
      </c>
      <c r="J207" s="623"/>
      <c r="K207" s="625">
        <f>IF(G207="L",0,
IF(AND(E207="Friendly",F207="T1",G207="W"),'US CBAs'!$J$19,
IF(AND(E207="Friendly",F207="T2",G207="W"),'US CBAs'!$J$20,
IF(AND(E207="Friendly",F207="",G207="W"),'US CBAs'!$J$21,
IF(AND(E207="Friendly",F207="T1",G207="D"),'US CBAs'!$J$22,
IF(AND(E207="Friendly",F207="",G207="D"),'US CBAs'!$J$23,
IF(AND(E207="WC qual",G207="W"),'US CBAs'!$J$27,
IF(AND(E207="WC qual",G207="D"),0,
IF(AND(E207="Oly qual",G207="W"),'US CBAs'!$J$27,
IF(AND(E207="Oly qual",G207="D"),0,
IF(E207="Olympics",0,
IF(E207="World Cup",'US CBAs'!$J$14,
0))))))))))))</f>
        <v>8500</v>
      </c>
      <c r="L207" s="623">
        <v>15</v>
      </c>
      <c r="M207" s="626">
        <f>$K207+'US CBAs'!$J$13</f>
        <v>12250</v>
      </c>
      <c r="N207" s="623">
        <v>3</v>
      </c>
      <c r="O207" s="627">
        <f t="shared" si="10"/>
        <v>164250</v>
      </c>
      <c r="P207" s="644">
        <f>IF(J207="",I207*'US CBAs'!$K$55,0)</f>
        <v>26940</v>
      </c>
      <c r="Q207" s="627">
        <f t="shared" si="11"/>
        <v>191190</v>
      </c>
    </row>
    <row r="208" spans="1:17" x14ac:dyDescent="0.35">
      <c r="A208" s="647" t="s">
        <v>262</v>
      </c>
      <c r="B208" s="587">
        <v>30</v>
      </c>
      <c r="C208" s="593">
        <v>2017</v>
      </c>
      <c r="D208" s="638"/>
      <c r="E208" s="638"/>
      <c r="F208" s="638"/>
      <c r="G208" s="638"/>
      <c r="H208" s="660" t="s">
        <v>0</v>
      </c>
      <c r="I208" s="640"/>
      <c r="J208" s="638"/>
      <c r="K208" s="651">
        <v>100000</v>
      </c>
      <c r="L208" s="661">
        <v>20</v>
      </c>
      <c r="M208" s="662"/>
      <c r="N208" s="639"/>
      <c r="O208" s="663">
        <f t="shared" si="10"/>
        <v>2000000</v>
      </c>
      <c r="P208" s="644"/>
      <c r="Q208" s="663">
        <f t="shared" si="11"/>
        <v>2000000</v>
      </c>
    </row>
    <row r="209" spans="1:17" x14ac:dyDescent="0.35">
      <c r="A209" s="647" t="s">
        <v>262</v>
      </c>
      <c r="B209" s="587">
        <v>31</v>
      </c>
      <c r="C209" s="593">
        <v>2017</v>
      </c>
      <c r="D209" s="638"/>
      <c r="E209" s="638"/>
      <c r="F209" s="638"/>
      <c r="G209" s="638"/>
      <c r="H209" s="660" t="s">
        <v>435</v>
      </c>
      <c r="I209" s="640"/>
      <c r="J209" s="638"/>
      <c r="K209" s="664">
        <f>IF(G209="L",0,
IF(AND(E209="Friendly",F209="T1",G209="W"),'US CBAs'!$J$19,
IF(AND(E209="Friendly",F209="T2",G209="W"),'US CBAs'!$J$20,
IF(AND(E209="Friendly",F209="",G209="W"),'US CBAs'!$J$21,
IF(AND(E209="Friendly",F209="T1",G209="D"),'US CBAs'!$J$22,
IF(AND(E209="Friendly",F209="",G209="D"),'US CBAs'!$J$23,
IF(AND(E209="WC qual",G209="W"),'US CBAs'!$J$27,
IF(AND(E209="WC qual",G209="D"),0,
IF(AND(E209="Oly qual",G209="W"),'US CBAs'!$J$27,
IF(AND(E209="Oly qual",G209="D"),0,
IF(E209="Olympics",0,
IF(E209="World Cup",'US CBAs'!$J$14,
0))))))))))))</f>
        <v>0</v>
      </c>
      <c r="L209" s="638"/>
      <c r="M209" s="652">
        <f>$K209+'US CBAs'!$J$13</f>
        <v>3750</v>
      </c>
      <c r="N209" s="665">
        <v>20</v>
      </c>
      <c r="O209" s="663">
        <f t="shared" si="10"/>
        <v>75000</v>
      </c>
      <c r="P209" s="666"/>
      <c r="Q209" s="663">
        <f t="shared" si="11"/>
        <v>75000</v>
      </c>
    </row>
    <row r="210" spans="1:17" x14ac:dyDescent="0.35">
      <c r="A210" s="623" t="s">
        <v>191</v>
      </c>
      <c r="B210" s="623">
        <v>21</v>
      </c>
      <c r="C210" s="623">
        <v>2018</v>
      </c>
      <c r="D210" s="623" t="s">
        <v>51</v>
      </c>
      <c r="E210" s="623" t="s">
        <v>220</v>
      </c>
      <c r="F210" s="623"/>
      <c r="G210" s="623" t="s">
        <v>20</v>
      </c>
      <c r="H210" s="623" t="s">
        <v>481</v>
      </c>
      <c r="I210" s="628">
        <v>17526</v>
      </c>
      <c r="J210" s="623"/>
      <c r="K210" s="625">
        <f>IF(G210="L",0,
IF(AND(E210="Friendly",F210="T1",G210="W"),'US CBAs'!$J$19,
IF(AND(E210="Friendly",F210="T2",G210="W"),'US CBAs'!$J$20,
IF(AND(E210="Friendly",F210="",G210="W"),'US CBAs'!$J$21,
IF(AND(E210="Friendly",F210="T1",G210="D"),'US CBAs'!$J$22,
IF(AND(E210="Friendly",F210="",G210="D"),'US CBAs'!$J$23,
IF(AND(E210="WC qual",G210="W"),'US CBAs'!$J$27,
IF(AND(E210="WC qual",G210="D"),0,
IF(AND(E210="Oly qual",G210="W"),'US CBAs'!$J$27,
IF(AND(E210="Oly qual",G210="D"),0,
IF(E210="Olympics",0,
IF(E210="World Cup",'US CBAs'!$J$14,
0))))))))))))</f>
        <v>5250</v>
      </c>
      <c r="L210" s="623">
        <v>14</v>
      </c>
      <c r="M210" s="626">
        <f>$K210+'US CBAs'!$J$13</f>
        <v>9000</v>
      </c>
      <c r="N210" s="623">
        <v>3</v>
      </c>
      <c r="O210" s="627">
        <f t="shared" si="10"/>
        <v>100500</v>
      </c>
      <c r="P210" s="626">
        <f>IF(J210="",I210*'US CBAs'!$K$55,0)</f>
        <v>26289</v>
      </c>
      <c r="Q210" s="627">
        <f t="shared" si="11"/>
        <v>126789</v>
      </c>
    </row>
    <row r="211" spans="1:17" x14ac:dyDescent="0.35">
      <c r="A211" s="623" t="s">
        <v>221</v>
      </c>
      <c r="B211" s="623">
        <v>1</v>
      </c>
      <c r="C211" s="623">
        <v>2018</v>
      </c>
      <c r="D211" s="623" t="s">
        <v>27</v>
      </c>
      <c r="E211" s="623" t="s">
        <v>220</v>
      </c>
      <c r="F211" s="623" t="s">
        <v>28</v>
      </c>
      <c r="G211" s="623" t="s">
        <v>20</v>
      </c>
      <c r="H211" s="623" t="s">
        <v>495</v>
      </c>
      <c r="I211" s="628">
        <v>14591</v>
      </c>
      <c r="J211" s="623"/>
      <c r="K211" s="625">
        <f>IF(G211="L",0,
IF(AND(E211="Friendly",F211="T1",G211="W"),'US CBAs'!$J$19,
IF(AND(E211="Friendly",F211="T2",G211="W"),'US CBAs'!$J$20,
IF(AND(E211="Friendly",F211="",G211="W"),'US CBAs'!$J$21,
IF(AND(E211="Friendly",F211="T1",G211="D"),'US CBAs'!$J$22,
IF(AND(E211="Friendly",F211="",G211="D"),'US CBAs'!$J$23,
IF(AND(E211="WC qual",G211="W"),'US CBAs'!$J$27,
IF(AND(E211="WC qual",G211="D"),0,
IF(AND(E211="Oly qual",G211="W"),'US CBAs'!$J$27,
IF(AND(E211="Oly qual",G211="D"),0,
IF(E211="Olympics",0,
IF(E211="World Cup",'US CBAs'!$J$14,
0))))))))))))</f>
        <v>8500</v>
      </c>
      <c r="L211" s="623">
        <v>16</v>
      </c>
      <c r="M211" s="626">
        <f>$K211+'US CBAs'!$J$13</f>
        <v>12250</v>
      </c>
      <c r="N211" s="623">
        <v>6</v>
      </c>
      <c r="O211" s="627">
        <f t="shared" si="10"/>
        <v>209500</v>
      </c>
      <c r="P211" s="626">
        <f>IF(J211="",I211*'US CBAs'!$K$55,0)</f>
        <v>21886.5</v>
      </c>
      <c r="Q211" s="627">
        <f t="shared" si="11"/>
        <v>231386.5</v>
      </c>
    </row>
    <row r="212" spans="1:17" x14ac:dyDescent="0.35">
      <c r="A212" s="623" t="s">
        <v>221</v>
      </c>
      <c r="B212" s="623">
        <v>4</v>
      </c>
      <c r="C212" s="623">
        <v>2018</v>
      </c>
      <c r="D212" s="623" t="s">
        <v>53</v>
      </c>
      <c r="E212" s="623" t="s">
        <v>220</v>
      </c>
      <c r="F212" s="623" t="s">
        <v>31</v>
      </c>
      <c r="G212" s="623" t="s">
        <v>83</v>
      </c>
      <c r="H212" s="623" t="s">
        <v>485</v>
      </c>
      <c r="I212" s="628">
        <v>25706</v>
      </c>
      <c r="J212" s="623"/>
      <c r="K212" s="625">
        <f>IF(G212="L",0,
IF(AND(E212="Friendly",F212="T1",G212="W"),'US CBAs'!$J$19,
IF(AND(E212="Friendly",F212="T2",G212="W"),'US CBAs'!$J$20,
IF(AND(E212="Friendly",F212="",G212="W"),'US CBAs'!$J$21,
IF(AND(E212="Friendly",F212="T1",G212="D"),'US CBAs'!$J$22,
IF(AND(E212="Friendly",F212="",G212="D"),'US CBAs'!$J$23,
IF(AND(E212="WC qual",G212="W"),'US CBAs'!$J$27,
IF(AND(E212="WC qual",G212="D"),0,
IF(AND(E212="Oly qual",G212="W"),'US CBAs'!$J$27,
IF(AND(E212="Oly qual",G212="D"),0,
IF(E212="Olympics",0,
IF(E212="World Cup",'US CBAs'!$J$14,
0))))))))))))</f>
        <v>0</v>
      </c>
      <c r="L212" s="623">
        <v>16</v>
      </c>
      <c r="M212" s="626">
        <f>$K212+'US CBAs'!$J$13</f>
        <v>3750</v>
      </c>
      <c r="N212" s="623">
        <v>6</v>
      </c>
      <c r="O212" s="627">
        <f t="shared" si="10"/>
        <v>22500</v>
      </c>
      <c r="P212" s="626">
        <f>IF(J212="",I212*'US CBAs'!$K$55,0)</f>
        <v>38559</v>
      </c>
      <c r="Q212" s="627">
        <f t="shared" si="11"/>
        <v>61059</v>
      </c>
    </row>
    <row r="213" spans="1:17" x14ac:dyDescent="0.35">
      <c r="A213" s="623" t="s">
        <v>221</v>
      </c>
      <c r="B213" s="623">
        <v>7</v>
      </c>
      <c r="C213" s="623">
        <v>2018</v>
      </c>
      <c r="D213" s="623" t="s">
        <v>61</v>
      </c>
      <c r="E213" s="623" t="s">
        <v>220</v>
      </c>
      <c r="F213" s="623" t="s">
        <v>28</v>
      </c>
      <c r="G213" s="623" t="s">
        <v>20</v>
      </c>
      <c r="H213" s="623" t="s">
        <v>482</v>
      </c>
      <c r="I213" s="628">
        <v>12351</v>
      </c>
      <c r="J213" s="623"/>
      <c r="K213" s="625">
        <f>IF(G213="L",0,
IF(AND(E213="Friendly",F213="T1",G213="W"),'US CBAs'!$J$19,
IF(AND(E213="Friendly",F213="T2",G213="W"),'US CBAs'!$J$20,
IF(AND(E213="Friendly",F213="",G213="W"),'US CBAs'!$J$21,
IF(AND(E213="Friendly",F213="T1",G213="D"),'US CBAs'!$J$22,
IF(AND(E213="Friendly",F213="",G213="D"),'US CBAs'!$J$23,
IF(AND(E213="WC qual",G213="W"),'US CBAs'!$J$27,
IF(AND(E213="WC qual",G213="D"),0,
IF(AND(E213="Oly qual",G213="W"),'US CBAs'!$J$27,
IF(AND(E213="Oly qual",G213="D"),0,
IF(E213="Olympics",0,
IF(E213="World Cup",'US CBAs'!$J$14,
0))))))))))))</f>
        <v>8500</v>
      </c>
      <c r="L213" s="623">
        <v>16</v>
      </c>
      <c r="M213" s="626">
        <f>$K213+'US CBAs'!$J$13</f>
        <v>12250</v>
      </c>
      <c r="N213" s="623">
        <v>6</v>
      </c>
      <c r="O213" s="627">
        <f t="shared" si="10"/>
        <v>209500</v>
      </c>
      <c r="P213" s="626">
        <f>IF(J213="",I213*'US CBAs'!$K$55,0)</f>
        <v>18526.5</v>
      </c>
      <c r="Q213" s="627">
        <f t="shared" si="11"/>
        <v>228026.5</v>
      </c>
    </row>
    <row r="214" spans="1:17" x14ac:dyDescent="0.35">
      <c r="A214" s="623" t="s">
        <v>240</v>
      </c>
      <c r="B214" s="623">
        <v>5</v>
      </c>
      <c r="C214" s="623">
        <v>2018</v>
      </c>
      <c r="D214" s="623" t="s">
        <v>35</v>
      </c>
      <c r="E214" s="623" t="s">
        <v>220</v>
      </c>
      <c r="F214" s="623"/>
      <c r="G214" s="623" t="s">
        <v>20</v>
      </c>
      <c r="H214" s="623" t="s">
        <v>482</v>
      </c>
      <c r="I214" s="628">
        <v>14360</v>
      </c>
      <c r="J214" s="623"/>
      <c r="K214" s="625">
        <f>IF(G214="L",0,
IF(AND(E214="Friendly",F214="T1",G214="W"),'US CBAs'!$J$19,
IF(AND(E214="Friendly",F214="T2",G214="W"),'US CBAs'!$J$20,
IF(AND(E214="Friendly",F214="",G214="W"),'US CBAs'!$J$21,
IF(AND(E214="Friendly",F214="T1",G214="D"),'US CBAs'!$J$22,
IF(AND(E214="Friendly",F214="",G214="D"),'US CBAs'!$J$23,
IF(AND(E214="WC qual",G214="W"),'US CBAs'!$J$27,
IF(AND(E214="WC qual",G214="D"),0,
IF(AND(E214="Oly qual",G214="W"),'US CBAs'!$J$27,
IF(AND(E214="Oly qual",G214="D"),0,
IF(E214="Olympics",0,
IF(E214="World Cup",'US CBAs'!$J$14,
0))))))))))))</f>
        <v>5250</v>
      </c>
      <c r="L214" s="623">
        <v>15</v>
      </c>
      <c r="M214" s="626">
        <f>$K214+'US CBAs'!$J$13</f>
        <v>9000</v>
      </c>
      <c r="N214" s="623">
        <v>6</v>
      </c>
      <c r="O214" s="627">
        <f t="shared" si="10"/>
        <v>132750</v>
      </c>
      <c r="P214" s="626">
        <f>IF(J214="",I214*'US CBAs'!$K$55,0)</f>
        <v>21540</v>
      </c>
      <c r="Q214" s="627">
        <f t="shared" si="11"/>
        <v>154290</v>
      </c>
    </row>
    <row r="215" spans="1:17" x14ac:dyDescent="0.35">
      <c r="A215" s="623" t="s">
        <v>240</v>
      </c>
      <c r="B215" s="623">
        <v>8</v>
      </c>
      <c r="C215" s="623">
        <v>2018</v>
      </c>
      <c r="D215" s="623" t="s">
        <v>35</v>
      </c>
      <c r="E215" s="623" t="s">
        <v>220</v>
      </c>
      <c r="F215" s="623"/>
      <c r="G215" s="623" t="s">
        <v>20</v>
      </c>
      <c r="H215" s="623" t="s">
        <v>492</v>
      </c>
      <c r="I215" s="628">
        <v>15349</v>
      </c>
      <c r="J215" s="623"/>
      <c r="K215" s="625">
        <f>IF(G215="L",0,
IF(AND(E215="Friendly",F215="T1",G215="W"),'US CBAs'!$J$19,
IF(AND(E215="Friendly",F215="T2",G215="W"),'US CBAs'!$J$20,
IF(AND(E215="Friendly",F215="",G215="W"),'US CBAs'!$J$21,
IF(AND(E215="Friendly",F215="T1",G215="D"),'US CBAs'!$J$22,
IF(AND(E215="Friendly",F215="",G215="D"),'US CBAs'!$J$23,
IF(AND(E215="WC qual",G215="W"),'US CBAs'!$J$27,
IF(AND(E215="WC qual",G215="D"),0,
IF(AND(E215="Oly qual",G215="W"),'US CBAs'!$J$27,
IF(AND(E215="Oly qual",G215="D"),0,
IF(E215="Olympics",0,
IF(E215="World Cup",'US CBAs'!$J$14,
0))))))))))))</f>
        <v>5250</v>
      </c>
      <c r="L215" s="623">
        <v>15</v>
      </c>
      <c r="M215" s="626">
        <f>$K215+'US CBAs'!$J$13</f>
        <v>9000</v>
      </c>
      <c r="N215" s="623">
        <v>6</v>
      </c>
      <c r="O215" s="627">
        <f t="shared" si="10"/>
        <v>132750</v>
      </c>
      <c r="P215" s="626">
        <f>IF(J215="",I215*'US CBAs'!$K$55,0)</f>
        <v>23023.5</v>
      </c>
      <c r="Q215" s="627">
        <f t="shared" si="11"/>
        <v>155773.5</v>
      </c>
    </row>
    <row r="216" spans="1:17" x14ac:dyDescent="0.35">
      <c r="A216" s="623" t="s">
        <v>223</v>
      </c>
      <c r="B216" s="623">
        <v>7</v>
      </c>
      <c r="C216" s="623">
        <v>2018</v>
      </c>
      <c r="D216" s="623" t="s">
        <v>25</v>
      </c>
      <c r="E216" s="623" t="s">
        <v>220</v>
      </c>
      <c r="F216" s="623"/>
      <c r="G216" s="623" t="s">
        <v>20</v>
      </c>
      <c r="H216" s="623" t="s">
        <v>498</v>
      </c>
      <c r="I216" s="628">
        <v>13230</v>
      </c>
      <c r="J216" s="623"/>
      <c r="K216" s="625">
        <f>IF(G216="L",0,
IF(AND(E216="Friendly",F216="T1",G216="W"),'US CBAs'!$J$19,
IF(AND(E216="Friendly",F216="T2",G216="W"),'US CBAs'!$J$20,
IF(AND(E216="Friendly",F216="",G216="W"),'US CBAs'!$J$21,
IF(AND(E216="Friendly",F216="T1",G216="D"),'US CBAs'!$J$22,
IF(AND(E216="Friendly",F216="",G216="D"),'US CBAs'!$J$23,
IF(AND(E216="WC qual",G216="W"),'US CBAs'!$J$27,
IF(AND(E216="WC qual",G216="D"),0,
IF(AND(E216="Oly qual",G216="W"),'US CBAs'!$J$27,
IF(AND(E216="Oly qual",G216="D"),0,
IF(E216="Olympics",0,
IF(E216="World Cup",'US CBAs'!$J$14,
0))))))))))))</f>
        <v>5250</v>
      </c>
      <c r="L216" s="623">
        <v>13</v>
      </c>
      <c r="M216" s="626">
        <f>$K216+'US CBAs'!$J$13</f>
        <v>9000</v>
      </c>
      <c r="N216" s="623">
        <v>9</v>
      </c>
      <c r="O216" s="627">
        <f t="shared" si="10"/>
        <v>149250</v>
      </c>
      <c r="P216" s="626">
        <f>IF(J216="",I216*'US CBAs'!$K$55,0)</f>
        <v>19845</v>
      </c>
      <c r="Q216" s="627">
        <f t="shared" si="11"/>
        <v>169095</v>
      </c>
    </row>
    <row r="217" spans="1:17" x14ac:dyDescent="0.35">
      <c r="A217" s="623" t="s">
        <v>223</v>
      </c>
      <c r="B217" s="623">
        <v>12</v>
      </c>
      <c r="C217" s="623">
        <v>2018</v>
      </c>
      <c r="D217" s="623" t="s">
        <v>25</v>
      </c>
      <c r="E217" s="623" t="s">
        <v>220</v>
      </c>
      <c r="F217" s="623"/>
      <c r="G217" s="623" t="s">
        <v>20</v>
      </c>
      <c r="H217" s="623" t="s">
        <v>495</v>
      </c>
      <c r="I217" s="628">
        <v>12335</v>
      </c>
      <c r="J217" s="623"/>
      <c r="K217" s="625">
        <f>IF(G217="L",0,
IF(AND(E217="Friendly",F217="T1",G217="W"),'US CBAs'!$J$19,
IF(AND(E217="Friendly",F217="T2",G217="W"),'US CBAs'!$J$20,
IF(AND(E217="Friendly",F217="",G217="W"),'US CBAs'!$J$21,
IF(AND(E217="Friendly",F217="T1",G217="D"),'US CBAs'!$J$22,
IF(AND(E217="Friendly",F217="",G217="D"),'US CBAs'!$J$23,
IF(AND(E217="WC qual",G217="W"),'US CBAs'!$J$27,
IF(AND(E217="WC qual",G217="D"),0,
IF(AND(E217="Oly qual",G217="W"),'US CBAs'!$J$27,
IF(AND(E217="Oly qual",G217="D"),0,
IF(E217="Olympics",0,
IF(E217="World Cup",'US CBAs'!$J$14,
0))))))))))))</f>
        <v>5250</v>
      </c>
      <c r="L217" s="623">
        <v>13</v>
      </c>
      <c r="M217" s="626">
        <f>$K217+'US CBAs'!$J$13</f>
        <v>9000</v>
      </c>
      <c r="N217" s="623">
        <v>9</v>
      </c>
      <c r="O217" s="627">
        <f t="shared" si="10"/>
        <v>149250</v>
      </c>
      <c r="P217" s="626">
        <f>IF(J217="",I217*'US CBAs'!$K$55,0)</f>
        <v>18502.5</v>
      </c>
      <c r="Q217" s="627">
        <f t="shared" si="11"/>
        <v>167752.5</v>
      </c>
    </row>
    <row r="218" spans="1:17" x14ac:dyDescent="0.35">
      <c r="A218" s="623" t="s">
        <v>230</v>
      </c>
      <c r="B218" s="623">
        <v>26</v>
      </c>
      <c r="C218" s="623">
        <v>2018</v>
      </c>
      <c r="D218" s="623" t="s">
        <v>50</v>
      </c>
      <c r="E218" s="623" t="s">
        <v>220</v>
      </c>
      <c r="F218" s="623"/>
      <c r="G218" s="623" t="s">
        <v>20</v>
      </c>
      <c r="H218" s="623" t="s">
        <v>504</v>
      </c>
      <c r="I218" s="628">
        <v>18467</v>
      </c>
      <c r="J218" s="623"/>
      <c r="K218" s="625">
        <f>IF(G218="L",0,
IF(AND(E218="Friendly",F218="T1",G218="W"),'US CBAs'!$J$19,
IF(AND(E218="Friendly",F218="T2",G218="W"),'US CBAs'!$J$20,
IF(AND(E218="Friendly",F218="",G218="W"),'US CBAs'!$J$21,
IF(AND(E218="Friendly",F218="T1",G218="D"),'US CBAs'!$J$22,
IF(AND(E218="Friendly",F218="",G218="D"),'US CBAs'!$J$23,
IF(AND(E218="WC qual",G218="W"),'US CBAs'!$J$27,
IF(AND(E218="WC qual",G218="D"),0,
IF(AND(E218="Oly qual",G218="W"),'US CBAs'!$J$27,
IF(AND(E218="Oly qual",G218="D"),0,
IF(E218="Olympics",0,
IF(E218="World Cup",'US CBAs'!$J$14,
0))))))))))))</f>
        <v>5250</v>
      </c>
      <c r="L218" s="623">
        <v>17</v>
      </c>
      <c r="M218" s="626">
        <f>$K218+'US CBAs'!$J$13</f>
        <v>9000</v>
      </c>
      <c r="N218" s="623">
        <v>5</v>
      </c>
      <c r="O218" s="627">
        <f t="shared" si="10"/>
        <v>134250</v>
      </c>
      <c r="P218" s="626">
        <f>IF(J218="",I218*'US CBAs'!$K$55,0)</f>
        <v>27700.5</v>
      </c>
      <c r="Q218" s="627">
        <f t="shared" si="11"/>
        <v>161950.5</v>
      </c>
    </row>
    <row r="219" spans="1:17" x14ac:dyDescent="0.35">
      <c r="A219" s="623" t="s">
        <v>230</v>
      </c>
      <c r="B219" s="623">
        <v>29</v>
      </c>
      <c r="C219" s="623">
        <v>2018</v>
      </c>
      <c r="D219" s="623" t="s">
        <v>37</v>
      </c>
      <c r="E219" s="623" t="s">
        <v>220</v>
      </c>
      <c r="F219" s="623" t="s">
        <v>31</v>
      </c>
      <c r="G219" s="623" t="s">
        <v>83</v>
      </c>
      <c r="H219" s="623" t="s">
        <v>483</v>
      </c>
      <c r="I219" s="628">
        <v>21570</v>
      </c>
      <c r="J219" s="623"/>
      <c r="K219" s="625">
        <f>IF(G219="L",0,
IF(AND(E219="Friendly",F219="T1",G219="W"),'US CBAs'!$J$19,
IF(AND(E219="Friendly",F219="T2",G219="W"),'US CBAs'!$J$20,
IF(AND(E219="Friendly",F219="",G219="W"),'US CBAs'!$J$21,
IF(AND(E219="Friendly",F219="T1",G219="D"),'US CBAs'!$J$22,
IF(AND(E219="Friendly",F219="",G219="D"),'US CBAs'!$J$23,
IF(AND(E219="WC qual",G219="W"),'US CBAs'!$J$27,
IF(AND(E219="WC qual",G219="D"),0,
IF(AND(E219="Oly qual",G219="W"),'US CBAs'!$J$27,
IF(AND(E219="Oly qual",G219="D"),0,
IF(E219="Olympics",0,
IF(E219="World Cup",'US CBAs'!$J$14,
0))))))))))))</f>
        <v>0</v>
      </c>
      <c r="L219" s="623">
        <v>17</v>
      </c>
      <c r="M219" s="626">
        <f>$K219+'US CBAs'!$J$13</f>
        <v>3750</v>
      </c>
      <c r="N219" s="623">
        <v>5</v>
      </c>
      <c r="O219" s="627">
        <f t="shared" si="10"/>
        <v>18750</v>
      </c>
      <c r="P219" s="626">
        <f>IF(J219="",I219*'US CBAs'!$K$55,0)</f>
        <v>32355</v>
      </c>
      <c r="Q219" s="627">
        <f t="shared" si="11"/>
        <v>51105</v>
      </c>
    </row>
    <row r="220" spans="1:17" x14ac:dyDescent="0.35">
      <c r="A220" s="623" t="s">
        <v>203</v>
      </c>
      <c r="B220" s="623">
        <v>2</v>
      </c>
      <c r="C220" s="623">
        <v>2018</v>
      </c>
      <c r="D220" s="623" t="s">
        <v>41</v>
      </c>
      <c r="E220" s="623" t="s">
        <v>220</v>
      </c>
      <c r="F220" s="623" t="s">
        <v>31</v>
      </c>
      <c r="G220" s="623" t="s">
        <v>20</v>
      </c>
      <c r="H220" s="623" t="s">
        <v>487</v>
      </c>
      <c r="I220" s="628">
        <v>18309</v>
      </c>
      <c r="J220" s="623"/>
      <c r="K220" s="625">
        <f>IF(G220="L",0,
IF(AND(E220="Friendly",F220="T1",G220="W"),'US CBAs'!$J$19,
IF(AND(E220="Friendly",F220="T2",G220="W"),'US CBAs'!$J$20,
IF(AND(E220="Friendly",F220="",G220="W"),'US CBAs'!$J$21,
IF(AND(E220="Friendly",F220="T1",G220="D"),'US CBAs'!$J$22,
IF(AND(E220="Friendly",F220="",G220="D"),'US CBAs'!$J$23,
IF(AND(E220="WC qual",G220="W"),'US CBAs'!$J$27,
IF(AND(E220="WC qual",G220="D"),0,
IF(AND(E220="Oly qual",G220="W"),'US CBAs'!$J$27,
IF(AND(E220="Oly qual",G220="D"),0,
IF(E220="Olympics",0,
IF(E220="World Cup",'US CBAs'!$J$14,
0))))))))))))</f>
        <v>6500</v>
      </c>
      <c r="L220" s="623">
        <v>17</v>
      </c>
      <c r="M220" s="626">
        <f>$K220+'US CBAs'!$J$13</f>
        <v>10250</v>
      </c>
      <c r="N220" s="623">
        <v>5</v>
      </c>
      <c r="O220" s="627">
        <f t="shared" si="10"/>
        <v>161750</v>
      </c>
      <c r="P220" s="626">
        <f>IF(J220="",I220*'US CBAs'!$K$55,0)</f>
        <v>27463.5</v>
      </c>
      <c r="Q220" s="627">
        <f t="shared" si="11"/>
        <v>189213.5</v>
      </c>
    </row>
    <row r="221" spans="1:17" x14ac:dyDescent="0.35">
      <c r="A221" s="623" t="s">
        <v>203</v>
      </c>
      <c r="B221" s="623">
        <v>31</v>
      </c>
      <c r="C221" s="623">
        <v>2018</v>
      </c>
      <c r="D221" s="623" t="s">
        <v>66</v>
      </c>
      <c r="E221" s="623" t="s">
        <v>220</v>
      </c>
      <c r="F221" s="623"/>
      <c r="G221" s="623" t="s">
        <v>20</v>
      </c>
      <c r="H221" s="623" t="s">
        <v>481</v>
      </c>
      <c r="I221" s="628">
        <v>23544</v>
      </c>
      <c r="J221" s="623"/>
      <c r="K221" s="625">
        <f>IF(G221="L",0,
IF(AND(E221="Friendly",F221="T1",G221="W"),'US CBAs'!$J$19,
IF(AND(E221="Friendly",F221="T2",G221="W"),'US CBAs'!$J$20,
IF(AND(E221="Friendly",F221="",G221="W"),'US CBAs'!$J$21,
IF(AND(E221="Friendly",F221="T1",G221="D"),'US CBAs'!$J$22,
IF(AND(E221="Friendly",F221="",G221="D"),'US CBAs'!$J$23,
IF(AND(E221="WC qual",G221="W"),'US CBAs'!$J$27,
IF(AND(E221="WC qual",G221="D"),0,
IF(AND(E221="Oly qual",G221="W"),'US CBAs'!$J$27,
IF(AND(E221="Oly qual",G221="D"),0,
IF(E221="Olympics",0,
IF(E221="World Cup",'US CBAs'!$J$14,
0))))))))))))</f>
        <v>5250</v>
      </c>
      <c r="L221" s="623">
        <v>17</v>
      </c>
      <c r="M221" s="626">
        <f>$K221+'US CBAs'!$J$13</f>
        <v>9000</v>
      </c>
      <c r="N221" s="623">
        <v>1</v>
      </c>
      <c r="O221" s="627">
        <f t="shared" si="10"/>
        <v>98250</v>
      </c>
      <c r="P221" s="626">
        <f>IF(J221="",I221*'US CBAs'!$K$55,0)</f>
        <v>35316</v>
      </c>
      <c r="Q221" s="627">
        <f t="shared" si="11"/>
        <v>133566</v>
      </c>
    </row>
    <row r="222" spans="1:17" x14ac:dyDescent="0.35">
      <c r="A222" s="623" t="s">
        <v>222</v>
      </c>
      <c r="B222" s="623">
        <v>4</v>
      </c>
      <c r="C222" s="623">
        <v>2018</v>
      </c>
      <c r="D222" s="623" t="s">
        <v>66</v>
      </c>
      <c r="E222" s="623" t="s">
        <v>220</v>
      </c>
      <c r="F222" s="623"/>
      <c r="G222" s="623" t="s">
        <v>20</v>
      </c>
      <c r="H222" s="623" t="s">
        <v>481</v>
      </c>
      <c r="I222" s="628">
        <v>14340</v>
      </c>
      <c r="J222" s="623"/>
      <c r="K222" s="625">
        <f>IF(G222="L",0,
IF(AND(E222="Friendly",F222="T1",G222="W"),'US CBAs'!$J$19,
IF(AND(E222="Friendly",F222="T2",G222="W"),'US CBAs'!$J$20,
IF(AND(E222="Friendly",F222="",G222="W"),'US CBAs'!$J$21,
IF(AND(E222="Friendly",F222="T1",G222="D"),'US CBAs'!$J$22,
IF(AND(E222="Friendly",F222="",G222="D"),'US CBAs'!$J$23,
IF(AND(E222="WC qual",G222="W"),'US CBAs'!$J$27,
IF(AND(E222="WC qual",G222="D"),0,
IF(AND(E222="Oly qual",G222="W"),'US CBAs'!$J$27,
IF(AND(E222="Oly qual",G222="D"),0,
IF(E222="Olympics",0,
IF(E222="World Cup",'US CBAs'!$J$14,
0))))))))))))</f>
        <v>5250</v>
      </c>
      <c r="L222" s="623">
        <v>17</v>
      </c>
      <c r="M222" s="626">
        <f>$K222+'US CBAs'!$J$13</f>
        <v>9000</v>
      </c>
      <c r="N222" s="623">
        <v>1</v>
      </c>
      <c r="O222" s="627">
        <f t="shared" si="10"/>
        <v>98250</v>
      </c>
      <c r="P222" s="626">
        <f>IF(J222="",I222*'US CBAs'!$K$55,0)</f>
        <v>21510</v>
      </c>
      <c r="Q222" s="627">
        <f t="shared" si="11"/>
        <v>119760</v>
      </c>
    </row>
    <row r="223" spans="1:17" x14ac:dyDescent="0.35">
      <c r="A223" s="623" t="s">
        <v>189</v>
      </c>
      <c r="B223" s="623">
        <v>4</v>
      </c>
      <c r="C223" s="623">
        <v>2018</v>
      </c>
      <c r="D223" s="623" t="s">
        <v>35</v>
      </c>
      <c r="E223" s="624" t="s">
        <v>260</v>
      </c>
      <c r="F223" s="623"/>
      <c r="G223" s="623" t="s">
        <v>20</v>
      </c>
      <c r="H223" s="623" t="s">
        <v>502</v>
      </c>
      <c r="I223" s="628">
        <v>5404</v>
      </c>
      <c r="J223" s="623" t="s">
        <v>218</v>
      </c>
      <c r="K223" s="625">
        <f>IF(G223="L",0,
IF(AND(E223="Friendly",F223="T1",G223="W"),'US CBAs'!$J$19,
IF(AND(E223="Friendly",F223="T2",G223="W"),'US CBAs'!$J$20,
IF(AND(E223="Friendly",F223="",G223="W"),'US CBAs'!$J$21,
IF(AND(E223="Friendly",F223="T1",G223="D"),'US CBAs'!$J$22,
IF(AND(E223="Friendly",F223="",G223="D"),'US CBAs'!$J$23,
IF(AND(E223="WC qual",G223="W"),'US CBAs'!$J$27,
IF(AND(E223="WC qual",G223="D"),0,
IF(AND(E223="Oly qual",G223="W"),'US CBAs'!$J$27,
IF(AND(E223="Oly qual",G223="D"),0,
IF(E223="Olympics",0,
IF(E223="World Cup",'US CBAs'!$J$14,
0))))))))))))</f>
        <v>3000</v>
      </c>
      <c r="L223" s="623">
        <v>19</v>
      </c>
      <c r="M223" s="626">
        <f>$K223+'US CBAs'!$J$13</f>
        <v>6750</v>
      </c>
      <c r="N223" s="623">
        <v>0</v>
      </c>
      <c r="O223" s="627">
        <f t="shared" si="10"/>
        <v>57000</v>
      </c>
      <c r="P223" s="626">
        <f>IF(J223="",I223*'US CBAs'!$K$55,0)</f>
        <v>0</v>
      </c>
      <c r="Q223" s="627">
        <f t="shared" si="11"/>
        <v>57000</v>
      </c>
    </row>
    <row r="224" spans="1:17" x14ac:dyDescent="0.35">
      <c r="A224" s="623" t="s">
        <v>189</v>
      </c>
      <c r="B224" s="623">
        <v>7</v>
      </c>
      <c r="C224" s="623">
        <v>2018</v>
      </c>
      <c r="D224" s="623" t="s">
        <v>42</v>
      </c>
      <c r="E224" s="624" t="s">
        <v>260</v>
      </c>
      <c r="F224" s="623"/>
      <c r="G224" s="623" t="s">
        <v>20</v>
      </c>
      <c r="H224" s="623" t="s">
        <v>502</v>
      </c>
      <c r="I224" s="628">
        <v>7532</v>
      </c>
      <c r="J224" s="623" t="s">
        <v>218</v>
      </c>
      <c r="K224" s="625">
        <f>IF(G224="L",0,
IF(AND(E224="Friendly",F224="T1",G224="W"),'US CBAs'!$J$19,
IF(AND(E224="Friendly",F224="T2",G224="W"),'US CBAs'!$J$20,
IF(AND(E224="Friendly",F224="",G224="W"),'US CBAs'!$J$21,
IF(AND(E224="Friendly",F224="T1",G224="D"),'US CBAs'!$J$22,
IF(AND(E224="Friendly",F224="",G224="D"),'US CBAs'!$J$23,
IF(AND(E224="WC qual",G224="W"),'US CBAs'!$J$27,
IF(AND(E224="WC qual",G224="D"),0,
IF(AND(E224="Oly qual",G224="W"),'US CBAs'!$J$27,
IF(AND(E224="Oly qual",G224="D"),0,
IF(E224="Olympics",0,
IF(E224="World Cup",'US CBAs'!$J$14,
0))))))))))))</f>
        <v>3000</v>
      </c>
      <c r="L224" s="623">
        <v>19</v>
      </c>
      <c r="M224" s="626">
        <f>$K224+'US CBAs'!$J$13</f>
        <v>6750</v>
      </c>
      <c r="N224" s="623">
        <v>0</v>
      </c>
      <c r="O224" s="627">
        <f t="shared" ref="O224:O255" si="12">(K224*L224)+(M224*N224)</f>
        <v>57000</v>
      </c>
      <c r="P224" s="626">
        <f>IF(J224="",I224*'US CBAs'!$K$55,0)</f>
        <v>0</v>
      </c>
      <c r="Q224" s="627">
        <f t="shared" si="11"/>
        <v>57000</v>
      </c>
    </row>
    <row r="225" spans="1:17" x14ac:dyDescent="0.35">
      <c r="A225" s="623" t="s">
        <v>189</v>
      </c>
      <c r="B225" s="623">
        <v>10</v>
      </c>
      <c r="C225" s="623">
        <v>2018</v>
      </c>
      <c r="D225" s="623" t="s">
        <v>228</v>
      </c>
      <c r="E225" s="624" t="s">
        <v>260</v>
      </c>
      <c r="F225" s="623"/>
      <c r="G225" s="623" t="s">
        <v>20</v>
      </c>
      <c r="H225" s="623" t="s">
        <v>502</v>
      </c>
      <c r="I225" s="628">
        <v>3996</v>
      </c>
      <c r="J225" s="623" t="s">
        <v>218</v>
      </c>
      <c r="K225" s="625">
        <f>IF(G225="L",0,
IF(AND(E225="Friendly",F225="T1",G225="W"),'US CBAs'!$J$19,
IF(AND(E225="Friendly",F225="T2",G225="W"),'US CBAs'!$J$20,
IF(AND(E225="Friendly",F225="",G225="W"),'US CBAs'!$J$21,
IF(AND(E225="Friendly",F225="T1",G225="D"),'US CBAs'!$J$22,
IF(AND(E225="Friendly",F225="",G225="D"),'US CBAs'!$J$23,
IF(AND(E225="WC qual",G225="W"),'US CBAs'!$J$27,
IF(AND(E225="WC qual",G225="D"),0,
IF(AND(E225="Oly qual",G225="W"),'US CBAs'!$J$27,
IF(AND(E225="Oly qual",G225="D"),0,
IF(E225="Olympics",0,
IF(E225="World Cup",'US CBAs'!$J$14,
0))))))))))))</f>
        <v>3000</v>
      </c>
      <c r="L225" s="623">
        <v>19</v>
      </c>
      <c r="M225" s="626">
        <f>$K225+'US CBAs'!$J$13</f>
        <v>6750</v>
      </c>
      <c r="N225" s="623">
        <v>0</v>
      </c>
      <c r="O225" s="627">
        <f t="shared" si="12"/>
        <v>57000</v>
      </c>
      <c r="P225" s="626">
        <f>IF(J225="",I225*'US CBAs'!$K$55,0)</f>
        <v>0</v>
      </c>
      <c r="Q225" s="627">
        <f t="shared" si="11"/>
        <v>57000</v>
      </c>
    </row>
    <row r="226" spans="1:17" x14ac:dyDescent="0.35">
      <c r="A226" s="623" t="s">
        <v>189</v>
      </c>
      <c r="B226" s="623">
        <v>14</v>
      </c>
      <c r="C226" s="623">
        <v>2018</v>
      </c>
      <c r="D226" s="623" t="s">
        <v>40</v>
      </c>
      <c r="E226" s="624" t="s">
        <v>260</v>
      </c>
      <c r="F226" s="623"/>
      <c r="G226" s="623" t="s">
        <v>20</v>
      </c>
      <c r="H226" s="623" t="s">
        <v>492</v>
      </c>
      <c r="I226" s="628">
        <v>7555</v>
      </c>
      <c r="J226" s="623" t="s">
        <v>218</v>
      </c>
      <c r="K226" s="625">
        <f>IF(G226="L",0,
IF(AND(E226="Friendly",F226="T1",G226="W"),'US CBAs'!$J$19,
IF(AND(E226="Friendly",F226="T2",G226="W"),'US CBAs'!$J$20,
IF(AND(E226="Friendly",F226="",G226="W"),'US CBAs'!$J$21,
IF(AND(E226="Friendly",F226="T1",G226="D"),'US CBAs'!$J$22,
IF(AND(E226="Friendly",F226="",G226="D"),'US CBAs'!$J$23,
IF(AND(E226="WC qual",G226="W"),'US CBAs'!$J$27,
IF(AND(E226="WC qual",G226="D"),0,
IF(AND(E226="Oly qual",G226="W"),'US CBAs'!$J$27,
IF(AND(E226="Oly qual",G226="D"),0,
IF(E226="Olympics",0,
IF(E226="World Cup",'US CBAs'!$J$14,
0))))))))))))</f>
        <v>3000</v>
      </c>
      <c r="L226" s="623">
        <v>19</v>
      </c>
      <c r="M226" s="626">
        <f>$K226+'US CBAs'!$J$13</f>
        <v>6750</v>
      </c>
      <c r="N226" s="623">
        <v>0</v>
      </c>
      <c r="O226" s="627">
        <f t="shared" si="12"/>
        <v>57000</v>
      </c>
      <c r="P226" s="626">
        <f>IF(J226="",I226*'US CBAs'!$K$55,0)</f>
        <v>0</v>
      </c>
      <c r="Q226" s="627">
        <f t="shared" si="11"/>
        <v>57000</v>
      </c>
    </row>
    <row r="227" spans="1:17" x14ac:dyDescent="0.35">
      <c r="A227" s="623" t="s">
        <v>189</v>
      </c>
      <c r="B227" s="623">
        <v>17</v>
      </c>
      <c r="C227" s="623">
        <v>2018</v>
      </c>
      <c r="D227" s="623" t="s">
        <v>29</v>
      </c>
      <c r="E227" s="624" t="s">
        <v>260</v>
      </c>
      <c r="F227" s="623" t="s">
        <v>28</v>
      </c>
      <c r="G227" s="623" t="s">
        <v>20</v>
      </c>
      <c r="H227" s="623" t="s">
        <v>492</v>
      </c>
      <c r="I227" s="628">
        <v>6986</v>
      </c>
      <c r="J227" s="623" t="s">
        <v>218</v>
      </c>
      <c r="K227" s="625">
        <f>IF(G227="L",0,
IF(AND(E227="Friendly",F227="T1",G227="W"),'US CBAs'!$J$19,
IF(AND(E227="Friendly",F227="T2",G227="W"),'US CBAs'!$J$20,
IF(AND(E227="Friendly",F227="",G227="W"),'US CBAs'!$J$21,
IF(AND(E227="Friendly",F227="T1",G227="D"),'US CBAs'!$J$22,
IF(AND(E227="Friendly",F227="",G227="D"),'US CBAs'!$J$23,
IF(AND(E227="WC qual",G227="W"),'US CBAs'!$J$27,
IF(AND(E227="WC qual",G227="D"),0,
IF(AND(E227="Oly qual",G227="W"),'US CBAs'!$J$27,
IF(AND(E227="Oly qual",G227="D"),0,
IF(E227="Olympics",0,
IF(E227="World Cup",'US CBAs'!$J$14,
0))))))))))))</f>
        <v>3000</v>
      </c>
      <c r="L227" s="623">
        <v>19</v>
      </c>
      <c r="M227" s="626">
        <f>$K227+'US CBAs'!$J$13</f>
        <v>6750</v>
      </c>
      <c r="N227" s="623">
        <v>0</v>
      </c>
      <c r="O227" s="627">
        <f t="shared" si="12"/>
        <v>57000</v>
      </c>
      <c r="P227" s="626">
        <f>IF(J227="",I227*'US CBAs'!$K$55,0)</f>
        <v>0</v>
      </c>
      <c r="Q227" s="627">
        <f t="shared" si="11"/>
        <v>57000</v>
      </c>
    </row>
    <row r="228" spans="1:17" x14ac:dyDescent="0.35">
      <c r="A228" s="587" t="s">
        <v>190</v>
      </c>
      <c r="B228" s="587">
        <v>8</v>
      </c>
      <c r="C228" s="587">
        <v>2018</v>
      </c>
      <c r="D228" s="587" t="s">
        <v>82</v>
      </c>
      <c r="E228" s="587" t="s">
        <v>220</v>
      </c>
      <c r="F228" s="587"/>
      <c r="G228" s="587" t="s">
        <v>20</v>
      </c>
      <c r="H228" s="587" t="s">
        <v>82</v>
      </c>
      <c r="I228" s="587">
        <v>980</v>
      </c>
      <c r="J228" s="587" t="s">
        <v>218</v>
      </c>
      <c r="K228" s="589">
        <f>IF(G228="L",0,
IF(AND(E228="Friendly",F228="T1",G228="W"),'US CBAs'!$J$19,
IF(AND(E228="Friendly",F228="T2",G228="W"),'US CBAs'!$J$20,
IF(AND(E228="Friendly",F228="",G228="W"),'US CBAs'!$J$21,
IF(AND(E228="Friendly",F228="T1",G228="D"),'US CBAs'!$J$22,
IF(AND(E228="Friendly",F228="",G228="D"),'US CBAs'!$J$23,
IF(AND(E228="WC qual",G228="W"),'US CBAs'!$J$27,
IF(AND(E228="WC qual",G228="D"),0,
IF(AND(E228="Oly qual",G228="W"),'US CBAs'!$J$27,
IF(AND(E228="Oly qual",G228="D"),0,
IF(E228="Olympics",0,
IF(E228="World Cup",'US CBAs'!$J$14,
0))))))))))))</f>
        <v>5250</v>
      </c>
      <c r="L228" s="587">
        <v>14</v>
      </c>
      <c r="M228" s="590">
        <f>$K228+'US CBAs'!$J$13</f>
        <v>9000</v>
      </c>
      <c r="N228" s="587">
        <v>3</v>
      </c>
      <c r="O228" s="591">
        <f t="shared" si="12"/>
        <v>100500</v>
      </c>
      <c r="P228" s="590">
        <f>IF(J228="",I228*'US CBAs'!$K$55,0)</f>
        <v>0</v>
      </c>
      <c r="Q228" s="591">
        <f t="shared" si="11"/>
        <v>100500</v>
      </c>
    </row>
    <row r="229" spans="1:17" x14ac:dyDescent="0.35">
      <c r="A229" s="587" t="s">
        <v>190</v>
      </c>
      <c r="B229" s="587">
        <v>13</v>
      </c>
      <c r="C229" s="587">
        <v>2018</v>
      </c>
      <c r="D229" s="587" t="s">
        <v>19</v>
      </c>
      <c r="E229" s="587" t="s">
        <v>220</v>
      </c>
      <c r="F229" s="587"/>
      <c r="G229" s="587" t="s">
        <v>20</v>
      </c>
      <c r="H229" s="587" t="s">
        <v>19</v>
      </c>
      <c r="I229" s="636">
        <v>3790</v>
      </c>
      <c r="J229" s="587" t="s">
        <v>218</v>
      </c>
      <c r="K229" s="589">
        <f>IF(G229="L",0,
IF(AND(E229="Friendly",F229="T1",G229="W"),'US CBAs'!$J$19,
IF(AND(E229="Friendly",F229="T2",G229="W"),'US CBAs'!$J$20,
IF(AND(E229="Friendly",F229="",G229="W"),'US CBAs'!$J$21,
IF(AND(E229="Friendly",F229="T1",G229="D"),'US CBAs'!$J$22,
IF(AND(E229="Friendly",F229="",G229="D"),'US CBAs'!$J$23,
IF(AND(E229="WC qual",G229="W"),'US CBAs'!$J$27,
IF(AND(E229="WC qual",G229="D"),0,
IF(AND(E229="Oly qual",G229="W"),'US CBAs'!$J$27,
IF(AND(E229="Oly qual",G229="D"),0,
IF(E229="Olympics",0,
IF(E229="World Cup",'US CBAs'!$J$14,
0))))))))))))</f>
        <v>5250</v>
      </c>
      <c r="L229" s="587">
        <v>14</v>
      </c>
      <c r="M229" s="590">
        <f>$K229+'US CBAs'!$J$13</f>
        <v>9000</v>
      </c>
      <c r="N229" s="587">
        <v>3</v>
      </c>
      <c r="O229" s="591">
        <f t="shared" si="12"/>
        <v>100500</v>
      </c>
      <c r="P229" s="590">
        <f>IF(J229="",I229*'US CBAs'!$K$55,0)</f>
        <v>0</v>
      </c>
      <c r="Q229" s="591">
        <f t="shared" si="11"/>
        <v>100500</v>
      </c>
    </row>
    <row r="230" spans="1:17" x14ac:dyDescent="0.35">
      <c r="A230" s="647" t="s">
        <v>262</v>
      </c>
      <c r="B230" s="587">
        <v>30</v>
      </c>
      <c r="C230" s="593">
        <v>2018</v>
      </c>
      <c r="D230" s="653"/>
      <c r="E230" s="653"/>
      <c r="F230" s="653"/>
      <c r="G230" s="653"/>
      <c r="H230" s="654" t="s">
        <v>0</v>
      </c>
      <c r="I230" s="640"/>
      <c r="J230" s="653"/>
      <c r="K230" s="651">
        <v>100000</v>
      </c>
      <c r="L230" s="654">
        <v>19</v>
      </c>
      <c r="M230" s="590"/>
      <c r="N230" s="593"/>
      <c r="O230" s="655">
        <f t="shared" si="12"/>
        <v>1900000</v>
      </c>
      <c r="P230" s="590"/>
      <c r="Q230" s="655">
        <f t="shared" si="11"/>
        <v>1900000</v>
      </c>
    </row>
    <row r="231" spans="1:17" x14ac:dyDescent="0.35">
      <c r="A231" s="647" t="s">
        <v>262</v>
      </c>
      <c r="B231" s="587">
        <v>31</v>
      </c>
      <c r="C231" s="593">
        <v>2018</v>
      </c>
      <c r="D231" s="638"/>
      <c r="E231" s="653"/>
      <c r="F231" s="638"/>
      <c r="G231" s="638"/>
      <c r="H231" s="660" t="s">
        <v>435</v>
      </c>
      <c r="I231" s="640"/>
      <c r="J231" s="661"/>
      <c r="K231" s="651"/>
      <c r="L231" s="661"/>
      <c r="M231" s="652">
        <f>$K209+'US CBAs'!$J$13</f>
        <v>3750</v>
      </c>
      <c r="N231" s="661">
        <v>20</v>
      </c>
      <c r="O231" s="667">
        <f t="shared" si="12"/>
        <v>75000</v>
      </c>
      <c r="P231" s="652"/>
      <c r="Q231" s="667">
        <f t="shared" si="11"/>
        <v>75000</v>
      </c>
    </row>
    <row r="232" spans="1:17" x14ac:dyDescent="0.35">
      <c r="A232" s="638" t="s">
        <v>191</v>
      </c>
      <c r="B232" s="638">
        <v>19</v>
      </c>
      <c r="C232" s="638">
        <v>2019</v>
      </c>
      <c r="D232" s="638" t="s">
        <v>53</v>
      </c>
      <c r="E232" s="638" t="s">
        <v>220</v>
      </c>
      <c r="F232" s="638"/>
      <c r="G232" s="638" t="s">
        <v>33</v>
      </c>
      <c r="H232" s="638" t="s">
        <v>53</v>
      </c>
      <c r="I232" s="640">
        <v>22780</v>
      </c>
      <c r="J232" s="638" t="s">
        <v>218</v>
      </c>
      <c r="K232" s="625">
        <f>IF(G232="L",0,
IF(AND(E232="Friendly",F232="T1",G232="W"),'US CBAs'!$J$19,
IF(AND(E232="Friendly",F232="T2",G232="W"),'US CBAs'!$J$20,
IF(AND(E232="Friendly",F232="",G232="W"),'US CBAs'!$J$21,
IF(AND(E232="Friendly",F232="T1",G232="D"),'US CBAs'!$J$22,
IF(AND(E232="Friendly",F232="",G232="D"),'US CBAs'!$J$23,
IF(AND(E232="WC qual",G232="W"),'US CBAs'!$J$27,
IF(AND(E232="WC qual",G232="D"),0,
IF(AND(E232="Oly qual",G232="W"),'US CBAs'!$J$27,
IF(AND(E232="Oly qual",G232="D"),0,
IF(E232="Olympics",0,
IF(E232="World Cup",'US CBAs'!$J$14,
0))))))))))))</f>
        <v>0</v>
      </c>
      <c r="L232" s="638">
        <v>17</v>
      </c>
      <c r="M232" s="626">
        <f>$K232+'US CBAs'!$J$13</f>
        <v>3750</v>
      </c>
      <c r="N232" s="639">
        <v>2</v>
      </c>
      <c r="O232" s="627">
        <f t="shared" si="12"/>
        <v>7500</v>
      </c>
      <c r="P232" s="626">
        <f>IF(J232="",I232*'US CBAs'!$K$55,0)</f>
        <v>0</v>
      </c>
      <c r="Q232" s="627">
        <f t="shared" si="11"/>
        <v>7500</v>
      </c>
    </row>
    <row r="233" spans="1:17" x14ac:dyDescent="0.35">
      <c r="A233" s="639" t="s">
        <v>191</v>
      </c>
      <c r="B233" s="639">
        <v>22</v>
      </c>
      <c r="C233" s="639">
        <v>2019</v>
      </c>
      <c r="D233" s="639" t="s">
        <v>256</v>
      </c>
      <c r="E233" s="639" t="s">
        <v>220</v>
      </c>
      <c r="F233" s="639"/>
      <c r="G233" s="639" t="s">
        <v>20</v>
      </c>
      <c r="H233" s="639" t="s">
        <v>256</v>
      </c>
      <c r="I233" s="640">
        <v>9182</v>
      </c>
      <c r="J233" s="639" t="s">
        <v>218</v>
      </c>
      <c r="K233" s="625">
        <f>IF(G233="L",0,
IF(AND(E233="Friendly",F233="T1",G233="W"),'US CBAs'!$J$19,
IF(AND(E233="Friendly",F233="T2",G233="W"),'US CBAs'!$J$20,
IF(AND(E233="Friendly",F233="",G233="W"),'US CBAs'!$J$21,
IF(AND(E233="Friendly",F233="T1",G233="D"),'US CBAs'!$J$22,
IF(AND(E233="Friendly",F233="",G233="D"),'US CBAs'!$J$23,
IF(AND(E233="WC qual",G233="W"),'US CBAs'!$J$27,
IF(AND(E233="WC qual",G233="D"),0,
IF(AND(E233="Oly qual",G233="W"),'US CBAs'!$J$27,
IF(AND(E233="Oly qual",G233="D"),0,
IF(E233="Olympics",0,
IF(E233="World Cup",'US CBAs'!$J$14,
0))))))))))))</f>
        <v>5250</v>
      </c>
      <c r="L233" s="639">
        <v>17</v>
      </c>
      <c r="M233" s="626">
        <f>$K233+'US CBAs'!$J$13</f>
        <v>9000</v>
      </c>
      <c r="N233" s="639">
        <v>2</v>
      </c>
      <c r="O233" s="627">
        <f t="shared" si="12"/>
        <v>107250</v>
      </c>
      <c r="P233" s="626">
        <f>IF(J233="",I233*'US CBAs'!$K$55,0)</f>
        <v>0</v>
      </c>
      <c r="Q233" s="627">
        <f t="shared" si="11"/>
        <v>107250</v>
      </c>
    </row>
    <row r="234" spans="1:17" x14ac:dyDescent="0.35">
      <c r="A234" s="637" t="s">
        <v>192</v>
      </c>
      <c r="B234" s="638">
        <v>27</v>
      </c>
      <c r="C234" s="638">
        <v>2019</v>
      </c>
      <c r="D234" s="638" t="s">
        <v>524</v>
      </c>
      <c r="E234" s="623" t="s">
        <v>220</v>
      </c>
      <c r="F234" s="638"/>
      <c r="G234" s="638" t="s">
        <v>83</v>
      </c>
      <c r="H234" s="623" t="s">
        <v>484</v>
      </c>
      <c r="I234" s="640">
        <v>14555</v>
      </c>
      <c r="J234" s="641"/>
      <c r="K234" s="625">
        <f>IF(G234="L",0,
IF(AND(E234="Friendly",F234="T1",G234="W"),'US CBAs'!$J$19,
IF(AND(E234="Friendly",F234="T2",G234="W"),'US CBAs'!$J$20,
IF(AND(E234="Friendly",F234="",G234="W"),'US CBAs'!$J$21,
IF(AND(E234="Friendly",F234="T1",G234="D"),'US CBAs'!$J$22,
IF(AND(E234="Friendly",F234="",G234="D"),'US CBAs'!$J$23,
IF(AND(E234="WC qual",G234="W"),'US CBAs'!$J$27,
IF(AND(E234="WC qual",G234="D"),0,
IF(AND(E234="Oly qual",G234="W"),'US CBAs'!$J$27,
IF(AND(E234="Oly qual",G234="D"),0,
IF(E234="Olympics",0,
IF(E234="World Cup",'US CBAs'!$J$14,
0))))))))))))</f>
        <v>1250</v>
      </c>
      <c r="L234" s="642">
        <v>18</v>
      </c>
      <c r="M234" s="626">
        <f>$K234+'US CBAs'!$J$13</f>
        <v>5000</v>
      </c>
      <c r="N234" s="642">
        <v>4</v>
      </c>
      <c r="O234" s="627">
        <f t="shared" si="12"/>
        <v>42500</v>
      </c>
      <c r="P234" s="626">
        <f>IF(J234="",I234*'US CBAs'!$K$55,0)</f>
        <v>21832.5</v>
      </c>
      <c r="Q234" s="627">
        <f t="shared" si="11"/>
        <v>64332.5</v>
      </c>
    </row>
    <row r="235" spans="1:17" x14ac:dyDescent="0.35">
      <c r="A235" s="637" t="s">
        <v>221</v>
      </c>
      <c r="B235" s="638">
        <v>2</v>
      </c>
      <c r="C235" s="638">
        <v>2019</v>
      </c>
      <c r="D235" s="638" t="s">
        <v>525</v>
      </c>
      <c r="E235" s="623" t="s">
        <v>220</v>
      </c>
      <c r="F235" s="638"/>
      <c r="G235" s="638" t="s">
        <v>83</v>
      </c>
      <c r="H235" s="638" t="s">
        <v>486</v>
      </c>
      <c r="I235" s="640">
        <v>22125</v>
      </c>
      <c r="J235" s="641"/>
      <c r="K235" s="625">
        <f>IF(G235="L",0,
IF(AND(E235="Friendly",F235="T1",G235="W"),'US CBAs'!$J$19,
IF(AND(E235="Friendly",F235="T2",G235="W"),'US CBAs'!$J$20,
IF(AND(E235="Friendly",F235="",G235="W"),'US CBAs'!$J$21,
IF(AND(E235="Friendly",F235="T1",G235="D"),'US CBAs'!$J$22,
IF(AND(E235="Friendly",F235="",G235="D"),'US CBAs'!$J$23,
IF(AND(E235="WC qual",G235="W"),'US CBAs'!$J$27,
IF(AND(E235="WC qual",G235="D"),0,
IF(AND(E235="Oly qual",G235="W"),'US CBAs'!$J$27,
IF(AND(E235="Oly qual",G235="D"),0,
IF(E235="Olympics",0,
IF(E235="World Cup",'US CBAs'!$J$14,
0))))))))))))</f>
        <v>1250</v>
      </c>
      <c r="L235" s="642">
        <v>18</v>
      </c>
      <c r="M235" s="626">
        <f>$K235+'US CBAs'!$J$13</f>
        <v>5000</v>
      </c>
      <c r="N235" s="642">
        <v>4</v>
      </c>
      <c r="O235" s="627">
        <f t="shared" si="12"/>
        <v>42500</v>
      </c>
      <c r="P235" s="626">
        <f>IF(J235="",I235*'US CBAs'!$K$55,0)</f>
        <v>33187.5</v>
      </c>
      <c r="Q235" s="627">
        <f t="shared" si="11"/>
        <v>75687.5</v>
      </c>
    </row>
    <row r="236" spans="1:17" x14ac:dyDescent="0.35">
      <c r="A236" s="637" t="s">
        <v>221</v>
      </c>
      <c r="B236" s="638">
        <v>5</v>
      </c>
      <c r="C236" s="638">
        <v>2019</v>
      </c>
      <c r="D236" s="638" t="s">
        <v>526</v>
      </c>
      <c r="E236" s="623" t="s">
        <v>220</v>
      </c>
      <c r="F236" s="638"/>
      <c r="G236" s="638" t="s">
        <v>20</v>
      </c>
      <c r="H236" s="638" t="s">
        <v>482</v>
      </c>
      <c r="I236" s="640">
        <v>14009</v>
      </c>
      <c r="J236" s="641"/>
      <c r="K236" s="625">
        <f>IF(G236="L",0,
IF(AND(E236="Friendly",F236="T1",G236="W"),'US CBAs'!$J$19,
IF(AND(E236="Friendly",F236="T2",G236="W"),'US CBAs'!$J$20,
IF(AND(E236="Friendly",F236="",G236="W"),'US CBAs'!$J$21,
IF(AND(E236="Friendly",F236="T1",G236="D"),'US CBAs'!$J$22,
IF(AND(E236="Friendly",F236="",G236="D"),'US CBAs'!$J$23,
IF(AND(E236="WC qual",G236="W"),'US CBAs'!$J$27,
IF(AND(E236="WC qual",G236="D"),0,
IF(AND(E236="Oly qual",G236="W"),'US CBAs'!$J$27,
IF(AND(E236="Oly qual",G236="D"),0,
IF(E236="Olympics",0,
IF(E236="World Cup",'US CBAs'!$J$14,
0))))))))))))</f>
        <v>5250</v>
      </c>
      <c r="L236" s="642">
        <v>18</v>
      </c>
      <c r="M236" s="626">
        <f>$K236+'US CBAs'!$J$13</f>
        <v>9000</v>
      </c>
      <c r="N236" s="642">
        <v>4</v>
      </c>
      <c r="O236" s="627">
        <f t="shared" si="12"/>
        <v>130500</v>
      </c>
      <c r="P236" s="626">
        <f>IF(J236="",I236*'US CBAs'!$K$55,0)</f>
        <v>21013.5</v>
      </c>
      <c r="Q236" s="627">
        <f t="shared" si="11"/>
        <v>151513.5</v>
      </c>
    </row>
    <row r="237" spans="1:17" x14ac:dyDescent="0.35">
      <c r="A237" s="637" t="s">
        <v>240</v>
      </c>
      <c r="B237" s="638">
        <v>4</v>
      </c>
      <c r="C237" s="638">
        <v>2019</v>
      </c>
      <c r="D237" s="638" t="s">
        <v>514</v>
      </c>
      <c r="E237" s="623" t="s">
        <v>220</v>
      </c>
      <c r="F237" s="638"/>
      <c r="G237" s="638" t="s">
        <v>20</v>
      </c>
      <c r="H237" s="638" t="s">
        <v>496</v>
      </c>
      <c r="I237" s="640">
        <v>17264</v>
      </c>
      <c r="J237" s="641"/>
      <c r="K237" s="625">
        <f>IF(G237="L",0,
IF(AND(E237="Friendly",F237="T1",G237="W"),'US CBAs'!$J$19,
IF(AND(E237="Friendly",F237="T2",G237="W"),'US CBAs'!$J$20,
IF(AND(E237="Friendly",F237="",G237="W"),'US CBAs'!$J$21,
IF(AND(E237="Friendly",F237="T1",G237="D"),'US CBAs'!$J$22,
IF(AND(E237="Friendly",F237="",G237="D"),'US CBAs'!$J$23,
IF(AND(E237="WC qual",G237="W"),'US CBAs'!$J$27,
IF(AND(E237="WC qual",G237="D"),0,
IF(AND(E237="Oly qual",G237="W"),'US CBAs'!$J$27,
IF(AND(E237="Oly qual",G237="D"),0,
IF(E237="Olympics",0,
IF(E237="World Cup",'US CBAs'!$J$14,
0))))))))))))</f>
        <v>5250</v>
      </c>
      <c r="L237" s="642">
        <v>18</v>
      </c>
      <c r="M237" s="626">
        <f>$K237+'US CBAs'!$J$13</f>
        <v>9000</v>
      </c>
      <c r="N237" s="642">
        <v>2</v>
      </c>
      <c r="O237" s="627">
        <f t="shared" si="12"/>
        <v>112500</v>
      </c>
      <c r="P237" s="626">
        <f>IF(J237="",I237*'US CBAs'!$K$55,0)</f>
        <v>25896</v>
      </c>
      <c r="Q237" s="627">
        <f t="shared" si="11"/>
        <v>138396</v>
      </c>
    </row>
    <row r="238" spans="1:17" x14ac:dyDescent="0.35">
      <c r="A238" s="637" t="s">
        <v>240</v>
      </c>
      <c r="B238" s="638">
        <v>7</v>
      </c>
      <c r="C238" s="638">
        <v>2019</v>
      </c>
      <c r="D238" s="638" t="s">
        <v>515</v>
      </c>
      <c r="E238" s="623" t="s">
        <v>220</v>
      </c>
      <c r="F238" s="638"/>
      <c r="G238" s="638" t="s">
        <v>20</v>
      </c>
      <c r="H238" s="623" t="s">
        <v>481</v>
      </c>
      <c r="I238" s="640">
        <v>20941</v>
      </c>
      <c r="J238" s="641"/>
      <c r="K238" s="625">
        <f>IF(G238="L",0,
IF(AND(E238="Friendly",F238="T1",G238="W"),'US CBAs'!$J$19,
IF(AND(E238="Friendly",F238="T2",G238="W"),'US CBAs'!$J$20,
IF(AND(E238="Friendly",F238="",G238="W"),'US CBAs'!$J$21,
IF(AND(E238="Friendly",F238="T1",G238="D"),'US CBAs'!$J$22,
IF(AND(E238="Friendly",F238="",G238="D"),'US CBAs'!$J$23,
IF(AND(E238="WC qual",G238="W"),'US CBAs'!$J$27,
IF(AND(E238="WC qual",G238="D"),0,
IF(AND(E238="Oly qual",G238="W"),'US CBAs'!$J$27,
IF(AND(E238="Oly qual",G238="D"),0,
IF(E238="Olympics",0,
IF(E238="World Cup",'US CBAs'!$J$14,
0))))))))))))</f>
        <v>5250</v>
      </c>
      <c r="L238" s="642">
        <v>18</v>
      </c>
      <c r="M238" s="626">
        <f>$K238+'US CBAs'!$J$13</f>
        <v>9000</v>
      </c>
      <c r="N238" s="642">
        <v>2</v>
      </c>
      <c r="O238" s="627">
        <f t="shared" si="12"/>
        <v>112500</v>
      </c>
      <c r="P238" s="626">
        <f>IF(J238="",I238*'US CBAs'!$K$55,0)</f>
        <v>31411.5</v>
      </c>
      <c r="Q238" s="627">
        <f t="shared" si="11"/>
        <v>143911.5</v>
      </c>
    </row>
    <row r="239" spans="1:17" x14ac:dyDescent="0.35">
      <c r="A239" s="637" t="s">
        <v>186</v>
      </c>
      <c r="B239" s="638">
        <v>12</v>
      </c>
      <c r="C239" s="638">
        <v>2019</v>
      </c>
      <c r="D239" s="638" t="s">
        <v>516</v>
      </c>
      <c r="E239" s="623" t="s">
        <v>220</v>
      </c>
      <c r="F239" s="638"/>
      <c r="G239" s="638" t="s">
        <v>20</v>
      </c>
      <c r="H239" s="623" t="s">
        <v>481</v>
      </c>
      <c r="I239" s="640">
        <v>22788</v>
      </c>
      <c r="J239" s="641"/>
      <c r="K239" s="625">
        <f>IF(G239="L",0,
IF(AND(E239="Friendly",F239="T1",G239="W"),'US CBAs'!$J$19,
IF(AND(E239="Friendly",F239="T2",G239="W"),'US CBAs'!$J$20,
IF(AND(E239="Friendly",F239="",G239="W"),'US CBAs'!$J$21,
IF(AND(E239="Friendly",F239="T1",G239="D"),'US CBAs'!$J$22,
IF(AND(E239="Friendly",F239="",G239="D"),'US CBAs'!$J$23,
IF(AND(E239="WC qual",G239="W"),'US CBAs'!$J$27,
IF(AND(E239="WC qual",G239="D"),0,
IF(AND(E239="Oly qual",G239="W"),'US CBAs'!$J$27,
IF(AND(E239="Oly qual",G239="D"),0,
IF(E239="Olympics",0,
IF(E239="World Cup",'US CBAs'!$J$14,
0))))))))))))</f>
        <v>5250</v>
      </c>
      <c r="L239" s="642">
        <v>18</v>
      </c>
      <c r="M239" s="626">
        <f>$K239+'US CBAs'!$J$13</f>
        <v>9000</v>
      </c>
      <c r="N239" s="642">
        <v>5</v>
      </c>
      <c r="O239" s="627">
        <f t="shared" si="12"/>
        <v>139500</v>
      </c>
      <c r="P239" s="626">
        <f>IF(J239="",I239*'US CBAs'!$K$55,0)</f>
        <v>34182</v>
      </c>
      <c r="Q239" s="627">
        <f t="shared" si="11"/>
        <v>173682</v>
      </c>
    </row>
    <row r="240" spans="1:17" x14ac:dyDescent="0.35">
      <c r="A240" s="637" t="s">
        <v>186</v>
      </c>
      <c r="B240" s="638">
        <v>16</v>
      </c>
      <c r="C240" s="638">
        <v>2019</v>
      </c>
      <c r="D240" s="638" t="s">
        <v>517</v>
      </c>
      <c r="E240" s="623" t="s">
        <v>220</v>
      </c>
      <c r="F240" s="638"/>
      <c r="G240" s="638" t="s">
        <v>20</v>
      </c>
      <c r="H240" s="638" t="s">
        <v>501</v>
      </c>
      <c r="I240" s="640">
        <v>35761</v>
      </c>
      <c r="J240" s="641"/>
      <c r="K240" s="625">
        <f>IF(G240="L",0,
IF(AND(E240="Friendly",F240="T1",G240="W"),'US CBAs'!$J$19,
IF(AND(E240="Friendly",F240="T2",G240="W"),'US CBAs'!$J$20,
IF(AND(E240="Friendly",F240="",G240="W"),'US CBAs'!$J$21,
IF(AND(E240="Friendly",F240="T1",G240="D"),'US CBAs'!$J$22,
IF(AND(E240="Friendly",F240="",G240="D"),'US CBAs'!$J$23,
IF(AND(E240="WC qual",G240="W"),'US CBAs'!$J$27,
IF(AND(E240="WC qual",G240="D"),0,
IF(AND(E240="Oly qual",G240="W"),'US CBAs'!$J$27,
IF(AND(E240="Oly qual",G240="D"),0,
IF(E240="Olympics",0,
IF(E240="World Cup",'US CBAs'!$J$14,
0))))))))))))</f>
        <v>5250</v>
      </c>
      <c r="L240" s="642">
        <v>18</v>
      </c>
      <c r="M240" s="626">
        <f>$K240+'US CBAs'!$J$13</f>
        <v>9000</v>
      </c>
      <c r="N240" s="642">
        <v>5</v>
      </c>
      <c r="O240" s="627">
        <f t="shared" si="12"/>
        <v>139500</v>
      </c>
      <c r="P240" s="626">
        <f>IF(J240="",I240*'US CBAs'!$K$55,0)</f>
        <v>53641.5</v>
      </c>
      <c r="Q240" s="627">
        <f t="shared" si="11"/>
        <v>193141.5</v>
      </c>
    </row>
    <row r="241" spans="1:17" x14ac:dyDescent="0.35">
      <c r="A241" s="637" t="s">
        <v>186</v>
      </c>
      <c r="B241" s="638">
        <v>26</v>
      </c>
      <c r="C241" s="638">
        <v>2019</v>
      </c>
      <c r="D241" s="638" t="s">
        <v>518</v>
      </c>
      <c r="E241" s="623" t="s">
        <v>220</v>
      </c>
      <c r="F241" s="638"/>
      <c r="G241" s="638" t="s">
        <v>20</v>
      </c>
      <c r="H241" s="623" t="s">
        <v>485</v>
      </c>
      <c r="I241" s="640">
        <v>26332</v>
      </c>
      <c r="J241" s="641"/>
      <c r="K241" s="625">
        <f>IF(G241="L",0,
IF(AND(E241="Friendly",F241="T1",G241="W"),'US CBAs'!$J$19,
IF(AND(E241="Friendly",F241="T2",G241="W"),'US CBAs'!$J$20,
IF(AND(E241="Friendly",F241="",G241="W"),'US CBAs'!$J$21,
IF(AND(E241="Friendly",F241="T1",G241="D"),'US CBAs'!$J$22,
IF(AND(E241="Friendly",F241="",G241="D"),'US CBAs'!$J$23,
IF(AND(E241="WC qual",G241="W"),'US CBAs'!$J$27,
IF(AND(E241="WC qual",G241="D"),0,
IF(AND(E241="Oly qual",G241="W"),'US CBAs'!$J$27,
IF(AND(E241="Oly qual",G241="D"),0,
IF(E241="Olympics",0,
IF(E241="World Cup",'US CBAs'!$J$14,
0))))))))))))</f>
        <v>5250</v>
      </c>
      <c r="L241" s="642">
        <v>18</v>
      </c>
      <c r="M241" s="626">
        <f>$K241+'US CBAs'!$J$13</f>
        <v>9000</v>
      </c>
      <c r="N241" s="642">
        <v>5</v>
      </c>
      <c r="O241" s="627">
        <f t="shared" si="12"/>
        <v>139500</v>
      </c>
      <c r="P241" s="626">
        <f>IF(J241="",I241*'US CBAs'!$K$55,0)</f>
        <v>39498</v>
      </c>
      <c r="Q241" s="627">
        <f t="shared" si="11"/>
        <v>178998</v>
      </c>
    </row>
    <row r="242" spans="1:17" x14ac:dyDescent="0.35">
      <c r="A242" s="637" t="s">
        <v>223</v>
      </c>
      <c r="B242" s="638">
        <v>11</v>
      </c>
      <c r="C242" s="638">
        <v>2019</v>
      </c>
      <c r="D242" s="638" t="s">
        <v>78</v>
      </c>
      <c r="E242" s="623" t="s">
        <v>1</v>
      </c>
      <c r="F242" s="638"/>
      <c r="G242" s="638" t="s">
        <v>20</v>
      </c>
      <c r="H242" s="623" t="s">
        <v>53</v>
      </c>
      <c r="I242" s="640">
        <v>18591</v>
      </c>
      <c r="J242" s="645" t="s">
        <v>218</v>
      </c>
      <c r="K242" s="625">
        <f>IF(G242="L",0,
IF(AND(E242="Friendly",F242="T1",G242="W"),'US CBAs'!$J$19,
IF(AND(E242="Friendly",F242="T2",G242="W"),'US CBAs'!$J$20,
IF(AND(E242="Friendly",F242="",G242="W"),'US CBAs'!$J$21,
IF(AND(E242="Friendly",F242="T1",G242="D"),'US CBAs'!$J$22,
IF(AND(E242="Friendly",F242="",G242="D"),'US CBAs'!$J$23,
IF(AND(E242="WC qual",G242="W"),'US CBAs'!$J$27,
IF(AND(E242="WC qual",G242="D"),0,
IF(AND(E242="Oly qual",G242="W"),'US CBAs'!$J$27,
IF(AND(E242="Oly qual",G242="D"),0,
IF(E242="Olympics",0,
IF(E242="World Cup",'US CBAs'!$J$14,
0))))))))))))</f>
        <v>4500</v>
      </c>
      <c r="L242" s="642">
        <v>18</v>
      </c>
      <c r="M242" s="626">
        <f>$K242+'US CBAs'!$J$13</f>
        <v>8250</v>
      </c>
      <c r="N242" s="642">
        <v>5</v>
      </c>
      <c r="O242" s="627">
        <f t="shared" si="12"/>
        <v>122250</v>
      </c>
      <c r="P242" s="626">
        <f>IF(J242="",I242*'US CBAs'!$K$55,0)</f>
        <v>0</v>
      </c>
      <c r="Q242" s="627">
        <f t="shared" si="11"/>
        <v>122250</v>
      </c>
    </row>
    <row r="243" spans="1:17" x14ac:dyDescent="0.35">
      <c r="A243" s="637" t="s">
        <v>223</v>
      </c>
      <c r="B243" s="638">
        <v>16</v>
      </c>
      <c r="C243" s="638">
        <v>2019</v>
      </c>
      <c r="D243" s="638" t="s">
        <v>66</v>
      </c>
      <c r="E243" s="623" t="s">
        <v>1</v>
      </c>
      <c r="F243" s="638"/>
      <c r="G243" s="638" t="s">
        <v>20</v>
      </c>
      <c r="H243" s="623" t="s">
        <v>53</v>
      </c>
      <c r="I243" s="640">
        <v>45594</v>
      </c>
      <c r="J243" s="645" t="s">
        <v>218</v>
      </c>
      <c r="K243" s="625">
        <f>IF(G243="L",0,
IF(AND(E243="Friendly",F243="T1",G243="W"),'US CBAs'!$J$19,
IF(AND(E243="Friendly",F243="T2",G243="W"),'US CBAs'!$J$20,
IF(AND(E243="Friendly",F243="",G243="W"),'US CBAs'!$J$21,
IF(AND(E243="Friendly",F243="T1",G243="D"),'US CBAs'!$J$22,
IF(AND(E243="Friendly",F243="",G243="D"),'US CBAs'!$J$23,
IF(AND(E243="WC qual",G243="W"),'US CBAs'!$J$27,
IF(AND(E243="WC qual",G243="D"),0,
IF(AND(E243="Oly qual",G243="W"),'US CBAs'!$J$27,
IF(AND(E243="Oly qual",G243="D"),0,
IF(E243="Olympics",0,
IF(E243="World Cup",'US CBAs'!$J$14,
0))))))))))))</f>
        <v>4500</v>
      </c>
      <c r="L243" s="642">
        <v>18</v>
      </c>
      <c r="M243" s="626">
        <f>$K243+'US CBAs'!$J$13</f>
        <v>8250</v>
      </c>
      <c r="N243" s="642">
        <v>5</v>
      </c>
      <c r="O243" s="627">
        <f t="shared" si="12"/>
        <v>122250</v>
      </c>
      <c r="P243" s="626">
        <f>IF(J243="",I243*'US CBAs'!$K$55,0)</f>
        <v>0</v>
      </c>
      <c r="Q243" s="627">
        <f t="shared" si="11"/>
        <v>122250</v>
      </c>
    </row>
    <row r="244" spans="1:17" x14ac:dyDescent="0.35">
      <c r="A244" s="672" t="s">
        <v>223</v>
      </c>
      <c r="B244" s="630">
        <v>20</v>
      </c>
      <c r="C244" s="638">
        <v>2019</v>
      </c>
      <c r="D244" s="638" t="s">
        <v>26</v>
      </c>
      <c r="E244" s="623" t="s">
        <v>1</v>
      </c>
      <c r="F244" s="638"/>
      <c r="G244" s="638" t="s">
        <v>20</v>
      </c>
      <c r="H244" s="623" t="s">
        <v>53</v>
      </c>
      <c r="I244" s="640">
        <v>22418</v>
      </c>
      <c r="J244" s="645" t="s">
        <v>218</v>
      </c>
      <c r="K244" s="625">
        <f>IF(G244="L",0,
IF(AND(E244="Friendly",F244="T1",G244="W"),'US CBAs'!$J$19,
IF(AND(E244="Friendly",F244="T2",G244="W"),'US CBAs'!$J$20,
IF(AND(E244="Friendly",F244="",G244="W"),'US CBAs'!$J$21,
IF(AND(E244="Friendly",F244="T1",G244="D"),'US CBAs'!$J$22,
IF(AND(E244="Friendly",F244="",G244="D"),'US CBAs'!$J$23,
IF(AND(E244="WC qual",G244="W"),'US CBAs'!$J$27,
IF(AND(E244="WC qual",G244="D"),0,
IF(AND(E244="Oly qual",G244="W"),'US CBAs'!$J$27,
IF(AND(E244="Oly qual",G244="D"),0,
IF(E244="Olympics",0,
IF(E244="World Cup",'US CBAs'!$J$14,
0))))))))))))</f>
        <v>4500</v>
      </c>
      <c r="L244" s="642">
        <v>18</v>
      </c>
      <c r="M244" s="626">
        <f>$K244+'US CBAs'!$J$13</f>
        <v>8250</v>
      </c>
      <c r="N244" s="642">
        <v>5</v>
      </c>
      <c r="O244" s="627">
        <f t="shared" si="12"/>
        <v>122250</v>
      </c>
      <c r="P244" s="626">
        <f>IF(J244="",I244*'US CBAs'!$K$55,0)</f>
        <v>0</v>
      </c>
      <c r="Q244" s="627">
        <f t="shared" si="11"/>
        <v>122250</v>
      </c>
    </row>
    <row r="245" spans="1:17" x14ac:dyDescent="0.35">
      <c r="A245" s="672" t="s">
        <v>223</v>
      </c>
      <c r="B245" s="630">
        <v>24</v>
      </c>
      <c r="C245" s="638">
        <v>2019</v>
      </c>
      <c r="D245" s="638" t="s">
        <v>256</v>
      </c>
      <c r="E245" s="623" t="s">
        <v>1</v>
      </c>
      <c r="F245" s="638"/>
      <c r="G245" s="638" t="s">
        <v>20</v>
      </c>
      <c r="H245" s="623" t="s">
        <v>53</v>
      </c>
      <c r="I245" s="640">
        <v>19633</v>
      </c>
      <c r="J245" s="645" t="s">
        <v>218</v>
      </c>
      <c r="K245" s="625">
        <f>IF(G245="L",0,
IF(AND(E245="Friendly",F245="T1",G245="W"),'US CBAs'!$J$19,
IF(AND(E245="Friendly",F245="T2",G245="W"),'US CBAs'!$J$20,
IF(AND(E245="Friendly",F245="",G245="W"),'US CBAs'!$J$21,
IF(AND(E245="Friendly",F245="T1",G245="D"),'US CBAs'!$J$22,
IF(AND(E245="Friendly",F245="",G245="D"),'US CBAs'!$J$23,
IF(AND(E245="WC qual",G245="W"),'US CBAs'!$J$27,
IF(AND(E245="WC qual",G245="D"),0,
IF(AND(E245="Oly qual",G245="W"),'US CBAs'!$J$27,
IF(AND(E245="Oly qual",G245="D"),0,
IF(E245="Olympics",0,
IF(E245="World Cup",'US CBAs'!$J$14,
0))))))))))))</f>
        <v>4500</v>
      </c>
      <c r="L245" s="642">
        <v>18</v>
      </c>
      <c r="M245" s="626">
        <f>$K245+'US CBAs'!$J$13</f>
        <v>8250</v>
      </c>
      <c r="N245" s="642">
        <v>5</v>
      </c>
      <c r="O245" s="627">
        <f t="shared" si="12"/>
        <v>122250</v>
      </c>
      <c r="P245" s="626">
        <f>IF(J245="",I245*'US CBAs'!$K$55,0)</f>
        <v>0</v>
      </c>
      <c r="Q245" s="627">
        <f t="shared" si="11"/>
        <v>122250</v>
      </c>
    </row>
    <row r="246" spans="1:17" x14ac:dyDescent="0.35">
      <c r="A246" s="672" t="s">
        <v>223</v>
      </c>
      <c r="B246" s="630">
        <v>28</v>
      </c>
      <c r="C246" s="638">
        <v>2019</v>
      </c>
      <c r="D246" s="638" t="s">
        <v>53</v>
      </c>
      <c r="E246" s="623" t="s">
        <v>1</v>
      </c>
      <c r="F246" s="638"/>
      <c r="G246" s="638" t="s">
        <v>20</v>
      </c>
      <c r="H246" s="623" t="s">
        <v>53</v>
      </c>
      <c r="I246" s="640">
        <v>45595</v>
      </c>
      <c r="J246" s="645" t="s">
        <v>218</v>
      </c>
      <c r="K246" s="625">
        <f>IF(G246="L",0,
IF(AND(E246="Friendly",F246="T1",G246="W"),'US CBAs'!$J$19,
IF(AND(E246="Friendly",F246="T2",G246="W"),'US CBAs'!$J$20,
IF(AND(E246="Friendly",F246="",G246="W"),'US CBAs'!$J$21,
IF(AND(E246="Friendly",F246="T1",G246="D"),'US CBAs'!$J$22,
IF(AND(E246="Friendly",F246="",G246="D"),'US CBAs'!$J$23,
IF(AND(E246="WC qual",G246="W"),'US CBAs'!$J$27,
IF(AND(E246="WC qual",G246="D"),0,
IF(AND(E246="Oly qual",G246="W"),'US CBAs'!$J$27,
IF(AND(E246="Oly qual",G246="D"),0,
IF(E246="Olympics",0,
IF(E246="World Cup",'US CBAs'!$J$14,
0))))))))))))</f>
        <v>4500</v>
      </c>
      <c r="L246" s="642">
        <v>18</v>
      </c>
      <c r="M246" s="626">
        <f>$K246+'US CBAs'!$J$13</f>
        <v>8250</v>
      </c>
      <c r="N246" s="642">
        <v>5</v>
      </c>
      <c r="O246" s="627">
        <f t="shared" si="12"/>
        <v>122250</v>
      </c>
      <c r="P246" s="626">
        <f>IF(J246="",I246*'US CBAs'!$K$55,0)</f>
        <v>0</v>
      </c>
      <c r="Q246" s="627">
        <f t="shared" si="11"/>
        <v>122250</v>
      </c>
    </row>
    <row r="247" spans="1:17" x14ac:dyDescent="0.35">
      <c r="A247" s="672" t="s">
        <v>230</v>
      </c>
      <c r="B247" s="630">
        <v>2</v>
      </c>
      <c r="C247" s="638">
        <v>2019</v>
      </c>
      <c r="D247" s="638" t="s">
        <v>61</v>
      </c>
      <c r="E247" s="623" t="s">
        <v>1</v>
      </c>
      <c r="F247" s="638"/>
      <c r="G247" s="638" t="s">
        <v>20</v>
      </c>
      <c r="H247" s="623" t="s">
        <v>53</v>
      </c>
      <c r="I247" s="640">
        <v>53512</v>
      </c>
      <c r="J247" s="645" t="s">
        <v>218</v>
      </c>
      <c r="K247" s="625">
        <f>IF(G247="L",0,
IF(AND(E247="Friendly",F247="T1",G247="W"),'US CBAs'!$J$19,
IF(AND(E247="Friendly",F247="T2",G247="W"),'US CBAs'!$J$20,
IF(AND(E247="Friendly",F247="",G247="W"),'US CBAs'!$J$21,
IF(AND(E247="Friendly",F247="T1",G247="D"),'US CBAs'!$J$22,
IF(AND(E247="Friendly",F247="",G247="D"),'US CBAs'!$J$23,
IF(AND(E247="WC qual",G247="W"),'US CBAs'!$J$27,
IF(AND(E247="WC qual",G247="D"),0,
IF(AND(E247="Oly qual",G247="W"),'US CBAs'!$J$27,
IF(AND(E247="Oly qual",G247="D"),0,
IF(E247="Olympics",0,
IF(E247="World Cup",'US CBAs'!$J$14,
0))))))))))))</f>
        <v>4500</v>
      </c>
      <c r="L247" s="642">
        <v>18</v>
      </c>
      <c r="M247" s="626">
        <f>$K247+'US CBAs'!$J$13</f>
        <v>8250</v>
      </c>
      <c r="N247" s="642">
        <v>5</v>
      </c>
      <c r="O247" s="627">
        <f t="shared" si="12"/>
        <v>122250</v>
      </c>
      <c r="P247" s="626">
        <f>IF(J247="",I247*'US CBAs'!$K$55,0)</f>
        <v>0</v>
      </c>
      <c r="Q247" s="627">
        <f t="shared" si="11"/>
        <v>122250</v>
      </c>
    </row>
    <row r="248" spans="1:17" x14ac:dyDescent="0.35">
      <c r="A248" s="637" t="s">
        <v>230</v>
      </c>
      <c r="B248" s="638">
        <v>7</v>
      </c>
      <c r="C248" s="638">
        <v>2019</v>
      </c>
      <c r="D248" s="638" t="s">
        <v>30</v>
      </c>
      <c r="E248" s="623" t="s">
        <v>1</v>
      </c>
      <c r="F248" s="638"/>
      <c r="G248" s="638" t="s">
        <v>20</v>
      </c>
      <c r="H248" s="623" t="s">
        <v>53</v>
      </c>
      <c r="I248" s="640">
        <v>53512</v>
      </c>
      <c r="J248" s="645" t="s">
        <v>218</v>
      </c>
      <c r="K248" s="625">
        <f>IF(G248="L",0,
IF(AND(E248="Friendly",F248="T1",G248="W"),'US CBAs'!$J$19,
IF(AND(E248="Friendly",F248="T2",G248="W"),'US CBAs'!$J$20,
IF(AND(E248="Friendly",F248="",G248="W"),'US CBAs'!$J$21,
IF(AND(E248="Friendly",F248="T1",G248="D"),'US CBAs'!$J$22,
IF(AND(E248="Friendly",F248="",G248="D"),'US CBAs'!$J$23,
IF(AND(E248="WC qual",G248="W"),'US CBAs'!$J$27,
IF(AND(E248="WC qual",G248="D"),0,
IF(AND(E248="Oly qual",G248="W"),'US CBAs'!$J$27,
IF(AND(E248="Oly qual",G248="D"),0,
IF(E248="Olympics",0,
IF(E248="World Cup",'US CBAs'!$J$14,
0))))))))))))</f>
        <v>4500</v>
      </c>
      <c r="L248" s="642">
        <v>18</v>
      </c>
      <c r="M248" s="626">
        <f>$K248+'US CBAs'!$J$13</f>
        <v>8250</v>
      </c>
      <c r="N248" s="642">
        <v>5</v>
      </c>
      <c r="O248" s="627">
        <f t="shared" si="12"/>
        <v>122250</v>
      </c>
      <c r="P248" s="626">
        <f>IF(J248="",I248*'US CBAs'!$K$55,0)</f>
        <v>0</v>
      </c>
      <c r="Q248" s="627">
        <f t="shared" si="11"/>
        <v>122250</v>
      </c>
    </row>
    <row r="249" spans="1:17" x14ac:dyDescent="0.35">
      <c r="A249" s="637" t="s">
        <v>203</v>
      </c>
      <c r="B249" s="638">
        <v>3</v>
      </c>
      <c r="C249" s="638">
        <v>2019</v>
      </c>
      <c r="D249" s="638" t="s">
        <v>519</v>
      </c>
      <c r="E249" s="623" t="s">
        <v>220</v>
      </c>
      <c r="F249" s="638"/>
      <c r="G249" s="638" t="s">
        <v>20</v>
      </c>
      <c r="H249" s="623" t="s">
        <v>481</v>
      </c>
      <c r="I249" s="640">
        <v>37040</v>
      </c>
      <c r="J249" s="641"/>
      <c r="K249" s="625">
        <f>IF(G249="L",0,
IF(AND(E249="Friendly",F249="T1",G249="W"),'US CBAs'!$J$19,
IF(AND(E249="Friendly",F249="T2",G249="W"),'US CBAs'!$J$20,
IF(AND(E249="Friendly",F249="",G249="W"),'US CBAs'!$J$21,
IF(AND(E249="Friendly",F249="T1",G249="D"),'US CBAs'!$J$22,
IF(AND(E249="Friendly",F249="",G249="D"),'US CBAs'!$J$23,
IF(AND(E249="WC qual",G249="W"),'US CBAs'!$J$27,
IF(AND(E249="WC qual",G249="D"),0,
IF(AND(E249="Oly qual",G249="W"),'US CBAs'!$J$27,
IF(AND(E249="Oly qual",G249="D"),0,
IF(E249="Olympics",0,
IF(E249="World Cup",'US CBAs'!$J$14,
0))))))))))))</f>
        <v>5250</v>
      </c>
      <c r="L249" s="642">
        <v>16</v>
      </c>
      <c r="M249" s="626">
        <f>$K249+'US CBAs'!$J$13</f>
        <v>9000</v>
      </c>
      <c r="N249" s="642">
        <v>5</v>
      </c>
      <c r="O249" s="627">
        <f t="shared" si="12"/>
        <v>129000</v>
      </c>
      <c r="P249" s="626">
        <f>IF(J249="",I249*'US CBAs'!$K$55,0)</f>
        <v>55560</v>
      </c>
      <c r="Q249" s="627">
        <f t="shared" si="11"/>
        <v>184560</v>
      </c>
    </row>
    <row r="250" spans="1:17" x14ac:dyDescent="0.35">
      <c r="A250" s="637" t="s">
        <v>203</v>
      </c>
      <c r="B250" s="638">
        <v>29</v>
      </c>
      <c r="C250" s="638">
        <v>2019</v>
      </c>
      <c r="D250" s="638" t="s">
        <v>520</v>
      </c>
      <c r="E250" s="623" t="s">
        <v>220</v>
      </c>
      <c r="F250" s="638"/>
      <c r="G250" s="638" t="s">
        <v>20</v>
      </c>
      <c r="H250" s="623" t="s">
        <v>484</v>
      </c>
      <c r="I250" s="640">
        <v>49504</v>
      </c>
      <c r="J250" s="641"/>
      <c r="K250" s="625">
        <f>IF(G250="L",0,
IF(AND(E250="Friendly",F250="T1",G250="W"),'US CBAs'!$J$19,
IF(AND(E250="Friendly",F250="T2",G250="W"),'US CBAs'!$J$20,
IF(AND(E250="Friendly",F250="",G250="W"),'US CBAs'!$J$21,
IF(AND(E250="Friendly",F250="T1",G250="D"),'US CBAs'!$J$22,
IF(AND(E250="Friendly",F250="",G250="D"),'US CBAs'!$J$23,
IF(AND(E250="WC qual",G250="W"),'US CBAs'!$J$27,
IF(AND(E250="WC qual",G250="D"),0,
IF(AND(E250="Oly qual",G250="W"),'US CBAs'!$J$27,
IF(AND(E250="Oly qual",G250="D"),0,
IF(E250="Olympics",0,
IF(E250="World Cup",'US CBAs'!$J$14,
0))))))))))))</f>
        <v>5250</v>
      </c>
      <c r="L250" s="642">
        <v>14</v>
      </c>
      <c r="M250" s="626">
        <f>$K250+'US CBAs'!$J$13</f>
        <v>9000</v>
      </c>
      <c r="N250" s="642">
        <v>6</v>
      </c>
      <c r="O250" s="627">
        <f t="shared" si="12"/>
        <v>127500</v>
      </c>
      <c r="P250" s="626">
        <f>IF(J250="",I250*'US CBAs'!$K$55,0)</f>
        <v>74256</v>
      </c>
      <c r="Q250" s="627">
        <f t="shared" si="11"/>
        <v>201756</v>
      </c>
    </row>
    <row r="251" spans="1:17" x14ac:dyDescent="0.35">
      <c r="A251" s="637" t="s">
        <v>222</v>
      </c>
      <c r="B251" s="638">
        <v>3</v>
      </c>
      <c r="C251" s="638">
        <v>2019</v>
      </c>
      <c r="D251" s="638" t="s">
        <v>520</v>
      </c>
      <c r="E251" s="623" t="s">
        <v>220</v>
      </c>
      <c r="F251" s="638"/>
      <c r="G251" s="638" t="s">
        <v>20</v>
      </c>
      <c r="H251" s="638" t="s">
        <v>506</v>
      </c>
      <c r="I251" s="640">
        <v>19600</v>
      </c>
      <c r="J251" s="641"/>
      <c r="K251" s="625">
        <f>IF(G251="L",0,
IF(AND(E251="Friendly",F251="T1",G251="W"),'US CBAs'!$J$19,
IF(AND(E251="Friendly",F251="T2",G251="W"),'US CBAs'!$J$20,
IF(AND(E251="Friendly",F251="",G251="W"),'US CBAs'!$J$21,
IF(AND(E251="Friendly",F251="T1",G251="D"),'US CBAs'!$J$22,
IF(AND(E251="Friendly",F251="",G251="D"),'US CBAs'!$J$23,
IF(AND(E251="WC qual",G251="W"),'US CBAs'!$J$27,
IF(AND(E251="WC qual",G251="D"),0,
IF(AND(E251="Oly qual",G251="W"),'US CBAs'!$J$27,
IF(AND(E251="Oly qual",G251="D"),0,
IF(E251="Olympics",0,
IF(E251="World Cup",'US CBAs'!$J$14,
0))))))))))))</f>
        <v>5250</v>
      </c>
      <c r="L251" s="642">
        <v>14</v>
      </c>
      <c r="M251" s="626">
        <f>$K251+'US CBAs'!$J$13</f>
        <v>9000</v>
      </c>
      <c r="N251" s="642">
        <v>6</v>
      </c>
      <c r="O251" s="627">
        <f t="shared" si="12"/>
        <v>127500</v>
      </c>
      <c r="P251" s="626">
        <f>IF(J251="",I251*'US CBAs'!$K$55,0)</f>
        <v>29400</v>
      </c>
      <c r="Q251" s="627">
        <f t="shared" si="11"/>
        <v>156900</v>
      </c>
    </row>
    <row r="252" spans="1:17" x14ac:dyDescent="0.35">
      <c r="A252" s="637" t="s">
        <v>189</v>
      </c>
      <c r="B252" s="638">
        <v>3</v>
      </c>
      <c r="C252" s="638">
        <v>2019</v>
      </c>
      <c r="D252" s="638" t="s">
        <v>521</v>
      </c>
      <c r="E252" s="623" t="s">
        <v>220</v>
      </c>
      <c r="F252" s="638"/>
      <c r="G252" s="638" t="s">
        <v>20</v>
      </c>
      <c r="H252" s="623" t="s">
        <v>502</v>
      </c>
      <c r="I252" s="640">
        <v>30071</v>
      </c>
      <c r="J252" s="641"/>
      <c r="K252" s="625">
        <f>IF(G252="L",0,
IF(AND(E252="Friendly",F252="T1",G252="W"),'US CBAs'!$J$19,
IF(AND(E252="Friendly",F252="T2",G252="W"),'US CBAs'!$J$20,
IF(AND(E252="Friendly",F252="",G252="W"),'US CBAs'!$J$21,
IF(AND(E252="Friendly",F252="T1",G252="D"),'US CBAs'!$J$22,
IF(AND(E252="Friendly",F252="",G252="D"),'US CBAs'!$J$23,
IF(AND(E252="WC qual",G252="W"),'US CBAs'!$J$27,
IF(AND(E252="WC qual",G252="D"),0,
IF(AND(E252="Oly qual",G252="W"),'US CBAs'!$J$27,
IF(AND(E252="Oly qual",G252="D"),0,
IF(E252="Olympics",0,
IF(E252="World Cup",'US CBAs'!$J$14,
0))))))))))))</f>
        <v>5250</v>
      </c>
      <c r="L252" s="642">
        <v>13</v>
      </c>
      <c r="M252" s="626">
        <f>$K252+'US CBAs'!$J$13</f>
        <v>9000</v>
      </c>
      <c r="N252" s="642">
        <v>5</v>
      </c>
      <c r="O252" s="627">
        <f t="shared" si="12"/>
        <v>113250</v>
      </c>
      <c r="P252" s="626">
        <f>IF(J252="",I252*'US CBAs'!$K$55,0)</f>
        <v>45106.5</v>
      </c>
      <c r="Q252" s="627">
        <f t="shared" si="11"/>
        <v>158356.5</v>
      </c>
    </row>
    <row r="253" spans="1:17" x14ac:dyDescent="0.35">
      <c r="A253" s="637" t="s">
        <v>189</v>
      </c>
      <c r="B253" s="638">
        <v>6</v>
      </c>
      <c r="C253" s="638">
        <v>2019</v>
      </c>
      <c r="D253" s="638" t="s">
        <v>521</v>
      </c>
      <c r="E253" s="623" t="s">
        <v>220</v>
      </c>
      <c r="F253" s="638"/>
      <c r="G253" s="638" t="s">
        <v>83</v>
      </c>
      <c r="H253" s="623" t="s">
        <v>487</v>
      </c>
      <c r="I253" s="640">
        <v>33027</v>
      </c>
      <c r="J253" s="641"/>
      <c r="K253" s="625">
        <f>IF(G253="L",0,
IF(AND(E253="Friendly",F253="T1",G253="W"),'US CBAs'!$J$19,
IF(AND(E253="Friendly",F253="T2",G253="W"),'US CBAs'!$J$20,
IF(AND(E253="Friendly",F253="",G253="W"),'US CBAs'!$J$21,
IF(AND(E253="Friendly",F253="T1",G253="D"),'US CBAs'!$J$22,
IF(AND(E253="Friendly",F253="",G253="D"),'US CBAs'!$J$23,
IF(AND(E253="WC qual",G253="W"),'US CBAs'!$J$27,
IF(AND(E253="WC qual",G253="D"),0,
IF(AND(E253="Oly qual",G253="W"),'US CBAs'!$J$27,
IF(AND(E253="Oly qual",G253="D"),0,
IF(E253="Olympics",0,
IF(E253="World Cup",'US CBAs'!$J$14,
0))))))))))))</f>
        <v>1250</v>
      </c>
      <c r="L253" s="642">
        <v>13</v>
      </c>
      <c r="M253" s="626">
        <f>$K253+'US CBAs'!$J$13</f>
        <v>5000</v>
      </c>
      <c r="N253" s="642">
        <v>6</v>
      </c>
      <c r="O253" s="627">
        <f t="shared" si="12"/>
        <v>46250</v>
      </c>
      <c r="P253" s="626">
        <f>IF(J253="",I253*'US CBAs'!$K$55,0)</f>
        <v>49540.5</v>
      </c>
      <c r="Q253" s="627">
        <f t="shared" si="11"/>
        <v>95790.5</v>
      </c>
    </row>
    <row r="254" spans="1:17" x14ac:dyDescent="0.35">
      <c r="A254" s="637" t="s">
        <v>190</v>
      </c>
      <c r="B254" s="638">
        <v>7</v>
      </c>
      <c r="C254" s="638">
        <v>2019</v>
      </c>
      <c r="D254" s="638" t="s">
        <v>522</v>
      </c>
      <c r="E254" s="623" t="s">
        <v>220</v>
      </c>
      <c r="F254" s="638"/>
      <c r="G254" s="638" t="s">
        <v>20</v>
      </c>
      <c r="H254" s="623" t="s">
        <v>495</v>
      </c>
      <c r="I254" s="640">
        <v>20903</v>
      </c>
      <c r="J254" s="641"/>
      <c r="K254" s="625">
        <f>IF(G254="L",0,
IF(AND(E254="Friendly",F254="T1",G254="W"),'US CBAs'!$J$19,
IF(AND(E254="Friendly",F254="T2",G254="W"),'US CBAs'!$J$20,
IF(AND(E254="Friendly",F254="",G254="W"),'US CBAs'!$J$21,
IF(AND(E254="Friendly",F254="T1",G254="D"),'US CBAs'!$J$22,
IF(AND(E254="Friendly",F254="",G254="D"),'US CBAs'!$J$23,
IF(AND(E254="WC qual",G254="W"),'US CBAs'!$J$27,
IF(AND(E254="WC qual",G254="D"),0,
IF(AND(E254="Oly qual",G254="W"),'US CBAs'!$J$27,
IF(AND(E254="Oly qual",G254="D"),0,
IF(E254="Olympics",0,
IF(E254="World Cup",'US CBAs'!$J$14,
0))))))))))))</f>
        <v>5250</v>
      </c>
      <c r="L254" s="642">
        <v>13</v>
      </c>
      <c r="M254" s="626">
        <f>$K254+'US CBAs'!$J$13</f>
        <v>9000</v>
      </c>
      <c r="N254" s="642">
        <v>5</v>
      </c>
      <c r="O254" s="627">
        <f t="shared" si="12"/>
        <v>113250</v>
      </c>
      <c r="P254" s="626">
        <f>IF(J254="",I254*'US CBAs'!$K$55,0)</f>
        <v>31354.5</v>
      </c>
      <c r="Q254" s="627">
        <f t="shared" si="11"/>
        <v>144604.5</v>
      </c>
    </row>
    <row r="255" spans="1:17" x14ac:dyDescent="0.35">
      <c r="A255" s="637" t="s">
        <v>190</v>
      </c>
      <c r="B255" s="638">
        <v>10</v>
      </c>
      <c r="C255" s="638">
        <v>2019</v>
      </c>
      <c r="D255" s="638" t="s">
        <v>523</v>
      </c>
      <c r="E255" s="623" t="s">
        <v>220</v>
      </c>
      <c r="F255" s="638"/>
      <c r="G255" s="638" t="s">
        <v>20</v>
      </c>
      <c r="H255" s="639" t="s">
        <v>482</v>
      </c>
      <c r="I255" s="640">
        <v>12914</v>
      </c>
      <c r="J255" s="641"/>
      <c r="K255" s="625">
        <f>IF(G255="L",0,
IF(AND(E255="Friendly",F255="T1",G255="W"),'US CBAs'!$J$19,
IF(AND(E255="Friendly",F255="T2",G255="W"),'US CBAs'!$J$20,
IF(AND(E255="Friendly",F255="",G255="W"),'US CBAs'!$J$21,
IF(AND(E255="Friendly",F255="T1",G255="D"),'US CBAs'!$J$22,
IF(AND(E255="Friendly",F255="",G255="D"),'US CBAs'!$J$23,
IF(AND(E255="WC qual",G255="W"),'US CBAs'!$J$27,
IF(AND(E255="WC qual",G255="D"),0,
IF(AND(E255="Oly qual",G255="W"),'US CBAs'!$J$27,
IF(AND(E255="Oly qual",G255="D"),0,
IF(E255="Olympics",0,
IF(E255="World Cup",'US CBAs'!$J$14,
0))))))))))))</f>
        <v>5250</v>
      </c>
      <c r="L255" s="642">
        <v>9</v>
      </c>
      <c r="M255" s="626">
        <f>$K255+'US CBAs'!$J$13</f>
        <v>9000</v>
      </c>
      <c r="N255" s="642">
        <v>9</v>
      </c>
      <c r="O255" s="627">
        <f t="shared" si="12"/>
        <v>128250</v>
      </c>
      <c r="P255" s="626">
        <f>IF(J255="",I255*'US CBAs'!$K$55,0)</f>
        <v>19371</v>
      </c>
      <c r="Q255" s="627">
        <f t="shared" si="11"/>
        <v>147621</v>
      </c>
    </row>
    <row r="256" spans="1:17" x14ac:dyDescent="0.35">
      <c r="A256" s="647" t="s">
        <v>262</v>
      </c>
      <c r="B256" s="587">
        <v>30</v>
      </c>
      <c r="C256" s="643">
        <v>2019</v>
      </c>
      <c r="D256" s="638"/>
      <c r="E256" s="638"/>
      <c r="F256" s="638"/>
      <c r="G256" s="638"/>
      <c r="H256" s="668" t="s">
        <v>0</v>
      </c>
      <c r="I256" s="640"/>
      <c r="J256" s="669"/>
      <c r="K256" s="670">
        <v>100000</v>
      </c>
      <c r="L256" s="661">
        <v>18</v>
      </c>
      <c r="M256" s="671"/>
      <c r="N256" s="661"/>
      <c r="O256" s="663">
        <f t="shared" ref="O256:O257" si="13">(K256*L256)+(M256*N256)</f>
        <v>1800000</v>
      </c>
      <c r="P256" s="671"/>
      <c r="Q256" s="663">
        <f t="shared" si="11"/>
        <v>1800000</v>
      </c>
    </row>
    <row r="257" spans="1:17" x14ac:dyDescent="0.35">
      <c r="A257" s="647" t="s">
        <v>262</v>
      </c>
      <c r="B257" s="587">
        <v>31</v>
      </c>
      <c r="C257" s="643">
        <v>2019</v>
      </c>
      <c r="D257" s="638"/>
      <c r="E257" s="638"/>
      <c r="F257" s="638"/>
      <c r="G257" s="638"/>
      <c r="H257" s="668" t="s">
        <v>435</v>
      </c>
      <c r="I257" s="640"/>
      <c r="J257" s="669"/>
      <c r="K257" s="670">
        <f>IF(G257="L",0,
IF(AND(E257="Friendly",F257="T1",G257="W"),'US CBAs'!$J$19,
IF(AND(E257="Friendly",F257="T2",G257="W"),'US CBAs'!$J$20,
IF(AND(E257="Friendly",F257="",G257="W"),'US CBAs'!$J$21,
IF(AND(E257="Friendly",F257="T1",G257="D"),'US CBAs'!$J$22,
IF(AND(E257="Friendly",F257="",G257="D"),'US CBAs'!$J$23,
IF(AND(E257="WC qual",G257="W"),'US CBAs'!$J$27,
IF(AND(E257="WC qual",G257="D"),0,
IF(AND(E257="Oly qual",G257="W"),'US CBAs'!$J$27,
IF(AND(E257="Oly qual",G257="D"),0,
IF(E257="Olympics",0,
IF(E257="World Cup",'US CBAs'!$J$14,
0))))))))))))</f>
        <v>0</v>
      </c>
      <c r="L257" s="661"/>
      <c r="M257" s="671">
        <f>$K257+'US CBAs'!$J$13</f>
        <v>3750</v>
      </c>
      <c r="N257" s="661">
        <v>20</v>
      </c>
      <c r="O257" s="663">
        <f t="shared" si="13"/>
        <v>75000</v>
      </c>
      <c r="P257" s="671"/>
      <c r="Q257" s="663">
        <f t="shared" si="11"/>
        <v>75000</v>
      </c>
    </row>
    <row r="258" spans="1:17" x14ac:dyDescent="0.35">
      <c r="A258" s="574" t="s">
        <v>24</v>
      </c>
      <c r="B258" s="574"/>
      <c r="C258" s="574"/>
      <c r="D258" s="574"/>
      <c r="E258" s="575"/>
      <c r="F258" s="574"/>
      <c r="G258" s="574"/>
      <c r="H258" s="576"/>
      <c r="I258" s="577"/>
      <c r="J258" s="578"/>
      <c r="K258" s="579"/>
      <c r="L258" s="574"/>
      <c r="M258" s="580"/>
      <c r="N258" s="574"/>
      <c r="O258" s="575"/>
      <c r="P258" s="580"/>
      <c r="Q258" s="581">
        <f>SUBTOTAL(109,wotable[TEAM PAY])</f>
        <v>28388713</v>
      </c>
    </row>
    <row r="259" spans="1:17" x14ac:dyDescent="0.35">
      <c r="A259"/>
      <c r="B259"/>
      <c r="C259"/>
      <c r="D259"/>
      <c r="E259"/>
      <c r="F259"/>
      <c r="G259"/>
      <c r="H259"/>
      <c r="I259"/>
      <c r="J259"/>
      <c r="K259"/>
      <c r="L259"/>
      <c r="M259"/>
      <c r="N259"/>
      <c r="O259"/>
      <c r="P259"/>
      <c r="Q259"/>
    </row>
    <row r="260" spans="1:17" x14ac:dyDescent="0.35">
      <c r="A260"/>
      <c r="B260"/>
      <c r="C260"/>
      <c r="D260"/>
      <c r="E260"/>
      <c r="F260"/>
      <c r="G260"/>
      <c r="H260"/>
      <c r="I260"/>
      <c r="J260"/>
      <c r="K260"/>
      <c r="L260"/>
      <c r="M260"/>
      <c r="N260"/>
      <c r="O260"/>
      <c r="P260"/>
      <c r="Q260"/>
    </row>
    <row r="261" spans="1:17" x14ac:dyDescent="0.35">
      <c r="A261"/>
      <c r="B261"/>
      <c r="C261"/>
      <c r="D261"/>
      <c r="E261"/>
      <c r="F261"/>
      <c r="G261"/>
      <c r="H261"/>
      <c r="I261"/>
      <c r="J261"/>
      <c r="K261"/>
      <c r="L261"/>
      <c r="M261"/>
      <c r="N261"/>
      <c r="O261"/>
      <c r="P261"/>
      <c r="Q261"/>
    </row>
    <row r="262" spans="1:17" x14ac:dyDescent="0.35">
      <c r="A262"/>
      <c r="B262"/>
      <c r="C262"/>
      <c r="D262"/>
      <c r="E262"/>
      <c r="F262"/>
      <c r="G262"/>
      <c r="H262"/>
      <c r="I262"/>
      <c r="J262"/>
      <c r="K262"/>
      <c r="L262"/>
      <c r="M262"/>
      <c r="N262"/>
      <c r="O262"/>
      <c r="P262"/>
      <c r="Q262"/>
    </row>
    <row r="263" spans="1:17" x14ac:dyDescent="0.35">
      <c r="A263"/>
      <c r="B263"/>
      <c r="C263"/>
      <c r="D263"/>
      <c r="E263"/>
      <c r="F263"/>
      <c r="G263"/>
      <c r="H263"/>
      <c r="I263"/>
      <c r="J263"/>
      <c r="K263"/>
      <c r="L263"/>
      <c r="M263"/>
      <c r="N263"/>
      <c r="O263"/>
      <c r="P263"/>
      <c r="Q263"/>
    </row>
    <row r="264" spans="1:17" x14ac:dyDescent="0.35">
      <c r="A264"/>
      <c r="B264"/>
      <c r="C264"/>
      <c r="D264"/>
      <c r="E264"/>
      <c r="F264"/>
      <c r="G264"/>
      <c r="H264"/>
      <c r="I264"/>
      <c r="J264"/>
      <c r="K264"/>
      <c r="L264"/>
      <c r="M264"/>
      <c r="N264"/>
      <c r="O264"/>
      <c r="P264"/>
      <c r="Q264"/>
    </row>
    <row r="265" spans="1:17" x14ac:dyDescent="0.35">
      <c r="A265"/>
      <c r="B265"/>
      <c r="C265"/>
      <c r="D265"/>
      <c r="E265"/>
      <c r="F265"/>
      <c r="G265"/>
      <c r="H265"/>
      <c r="I265"/>
      <c r="J265"/>
      <c r="K265"/>
      <c r="L265"/>
      <c r="M265"/>
      <c r="N265"/>
      <c r="O265"/>
      <c r="P265"/>
      <c r="Q265"/>
    </row>
    <row r="266" spans="1:17" x14ac:dyDescent="0.35">
      <c r="A266"/>
      <c r="B266"/>
      <c r="C266"/>
      <c r="D266"/>
      <c r="E266"/>
      <c r="F266"/>
      <c r="G266"/>
      <c r="H266"/>
      <c r="I266"/>
      <c r="J266"/>
      <c r="K266"/>
      <c r="L266"/>
      <c r="M266"/>
      <c r="N266"/>
      <c r="O266"/>
      <c r="P266"/>
      <c r="Q266"/>
    </row>
    <row r="267" spans="1:17" x14ac:dyDescent="0.35">
      <c r="A267"/>
      <c r="B267"/>
      <c r="C267"/>
      <c r="D267"/>
      <c r="E267"/>
      <c r="F267"/>
      <c r="G267"/>
      <c r="H267"/>
      <c r="I267"/>
      <c r="J267"/>
      <c r="K267"/>
      <c r="L267"/>
      <c r="M267"/>
      <c r="N267"/>
      <c r="O267"/>
      <c r="P267"/>
      <c r="Q267"/>
    </row>
    <row r="268" spans="1:17" x14ac:dyDescent="0.35">
      <c r="A268"/>
      <c r="B268"/>
      <c r="C268"/>
      <c r="D268"/>
      <c r="E268"/>
      <c r="F268"/>
      <c r="G268"/>
      <c r="H268"/>
      <c r="I268"/>
      <c r="J268"/>
      <c r="K268"/>
      <c r="L268"/>
      <c r="M268"/>
      <c r="N268"/>
      <c r="O268"/>
      <c r="P268"/>
      <c r="Q268"/>
    </row>
    <row r="269" spans="1:17" x14ac:dyDescent="0.35">
      <c r="A269"/>
      <c r="B269"/>
      <c r="C269"/>
      <c r="D269"/>
      <c r="E269"/>
      <c r="F269"/>
      <c r="G269"/>
      <c r="H269"/>
      <c r="I269"/>
      <c r="J269"/>
      <c r="K269"/>
      <c r="L269"/>
      <c r="M269"/>
      <c r="N269"/>
      <c r="O269"/>
      <c r="P269"/>
      <c r="Q269"/>
    </row>
    <row r="270" spans="1:17" x14ac:dyDescent="0.35">
      <c r="A270"/>
      <c r="B270"/>
      <c r="C270"/>
      <c r="D270"/>
      <c r="E270"/>
      <c r="F270"/>
      <c r="G270"/>
      <c r="H270"/>
      <c r="I270"/>
      <c r="J270"/>
      <c r="K270"/>
      <c r="L270"/>
      <c r="M270"/>
      <c r="N270"/>
      <c r="O270"/>
      <c r="P270"/>
      <c r="Q270"/>
    </row>
    <row r="271" spans="1:17" x14ac:dyDescent="0.35">
      <c r="A271"/>
      <c r="B271"/>
      <c r="C271"/>
      <c r="D271"/>
      <c r="E271"/>
      <c r="F271"/>
      <c r="G271"/>
      <c r="H271"/>
      <c r="I271"/>
      <c r="J271"/>
      <c r="K271"/>
      <c r="L271"/>
      <c r="M271"/>
      <c r="N271"/>
      <c r="O271"/>
      <c r="P271"/>
      <c r="Q271"/>
    </row>
    <row r="272" spans="1:17" x14ac:dyDescent="0.35">
      <c r="A272"/>
      <c r="B272"/>
      <c r="C272"/>
      <c r="D272"/>
      <c r="E272"/>
      <c r="F272"/>
      <c r="G272"/>
      <c r="H272"/>
      <c r="I272"/>
      <c r="J272"/>
      <c r="K272"/>
      <c r="L272"/>
      <c r="M272"/>
      <c r="N272"/>
      <c r="O272"/>
      <c r="P272"/>
      <c r="Q272"/>
    </row>
    <row r="273" spans="1:17" x14ac:dyDescent="0.35">
      <c r="A273"/>
      <c r="B273"/>
      <c r="C273"/>
      <c r="D273"/>
      <c r="E273"/>
      <c r="F273"/>
      <c r="G273"/>
      <c r="H273"/>
      <c r="I273"/>
      <c r="J273"/>
      <c r="K273"/>
      <c r="L273"/>
      <c r="M273"/>
      <c r="N273"/>
      <c r="O273"/>
      <c r="P273"/>
      <c r="Q273"/>
    </row>
    <row r="274" spans="1:17" x14ac:dyDescent="0.35">
      <c r="A274"/>
      <c r="B274"/>
      <c r="C274"/>
      <c r="D274"/>
      <c r="E274"/>
      <c r="F274"/>
      <c r="G274"/>
      <c r="H274"/>
      <c r="I274"/>
      <c r="J274"/>
      <c r="K274"/>
      <c r="L274"/>
      <c r="M274"/>
      <c r="N274"/>
      <c r="O274"/>
      <c r="P274"/>
      <c r="Q274"/>
    </row>
    <row r="275" spans="1:17" x14ac:dyDescent="0.35">
      <c r="A275"/>
      <c r="B275"/>
      <c r="C275"/>
      <c r="D275"/>
      <c r="E275"/>
      <c r="F275"/>
      <c r="G275"/>
      <c r="H275"/>
      <c r="I275"/>
      <c r="J275"/>
      <c r="K275"/>
      <c r="L275"/>
      <c r="M275"/>
      <c r="N275"/>
      <c r="O275"/>
      <c r="P275"/>
      <c r="Q275"/>
    </row>
    <row r="276" spans="1:17" x14ac:dyDescent="0.35">
      <c r="A276"/>
      <c r="B276"/>
      <c r="C276"/>
      <c r="D276"/>
      <c r="E276"/>
      <c r="F276"/>
      <c r="G276"/>
      <c r="H276"/>
      <c r="I276"/>
      <c r="J276"/>
      <c r="K276"/>
      <c r="L276"/>
      <c r="M276"/>
      <c r="N276"/>
      <c r="O276"/>
      <c r="P276"/>
      <c r="Q276"/>
    </row>
    <row r="277" spans="1:17" x14ac:dyDescent="0.35">
      <c r="A277"/>
      <c r="B277"/>
      <c r="C277"/>
      <c r="D277"/>
      <c r="E277"/>
      <c r="F277"/>
      <c r="G277"/>
      <c r="H277"/>
      <c r="I277"/>
      <c r="J277"/>
      <c r="K277"/>
      <c r="L277"/>
      <c r="M277"/>
      <c r="N277"/>
      <c r="O277"/>
      <c r="P277"/>
      <c r="Q277"/>
    </row>
    <row r="278" spans="1:17" x14ac:dyDescent="0.35">
      <c r="A278"/>
      <c r="B278"/>
      <c r="C278"/>
      <c r="D278"/>
      <c r="E278"/>
      <c r="F278"/>
      <c r="G278"/>
      <c r="H278"/>
      <c r="I278"/>
      <c r="J278"/>
      <c r="K278"/>
      <c r="L278"/>
      <c r="M278"/>
      <c r="N278"/>
      <c r="O278"/>
      <c r="P278"/>
      <c r="Q278"/>
    </row>
    <row r="279" spans="1:17" x14ac:dyDescent="0.35">
      <c r="A279"/>
      <c r="B279"/>
      <c r="C279"/>
      <c r="D279"/>
      <c r="E279"/>
      <c r="F279"/>
      <c r="G279"/>
      <c r="H279"/>
      <c r="I279"/>
      <c r="J279"/>
      <c r="K279"/>
      <c r="L279"/>
      <c r="M279"/>
      <c r="N279"/>
      <c r="O279"/>
      <c r="P279"/>
      <c r="Q279"/>
    </row>
    <row r="280" spans="1:17" x14ac:dyDescent="0.35">
      <c r="A280"/>
      <c r="B280"/>
      <c r="C280"/>
      <c r="D280"/>
      <c r="E280"/>
      <c r="F280"/>
      <c r="G280"/>
      <c r="H280"/>
      <c r="I280"/>
      <c r="J280"/>
      <c r="K280"/>
      <c r="L280"/>
      <c r="M280"/>
      <c r="N280"/>
      <c r="O280"/>
      <c r="P280"/>
      <c r="Q280"/>
    </row>
    <row r="281" spans="1:17" x14ac:dyDescent="0.35">
      <c r="A281"/>
      <c r="B281"/>
      <c r="C281"/>
      <c r="D281"/>
      <c r="E281"/>
      <c r="F281"/>
      <c r="G281"/>
      <c r="H281"/>
      <c r="I281"/>
      <c r="J281"/>
      <c r="K281"/>
      <c r="L281"/>
      <c r="M281"/>
      <c r="N281"/>
      <c r="O281"/>
      <c r="P281"/>
      <c r="Q281"/>
    </row>
    <row r="282" spans="1:17" x14ac:dyDescent="0.35">
      <c r="A282"/>
      <c r="B282"/>
      <c r="C282"/>
      <c r="D282"/>
      <c r="E282"/>
      <c r="F282"/>
      <c r="G282"/>
      <c r="H282"/>
      <c r="I282"/>
      <c r="J282"/>
      <c r="K282"/>
      <c r="L282"/>
      <c r="M282"/>
      <c r="N282"/>
      <c r="O282"/>
      <c r="P282"/>
      <c r="Q282"/>
    </row>
    <row r="283" spans="1:17" x14ac:dyDescent="0.35">
      <c r="A283"/>
      <c r="B283"/>
      <c r="C283"/>
      <c r="D283"/>
      <c r="E283"/>
      <c r="F283"/>
      <c r="G283"/>
      <c r="H283"/>
      <c r="I283"/>
      <c r="J283"/>
      <c r="K283"/>
      <c r="L283"/>
      <c r="M283"/>
      <c r="N283"/>
      <c r="O283"/>
      <c r="P283"/>
      <c r="Q283"/>
    </row>
    <row r="284" spans="1:17" x14ac:dyDescent="0.35">
      <c r="A284"/>
      <c r="B284"/>
      <c r="C284"/>
      <c r="D284"/>
      <c r="E284"/>
      <c r="F284"/>
      <c r="G284"/>
      <c r="H284"/>
      <c r="I284"/>
      <c r="J284"/>
      <c r="K284"/>
      <c r="L284"/>
      <c r="M284"/>
      <c r="N284"/>
      <c r="O284"/>
      <c r="P284"/>
      <c r="Q284"/>
    </row>
    <row r="285" spans="1:17" x14ac:dyDescent="0.35">
      <c r="A285"/>
      <c r="B285"/>
      <c r="C285"/>
      <c r="D285"/>
      <c r="E285"/>
      <c r="F285"/>
      <c r="G285"/>
      <c r="H285"/>
      <c r="I285"/>
      <c r="J285"/>
      <c r="K285"/>
      <c r="L285"/>
      <c r="M285"/>
      <c r="N285"/>
      <c r="O285"/>
      <c r="P285"/>
      <c r="Q285"/>
    </row>
    <row r="286" spans="1:17" x14ac:dyDescent="0.35">
      <c r="A286"/>
      <c r="B286"/>
      <c r="C286"/>
      <c r="D286"/>
      <c r="E286"/>
      <c r="F286"/>
      <c r="G286"/>
      <c r="H286"/>
      <c r="I286"/>
      <c r="J286"/>
      <c r="K286"/>
      <c r="L286"/>
      <c r="M286"/>
      <c r="N286"/>
      <c r="O286"/>
      <c r="P286"/>
      <c r="Q286"/>
    </row>
    <row r="287" spans="1:17" x14ac:dyDescent="0.35">
      <c r="A287"/>
      <c r="B287"/>
      <c r="C287"/>
      <c r="D287"/>
      <c r="E287"/>
      <c r="F287"/>
      <c r="G287"/>
      <c r="H287"/>
      <c r="I287"/>
      <c r="J287"/>
      <c r="K287"/>
      <c r="L287"/>
      <c r="M287"/>
      <c r="N287"/>
      <c r="O287"/>
      <c r="P287"/>
      <c r="Q287"/>
    </row>
    <row r="288" spans="1:17" x14ac:dyDescent="0.35">
      <c r="A288"/>
      <c r="B288"/>
      <c r="C288"/>
      <c r="D288"/>
      <c r="E288"/>
      <c r="F288"/>
      <c r="G288"/>
      <c r="H288"/>
      <c r="I288"/>
      <c r="J288"/>
      <c r="K288"/>
      <c r="L288"/>
      <c r="M288"/>
      <c r="N288"/>
      <c r="O288"/>
      <c r="P288"/>
      <c r="Q288"/>
    </row>
    <row r="289" spans="1:17" x14ac:dyDescent="0.35">
      <c r="A289"/>
      <c r="B289"/>
      <c r="C289"/>
      <c r="D289"/>
      <c r="E289"/>
      <c r="F289"/>
      <c r="G289"/>
      <c r="H289"/>
      <c r="I289"/>
      <c r="J289"/>
      <c r="K289"/>
      <c r="L289"/>
      <c r="M289"/>
      <c r="N289"/>
      <c r="O289"/>
      <c r="P289"/>
      <c r="Q289"/>
    </row>
    <row r="290" spans="1:17" x14ac:dyDescent="0.35">
      <c r="A290"/>
      <c r="B290"/>
      <c r="C290"/>
      <c r="D290"/>
      <c r="E290"/>
      <c r="F290"/>
      <c r="G290"/>
      <c r="H290"/>
      <c r="I290"/>
      <c r="J290"/>
      <c r="K290"/>
      <c r="L290"/>
      <c r="M290"/>
      <c r="N290"/>
      <c r="O290"/>
      <c r="P290"/>
      <c r="Q290"/>
    </row>
    <row r="291" spans="1:17" x14ac:dyDescent="0.35">
      <c r="A291"/>
      <c r="B291"/>
      <c r="C291"/>
      <c r="D291"/>
      <c r="E291"/>
      <c r="F291"/>
      <c r="G291"/>
      <c r="H291"/>
      <c r="I291"/>
      <c r="J291"/>
      <c r="K291"/>
      <c r="L291"/>
      <c r="M291"/>
      <c r="N291"/>
      <c r="O291"/>
      <c r="P291"/>
      <c r="Q291"/>
    </row>
    <row r="292" spans="1:17" x14ac:dyDescent="0.35">
      <c r="A292"/>
      <c r="B292"/>
      <c r="C292"/>
      <c r="D292"/>
      <c r="E292"/>
      <c r="F292"/>
      <c r="G292"/>
      <c r="H292"/>
      <c r="I292"/>
      <c r="J292"/>
      <c r="K292"/>
      <c r="L292"/>
      <c r="M292"/>
      <c r="N292"/>
      <c r="O292"/>
      <c r="P292"/>
      <c r="Q292"/>
    </row>
    <row r="293" spans="1:17" x14ac:dyDescent="0.35">
      <c r="A293"/>
      <c r="B293"/>
      <c r="C293"/>
      <c r="D293"/>
      <c r="E293"/>
      <c r="F293"/>
      <c r="G293"/>
      <c r="H293"/>
      <c r="I293"/>
      <c r="J293"/>
      <c r="K293"/>
      <c r="L293"/>
      <c r="M293"/>
      <c r="N293"/>
      <c r="O293"/>
      <c r="P293"/>
      <c r="Q293"/>
    </row>
    <row r="294" spans="1:17" x14ac:dyDescent="0.35">
      <c r="A294"/>
      <c r="B294"/>
      <c r="C294"/>
      <c r="D294"/>
      <c r="E294"/>
      <c r="F294"/>
      <c r="G294"/>
      <c r="H294"/>
      <c r="I294"/>
      <c r="J294"/>
      <c r="K294"/>
      <c r="L294"/>
      <c r="M294"/>
      <c r="N294"/>
      <c r="O294"/>
      <c r="P294"/>
      <c r="Q294"/>
    </row>
    <row r="295" spans="1:17" x14ac:dyDescent="0.35">
      <c r="A295"/>
      <c r="B295"/>
      <c r="C295"/>
      <c r="D295"/>
      <c r="E295"/>
      <c r="F295"/>
      <c r="G295"/>
      <c r="H295"/>
      <c r="I295"/>
      <c r="J295"/>
      <c r="K295"/>
      <c r="L295"/>
      <c r="M295"/>
      <c r="N295"/>
      <c r="O295"/>
      <c r="P295"/>
      <c r="Q295"/>
    </row>
    <row r="296" spans="1:17" x14ac:dyDescent="0.35">
      <c r="A296"/>
      <c r="B296"/>
      <c r="C296"/>
      <c r="D296"/>
      <c r="E296"/>
      <c r="F296"/>
      <c r="G296"/>
      <c r="H296"/>
      <c r="I296"/>
      <c r="J296"/>
      <c r="K296"/>
      <c r="L296"/>
      <c r="M296"/>
      <c r="N296"/>
      <c r="O296"/>
      <c r="P296"/>
      <c r="Q296"/>
    </row>
    <row r="297" spans="1:17" x14ac:dyDescent="0.35">
      <c r="A297"/>
      <c r="B297"/>
      <c r="C297"/>
      <c r="D297"/>
      <c r="E297"/>
      <c r="F297"/>
      <c r="G297"/>
      <c r="H297"/>
      <c r="I297"/>
      <c r="J297"/>
      <c r="K297"/>
      <c r="L297"/>
      <c r="M297"/>
      <c r="N297"/>
      <c r="O297"/>
      <c r="P297"/>
      <c r="Q297"/>
    </row>
    <row r="298" spans="1:17" x14ac:dyDescent="0.35">
      <c r="A298"/>
      <c r="B298"/>
      <c r="C298"/>
      <c r="D298"/>
      <c r="E298"/>
      <c r="F298"/>
      <c r="G298"/>
      <c r="H298"/>
      <c r="I298"/>
      <c r="J298"/>
      <c r="K298"/>
      <c r="L298"/>
      <c r="M298"/>
      <c r="N298"/>
      <c r="O298"/>
      <c r="P298"/>
      <c r="Q298"/>
    </row>
    <row r="299" spans="1:17" x14ac:dyDescent="0.35">
      <c r="A299"/>
      <c r="B299"/>
      <c r="C299"/>
      <c r="D299"/>
      <c r="E299"/>
      <c r="F299"/>
      <c r="G299"/>
      <c r="H299"/>
      <c r="I299"/>
      <c r="J299"/>
      <c r="K299"/>
      <c r="L299"/>
      <c r="M299"/>
      <c r="N299"/>
      <c r="O299"/>
      <c r="P299"/>
      <c r="Q299"/>
    </row>
    <row r="300" spans="1:17" x14ac:dyDescent="0.35">
      <c r="A300"/>
      <c r="B300"/>
      <c r="C300"/>
      <c r="D300"/>
      <c r="E300"/>
      <c r="F300"/>
      <c r="G300"/>
      <c r="H300"/>
      <c r="I300"/>
      <c r="J300"/>
      <c r="K300"/>
      <c r="L300"/>
      <c r="M300"/>
      <c r="N300"/>
      <c r="O300"/>
      <c r="P300"/>
      <c r="Q300"/>
    </row>
    <row r="301" spans="1:17" x14ac:dyDescent="0.35">
      <c r="A301"/>
      <c r="B301"/>
      <c r="C301"/>
      <c r="D301"/>
      <c r="E301"/>
      <c r="F301"/>
      <c r="G301"/>
      <c r="H301"/>
      <c r="I301"/>
      <c r="J301"/>
      <c r="K301"/>
      <c r="L301"/>
      <c r="M301"/>
      <c r="N301"/>
      <c r="O301"/>
      <c r="P301"/>
      <c r="Q301"/>
    </row>
    <row r="302" spans="1:17" x14ac:dyDescent="0.35">
      <c r="A302"/>
      <c r="B302"/>
      <c r="C302"/>
      <c r="D302"/>
      <c r="E302"/>
      <c r="F302"/>
      <c r="G302"/>
      <c r="H302"/>
      <c r="I302"/>
      <c r="J302"/>
      <c r="K302"/>
      <c r="L302"/>
      <c r="M302"/>
      <c r="N302"/>
      <c r="O302"/>
      <c r="P302"/>
      <c r="Q302"/>
    </row>
    <row r="303" spans="1:17" x14ac:dyDescent="0.35">
      <c r="A303"/>
      <c r="B303"/>
      <c r="C303"/>
      <c r="D303"/>
      <c r="E303"/>
      <c r="F303"/>
      <c r="G303"/>
      <c r="H303"/>
      <c r="I303"/>
      <c r="J303"/>
      <c r="K303"/>
      <c r="L303"/>
      <c r="M303"/>
      <c r="N303"/>
      <c r="O303"/>
      <c r="P303"/>
      <c r="Q303"/>
    </row>
    <row r="304" spans="1:17" x14ac:dyDescent="0.35">
      <c r="A304"/>
      <c r="B304"/>
      <c r="C304"/>
      <c r="D304"/>
      <c r="E304"/>
      <c r="F304"/>
      <c r="G304"/>
      <c r="H304"/>
      <c r="I304"/>
      <c r="J304"/>
      <c r="K304"/>
      <c r="L304"/>
      <c r="M304"/>
      <c r="N304"/>
      <c r="O304"/>
      <c r="P304"/>
      <c r="Q304"/>
    </row>
    <row r="305" spans="1:17" x14ac:dyDescent="0.35">
      <c r="A305"/>
      <c r="B305"/>
      <c r="C305"/>
      <c r="D305"/>
      <c r="E305"/>
      <c r="F305"/>
      <c r="G305"/>
      <c r="H305"/>
      <c r="I305"/>
      <c r="J305"/>
      <c r="K305"/>
      <c r="L305"/>
      <c r="M305"/>
      <c r="N305"/>
      <c r="O305"/>
      <c r="P305"/>
      <c r="Q305"/>
    </row>
    <row r="306" spans="1:17" x14ac:dyDescent="0.35">
      <c r="A306"/>
      <c r="B306"/>
      <c r="C306"/>
      <c r="D306"/>
      <c r="E306"/>
      <c r="F306"/>
      <c r="G306"/>
      <c r="H306"/>
      <c r="I306"/>
      <c r="J306"/>
      <c r="K306"/>
      <c r="L306"/>
      <c r="M306"/>
      <c r="N306"/>
      <c r="O306"/>
      <c r="P306"/>
      <c r="Q306"/>
    </row>
    <row r="307" spans="1:17" x14ac:dyDescent="0.35">
      <c r="A307"/>
      <c r="B307"/>
      <c r="C307"/>
      <c r="D307"/>
      <c r="E307"/>
      <c r="F307"/>
      <c r="G307"/>
      <c r="H307"/>
      <c r="I307"/>
      <c r="J307"/>
      <c r="K307"/>
      <c r="L307"/>
      <c r="M307"/>
      <c r="N307"/>
      <c r="O307"/>
      <c r="P307"/>
      <c r="Q307"/>
    </row>
    <row r="308" spans="1:17" x14ac:dyDescent="0.35">
      <c r="A308"/>
      <c r="B308"/>
      <c r="C308"/>
      <c r="D308"/>
      <c r="E308"/>
      <c r="F308"/>
      <c r="G308"/>
      <c r="H308"/>
      <c r="I308"/>
      <c r="J308"/>
      <c r="K308"/>
      <c r="L308"/>
      <c r="M308"/>
      <c r="N308"/>
      <c r="O308"/>
      <c r="P308"/>
      <c r="Q308"/>
    </row>
    <row r="309" spans="1:17" x14ac:dyDescent="0.35">
      <c r="A309"/>
      <c r="B309"/>
      <c r="C309"/>
      <c r="D309"/>
      <c r="E309"/>
      <c r="F309"/>
      <c r="G309"/>
      <c r="H309"/>
      <c r="I309"/>
      <c r="J309"/>
      <c r="K309"/>
      <c r="L309"/>
      <c r="M309"/>
      <c r="N309"/>
      <c r="O309"/>
      <c r="P309"/>
      <c r="Q309"/>
    </row>
    <row r="310" spans="1:17" x14ac:dyDescent="0.35">
      <c r="A310"/>
      <c r="B310"/>
      <c r="C310"/>
      <c r="D310"/>
      <c r="E310"/>
      <c r="F310"/>
      <c r="G310"/>
      <c r="H310"/>
      <c r="I310"/>
      <c r="J310"/>
      <c r="K310"/>
      <c r="L310"/>
      <c r="M310"/>
      <c r="N310"/>
      <c r="O310"/>
      <c r="P310"/>
      <c r="Q310"/>
    </row>
    <row r="311" spans="1:17" x14ac:dyDescent="0.35">
      <c r="A311"/>
      <c r="B311"/>
      <c r="C311"/>
      <c r="D311"/>
      <c r="E311"/>
      <c r="F311"/>
      <c r="G311"/>
      <c r="H311"/>
      <c r="I311"/>
      <c r="J311"/>
      <c r="K311"/>
      <c r="L311"/>
      <c r="M311"/>
      <c r="N311"/>
      <c r="O311"/>
      <c r="P311"/>
      <c r="Q311"/>
    </row>
    <row r="312" spans="1:17" x14ac:dyDescent="0.35">
      <c r="A312"/>
      <c r="B312"/>
      <c r="C312"/>
      <c r="D312"/>
      <c r="E312"/>
      <c r="F312"/>
      <c r="G312"/>
      <c r="H312"/>
      <c r="I312"/>
      <c r="J312"/>
      <c r="K312"/>
      <c r="L312"/>
      <c r="M312"/>
      <c r="N312"/>
      <c r="O312"/>
      <c r="P312"/>
      <c r="Q312"/>
    </row>
    <row r="313" spans="1:17" x14ac:dyDescent="0.35">
      <c r="A313"/>
      <c r="B313"/>
      <c r="C313"/>
      <c r="D313"/>
      <c r="E313"/>
      <c r="F313"/>
      <c r="G313"/>
      <c r="H313"/>
      <c r="I313"/>
      <c r="J313"/>
      <c r="K313"/>
      <c r="L313"/>
      <c r="M313"/>
      <c r="N313"/>
      <c r="O313"/>
      <c r="P313"/>
      <c r="Q313"/>
    </row>
    <row r="314" spans="1:17" x14ac:dyDescent="0.35">
      <c r="A314"/>
      <c r="B314"/>
      <c r="C314"/>
      <c r="D314"/>
      <c r="E314"/>
      <c r="F314"/>
      <c r="G314"/>
      <c r="H314"/>
      <c r="I314"/>
      <c r="J314"/>
      <c r="K314"/>
      <c r="L314"/>
      <c r="M314"/>
      <c r="N314"/>
      <c r="O314"/>
      <c r="P314"/>
      <c r="Q314"/>
    </row>
    <row r="315" spans="1:17" x14ac:dyDescent="0.35">
      <c r="A315"/>
      <c r="B315"/>
      <c r="C315"/>
      <c r="D315"/>
      <c r="E315"/>
      <c r="F315"/>
      <c r="G315"/>
      <c r="H315"/>
      <c r="I315"/>
      <c r="J315"/>
      <c r="K315"/>
      <c r="L315"/>
      <c r="M315"/>
      <c r="N315"/>
      <c r="O315"/>
      <c r="P315"/>
      <c r="Q315"/>
    </row>
    <row r="316" spans="1:17" x14ac:dyDescent="0.35">
      <c r="A316"/>
      <c r="B316"/>
      <c r="C316"/>
      <c r="D316"/>
      <c r="E316"/>
      <c r="F316"/>
      <c r="G316"/>
      <c r="H316"/>
      <c r="I316"/>
      <c r="J316"/>
      <c r="K316"/>
      <c r="L316"/>
      <c r="M316"/>
      <c r="N316"/>
      <c r="O316"/>
      <c r="P316"/>
      <c r="Q316"/>
    </row>
    <row r="317" spans="1:17" x14ac:dyDescent="0.35">
      <c r="A317"/>
      <c r="B317"/>
      <c r="C317"/>
      <c r="D317"/>
      <c r="E317"/>
      <c r="F317"/>
      <c r="G317"/>
      <c r="H317"/>
      <c r="I317"/>
      <c r="J317"/>
      <c r="K317"/>
      <c r="L317"/>
      <c r="M317"/>
      <c r="N317"/>
      <c r="O317"/>
      <c r="P317"/>
      <c r="Q317"/>
    </row>
    <row r="318" spans="1:17" x14ac:dyDescent="0.35">
      <c r="A318"/>
      <c r="B318"/>
      <c r="C318"/>
      <c r="D318"/>
      <c r="E318"/>
      <c r="F318"/>
      <c r="G318"/>
      <c r="H318"/>
      <c r="I318"/>
      <c r="J318"/>
      <c r="K318"/>
      <c r="L318"/>
      <c r="M318"/>
      <c r="N318"/>
      <c r="O318"/>
      <c r="P318"/>
      <c r="Q318"/>
    </row>
    <row r="319" spans="1:17" x14ac:dyDescent="0.35">
      <c r="A319"/>
      <c r="B319"/>
      <c r="C319"/>
      <c r="D319"/>
      <c r="E319"/>
      <c r="F319"/>
      <c r="G319"/>
      <c r="H319"/>
      <c r="I319"/>
      <c r="J319"/>
      <c r="K319"/>
      <c r="L319"/>
      <c r="M319"/>
      <c r="N319"/>
      <c r="O319"/>
      <c r="P319"/>
      <c r="Q319"/>
    </row>
    <row r="320" spans="1:17" x14ac:dyDescent="0.35">
      <c r="A320"/>
      <c r="B320"/>
      <c r="C320"/>
      <c r="D320"/>
      <c r="E320"/>
      <c r="F320"/>
      <c r="G320"/>
      <c r="H320"/>
      <c r="I320"/>
      <c r="J320"/>
      <c r="K320"/>
      <c r="L320"/>
      <c r="M320"/>
      <c r="N320"/>
      <c r="O320"/>
      <c r="P320"/>
      <c r="Q320"/>
    </row>
    <row r="321" spans="1:17" x14ac:dyDescent="0.35">
      <c r="A321"/>
      <c r="B321"/>
      <c r="C321"/>
      <c r="D321"/>
      <c r="E321"/>
      <c r="F321"/>
      <c r="G321"/>
      <c r="H321"/>
      <c r="I321"/>
      <c r="J321"/>
      <c r="K321"/>
      <c r="L321"/>
      <c r="M321"/>
      <c r="N321"/>
      <c r="O321"/>
      <c r="P321"/>
      <c r="Q321"/>
    </row>
    <row r="322" spans="1:17" x14ac:dyDescent="0.35">
      <c r="A322"/>
      <c r="B322"/>
      <c r="C322"/>
      <c r="D322"/>
      <c r="E322"/>
      <c r="F322"/>
      <c r="G322"/>
      <c r="H322"/>
      <c r="I322"/>
      <c r="J322"/>
      <c r="K322"/>
      <c r="L322"/>
      <c r="M322"/>
      <c r="N322"/>
      <c r="O322"/>
      <c r="P322"/>
      <c r="Q322"/>
    </row>
    <row r="323" spans="1:17" x14ac:dyDescent="0.35">
      <c r="A323"/>
      <c r="B323"/>
      <c r="C323"/>
      <c r="D323"/>
      <c r="E323"/>
      <c r="F323"/>
      <c r="G323"/>
      <c r="H323"/>
      <c r="I323"/>
      <c r="J323"/>
      <c r="K323"/>
      <c r="L323"/>
      <c r="M323"/>
      <c r="N323"/>
      <c r="O323"/>
      <c r="P323"/>
      <c r="Q323"/>
    </row>
    <row r="324" spans="1:17" x14ac:dyDescent="0.35">
      <c r="A324"/>
      <c r="B324"/>
      <c r="C324"/>
      <c r="D324"/>
      <c r="E324"/>
      <c r="F324"/>
      <c r="G324"/>
      <c r="H324"/>
      <c r="I324"/>
      <c r="J324"/>
      <c r="K324"/>
      <c r="L324"/>
      <c r="M324"/>
      <c r="N324"/>
      <c r="O324"/>
      <c r="P324"/>
      <c r="Q324"/>
    </row>
    <row r="325" spans="1:17" x14ac:dyDescent="0.35">
      <c r="A325"/>
      <c r="B325"/>
      <c r="C325"/>
      <c r="D325"/>
      <c r="E325"/>
      <c r="F325"/>
      <c r="G325"/>
      <c r="H325"/>
      <c r="I325"/>
      <c r="J325"/>
      <c r="K325"/>
      <c r="L325"/>
      <c r="M325"/>
      <c r="N325"/>
      <c r="O325"/>
      <c r="P325"/>
      <c r="Q325"/>
    </row>
    <row r="326" spans="1:17" x14ac:dyDescent="0.35">
      <c r="A326"/>
      <c r="B326"/>
      <c r="C326"/>
      <c r="D326"/>
      <c r="E326"/>
      <c r="F326"/>
      <c r="G326"/>
      <c r="H326"/>
      <c r="I326"/>
      <c r="J326"/>
      <c r="K326"/>
      <c r="L326"/>
      <c r="M326"/>
      <c r="N326"/>
      <c r="O326"/>
      <c r="P326"/>
      <c r="Q326"/>
    </row>
    <row r="327" spans="1:17" x14ac:dyDescent="0.35">
      <c r="A327"/>
      <c r="B327"/>
      <c r="C327"/>
      <c r="D327"/>
      <c r="E327"/>
      <c r="F327"/>
      <c r="G327"/>
      <c r="H327"/>
      <c r="I327"/>
      <c r="J327"/>
      <c r="K327"/>
      <c r="L327"/>
      <c r="M327"/>
      <c r="N327"/>
      <c r="O327"/>
      <c r="P327"/>
      <c r="Q327"/>
    </row>
    <row r="328" spans="1:17" x14ac:dyDescent="0.35">
      <c r="A328"/>
      <c r="B328"/>
      <c r="C328"/>
      <c r="D328"/>
      <c r="E328"/>
      <c r="F328"/>
      <c r="G328"/>
      <c r="H328"/>
      <c r="I328"/>
      <c r="J328"/>
      <c r="K328"/>
      <c r="L328"/>
      <c r="M328"/>
      <c r="N328"/>
      <c r="O328"/>
      <c r="P328"/>
      <c r="Q328"/>
    </row>
    <row r="329" spans="1:17" x14ac:dyDescent="0.35">
      <c r="A329"/>
      <c r="B329"/>
      <c r="C329"/>
      <c r="D329"/>
      <c r="E329"/>
      <c r="F329"/>
      <c r="G329"/>
      <c r="H329"/>
      <c r="I329"/>
      <c r="J329"/>
      <c r="K329"/>
      <c r="L329"/>
      <c r="M329"/>
      <c r="N329"/>
      <c r="O329"/>
      <c r="P329"/>
      <c r="Q329"/>
    </row>
    <row r="330" spans="1:17" x14ac:dyDescent="0.35">
      <c r="A330"/>
      <c r="B330"/>
      <c r="C330"/>
      <c r="D330"/>
      <c r="E330"/>
      <c r="F330"/>
      <c r="G330"/>
      <c r="H330"/>
      <c r="I330"/>
      <c r="J330"/>
      <c r="K330"/>
      <c r="L330"/>
      <c r="M330"/>
      <c r="N330"/>
      <c r="O330"/>
      <c r="P330"/>
      <c r="Q330"/>
    </row>
    <row r="331" spans="1:17" x14ac:dyDescent="0.35">
      <c r="A331"/>
      <c r="B331"/>
      <c r="C331"/>
      <c r="D331"/>
      <c r="E331"/>
      <c r="F331"/>
      <c r="G331"/>
      <c r="H331"/>
      <c r="I331"/>
      <c r="J331"/>
      <c r="K331"/>
      <c r="L331"/>
      <c r="M331"/>
      <c r="N331"/>
      <c r="O331"/>
      <c r="P331"/>
      <c r="Q331"/>
    </row>
    <row r="332" spans="1:17" x14ac:dyDescent="0.35">
      <c r="A332"/>
      <c r="B332"/>
      <c r="C332"/>
      <c r="D332"/>
      <c r="E332"/>
      <c r="F332"/>
      <c r="G332"/>
      <c r="H332"/>
      <c r="I332"/>
      <c r="J332"/>
      <c r="K332"/>
      <c r="L332"/>
      <c r="M332"/>
      <c r="N332"/>
      <c r="O332"/>
      <c r="P332"/>
      <c r="Q332"/>
    </row>
    <row r="333" spans="1:17" x14ac:dyDescent="0.35">
      <c r="A333"/>
      <c r="B333"/>
      <c r="C333"/>
      <c r="D333"/>
      <c r="E333"/>
      <c r="F333"/>
      <c r="G333"/>
      <c r="H333"/>
      <c r="I333"/>
      <c r="J333"/>
      <c r="K333"/>
      <c r="L333"/>
      <c r="M333"/>
      <c r="N333"/>
      <c r="O333"/>
      <c r="P333"/>
      <c r="Q333"/>
    </row>
    <row r="334" spans="1:17" x14ac:dyDescent="0.35">
      <c r="A334"/>
      <c r="B334"/>
      <c r="C334"/>
      <c r="D334"/>
      <c r="E334"/>
      <c r="F334"/>
      <c r="G334"/>
      <c r="H334"/>
      <c r="I334"/>
      <c r="J334"/>
      <c r="K334"/>
      <c r="L334"/>
      <c r="M334"/>
      <c r="N334"/>
      <c r="O334"/>
      <c r="P334"/>
      <c r="Q334"/>
    </row>
    <row r="335" spans="1:17" x14ac:dyDescent="0.35">
      <c r="A335"/>
      <c r="B335"/>
      <c r="C335"/>
      <c r="D335"/>
      <c r="E335"/>
      <c r="F335"/>
      <c r="G335"/>
      <c r="H335"/>
      <c r="I335"/>
      <c r="J335"/>
      <c r="K335"/>
      <c r="L335"/>
      <c r="M335"/>
      <c r="N335"/>
      <c r="O335"/>
      <c r="P335"/>
      <c r="Q335"/>
    </row>
    <row r="336" spans="1:17" x14ac:dyDescent="0.35">
      <c r="A336"/>
      <c r="B336"/>
      <c r="C336"/>
      <c r="D336"/>
      <c r="E336"/>
      <c r="F336"/>
      <c r="G336"/>
      <c r="H336"/>
      <c r="I336"/>
      <c r="J336"/>
      <c r="K336"/>
      <c r="L336"/>
      <c r="M336"/>
      <c r="N336"/>
      <c r="O336"/>
      <c r="P336"/>
      <c r="Q336"/>
    </row>
    <row r="337" spans="1:17" x14ac:dyDescent="0.35">
      <c r="A337"/>
      <c r="B337"/>
      <c r="C337"/>
      <c r="D337"/>
      <c r="E337"/>
      <c r="F337"/>
      <c r="G337"/>
      <c r="H337"/>
      <c r="I337"/>
      <c r="J337"/>
      <c r="K337"/>
      <c r="L337"/>
      <c r="M337"/>
      <c r="N337"/>
      <c r="O337"/>
      <c r="P337"/>
      <c r="Q337"/>
    </row>
    <row r="338" spans="1:17" x14ac:dyDescent="0.35">
      <c r="A338"/>
      <c r="B338"/>
      <c r="C338"/>
      <c r="D338"/>
      <c r="E338"/>
      <c r="F338"/>
      <c r="G338"/>
      <c r="H338"/>
      <c r="I338"/>
      <c r="J338"/>
      <c r="K338"/>
      <c r="L338"/>
      <c r="M338"/>
      <c r="N338"/>
      <c r="O338"/>
      <c r="P338"/>
      <c r="Q338"/>
    </row>
    <row r="339" spans="1:17" x14ac:dyDescent="0.35">
      <c r="A339"/>
      <c r="B339"/>
      <c r="C339"/>
      <c r="D339"/>
      <c r="E339"/>
      <c r="F339"/>
      <c r="G339"/>
      <c r="H339"/>
      <c r="I339"/>
      <c r="J339"/>
      <c r="K339"/>
      <c r="L339"/>
      <c r="M339"/>
      <c r="N339"/>
      <c r="O339"/>
      <c r="P339"/>
      <c r="Q339"/>
    </row>
    <row r="340" spans="1:17" x14ac:dyDescent="0.35">
      <c r="A340"/>
      <c r="B340"/>
      <c r="C340"/>
      <c r="D340"/>
      <c r="E340"/>
      <c r="F340"/>
      <c r="G340"/>
      <c r="H340"/>
      <c r="I340"/>
      <c r="J340"/>
      <c r="K340"/>
      <c r="L340"/>
      <c r="M340"/>
      <c r="N340"/>
      <c r="O340"/>
      <c r="P340"/>
      <c r="Q340"/>
    </row>
    <row r="341" spans="1:17" x14ac:dyDescent="0.35">
      <c r="A341"/>
      <c r="B341"/>
      <c r="C341"/>
      <c r="D341"/>
      <c r="E341"/>
      <c r="F341"/>
      <c r="G341"/>
      <c r="H341"/>
      <c r="I341"/>
      <c r="J341"/>
      <c r="K341"/>
      <c r="L341"/>
      <c r="M341"/>
      <c r="N341"/>
      <c r="O341"/>
      <c r="P341"/>
      <c r="Q341"/>
    </row>
    <row r="342" spans="1:17" x14ac:dyDescent="0.35">
      <c r="A342"/>
      <c r="B342"/>
      <c r="C342"/>
      <c r="D342"/>
      <c r="E342"/>
      <c r="F342"/>
      <c r="G342"/>
      <c r="H342"/>
      <c r="I342"/>
      <c r="J342"/>
      <c r="K342"/>
      <c r="L342"/>
      <c r="M342"/>
      <c r="N342"/>
      <c r="O342"/>
      <c r="P342"/>
      <c r="Q342"/>
    </row>
    <row r="343" spans="1:17" x14ac:dyDescent="0.35">
      <c r="A343"/>
      <c r="B343"/>
      <c r="C343"/>
      <c r="D343"/>
      <c r="E343"/>
      <c r="F343"/>
      <c r="G343"/>
      <c r="H343"/>
      <c r="I343"/>
      <c r="J343"/>
      <c r="K343"/>
      <c r="L343"/>
      <c r="M343"/>
      <c r="N343"/>
      <c r="O343"/>
      <c r="P343"/>
      <c r="Q343"/>
    </row>
    <row r="344" spans="1:17" x14ac:dyDescent="0.35">
      <c r="A344"/>
      <c r="B344"/>
      <c r="C344"/>
      <c r="D344"/>
      <c r="E344"/>
      <c r="F344"/>
      <c r="G344"/>
      <c r="H344"/>
      <c r="I344"/>
      <c r="J344"/>
      <c r="K344"/>
      <c r="L344"/>
      <c r="M344"/>
      <c r="N344"/>
      <c r="O344"/>
      <c r="P344"/>
      <c r="Q344"/>
    </row>
    <row r="345" spans="1:17" x14ac:dyDescent="0.35">
      <c r="A345"/>
      <c r="B345"/>
      <c r="C345"/>
      <c r="D345"/>
      <c r="E345"/>
      <c r="F345"/>
      <c r="G345"/>
      <c r="H345"/>
      <c r="I345"/>
      <c r="J345"/>
      <c r="K345"/>
      <c r="L345"/>
      <c r="M345"/>
      <c r="N345"/>
      <c r="O345"/>
      <c r="P345"/>
      <c r="Q345"/>
    </row>
    <row r="346" spans="1:17" x14ac:dyDescent="0.35">
      <c r="A346"/>
      <c r="B346"/>
      <c r="C346"/>
      <c r="D346"/>
      <c r="E346"/>
      <c r="F346"/>
      <c r="G346"/>
      <c r="H346"/>
      <c r="I346"/>
      <c r="J346"/>
      <c r="K346"/>
      <c r="L346"/>
      <c r="M346"/>
      <c r="N346"/>
      <c r="O346"/>
      <c r="P346"/>
      <c r="Q346"/>
    </row>
    <row r="347" spans="1:17" x14ac:dyDescent="0.35">
      <c r="A347"/>
      <c r="B347"/>
      <c r="C347"/>
      <c r="D347"/>
      <c r="E347"/>
      <c r="F347"/>
      <c r="G347"/>
      <c r="H347"/>
      <c r="I347"/>
      <c r="J347"/>
      <c r="K347"/>
      <c r="L347"/>
      <c r="M347"/>
      <c r="N347"/>
      <c r="O347"/>
      <c r="P347"/>
      <c r="Q347"/>
    </row>
    <row r="348" spans="1:17" x14ac:dyDescent="0.35">
      <c r="A348"/>
      <c r="B348"/>
      <c r="C348"/>
      <c r="D348"/>
      <c r="E348"/>
      <c r="F348"/>
      <c r="G348"/>
      <c r="H348"/>
      <c r="I348"/>
      <c r="J348"/>
      <c r="K348"/>
      <c r="L348"/>
      <c r="M348"/>
      <c r="N348"/>
      <c r="O348"/>
      <c r="P348"/>
      <c r="Q348"/>
    </row>
    <row r="349" spans="1:17" x14ac:dyDescent="0.35">
      <c r="A349"/>
      <c r="B349"/>
      <c r="C349"/>
      <c r="D349"/>
      <c r="E349"/>
      <c r="F349"/>
      <c r="G349"/>
      <c r="H349"/>
      <c r="I349"/>
      <c r="J349"/>
      <c r="K349"/>
      <c r="L349"/>
      <c r="M349"/>
      <c r="N349"/>
      <c r="O349"/>
      <c r="P349"/>
      <c r="Q349"/>
    </row>
    <row r="350" spans="1:17" x14ac:dyDescent="0.35">
      <c r="A350"/>
      <c r="B350"/>
      <c r="C350"/>
      <c r="D350"/>
      <c r="E350"/>
      <c r="F350"/>
      <c r="G350"/>
      <c r="H350"/>
      <c r="I350"/>
      <c r="J350"/>
      <c r="K350"/>
      <c r="L350"/>
      <c r="M350"/>
      <c r="N350"/>
      <c r="O350"/>
      <c r="P350"/>
      <c r="Q350"/>
    </row>
    <row r="351" spans="1:17" x14ac:dyDescent="0.35">
      <c r="A351"/>
      <c r="B351"/>
      <c r="C351"/>
      <c r="D351"/>
      <c r="E351"/>
      <c r="F351"/>
      <c r="G351"/>
      <c r="H351"/>
      <c r="I351"/>
      <c r="J351"/>
      <c r="K351"/>
      <c r="L351"/>
      <c r="M351"/>
      <c r="N351"/>
      <c r="O351"/>
      <c r="P351"/>
      <c r="Q351"/>
    </row>
    <row r="352" spans="1:17" x14ac:dyDescent="0.35">
      <c r="A352"/>
      <c r="B352"/>
      <c r="C352"/>
      <c r="D352"/>
      <c r="E352"/>
      <c r="F352"/>
      <c r="G352"/>
      <c r="H352"/>
      <c r="I352"/>
      <c r="J352"/>
      <c r="K352"/>
      <c r="L352"/>
      <c r="M352"/>
      <c r="N352"/>
      <c r="O352"/>
      <c r="P352"/>
      <c r="Q352"/>
    </row>
    <row r="353" spans="1:17" x14ac:dyDescent="0.35">
      <c r="A353"/>
      <c r="B353"/>
      <c r="C353"/>
      <c r="D353"/>
      <c r="E353"/>
      <c r="F353"/>
      <c r="G353"/>
      <c r="H353"/>
      <c r="I353"/>
      <c r="J353"/>
      <c r="K353"/>
      <c r="L353"/>
      <c r="M353"/>
      <c r="N353"/>
      <c r="O353"/>
      <c r="P353"/>
      <c r="Q353"/>
    </row>
    <row r="354" spans="1:17" x14ac:dyDescent="0.35">
      <c r="A354"/>
      <c r="B354"/>
      <c r="C354"/>
      <c r="D354"/>
      <c r="E354"/>
      <c r="F354"/>
      <c r="G354"/>
      <c r="H354"/>
      <c r="I354"/>
      <c r="J354"/>
      <c r="K354"/>
      <c r="L354"/>
      <c r="M354"/>
      <c r="N354"/>
      <c r="O354"/>
      <c r="P354"/>
      <c r="Q354"/>
    </row>
    <row r="355" spans="1:17" x14ac:dyDescent="0.35">
      <c r="A355"/>
      <c r="B355"/>
      <c r="C355"/>
      <c r="D355"/>
      <c r="E355"/>
      <c r="F355"/>
      <c r="G355"/>
      <c r="H355"/>
      <c r="I355"/>
      <c r="J355"/>
      <c r="K355"/>
      <c r="L355"/>
      <c r="M355"/>
      <c r="N355"/>
      <c r="O355"/>
      <c r="P355"/>
      <c r="Q355"/>
    </row>
    <row r="356" spans="1:17" x14ac:dyDescent="0.35">
      <c r="A356"/>
      <c r="B356"/>
      <c r="C356"/>
      <c r="D356"/>
      <c r="E356"/>
      <c r="F356"/>
      <c r="G356"/>
      <c r="H356"/>
      <c r="I356"/>
      <c r="J356"/>
      <c r="K356"/>
      <c r="L356"/>
      <c r="M356"/>
      <c r="N356"/>
      <c r="O356"/>
      <c r="P356"/>
      <c r="Q356"/>
    </row>
    <row r="357" spans="1:17" x14ac:dyDescent="0.35">
      <c r="A357"/>
      <c r="B357"/>
      <c r="C357"/>
      <c r="D357"/>
      <c r="E357"/>
      <c r="F357"/>
      <c r="G357"/>
      <c r="H357"/>
      <c r="I357"/>
      <c r="J357"/>
      <c r="K357"/>
      <c r="L357"/>
      <c r="M357"/>
      <c r="N357"/>
      <c r="O357"/>
      <c r="P357"/>
      <c r="Q357"/>
    </row>
    <row r="358" spans="1:17" x14ac:dyDescent="0.35">
      <c r="A358"/>
      <c r="B358"/>
      <c r="C358"/>
      <c r="D358"/>
      <c r="E358"/>
      <c r="F358"/>
      <c r="G358"/>
      <c r="H358"/>
      <c r="I358"/>
      <c r="J358"/>
      <c r="K358"/>
      <c r="L358"/>
      <c r="M358"/>
      <c r="N358"/>
      <c r="O358"/>
      <c r="P358"/>
      <c r="Q358"/>
    </row>
    <row r="359" spans="1:17" x14ac:dyDescent="0.35">
      <c r="A359"/>
      <c r="B359"/>
      <c r="C359"/>
      <c r="D359"/>
      <c r="E359"/>
      <c r="F359"/>
      <c r="G359"/>
      <c r="H359"/>
      <c r="I359"/>
      <c r="J359"/>
      <c r="K359"/>
      <c r="L359"/>
      <c r="M359"/>
      <c r="N359"/>
      <c r="O359"/>
      <c r="P359"/>
      <c r="Q359"/>
    </row>
    <row r="360" spans="1:17" x14ac:dyDescent="0.35">
      <c r="A360"/>
      <c r="B360"/>
      <c r="C360"/>
      <c r="D360"/>
      <c r="E360"/>
      <c r="F360"/>
      <c r="G360"/>
      <c r="H360"/>
      <c r="I360"/>
      <c r="J360"/>
      <c r="K360"/>
      <c r="L360"/>
      <c r="M360"/>
      <c r="N360"/>
      <c r="O360"/>
      <c r="P360"/>
      <c r="Q360"/>
    </row>
    <row r="361" spans="1:17" x14ac:dyDescent="0.35">
      <c r="A361"/>
      <c r="B361"/>
      <c r="C361"/>
      <c r="D361"/>
      <c r="E361"/>
      <c r="F361"/>
      <c r="G361"/>
      <c r="H361"/>
      <c r="I361"/>
      <c r="J361"/>
      <c r="K361"/>
      <c r="L361"/>
      <c r="M361"/>
      <c r="N361"/>
      <c r="O361"/>
      <c r="P361"/>
      <c r="Q361"/>
    </row>
    <row r="362" spans="1:17" x14ac:dyDescent="0.35">
      <c r="A362"/>
      <c r="B362"/>
      <c r="C362"/>
      <c r="D362"/>
      <c r="E362"/>
      <c r="F362"/>
      <c r="G362"/>
      <c r="H362"/>
      <c r="I362"/>
      <c r="J362"/>
      <c r="K362"/>
      <c r="L362"/>
      <c r="M362"/>
      <c r="N362"/>
      <c r="O362"/>
      <c r="P362"/>
      <c r="Q362"/>
    </row>
    <row r="363" spans="1:17" x14ac:dyDescent="0.35">
      <c r="A363"/>
      <c r="B363"/>
      <c r="C363"/>
      <c r="D363"/>
      <c r="E363"/>
      <c r="F363"/>
      <c r="G363"/>
      <c r="H363"/>
      <c r="I363"/>
      <c r="J363"/>
      <c r="K363"/>
      <c r="L363"/>
      <c r="M363"/>
      <c r="N363"/>
      <c r="O363"/>
      <c r="P363"/>
      <c r="Q363"/>
    </row>
    <row r="364" spans="1:17" x14ac:dyDescent="0.35">
      <c r="A364"/>
      <c r="B364"/>
      <c r="C364"/>
      <c r="D364"/>
      <c r="E364"/>
      <c r="F364"/>
      <c r="G364"/>
      <c r="H364"/>
      <c r="I364"/>
      <c r="J364"/>
      <c r="K364"/>
      <c r="L364"/>
      <c r="M364"/>
      <c r="N364"/>
      <c r="O364"/>
      <c r="P364"/>
      <c r="Q364"/>
    </row>
    <row r="365" spans="1:17" x14ac:dyDescent="0.35">
      <c r="A365"/>
      <c r="B365"/>
      <c r="C365"/>
      <c r="D365"/>
      <c r="E365"/>
      <c r="F365"/>
      <c r="G365"/>
      <c r="H365"/>
      <c r="I365"/>
      <c r="J365"/>
      <c r="K365"/>
      <c r="L365"/>
      <c r="M365"/>
      <c r="N365"/>
      <c r="O365"/>
      <c r="P365"/>
      <c r="Q365"/>
    </row>
    <row r="366" spans="1:17" x14ac:dyDescent="0.35">
      <c r="A366"/>
      <c r="B366"/>
      <c r="C366"/>
      <c r="D366"/>
      <c r="E366"/>
      <c r="F366"/>
      <c r="G366"/>
      <c r="H366"/>
      <c r="I366"/>
      <c r="J366"/>
      <c r="K366"/>
      <c r="L366"/>
      <c r="M366"/>
      <c r="N366"/>
      <c r="O366"/>
      <c r="P366"/>
      <c r="Q366"/>
    </row>
    <row r="367" spans="1:17" x14ac:dyDescent="0.35">
      <c r="A367"/>
      <c r="B367"/>
      <c r="C367"/>
      <c r="D367"/>
      <c r="E367"/>
      <c r="F367"/>
      <c r="G367"/>
      <c r="H367"/>
      <c r="I367"/>
      <c r="J367"/>
      <c r="K367"/>
      <c r="L367"/>
      <c r="M367"/>
      <c r="N367"/>
      <c r="O367"/>
      <c r="P367"/>
      <c r="Q367"/>
    </row>
    <row r="368" spans="1:17" x14ac:dyDescent="0.35">
      <c r="A368"/>
      <c r="B368"/>
      <c r="C368"/>
      <c r="D368"/>
      <c r="E368"/>
      <c r="F368"/>
      <c r="G368"/>
      <c r="H368"/>
      <c r="I368"/>
      <c r="J368"/>
      <c r="K368"/>
      <c r="L368"/>
      <c r="M368"/>
      <c r="N368"/>
      <c r="O368"/>
      <c r="P368"/>
      <c r="Q368"/>
    </row>
    <row r="369" spans="1:17" x14ac:dyDescent="0.35">
      <c r="A369"/>
      <c r="B369"/>
      <c r="C369"/>
      <c r="D369"/>
      <c r="E369"/>
      <c r="F369"/>
      <c r="G369"/>
      <c r="H369"/>
      <c r="I369"/>
      <c r="J369"/>
      <c r="K369"/>
      <c r="L369"/>
      <c r="M369"/>
      <c r="N369"/>
      <c r="O369"/>
      <c r="P369"/>
      <c r="Q369"/>
    </row>
  </sheetData>
  <sortState ref="A3:Q113">
    <sortCondition ref="C3:C113"/>
    <sortCondition ref="A3:A113" customList="Jan,Feb,Mar,Apr,May,Jun,Jul,Aug,Sep,Oct,Nov,Dec"/>
    <sortCondition ref="B3:B113"/>
  </sortState>
  <mergeCells count="1">
    <mergeCell ref="A1:T1"/>
  </mergeCells>
  <pageMargins left="0.7" right="0.7" top="0.75" bottom="0.75" header="0.3" footer="0.3"/>
  <pageSetup orientation="portrait"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SUMMARY</vt:lpstr>
      <vt:lpstr>WNT pay est</vt:lpstr>
      <vt:lpstr>MNT pay est</vt:lpstr>
      <vt:lpstr>US CBAs</vt:lpstr>
      <vt:lpstr>NT games sample yr</vt:lpstr>
      <vt:lpstr>990 and others</vt:lpstr>
      <vt:lpstr>AGM books</vt:lpstr>
      <vt:lpstr>Attendance+ratings</vt:lpstr>
      <vt:lpstr>WNT 1 table</vt:lpstr>
      <vt:lpstr>MNT 1 table</vt:lpstr>
      <vt:lpstr>'NT games sample yr'!Print_Area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Beau Dure</dc:creator>
  <cp:lastModifiedBy>Beau Dure</cp:lastModifiedBy>
  <cp:lastPrinted>2019-11-28T18:08:21Z</cp:lastPrinted>
  <dcterms:created xsi:type="dcterms:W3CDTF">2019-11-11T20:38:01Z</dcterms:created>
  <dcterms:modified xsi:type="dcterms:W3CDTF">2020-01-21T02:34:35Z</dcterms:modified>
</cp:coreProperties>
</file>