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XAS A&amp;M UNIVERSITY\SEMESTERS\FALL 2016\new data NGE Project\"/>
    </mc:Choice>
  </mc:AlternateContent>
  <xr:revisionPtr revIDLastSave="0" documentId="13_ncr:1_{F1C80373-4820-4F43-AF8F-43198DD9797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tand pipe" sheetId="1" r:id="rId1"/>
    <sheet name="pipe rotation &amp; Eccentricity" sheetId="2" r:id="rId2"/>
    <sheet name="buckingham constant for theta" sheetId="4" r:id="rId3"/>
    <sheet name="Deviation" sheetId="3" r:id="rId4"/>
  </sheets>
  <calcPr calcId="191029"/>
</workbook>
</file>

<file path=xl/calcChain.xml><?xml version="1.0" encoding="utf-8"?>
<calcChain xmlns="http://schemas.openxmlformats.org/spreadsheetml/2006/main">
  <c r="R69" i="1" l="1"/>
  <c r="L70" i="1"/>
  <c r="AB27" i="3"/>
  <c r="M12" i="3"/>
  <c r="X12" i="3"/>
  <c r="X18" i="3"/>
  <c r="M18" i="3"/>
  <c r="X10" i="3"/>
  <c r="M10" i="3"/>
  <c r="R31" i="3" l="1"/>
  <c r="B18" i="3"/>
  <c r="B10" i="3"/>
  <c r="B13" i="3"/>
  <c r="B12" i="3"/>
  <c r="L36" i="1" l="1"/>
  <c r="B9" i="3"/>
  <c r="M5" i="3"/>
  <c r="X5" i="3" l="1"/>
  <c r="M13" i="3"/>
  <c r="B17" i="3"/>
  <c r="B16" i="3"/>
  <c r="H50" i="2"/>
  <c r="H49" i="2"/>
  <c r="H48" i="2"/>
  <c r="H47" i="2"/>
  <c r="H46" i="2"/>
  <c r="H45" i="2"/>
  <c r="H44" i="2"/>
  <c r="E48" i="2"/>
  <c r="E47" i="2"/>
  <c r="E46" i="2"/>
  <c r="E45" i="2"/>
  <c r="D2" i="1"/>
  <c r="B6" i="3" s="1"/>
  <c r="B34" i="2" l="1"/>
  <c r="M6" i="3"/>
  <c r="F34" i="2"/>
  <c r="J34" i="2"/>
  <c r="X13" i="3"/>
  <c r="X6" i="3"/>
  <c r="I20" i="4"/>
  <c r="I21" i="4"/>
  <c r="I22" i="4"/>
  <c r="I23" i="4"/>
  <c r="I24" i="4"/>
  <c r="I25" i="4"/>
  <c r="I26" i="4"/>
  <c r="I27" i="4"/>
  <c r="I28" i="4"/>
  <c r="I19" i="4"/>
  <c r="H20" i="4"/>
  <c r="H21" i="4"/>
  <c r="H22" i="4"/>
  <c r="H23" i="4"/>
  <c r="H24" i="4"/>
  <c r="H25" i="4"/>
  <c r="H26" i="4"/>
  <c r="H27" i="4"/>
  <c r="H28" i="4"/>
  <c r="H19" i="4"/>
  <c r="G19" i="4"/>
  <c r="G20" i="4"/>
  <c r="G21" i="4"/>
  <c r="G22" i="4"/>
  <c r="G23" i="4"/>
  <c r="G24" i="4"/>
  <c r="G25" i="4"/>
  <c r="G26" i="4"/>
  <c r="G27" i="4"/>
  <c r="G28" i="4"/>
  <c r="F20" i="4"/>
  <c r="F21" i="4"/>
  <c r="F22" i="4"/>
  <c r="F23" i="4"/>
  <c r="F24" i="4"/>
  <c r="F25" i="4"/>
  <c r="F26" i="4"/>
  <c r="F27" i="4"/>
  <c r="F28" i="4"/>
  <c r="F19" i="4"/>
  <c r="J20" i="4"/>
  <c r="J21" i="4"/>
  <c r="J22" i="4"/>
  <c r="J23" i="4"/>
  <c r="J24" i="4"/>
  <c r="J25" i="4"/>
  <c r="J26" i="4"/>
  <c r="J27" i="4"/>
  <c r="J28" i="4"/>
  <c r="J19" i="4"/>
  <c r="O75" i="2" l="1"/>
  <c r="L53" i="2"/>
  <c r="X53" i="2"/>
  <c r="AE38" i="1" l="1"/>
  <c r="X9" i="3" s="1"/>
  <c r="U45" i="1"/>
  <c r="AE45" i="1"/>
  <c r="X17" i="3" l="1"/>
  <c r="X16" i="3"/>
  <c r="AF51" i="1"/>
  <c r="AI51" i="1" s="1"/>
  <c r="L1" i="2" l="1"/>
  <c r="X1" i="2" s="1"/>
  <c r="L9" i="1" l="1"/>
  <c r="U9" i="1" l="1"/>
  <c r="AF9" i="1" l="1"/>
  <c r="U36" i="1"/>
  <c r="M9" i="3" s="1"/>
  <c r="U17" i="1"/>
  <c r="V23" i="1"/>
  <c r="Y23" i="1" s="1"/>
  <c r="M16" i="3" l="1"/>
  <c r="M17" i="3"/>
  <c r="V51" i="1"/>
  <c r="Y51" i="1" s="1"/>
  <c r="AB21" i="2"/>
  <c r="P21" i="2"/>
  <c r="L45" i="1"/>
  <c r="L17" i="1"/>
  <c r="D10" i="1"/>
  <c r="M62" i="2" l="1"/>
  <c r="Y55" i="2"/>
  <c r="M55" i="2"/>
  <c r="B55" i="2"/>
  <c r="B63" i="2"/>
  <c r="Y62" i="2"/>
  <c r="AB4" i="2"/>
  <c r="F4" i="2"/>
  <c r="P4" i="2"/>
  <c r="F21" i="2"/>
  <c r="M51" i="1"/>
  <c r="P51" i="1" s="1"/>
  <c r="M23" i="1"/>
  <c r="P23" i="1" s="1"/>
  <c r="D14" i="1"/>
  <c r="L42" i="1" l="1"/>
  <c r="AE42" i="1"/>
  <c r="W69" i="1"/>
  <c r="AE51" i="1"/>
  <c r="AH51" i="1" s="1"/>
  <c r="Y5" i="2"/>
  <c r="M5" i="2"/>
  <c r="U51" i="1"/>
  <c r="X51" i="1" s="1"/>
  <c r="AB18" i="2"/>
  <c r="P18" i="2"/>
  <c r="L69" i="1"/>
  <c r="L14" i="1"/>
  <c r="M17" i="1" s="1"/>
  <c r="F18" i="2"/>
  <c r="C5" i="2"/>
  <c r="M45" i="1"/>
  <c r="C4" i="2"/>
  <c r="D4" i="2" s="1"/>
  <c r="U14" i="1"/>
  <c r="V17" i="1" s="1"/>
  <c r="D15" i="1"/>
  <c r="U34" i="1"/>
  <c r="L23" i="1"/>
  <c r="O23" i="1" s="1"/>
  <c r="U42" i="1"/>
  <c r="L51" i="1"/>
  <c r="O51" i="1" s="1"/>
  <c r="U23" i="1"/>
  <c r="X23" i="1" s="1"/>
  <c r="Y4" i="1"/>
  <c r="B31" i="2" l="1"/>
  <c r="B35" i="2"/>
  <c r="J35" i="2"/>
  <c r="F35" i="2"/>
  <c r="C6" i="2"/>
  <c r="C9" i="2" s="1"/>
  <c r="F31" i="2"/>
  <c r="M33" i="1"/>
  <c r="M6" i="2"/>
  <c r="Y6" i="2"/>
  <c r="J31" i="2"/>
  <c r="B7" i="3"/>
  <c r="B8" i="3" s="1"/>
  <c r="W70" i="1"/>
  <c r="X7" i="3"/>
  <c r="X8" i="3" s="1"/>
  <c r="Y4" i="2"/>
  <c r="AF45" i="1"/>
  <c r="R70" i="1"/>
  <c r="M7" i="3"/>
  <c r="M8" i="3" s="1"/>
  <c r="AF67" i="1"/>
  <c r="AF66" i="1"/>
  <c r="V45" i="1"/>
  <c r="M4" i="2"/>
  <c r="C13" i="2"/>
  <c r="C14" i="2"/>
  <c r="C12" i="2"/>
  <c r="Y14" i="2" l="1"/>
  <c r="Y13" i="2"/>
  <c r="Z4" i="2"/>
  <c r="Y11" i="2"/>
  <c r="Y10" i="2"/>
  <c r="Y7" i="2"/>
  <c r="Y9" i="2"/>
  <c r="C10" i="2"/>
  <c r="B15" i="3"/>
  <c r="B19" i="3"/>
  <c r="B14" i="3"/>
  <c r="W75" i="1"/>
  <c r="W72" i="1"/>
  <c r="X72" i="1" s="1"/>
  <c r="L75" i="1"/>
  <c r="L72" i="1"/>
  <c r="M72" i="1" s="1"/>
  <c r="F33" i="2"/>
  <c r="G33" i="2" s="1"/>
  <c r="F36" i="2"/>
  <c r="M15" i="3"/>
  <c r="M19" i="3"/>
  <c r="M14" i="3"/>
  <c r="J33" i="2"/>
  <c r="K33" i="2" s="1"/>
  <c r="J36" i="2"/>
  <c r="X15" i="3"/>
  <c r="X14" i="3"/>
  <c r="X21" i="3" s="1"/>
  <c r="X19" i="3"/>
  <c r="C7" i="2"/>
  <c r="C17" i="2" s="1"/>
  <c r="C19" i="2" s="1"/>
  <c r="B56" i="2" s="1"/>
  <c r="B58" i="2" s="1"/>
  <c r="R72" i="1"/>
  <c r="S72" i="1" s="1"/>
  <c r="R75" i="1"/>
  <c r="B33" i="2"/>
  <c r="C33" i="2" s="1"/>
  <c r="B36" i="2"/>
  <c r="C11" i="2"/>
  <c r="Y12" i="2"/>
  <c r="M14" i="2"/>
  <c r="N4" i="2"/>
  <c r="M13" i="2"/>
  <c r="M12" i="2"/>
  <c r="M7" i="2"/>
  <c r="M11" i="2"/>
  <c r="M10" i="2"/>
  <c r="M9" i="2"/>
  <c r="D7" i="2"/>
  <c r="C22" i="2"/>
  <c r="C23" i="2" s="1"/>
  <c r="B64" i="2" s="1"/>
  <c r="B66" i="2" s="1"/>
  <c r="D13" i="2"/>
  <c r="D9" i="2"/>
  <c r="D10" i="2"/>
  <c r="D14" i="2" l="1"/>
  <c r="E41" i="2"/>
  <c r="R79" i="1"/>
  <c r="Z7" i="2"/>
  <c r="Z13" i="2"/>
  <c r="Z9" i="2"/>
  <c r="Z10" i="2"/>
  <c r="Z12" i="2"/>
  <c r="Z14" i="2"/>
  <c r="Z11" i="2"/>
  <c r="Y22" i="2"/>
  <c r="Y23" i="2" s="1"/>
  <c r="Y63" i="2" s="1"/>
  <c r="Y65" i="2" s="1"/>
  <c r="Y17" i="2"/>
  <c r="Y19" i="2" s="1"/>
  <c r="Y56" i="2" s="1"/>
  <c r="Y58" i="2" s="1"/>
  <c r="D12" i="2"/>
  <c r="M21" i="3"/>
  <c r="B21" i="3"/>
  <c r="D11" i="2"/>
  <c r="N7" i="2"/>
  <c r="M17" i="2"/>
  <c r="M19" i="2" s="1"/>
  <c r="N10" i="2"/>
  <c r="M22" i="2"/>
  <c r="M23" i="2" s="1"/>
  <c r="N13" i="2"/>
  <c r="N9" i="2"/>
  <c r="N12" i="2"/>
  <c r="N14" i="2"/>
  <c r="N11" i="2"/>
  <c r="Y30" i="2" l="1"/>
  <c r="M63" i="2"/>
  <c r="M65" i="2" s="1"/>
  <c r="Y70" i="2" s="1"/>
  <c r="Y29" i="2"/>
  <c r="M56" i="2"/>
  <c r="M58" i="2" s="1"/>
  <c r="Y31" i="2"/>
</calcChain>
</file>

<file path=xl/sharedStrings.xml><?xml version="1.0" encoding="utf-8"?>
<sst xmlns="http://schemas.openxmlformats.org/spreadsheetml/2006/main" count="480" uniqueCount="151">
  <si>
    <t>n</t>
  </si>
  <si>
    <t>Tau not</t>
  </si>
  <si>
    <t>k</t>
  </si>
  <si>
    <t>cc</t>
  </si>
  <si>
    <t>q</t>
  </si>
  <si>
    <t>up</t>
  </si>
  <si>
    <t>ppg</t>
  </si>
  <si>
    <t>Cp</t>
  </si>
  <si>
    <t>lb/100sqft</t>
  </si>
  <si>
    <t>gpm</t>
  </si>
  <si>
    <t>in</t>
  </si>
  <si>
    <t>do</t>
  </si>
  <si>
    <t>di</t>
  </si>
  <si>
    <t>PL</t>
  </si>
  <si>
    <t>f</t>
  </si>
  <si>
    <t>Dp/Dl</t>
  </si>
  <si>
    <t>Turbulent</t>
  </si>
  <si>
    <t>Laminar</t>
  </si>
  <si>
    <t>Pipe</t>
  </si>
  <si>
    <t>Annulus</t>
  </si>
  <si>
    <t>ft</t>
  </si>
  <si>
    <t>Dhole</t>
  </si>
  <si>
    <t>Drill Collar</t>
  </si>
  <si>
    <t>Ddci</t>
  </si>
  <si>
    <t>Ddco</t>
  </si>
  <si>
    <t>Mean Velocity</t>
  </si>
  <si>
    <t xml:space="preserve">Length </t>
  </si>
  <si>
    <t>dp (psi)</t>
  </si>
  <si>
    <t>LHS</t>
  </si>
  <si>
    <t>RHS</t>
  </si>
  <si>
    <t>Drill Collar &amp; Drill Collar Annulus</t>
  </si>
  <si>
    <t>u edc</t>
  </si>
  <si>
    <t>DC annu</t>
  </si>
  <si>
    <t>u edca</t>
  </si>
  <si>
    <t>Pressure Drop Across Nozzle</t>
  </si>
  <si>
    <t>Dn1</t>
  </si>
  <si>
    <t>Dn2</t>
  </si>
  <si>
    <t>Dn3</t>
  </si>
  <si>
    <t>psi</t>
  </si>
  <si>
    <t>Drill Pipe</t>
  </si>
  <si>
    <t>Drill Pipe Annulus</t>
  </si>
  <si>
    <t>Drill Collar Annulus</t>
  </si>
  <si>
    <t>Nre &amp; f</t>
  </si>
  <si>
    <t>Pressure Loss Gradient &amp; Pressure Loss</t>
  </si>
  <si>
    <t>Dimensions</t>
  </si>
  <si>
    <t>Data</t>
  </si>
  <si>
    <t>dP/dL=</t>
  </si>
  <si>
    <t>f'''''=</t>
  </si>
  <si>
    <t>f''''=</t>
  </si>
  <si>
    <t>f'''=</t>
  </si>
  <si>
    <t>f''=</t>
  </si>
  <si>
    <t>f'=</t>
  </si>
  <si>
    <t>f=</t>
  </si>
  <si>
    <t>NRe(T)=</t>
  </si>
  <si>
    <t>NRe(r)=</t>
  </si>
  <si>
    <r>
      <rPr>
        <sz val="11"/>
        <color theme="1"/>
        <rFont val="Times New Roman"/>
        <family val="1"/>
      </rPr>
      <t>μ</t>
    </r>
    <r>
      <rPr>
        <sz val="11"/>
        <color theme="1"/>
        <rFont val="Calibri"/>
        <family val="2"/>
      </rPr>
      <t>(er)=</t>
    </r>
  </si>
  <si>
    <t>NRe(a)=</t>
  </si>
  <si>
    <t>DRILL PIPE ANNULUS</t>
  </si>
  <si>
    <t>N(RPM)=</t>
  </si>
  <si>
    <t>Pressure Gradient &amp; Pressure Loss:</t>
  </si>
  <si>
    <t>cp</t>
  </si>
  <si>
    <t>so,</t>
  </si>
  <si>
    <r>
      <rPr>
        <sz val="11"/>
        <color theme="1"/>
        <rFont val="Times New Roman"/>
        <family val="1"/>
      </rPr>
      <t>Δ</t>
    </r>
    <r>
      <rPr>
        <sz val="11"/>
        <color theme="1"/>
        <rFont val="Calibri"/>
        <family val="2"/>
      </rPr>
      <t>P=</t>
    </r>
  </si>
  <si>
    <t>psi/ft</t>
  </si>
  <si>
    <r>
      <rPr>
        <sz val="11"/>
        <color theme="1"/>
        <rFont val="Times New Roman"/>
        <family val="1"/>
      </rPr>
      <t>ξ</t>
    </r>
    <r>
      <rPr>
        <sz val="11"/>
        <color theme="1"/>
        <rFont val="Calibri"/>
        <family val="2"/>
      </rPr>
      <t>=</t>
    </r>
  </si>
  <si>
    <t>DRILLL COLLAR ANNULUS</t>
  </si>
  <si>
    <t>DRILL PIPE-CASING ANNULUS</t>
  </si>
  <si>
    <t>Drill pipe-casing annulus</t>
  </si>
  <si>
    <t>Mean velocity</t>
  </si>
  <si>
    <t>v(Ca)=</t>
  </si>
  <si>
    <t>Dci</t>
  </si>
  <si>
    <t>Length</t>
  </si>
  <si>
    <t>inch</t>
  </si>
  <si>
    <t>ft/s</t>
  </si>
  <si>
    <t>NRe &amp; f</t>
  </si>
  <si>
    <t>Pressure loss=</t>
  </si>
  <si>
    <t>dP/dL</t>
  </si>
  <si>
    <t>dP(psi)</t>
  </si>
  <si>
    <r>
      <t xml:space="preserve">Annular </t>
    </r>
    <r>
      <rPr>
        <b/>
        <sz val="11"/>
        <color theme="1"/>
        <rFont val="Times New Roman"/>
        <family val="1"/>
      </rPr>
      <t>Δ</t>
    </r>
    <r>
      <rPr>
        <b/>
        <sz val="11"/>
        <color theme="1"/>
        <rFont val="Calibri"/>
        <family val="2"/>
      </rPr>
      <t>P=</t>
    </r>
  </si>
  <si>
    <t>N</t>
  </si>
  <si>
    <r>
      <t xml:space="preserve">Annular </t>
    </r>
    <r>
      <rPr>
        <b/>
        <sz val="11"/>
        <color theme="1"/>
        <rFont val="Times New Roman"/>
        <family val="1"/>
      </rPr>
      <t>Δ</t>
    </r>
    <r>
      <rPr>
        <b/>
        <sz val="11"/>
        <color theme="1"/>
        <rFont val="Calibri"/>
        <family val="2"/>
      </rPr>
      <t>P</t>
    </r>
  </si>
  <si>
    <t>Eccentricity=</t>
  </si>
  <si>
    <t xml:space="preserve">It is important to note that cutting transport is only affected slightly by the position of the pipe </t>
  </si>
  <si>
    <t xml:space="preserve">in the hole at low angle. As the inclination of the well increases towards the horizontal, the </t>
  </si>
  <si>
    <t xml:space="preserve">is affected by the position of the pipe within the well bore. In order to optimize hole cleaning, </t>
  </si>
  <si>
    <t>reliable method to predict pipe eccentricity is needed</t>
  </si>
  <si>
    <t xml:space="preserve">amount of fluid needed for proper hole cleaning increases. In conclusion, hole cleaning time </t>
  </si>
  <si>
    <t>R(lam)=</t>
  </si>
  <si>
    <t>R(turb)=</t>
  </si>
  <si>
    <t>psi (concentric)</t>
  </si>
  <si>
    <r>
      <rPr>
        <b/>
        <sz val="11"/>
        <color theme="1"/>
        <rFont val="Times New Roman"/>
        <family val="1"/>
      </rPr>
      <t>Δ</t>
    </r>
    <r>
      <rPr>
        <b/>
        <sz val="11"/>
        <color theme="1"/>
        <rFont val="Calibri"/>
        <family val="2"/>
      </rPr>
      <t>P=</t>
    </r>
  </si>
  <si>
    <t>e=</t>
  </si>
  <si>
    <t>q=</t>
  </si>
  <si>
    <t xml:space="preserve"> </t>
  </si>
  <si>
    <t>Buckingham constant</t>
  </si>
  <si>
    <t>after applying Buckingham PI Theorem</t>
  </si>
  <si>
    <t xml:space="preserve">Now, </t>
  </si>
  <si>
    <t>constant a(o) has the units of psi/ft</t>
  </si>
  <si>
    <t>since the drill cuttings size is kept constant thus П_8 is neglected.</t>
  </si>
  <si>
    <t>a(o)</t>
  </si>
  <si>
    <t>a</t>
  </si>
  <si>
    <r>
      <rPr>
        <b/>
        <sz val="11"/>
        <color theme="1"/>
        <rFont val="Times New Roman"/>
        <family val="1"/>
      </rPr>
      <t>θ</t>
    </r>
    <r>
      <rPr>
        <b/>
        <sz val="11"/>
        <color theme="1"/>
        <rFont val="Calibri"/>
        <family val="2"/>
      </rPr>
      <t>=</t>
    </r>
  </si>
  <si>
    <t>θ^a</t>
  </si>
  <si>
    <t>Predicted Y</t>
  </si>
  <si>
    <t>Cuttings Transport Ratio</t>
  </si>
  <si>
    <t>V(sl)-DPA=</t>
  </si>
  <si>
    <r>
      <rPr>
        <sz val="11"/>
        <color theme="1"/>
        <rFont val="Times New Roman"/>
        <family val="1"/>
      </rPr>
      <t>ρ</t>
    </r>
    <r>
      <rPr>
        <sz val="11"/>
        <color theme="1"/>
        <rFont val="Calibri"/>
        <family val="2"/>
      </rPr>
      <t>(cuttings)=</t>
    </r>
  </si>
  <si>
    <t>lbm/gal</t>
  </si>
  <si>
    <t>SG(cuttings)=</t>
  </si>
  <si>
    <r>
      <rPr>
        <sz val="11"/>
        <color theme="1"/>
        <rFont val="Times New Roman"/>
        <family val="1"/>
      </rPr>
      <t>ρ(mud</t>
    </r>
    <r>
      <rPr>
        <sz val="11"/>
        <color theme="1"/>
        <rFont val="Calibri"/>
        <family val="2"/>
      </rPr>
      <t>)=</t>
    </r>
  </si>
  <si>
    <t>dia(cuttings)=</t>
  </si>
  <si>
    <t>ft/sec</t>
  </si>
  <si>
    <t>NRe(particle)=</t>
  </si>
  <si>
    <t>V(sl)=</t>
  </si>
  <si>
    <t>Transport Ratio=</t>
  </si>
  <si>
    <t>assuming intermediate region of reynolds number:</t>
  </si>
  <si>
    <t>jusctification:</t>
  </si>
  <si>
    <t>if Nre&gt;300</t>
  </si>
  <si>
    <t>IF Nre&lt;3</t>
  </si>
  <si>
    <t>V(sl)-DCA=</t>
  </si>
  <si>
    <t>V(sl)-DpCA=</t>
  </si>
  <si>
    <t>MEAN F(T)=</t>
  </si>
  <si>
    <t>DRILL COLLAR ANNULUS</t>
  </si>
  <si>
    <t>MEAN F(T)</t>
  </si>
  <si>
    <t>Q=</t>
  </si>
  <si>
    <r>
      <rPr>
        <b/>
        <sz val="11"/>
        <color theme="1"/>
        <rFont val="Times New Roman"/>
        <family val="1"/>
      </rPr>
      <t>μ</t>
    </r>
    <r>
      <rPr>
        <b/>
        <sz val="11"/>
        <color theme="1"/>
        <rFont val="Calibri"/>
        <family val="2"/>
      </rPr>
      <t>(a)=</t>
    </r>
  </si>
  <si>
    <t>Average F(T)=</t>
  </si>
  <si>
    <t>F(T)</t>
  </si>
  <si>
    <t>C[c]=</t>
  </si>
  <si>
    <t>ρ(m)=</t>
  </si>
  <si>
    <t>v(a)=</t>
  </si>
  <si>
    <t>v(Ω)=</t>
  </si>
  <si>
    <t>Π_1=</t>
  </si>
  <si>
    <t>Π_2=</t>
  </si>
  <si>
    <t>Π_3=</t>
  </si>
  <si>
    <t>Π_4=</t>
  </si>
  <si>
    <t>Π_5=</t>
  </si>
  <si>
    <t>Π_6=</t>
  </si>
  <si>
    <t>Π_7=</t>
  </si>
  <si>
    <t>Drill Collar-open hole annulus</t>
  </si>
  <si>
    <r>
      <rPr>
        <b/>
        <sz val="11"/>
        <color theme="1"/>
        <rFont val="Times New Roman"/>
        <family val="1"/>
      </rPr>
      <t>μ(f)=μ</t>
    </r>
    <r>
      <rPr>
        <b/>
        <sz val="11"/>
        <color theme="1"/>
        <rFont val="Calibri"/>
        <family val="2"/>
      </rPr>
      <t>(a)=</t>
    </r>
  </si>
  <si>
    <r>
      <rPr>
        <b/>
        <sz val="11"/>
        <color theme="1"/>
        <rFont val="Times New Roman"/>
        <family val="1"/>
      </rPr>
      <t>μ</t>
    </r>
    <r>
      <rPr>
        <b/>
        <sz val="11"/>
        <color theme="1"/>
        <rFont val="Calibri"/>
        <family val="2"/>
      </rPr>
      <t>(m)=</t>
    </r>
  </si>
  <si>
    <t>lb/gal</t>
  </si>
  <si>
    <t>vol %</t>
  </si>
  <si>
    <t>N=</t>
  </si>
  <si>
    <t>rpm</t>
  </si>
  <si>
    <t>degrees</t>
  </si>
  <si>
    <t>Π_8=</t>
  </si>
  <si>
    <t>A(b)/A(w)=</t>
  </si>
  <si>
    <t>A(b)/A(w)</t>
  </si>
  <si>
    <t>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</si>
</sst>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0.000000"/>
    <numFmt numFmtId="165" formatCode="0.00000000"/>
    <numFmt numFmtId="166" formatCode="0.000000000"/>
    <numFmt numFmtId="167" formatCode="0.000000000000000"/>
    <numFmt numFmtId="168" formatCode="0.000"/>
    <numFmt numFmtId="169" formatCode="0.0000000"/>
    <numFmt numFmtId="170" formatCode="0.00000"/>
    <numFmt numFmtId="171" formatCode="0.00000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1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2" borderId="0" xfId="0" applyFill="1"/>
    <xf numFmtId="0" fontId="1" fillId="2" borderId="0" xfId="0" applyFont="1" applyFill="1"/>
    <xf numFmtId="0" fontId="1" fillId="0" borderId="7" xfId="0" applyFont="1" applyBorder="1"/>
    <xf numFmtId="0" fontId="2" fillId="2" borderId="0" xfId="0" applyFont="1" applyFill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167" fontId="1" fillId="0" borderId="0" xfId="0" applyNumberFormat="1" applyFont="1" applyAlignment="1">
      <alignment horizontal="center"/>
    </xf>
    <xf numFmtId="168" fontId="0" fillId="0" borderId="0" xfId="0" applyNumberFormat="1"/>
    <xf numFmtId="169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5" fontId="1" fillId="0" borderId="0" xfId="0" applyNumberFormat="1" applyFont="1"/>
    <xf numFmtId="0" fontId="0" fillId="0" borderId="1" xfId="0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3" fontId="0" fillId="0" borderId="0" xfId="1" applyNumberFormat="1" applyFont="1"/>
    <xf numFmtId="0" fontId="9" fillId="0" borderId="0" xfId="0" applyFont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0" fillId="0" borderId="10" xfId="0" applyBorder="1"/>
    <xf numFmtId="0" fontId="10" fillId="0" borderId="1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7" xfId="0" applyBorder="1"/>
    <xf numFmtId="0" fontId="1" fillId="0" borderId="1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19" xfId="0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71" fontId="0" fillId="0" borderId="0" xfId="0" applyNumberFormat="1"/>
    <xf numFmtId="0" fontId="1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5" borderId="18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2" borderId="2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'stand pipe'!$Q$84:$Q$91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280</c:v>
                </c:pt>
                <c:pt idx="4">
                  <c:v>300</c:v>
                </c:pt>
                <c:pt idx="5">
                  <c:v>380</c:v>
                </c:pt>
                <c:pt idx="6">
                  <c:v>400</c:v>
                </c:pt>
                <c:pt idx="7">
                  <c:v>500</c:v>
                </c:pt>
              </c:numCache>
            </c:numRef>
          </c:xVal>
          <c:yVal>
            <c:numRef>
              <c:f>'stand pipe'!$R$84:$R$91</c:f>
              <c:numCache>
                <c:formatCode>General</c:formatCode>
                <c:ptCount val="8"/>
                <c:pt idx="0">
                  <c:v>39.96</c:v>
                </c:pt>
                <c:pt idx="1">
                  <c:v>68.099999999999994</c:v>
                </c:pt>
                <c:pt idx="2">
                  <c:v>83.05</c:v>
                </c:pt>
                <c:pt idx="3">
                  <c:v>87.53</c:v>
                </c:pt>
                <c:pt idx="4">
                  <c:v>88.290999999999997</c:v>
                </c:pt>
                <c:pt idx="5">
                  <c:v>90.562799999999996</c:v>
                </c:pt>
                <c:pt idx="6">
                  <c:v>90.99</c:v>
                </c:pt>
                <c:pt idx="7">
                  <c:v>92.65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2-438D-BDAB-7DF7A0BB9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30064"/>
        <c:axId val="573538920"/>
      </c:scatterChart>
      <c:valAx>
        <c:axId val="57353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q(bpm)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38920"/>
        <c:crosses val="autoZero"/>
        <c:crossBetween val="midCat"/>
      </c:valAx>
      <c:valAx>
        <c:axId val="57353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Transport Ratio(%)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3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79458580357145"/>
          <c:y val="4.2864094739161092E-2"/>
          <c:w val="0.70894763549501838"/>
          <c:h val="0.78410794510695769"/>
        </c:manualLayout>
      </c:layout>
      <c:scatterChart>
        <c:scatterStyle val="lineMarker"/>
        <c:varyColors val="0"/>
        <c:ser>
          <c:idx val="0"/>
          <c:order val="0"/>
          <c:tx>
            <c:v>q=280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'pipe rotation &amp; Eccentricity'!$P$32:$P$39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150</c:v>
                </c:pt>
                <c:pt idx="7">
                  <c:v>200</c:v>
                </c:pt>
              </c:numCache>
            </c:numRef>
          </c:xVal>
          <c:yVal>
            <c:numRef>
              <c:f>'pipe rotation &amp; Eccentricity'!$Q$32:$Q$39</c:f>
              <c:numCache>
                <c:formatCode>0.00000</c:formatCode>
                <c:ptCount val="8"/>
                <c:pt idx="0">
                  <c:v>196.49180000000001</c:v>
                </c:pt>
                <c:pt idx="1">
                  <c:v>215.69889000000001</c:v>
                </c:pt>
                <c:pt idx="2">
                  <c:v>241.6849</c:v>
                </c:pt>
                <c:pt idx="3">
                  <c:v>324.27999999999997</c:v>
                </c:pt>
                <c:pt idx="4">
                  <c:v>362.85</c:v>
                </c:pt>
                <c:pt idx="5">
                  <c:v>516.5566</c:v>
                </c:pt>
                <c:pt idx="6">
                  <c:v>602.178</c:v>
                </c:pt>
                <c:pt idx="7">
                  <c:v>755.11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29-4B7E-808A-47417EC764AB}"/>
            </c:ext>
          </c:extLst>
        </c:ser>
        <c:ser>
          <c:idx val="1"/>
          <c:order val="1"/>
          <c:tx>
            <c:v>q=380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'pipe rotation &amp; Eccentricity'!$P$44:$P$50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120</c:v>
                </c:pt>
                <c:pt idx="5">
                  <c:v>150</c:v>
                </c:pt>
                <c:pt idx="6">
                  <c:v>200</c:v>
                </c:pt>
              </c:numCache>
            </c:numRef>
          </c:xVal>
          <c:yVal>
            <c:numRef>
              <c:f>'pipe rotation &amp; Eccentricity'!$Q$44:$Q$50</c:f>
              <c:numCache>
                <c:formatCode>General</c:formatCode>
                <c:ptCount val="7"/>
                <c:pt idx="0" formatCode="0.00000">
                  <c:v>420.43349999999998</c:v>
                </c:pt>
                <c:pt idx="1">
                  <c:v>491.15460000000002</c:v>
                </c:pt>
                <c:pt idx="2">
                  <c:v>572.09059999999999</c:v>
                </c:pt>
                <c:pt idx="3">
                  <c:v>660.577</c:v>
                </c:pt>
                <c:pt idx="4">
                  <c:v>854.69889999999998</c:v>
                </c:pt>
                <c:pt idx="5">
                  <c:v>1012.909</c:v>
                </c:pt>
                <c:pt idx="6">
                  <c:v>1197.5325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A4-4047-B484-8EF7B1805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737528"/>
        <c:axId val="522735888"/>
      </c:scatterChart>
      <c:valAx>
        <c:axId val="52273752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35888"/>
        <c:crosses val="autoZero"/>
        <c:crossBetween val="midCat"/>
        <c:majorUnit val="20"/>
      </c:valAx>
      <c:valAx>
        <c:axId val="5227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Annular Pressure Drop(psi)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37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80413102392059"/>
          <c:y val="0.66847440147007731"/>
          <c:w val="0.24690696808945298"/>
          <c:h val="0.14192183986907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30974532943292"/>
          <c:y val="3.9041681816162029E-2"/>
          <c:w val="0.70831798378245836"/>
          <c:h val="0.80336015574193587"/>
        </c:manualLayout>
      </c:layout>
      <c:scatterChart>
        <c:scatterStyle val="lineMarker"/>
        <c:varyColors val="0"/>
        <c:ser>
          <c:idx val="0"/>
          <c:order val="0"/>
          <c:tx>
            <c:v>N=20RPM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'pipe rotation &amp; Eccentricity'!$O$70:$R$70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'pipe rotation &amp; Eccentricity'!$O$72:$R$72</c:f>
              <c:numCache>
                <c:formatCode>General</c:formatCode>
                <c:ptCount val="4"/>
                <c:pt idx="0">
                  <c:v>402.6995</c:v>
                </c:pt>
                <c:pt idx="1">
                  <c:v>371.21654899999999</c:v>
                </c:pt>
                <c:pt idx="2">
                  <c:v>333.43546099999998</c:v>
                </c:pt>
                <c:pt idx="3">
                  <c:v>293.94741090000002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2-4096-A545-8900B1B5322C}"/>
            </c:ext>
          </c:extLst>
        </c:ser>
        <c:ser>
          <c:idx val="1"/>
          <c:order val="1"/>
          <c:tx>
            <c:v>N=40RPM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'pipe rotation &amp; Eccentricity'!$O$70:$R$70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'pipe rotation &amp; Eccentricity'!$O$73:$R$73</c:f>
              <c:numCache>
                <c:formatCode>General</c:formatCode>
                <c:ptCount val="4"/>
                <c:pt idx="0">
                  <c:v>470.4298</c:v>
                </c:pt>
                <c:pt idx="1">
                  <c:v>433.524</c:v>
                </c:pt>
                <c:pt idx="2">
                  <c:v>389.38839999999999</c:v>
                </c:pt>
                <c:pt idx="3">
                  <c:v>343.25998499999997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12-4096-A545-8900B1B5322C}"/>
            </c:ext>
          </c:extLst>
        </c:ser>
        <c:ser>
          <c:idx val="2"/>
          <c:order val="2"/>
          <c:tx>
            <c:v>N=60RPM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'pipe rotation &amp; Eccentricity'!$O$70:$R$70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'pipe rotation &amp; Eccentricity'!$O$74:$R$74</c:f>
              <c:numCache>
                <c:formatCode>General</c:formatCode>
                <c:ptCount val="4"/>
                <c:pt idx="0">
                  <c:v>547.97889999999995</c:v>
                </c:pt>
                <c:pt idx="1">
                  <c:v>504.97818360000002</c:v>
                </c:pt>
                <c:pt idx="2">
                  <c:v>453.55500000000001</c:v>
                </c:pt>
                <c:pt idx="3">
                  <c:v>399.81156329999999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12-4096-A545-8900B1B5322C}"/>
            </c:ext>
          </c:extLst>
        </c:ser>
        <c:ser>
          <c:idx val="3"/>
          <c:order val="3"/>
          <c:tx>
            <c:v>N=80RPM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'pipe rotation &amp; Eccentricity'!$O$70:$R$70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'pipe rotation &amp; Eccentricity'!$O$75:$R$75</c:f>
              <c:numCache>
                <c:formatCode>General</c:formatCode>
                <c:ptCount val="4"/>
                <c:pt idx="0">
                  <c:v>632.71699999999998</c:v>
                </c:pt>
                <c:pt idx="1">
                  <c:v>583.10616100000004</c:v>
                </c:pt>
                <c:pt idx="2">
                  <c:v>523.71507729999996</c:v>
                </c:pt>
                <c:pt idx="3">
                  <c:v>461.64507830000002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12-4096-A545-8900B1B5322C}"/>
            </c:ext>
          </c:extLst>
        </c:ser>
        <c:ser>
          <c:idx val="4"/>
          <c:order val="4"/>
          <c:tx>
            <c:v>N=100RPM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'pipe rotation &amp; Eccentricity'!$O$70:$R$70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'pipe rotation &amp; Eccentricity'!$O$76:$R$76</c:f>
              <c:numCache>
                <c:formatCode>General</c:formatCode>
                <c:ptCount val="4"/>
                <c:pt idx="0">
                  <c:v>723.39140350000002</c:v>
                </c:pt>
                <c:pt idx="1">
                  <c:v>666.60400000000004</c:v>
                </c:pt>
                <c:pt idx="2">
                  <c:v>598.69738410000002</c:v>
                </c:pt>
                <c:pt idx="3">
                  <c:v>527.72865669999999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12-4096-A545-8900B1B5322C}"/>
            </c:ext>
          </c:extLst>
        </c:ser>
        <c:ser>
          <c:idx val="5"/>
          <c:order val="5"/>
          <c:tx>
            <c:v>N=120RPM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'pipe rotation &amp; Eccentricity'!$O$70:$R$70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'pipe rotation &amp; Eccentricity'!$O$77:$R$77</c:f>
              <c:numCache>
                <c:formatCode>General</c:formatCode>
                <c:ptCount val="4"/>
                <c:pt idx="0">
                  <c:v>818.94420000000002</c:v>
                </c:pt>
                <c:pt idx="1">
                  <c:v>754.64710000000002</c:v>
                </c:pt>
                <c:pt idx="2">
                  <c:v>677.76099999999997</c:v>
                </c:pt>
                <c:pt idx="3">
                  <c:v>597.40899999999999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12-4096-A545-8900B1B5322C}"/>
            </c:ext>
          </c:extLst>
        </c:ser>
        <c:ser>
          <c:idx val="6"/>
          <c:order val="6"/>
          <c:tx>
            <c:v>N=150RPM</c:v>
          </c:tx>
          <c:spPr>
            <a:ln w="254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'pipe rotation &amp; Eccentricity'!$O$70:$R$70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'pipe rotation &amp; Eccentricity'!$O$78:$R$78</c:f>
              <c:numCache>
                <c:formatCode>General</c:formatCode>
                <c:ptCount val="4"/>
                <c:pt idx="0">
                  <c:v>970.19899999999996</c:v>
                </c:pt>
                <c:pt idx="1">
                  <c:v>893.97918000000004</c:v>
                </c:pt>
                <c:pt idx="2">
                  <c:v>802.91459999999995</c:v>
                </c:pt>
                <c:pt idx="3">
                  <c:v>707.70990800000004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12-4096-A545-8900B1B5322C}"/>
            </c:ext>
          </c:extLst>
        </c:ser>
        <c:ser>
          <c:idx val="7"/>
          <c:order val="7"/>
          <c:tx>
            <c:v>N=200RPM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'pipe rotation &amp; Eccentricity'!$O$70:$R$70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'pipe rotation &amp; Eccentricity'!$O$79:$R$79</c:f>
              <c:numCache>
                <c:formatCode>General</c:formatCode>
                <c:ptCount val="4"/>
                <c:pt idx="0">
                  <c:v>1147.06924</c:v>
                </c:pt>
                <c:pt idx="1">
                  <c:v>1058.0510999999999</c:v>
                </c:pt>
                <c:pt idx="2">
                  <c:v>950.79798579999999</c:v>
                </c:pt>
                <c:pt idx="3">
                  <c:v>838.65759609999998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112-4096-A545-8900B1B53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36600"/>
        <c:axId val="366837256"/>
      </c:scatterChart>
      <c:valAx>
        <c:axId val="36683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e(Eccentricity)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37256"/>
        <c:crosses val="autoZero"/>
        <c:crossBetween val="midCat"/>
      </c:valAx>
      <c:valAx>
        <c:axId val="36683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Pressure Loss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36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83261592300961"/>
          <c:y val="5.0925925925925923E-2"/>
          <c:w val="0.76225455818022736"/>
          <c:h val="0.74813283756197135"/>
        </c:manualLayout>
      </c:layout>
      <c:scatterChart>
        <c:scatterStyle val="lineMarker"/>
        <c:varyColors val="0"/>
        <c:ser>
          <c:idx val="0"/>
          <c:order val="0"/>
          <c:tx>
            <c:v>F(T) Vs q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'pipe rotation &amp; Eccentricity'!$D$45:$D$48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380</c:v>
                </c:pt>
                <c:pt idx="3">
                  <c:v>400</c:v>
                </c:pt>
              </c:numCache>
            </c:numRef>
          </c:xVal>
          <c:yVal>
            <c:numRef>
              <c:f>'pipe rotation &amp; Eccentricity'!$E$45:$E$48</c:f>
              <c:numCache>
                <c:formatCode>General</c:formatCode>
                <c:ptCount val="4"/>
                <c:pt idx="0">
                  <c:v>83.221999999999994</c:v>
                </c:pt>
                <c:pt idx="1">
                  <c:v>88.815216200000009</c:v>
                </c:pt>
                <c:pt idx="2">
                  <c:v>91.169899999999998</c:v>
                </c:pt>
                <c:pt idx="3">
                  <c:v>91.600000000000009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E-410A-81D6-9D091B44D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68568"/>
        <c:axId val="493568896"/>
      </c:scatterChart>
      <c:valAx>
        <c:axId val="493568568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q(gpm)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68896"/>
        <c:crosses val="autoZero"/>
        <c:crossBetween val="midCat"/>
      </c:valAx>
      <c:valAx>
        <c:axId val="493568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Transport Ratio(%)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68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18495188101487"/>
          <c:y val="0.6970483377077864"/>
          <c:w val="0.24281497533055038"/>
          <c:h val="8.1260621392707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18965895306447"/>
          <c:y val="5.4320987654320987E-2"/>
          <c:w val="0.72230022022262064"/>
          <c:h val="0.72640342179449791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'pipe rotation &amp; Eccentricity'!$G$44:$G$50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</c:numCache>
            </c:numRef>
          </c:xVal>
          <c:yVal>
            <c:numRef>
              <c:f>'pipe rotation &amp; Eccentricity'!$H$44:$H$50</c:f>
              <c:numCache>
                <c:formatCode>General</c:formatCode>
                <c:ptCount val="7"/>
                <c:pt idx="0">
                  <c:v>90.2</c:v>
                </c:pt>
                <c:pt idx="1">
                  <c:v>89.59</c:v>
                </c:pt>
                <c:pt idx="2">
                  <c:v>89.21</c:v>
                </c:pt>
                <c:pt idx="3">
                  <c:v>88.94</c:v>
                </c:pt>
                <c:pt idx="4">
                  <c:v>88.723337400000005</c:v>
                </c:pt>
                <c:pt idx="5">
                  <c:v>88.314899999999994</c:v>
                </c:pt>
                <c:pt idx="6">
                  <c:v>88.016000000000005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7-4242-AF0A-619E2E988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22864"/>
        <c:axId val="500623192"/>
      </c:scatterChart>
      <c:valAx>
        <c:axId val="50062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23192"/>
        <c:crosses val="autoZero"/>
        <c:crossBetween val="midCat"/>
      </c:valAx>
      <c:valAx>
        <c:axId val="50062319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Transport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2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θ=15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'buckingham constant for theta'!$F$19:$F$28</c:f>
              <c:numCache>
                <c:formatCode>General</c:formatCode>
                <c:ptCount val="10"/>
                <c:pt idx="0">
                  <c:v>0.5235155332798378</c:v>
                </c:pt>
                <c:pt idx="1">
                  <c:v>0.56120345468523114</c:v>
                </c:pt>
                <c:pt idx="2">
                  <c:v>0.6147535046888799</c:v>
                </c:pt>
                <c:pt idx="3">
                  <c:v>0.69277475000377997</c:v>
                </c:pt>
                <c:pt idx="4">
                  <c:v>0.81025591036943323</c:v>
                </c:pt>
                <c:pt idx="5">
                  <c:v>0.99497247214072548</c:v>
                </c:pt>
                <c:pt idx="6">
                  <c:v>1.3023850130309635</c:v>
                </c:pt>
                <c:pt idx="7">
                  <c:v>1.8536797037225747</c:v>
                </c:pt>
                <c:pt idx="8">
                  <c:v>2.9444746306383327</c:v>
                </c:pt>
                <c:pt idx="9">
                  <c:v>5.4011654799242006</c:v>
                </c:pt>
              </c:numCache>
            </c:numRef>
          </c:xVal>
          <c:yVal>
            <c:numRef>
              <c:f>'buckingham constant for theta'!$F$32:$F$41</c:f>
              <c:numCache>
                <c:formatCode>General</c:formatCode>
                <c:ptCount val="10"/>
                <c:pt idx="0">
                  <c:v>-0.23898692013595932</c:v>
                </c:pt>
                <c:pt idx="1">
                  <c:v>-0.21331649415069226</c:v>
                </c:pt>
                <c:pt idx="2">
                  <c:v>-0.17966206708630278</c:v>
                </c:pt>
                <c:pt idx="3">
                  <c:v>-0.13554045953361352</c:v>
                </c:pt>
                <c:pt idx="4">
                  <c:v>-7.7696175056300637E-2</c:v>
                </c:pt>
                <c:pt idx="5">
                  <c:v>-1.8611945947067388E-3</c:v>
                </c:pt>
                <c:pt idx="6">
                  <c:v>9.7559937736282909E-2</c:v>
                </c:pt>
                <c:pt idx="7">
                  <c:v>0.22790297328281545</c:v>
                </c:pt>
                <c:pt idx="8">
                  <c:v>0.39878522454228021</c:v>
                </c:pt>
                <c:pt idx="9">
                  <c:v>0.62281517499619743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6-4163-BABA-A16C89B43B35}"/>
            </c:ext>
          </c:extLst>
        </c:ser>
        <c:ser>
          <c:idx val="1"/>
          <c:order val="1"/>
          <c:tx>
            <c:v>θ=30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'buckingham constant for theta'!$G$19:$G$28</c:f>
              <c:numCache>
                <c:formatCode>General</c:formatCode>
                <c:ptCount val="10"/>
                <c:pt idx="0">
                  <c:v>0.44359571328678815</c:v>
                </c:pt>
                <c:pt idx="1">
                  <c:v>0.4840672181803094</c:v>
                </c:pt>
                <c:pt idx="2">
                  <c:v>0.54277188307134738</c:v>
                </c:pt>
                <c:pt idx="3">
                  <c:v>0.63065276816473992</c:v>
                </c:pt>
                <c:pt idx="4">
                  <c:v>0.76777387163380406</c:v>
                </c:pt>
                <c:pt idx="5">
                  <c:v>0.99368970389293632</c:v>
                </c:pt>
                <c:pt idx="6">
                  <c:v>1.3935028383448687</c:v>
                </c:pt>
                <c:pt idx="7">
                  <c:v>2.1709025353737936</c:v>
                </c:pt>
                <c:pt idx="8">
                  <c:v>3.8819874876041145</c:v>
                </c:pt>
                <c:pt idx="9">
                  <c:v>8.3171308238623674</c:v>
                </c:pt>
              </c:numCache>
            </c:numRef>
          </c:xVal>
          <c:yVal>
            <c:numRef>
              <c:f>'buckingham constant for theta'!$F$32:$F$41</c:f>
              <c:numCache>
                <c:formatCode>General</c:formatCode>
                <c:ptCount val="10"/>
                <c:pt idx="0">
                  <c:v>-0.23898692013595932</c:v>
                </c:pt>
                <c:pt idx="1">
                  <c:v>-0.21331649415069226</c:v>
                </c:pt>
                <c:pt idx="2">
                  <c:v>-0.17966206708630278</c:v>
                </c:pt>
                <c:pt idx="3">
                  <c:v>-0.13554045953361352</c:v>
                </c:pt>
                <c:pt idx="4">
                  <c:v>-7.7696175056300637E-2</c:v>
                </c:pt>
                <c:pt idx="5">
                  <c:v>-1.8611945947067388E-3</c:v>
                </c:pt>
                <c:pt idx="6">
                  <c:v>9.7559937736282909E-2</c:v>
                </c:pt>
                <c:pt idx="7">
                  <c:v>0.22790297328281545</c:v>
                </c:pt>
                <c:pt idx="8">
                  <c:v>0.39878522454228021</c:v>
                </c:pt>
                <c:pt idx="9">
                  <c:v>0.62281517499619743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26-4163-BABA-A16C89B43B35}"/>
            </c:ext>
          </c:extLst>
        </c:ser>
        <c:ser>
          <c:idx val="2"/>
          <c:order val="2"/>
          <c:tx>
            <c:v>θ=45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'buckingham constant for theta'!$H$19:$H$28</c:f>
              <c:numCache>
                <c:formatCode>General</c:formatCode>
                <c:ptCount val="10"/>
                <c:pt idx="0">
                  <c:v>0.40262786947974</c:v>
                </c:pt>
                <c:pt idx="1">
                  <c:v>0.44395862992628554</c:v>
                </c:pt>
                <c:pt idx="2">
                  <c:v>0.50463854845328837</c:v>
                </c:pt>
                <c:pt idx="3">
                  <c:v>0.59692918951447449</c:v>
                </c:pt>
                <c:pt idx="4">
                  <c:v>0.74396364083737843</c:v>
                </c:pt>
                <c:pt idx="5">
                  <c:v>0.99294009936688343</c:v>
                </c:pt>
                <c:pt idx="6">
                  <c:v>1.4497306136530961</c:v>
                </c:pt>
                <c:pt idx="7">
                  <c:v>2.3810693647740337</c:v>
                </c:pt>
                <c:pt idx="8">
                  <c:v>4.56327585900243</c:v>
                </c:pt>
                <c:pt idx="9">
                  <c:v>10.706458577205796</c:v>
                </c:pt>
              </c:numCache>
            </c:numRef>
          </c:xVal>
          <c:yVal>
            <c:numRef>
              <c:f>'buckingham constant for theta'!$F$32:$F$41</c:f>
              <c:numCache>
                <c:formatCode>General</c:formatCode>
                <c:ptCount val="10"/>
                <c:pt idx="0">
                  <c:v>-0.23898692013595932</c:v>
                </c:pt>
                <c:pt idx="1">
                  <c:v>-0.21331649415069226</c:v>
                </c:pt>
                <c:pt idx="2">
                  <c:v>-0.17966206708630278</c:v>
                </c:pt>
                <c:pt idx="3">
                  <c:v>-0.13554045953361352</c:v>
                </c:pt>
                <c:pt idx="4">
                  <c:v>-7.7696175056300637E-2</c:v>
                </c:pt>
                <c:pt idx="5">
                  <c:v>-1.8611945947067388E-3</c:v>
                </c:pt>
                <c:pt idx="6">
                  <c:v>9.7559937736282909E-2</c:v>
                </c:pt>
                <c:pt idx="7">
                  <c:v>0.22790297328281545</c:v>
                </c:pt>
                <c:pt idx="8">
                  <c:v>0.39878522454228021</c:v>
                </c:pt>
                <c:pt idx="9">
                  <c:v>0.62281517499619743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26-4163-BABA-A16C89B43B35}"/>
            </c:ext>
          </c:extLst>
        </c:ser>
        <c:ser>
          <c:idx val="3"/>
          <c:order val="3"/>
          <c:tx>
            <c:v>θ=60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'buckingham constant for theta'!$I$19:$I$28</c:f>
              <c:numCache>
                <c:formatCode>General</c:formatCode>
                <c:ptCount val="10"/>
                <c:pt idx="0">
                  <c:v>0.3758764436531627</c:v>
                </c:pt>
                <c:pt idx="1">
                  <c:v>0.41753319542241552</c:v>
                </c:pt>
                <c:pt idx="2">
                  <c:v>0.47921860519023946</c:v>
                </c:pt>
                <c:pt idx="3">
                  <c:v>0.57410134245175537</c:v>
                </c:pt>
                <c:pt idx="4">
                  <c:v>0.72751918303785179</c:v>
                </c:pt>
                <c:pt idx="5">
                  <c:v>0.99240858945409538</c:v>
                </c:pt>
                <c:pt idx="6">
                  <c:v>1.4909954744918728</c:v>
                </c:pt>
                <c:pt idx="7">
                  <c:v>2.542412159246306</c:v>
                </c:pt>
                <c:pt idx="8">
                  <c:v>5.1180019338960712</c:v>
                </c:pt>
                <c:pt idx="9">
                  <c:v>12.80735896694139</c:v>
                </c:pt>
              </c:numCache>
            </c:numRef>
          </c:xVal>
          <c:yVal>
            <c:numRef>
              <c:f>'buckingham constant for theta'!$F$32:$F$41</c:f>
              <c:numCache>
                <c:formatCode>General</c:formatCode>
                <c:ptCount val="10"/>
                <c:pt idx="0">
                  <c:v>-0.23898692013595932</c:v>
                </c:pt>
                <c:pt idx="1">
                  <c:v>-0.21331649415069226</c:v>
                </c:pt>
                <c:pt idx="2">
                  <c:v>-0.17966206708630278</c:v>
                </c:pt>
                <c:pt idx="3">
                  <c:v>-0.13554045953361352</c:v>
                </c:pt>
                <c:pt idx="4">
                  <c:v>-7.7696175056300637E-2</c:v>
                </c:pt>
                <c:pt idx="5">
                  <c:v>-1.8611945947067388E-3</c:v>
                </c:pt>
                <c:pt idx="6">
                  <c:v>9.7559937736282909E-2</c:v>
                </c:pt>
                <c:pt idx="7">
                  <c:v>0.22790297328281545</c:v>
                </c:pt>
                <c:pt idx="8">
                  <c:v>0.39878522454228021</c:v>
                </c:pt>
                <c:pt idx="9">
                  <c:v>0.62281517499619743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26-4163-BABA-A16C89B43B35}"/>
            </c:ext>
          </c:extLst>
        </c:ser>
        <c:ser>
          <c:idx val="4"/>
          <c:order val="4"/>
          <c:tx>
            <c:v>θ=90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'buckingham constant for theta'!$J$19:$J$28</c:f>
              <c:numCache>
                <c:formatCode>General</c:formatCode>
                <c:ptCount val="10"/>
                <c:pt idx="0">
                  <c:v>0.60042787660620134</c:v>
                </c:pt>
                <c:pt idx="1">
                  <c:v>0.61230352393812426</c:v>
                </c:pt>
                <c:pt idx="2">
                  <c:v>0.62994805666218212</c:v>
                </c:pt>
                <c:pt idx="3">
                  <c:v>0.6573167500957463</c:v>
                </c:pt>
                <c:pt idx="4">
                  <c:v>0.70241454095239531</c:v>
                </c:pt>
                <c:pt idx="5">
                  <c:v>0.78356370185208135</c:v>
                </c:pt>
                <c:pt idx="6">
                  <c:v>0.95083068102420676</c:v>
                </c:pt>
                <c:pt idx="7">
                  <c:v>1.385126936554989</c:v>
                </c:pt>
                <c:pt idx="8">
                  <c:v>3.1703626738827193</c:v>
                </c:pt>
                <c:pt idx="9">
                  <c:v>27.117190839514286</c:v>
                </c:pt>
              </c:numCache>
            </c:numRef>
          </c:xVal>
          <c:yVal>
            <c:numRef>
              <c:f>'buckingham constant for theta'!$F$32:$F$41</c:f>
              <c:numCache>
                <c:formatCode>General</c:formatCode>
                <c:ptCount val="10"/>
                <c:pt idx="0">
                  <c:v>-0.23898692013595932</c:v>
                </c:pt>
                <c:pt idx="1">
                  <c:v>-0.21331649415069226</c:v>
                </c:pt>
                <c:pt idx="2">
                  <c:v>-0.17966206708630278</c:v>
                </c:pt>
                <c:pt idx="3">
                  <c:v>-0.13554045953361352</c:v>
                </c:pt>
                <c:pt idx="4">
                  <c:v>-7.7696175056300637E-2</c:v>
                </c:pt>
                <c:pt idx="5">
                  <c:v>-1.8611945947067388E-3</c:v>
                </c:pt>
                <c:pt idx="6">
                  <c:v>9.7559937736282909E-2</c:v>
                </c:pt>
                <c:pt idx="7">
                  <c:v>0.22790297328281545</c:v>
                </c:pt>
                <c:pt idx="8">
                  <c:v>0.39878522454228021</c:v>
                </c:pt>
                <c:pt idx="9">
                  <c:v>0.62281517499619743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26-4163-BABA-A16C89B43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82152"/>
        <c:axId val="520172640"/>
      </c:scatterChart>
      <c:valAx>
        <c:axId val="52018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b="1"/>
                  <a:t>θ</a:t>
                </a:r>
                <a:r>
                  <a:rPr lang="en-IN" b="1"/>
                  <a:t>^(a)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72640"/>
        <c:crosses val="autoZero"/>
        <c:crossBetween val="midCat"/>
      </c:valAx>
      <c:valAx>
        <c:axId val="5201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8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8198772965879265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N=20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Deviation!$A$25:$A$31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Deviation!$B$25:$B$31</c:f>
              <c:numCache>
                <c:formatCode>General</c:formatCode>
                <c:ptCount val="7"/>
                <c:pt idx="0">
                  <c:v>0.12</c:v>
                </c:pt>
                <c:pt idx="1">
                  <c:v>0.17979999999999999</c:v>
                </c:pt>
                <c:pt idx="2">
                  <c:v>0.25433</c:v>
                </c:pt>
                <c:pt idx="3">
                  <c:v>0.2697</c:v>
                </c:pt>
                <c:pt idx="4">
                  <c:v>0.31148999999999999</c:v>
                </c:pt>
                <c:pt idx="5">
                  <c:v>0.35970000000000002</c:v>
                </c:pt>
                <c:pt idx="6">
                  <c:v>0.38150000000000001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1-45DF-A5D5-1729C2AA1775}"/>
            </c:ext>
          </c:extLst>
        </c:ser>
        <c:ser>
          <c:idx val="1"/>
          <c:order val="1"/>
          <c:tx>
            <c:v>N=40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Deviation!$A$25:$A$31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Deviation!$C$25:$C$31</c:f>
              <c:numCache>
                <c:formatCode>General</c:formatCode>
                <c:ptCount val="7"/>
                <c:pt idx="0">
                  <c:v>0.11867</c:v>
                </c:pt>
                <c:pt idx="1">
                  <c:v>0.16778999999999999</c:v>
                </c:pt>
                <c:pt idx="2">
                  <c:v>0.23730000000000001</c:v>
                </c:pt>
                <c:pt idx="3">
                  <c:v>0.25164999999999998</c:v>
                </c:pt>
                <c:pt idx="4">
                  <c:v>0.29060000000000002</c:v>
                </c:pt>
                <c:pt idx="5">
                  <c:v>0.33559</c:v>
                </c:pt>
                <c:pt idx="6">
                  <c:v>0.35594999999999999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1-45DF-A5D5-1729C2AA1775}"/>
            </c:ext>
          </c:extLst>
        </c:ser>
        <c:ser>
          <c:idx val="2"/>
          <c:order val="2"/>
          <c:tx>
            <c:v>N=80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Deviation!$A$25:$A$31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Deviation!$D$25:$D$31</c:f>
              <c:numCache>
                <c:formatCode>General</c:formatCode>
                <c:ptCount val="7"/>
                <c:pt idx="0">
                  <c:v>0.11</c:v>
                </c:pt>
                <c:pt idx="1">
                  <c:v>0.1565</c:v>
                </c:pt>
                <c:pt idx="2">
                  <c:v>0.22140000000000001</c:v>
                </c:pt>
                <c:pt idx="3">
                  <c:v>0.23480000000000001</c:v>
                </c:pt>
                <c:pt idx="4">
                  <c:v>0.27711000000000002</c:v>
                </c:pt>
                <c:pt idx="5">
                  <c:v>0.31309999999999999</c:v>
                </c:pt>
                <c:pt idx="6">
                  <c:v>0.33221000000000001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11-45DF-A5D5-1729C2AA1775}"/>
            </c:ext>
          </c:extLst>
        </c:ser>
        <c:ser>
          <c:idx val="3"/>
          <c:order val="3"/>
          <c:tx>
            <c:v>N=120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Deviation!$A$25:$A$31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Deviation!$E$25:$E$31</c:f>
              <c:numCache>
                <c:formatCode>General</c:formatCode>
                <c:ptCount val="7"/>
                <c:pt idx="0">
                  <c:v>0.106</c:v>
                </c:pt>
                <c:pt idx="1">
                  <c:v>0.15029999999999999</c:v>
                </c:pt>
                <c:pt idx="2">
                  <c:v>0.21199999999999999</c:v>
                </c:pt>
                <c:pt idx="3">
                  <c:v>0.22550999999999999</c:v>
                </c:pt>
                <c:pt idx="4">
                  <c:v>0.26029999999999998</c:v>
                </c:pt>
                <c:pt idx="5">
                  <c:v>0.30070000000000002</c:v>
                </c:pt>
                <c:pt idx="6">
                  <c:v>0.31890000000000002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11-45DF-A5D5-1729C2AA1775}"/>
            </c:ext>
          </c:extLst>
        </c:ser>
        <c:ser>
          <c:idx val="4"/>
          <c:order val="4"/>
          <c:tx>
            <c:v>N=200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Deviation!$A$25:$A$31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Deviation!$F$25:$F$31</c:f>
              <c:numCache>
                <c:formatCode>General</c:formatCode>
                <c:ptCount val="7"/>
                <c:pt idx="0">
                  <c:v>0.10101</c:v>
                </c:pt>
                <c:pt idx="1">
                  <c:v>0.14280000000000001</c:v>
                </c:pt>
                <c:pt idx="2">
                  <c:v>0.20202000000000001</c:v>
                </c:pt>
                <c:pt idx="3">
                  <c:v>0.2142</c:v>
                </c:pt>
                <c:pt idx="4">
                  <c:v>0.24740000000000001</c:v>
                </c:pt>
                <c:pt idx="5">
                  <c:v>0.28570000000000001</c:v>
                </c:pt>
                <c:pt idx="6">
                  <c:v>0.30299999999999999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11-45DF-A5D5-1729C2AA1775}"/>
            </c:ext>
          </c:extLst>
        </c:ser>
        <c:ser>
          <c:idx val="5"/>
          <c:order val="5"/>
          <c:tx>
            <c:v>N=400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Deviation!$A$25:$A$31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Deviation!$G$25:$G$31</c:f>
              <c:numCache>
                <c:formatCode>General</c:formatCode>
                <c:ptCount val="7"/>
                <c:pt idx="0">
                  <c:v>9.4240000000000004E-2</c:v>
                </c:pt>
                <c:pt idx="1">
                  <c:v>0.1333</c:v>
                </c:pt>
                <c:pt idx="2">
                  <c:v>0.18848999999999999</c:v>
                </c:pt>
                <c:pt idx="3">
                  <c:v>0.19989999999999999</c:v>
                </c:pt>
                <c:pt idx="4">
                  <c:v>0.23086000000000001</c:v>
                </c:pt>
                <c:pt idx="5">
                  <c:v>0.26657500000000001</c:v>
                </c:pt>
                <c:pt idx="6">
                  <c:v>0.28270000000000001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11-45DF-A5D5-1729C2AA1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25472"/>
        <c:axId val="486124488"/>
      </c:scatterChart>
      <c:valAx>
        <c:axId val="486125472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b="1"/>
                  <a:t>θ</a:t>
                </a:r>
                <a:r>
                  <a:rPr lang="en-IN" b="1"/>
                  <a:t>(degree</a:t>
                </a:r>
                <a:r>
                  <a:rPr lang="en-US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24488"/>
        <c:crosses val="autoZero"/>
        <c:crossBetween val="midCat"/>
      </c:valAx>
      <c:valAx>
        <c:axId val="48612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A(b)/A(wellbore)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2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6111111111116"/>
          <c:y val="0.37937784967211424"/>
          <c:w val="0.14991666666666667"/>
          <c:h val="0.40785783952232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88841344720551"/>
          <c:y val="4.9717514124293788E-2"/>
          <c:w val="0.80953018957262868"/>
          <c:h val="0.82190595667067046"/>
        </c:manualLayout>
      </c:layout>
      <c:scatterChart>
        <c:scatterStyle val="lineMarker"/>
        <c:varyColors val="0"/>
        <c:ser>
          <c:idx val="0"/>
          <c:order val="0"/>
          <c:tx>
            <c:v>N=20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Deviation!$L$25:$L$31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Deviation!$M$25:$M$31</c:f>
              <c:numCache>
                <c:formatCode>General</c:formatCode>
                <c:ptCount val="7"/>
                <c:pt idx="0">
                  <c:v>0.159</c:v>
                </c:pt>
                <c:pt idx="1">
                  <c:v>0.22489999999999999</c:v>
                </c:pt>
                <c:pt idx="2">
                  <c:v>0.318</c:v>
                </c:pt>
                <c:pt idx="3">
                  <c:v>0.33729999999999999</c:v>
                </c:pt>
                <c:pt idx="4">
                  <c:v>0.38950000000000001</c:v>
                </c:pt>
                <c:pt idx="5">
                  <c:v>0.44979999999999998</c:v>
                </c:pt>
                <c:pt idx="6">
                  <c:v>0.47699999999999998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0-4B54-B61D-BA200925CE8D}"/>
            </c:ext>
          </c:extLst>
        </c:ser>
        <c:ser>
          <c:idx val="1"/>
          <c:order val="1"/>
          <c:tx>
            <c:v>N=40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Deviation!$L$25:$L$31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Deviation!$N$25:$N$31</c:f>
              <c:numCache>
                <c:formatCode>General</c:formatCode>
                <c:ptCount val="7"/>
                <c:pt idx="0">
                  <c:v>0.14399999999999999</c:v>
                </c:pt>
                <c:pt idx="1">
                  <c:v>0.20979999999999999</c:v>
                </c:pt>
                <c:pt idx="2">
                  <c:v>0.29670000000000002</c:v>
                </c:pt>
                <c:pt idx="3">
                  <c:v>0.31469999999999998</c:v>
                </c:pt>
                <c:pt idx="4">
                  <c:v>0.3634</c:v>
                </c:pt>
                <c:pt idx="5">
                  <c:v>0.41970000000000002</c:v>
                </c:pt>
                <c:pt idx="6">
                  <c:v>0.44540000000000002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0-4B54-B61D-BA200925CE8D}"/>
            </c:ext>
          </c:extLst>
        </c:ser>
        <c:ser>
          <c:idx val="2"/>
          <c:order val="2"/>
          <c:tx>
            <c:v>N=80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Deviation!$L$25:$L$31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Deviation!$O$25:$O$31</c:f>
              <c:numCache>
                <c:formatCode>General</c:formatCode>
                <c:ptCount val="7"/>
                <c:pt idx="0">
                  <c:v>0.1384</c:v>
                </c:pt>
                <c:pt idx="1">
                  <c:v>0.1958</c:v>
                </c:pt>
                <c:pt idx="2">
                  <c:v>0.27689999999999998</c:v>
                </c:pt>
                <c:pt idx="3">
                  <c:v>0.29360000000000003</c:v>
                </c:pt>
                <c:pt idx="4">
                  <c:v>0.33911999999999998</c:v>
                </c:pt>
                <c:pt idx="5">
                  <c:v>0.39158999999999999</c:v>
                </c:pt>
                <c:pt idx="6">
                  <c:v>0.4153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60-4B54-B61D-BA200925CE8D}"/>
            </c:ext>
          </c:extLst>
        </c:ser>
        <c:ser>
          <c:idx val="3"/>
          <c:order val="3"/>
          <c:tx>
            <c:v>N=120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Deviation!$L$25:$L$31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Deviation!$P$25:$P$31</c:f>
              <c:numCache>
                <c:formatCode>General</c:formatCode>
                <c:ptCount val="7"/>
                <c:pt idx="0">
                  <c:v>0.13289999999999999</c:v>
                </c:pt>
                <c:pt idx="1">
                  <c:v>0.188</c:v>
                </c:pt>
                <c:pt idx="2">
                  <c:v>0.26579999999999998</c:v>
                </c:pt>
                <c:pt idx="3">
                  <c:v>0.28199999999999997</c:v>
                </c:pt>
                <c:pt idx="4">
                  <c:v>0.32650000000000001</c:v>
                </c:pt>
                <c:pt idx="5">
                  <c:v>0.376</c:v>
                </c:pt>
                <c:pt idx="6">
                  <c:v>0.39883000000000002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60-4B54-B61D-BA200925CE8D}"/>
            </c:ext>
          </c:extLst>
        </c:ser>
        <c:ser>
          <c:idx val="4"/>
          <c:order val="4"/>
          <c:tx>
            <c:v>N=200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Deviation!$L$25:$L$31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Deviation!$Q$25:$Q$31</c:f>
              <c:numCache>
                <c:formatCode>General</c:formatCode>
                <c:ptCount val="7"/>
                <c:pt idx="0">
                  <c:v>0.1263</c:v>
                </c:pt>
                <c:pt idx="1">
                  <c:v>0.17865</c:v>
                </c:pt>
                <c:pt idx="2">
                  <c:v>0.25259999999999999</c:v>
                </c:pt>
                <c:pt idx="3">
                  <c:v>0.26790000000000003</c:v>
                </c:pt>
                <c:pt idx="4">
                  <c:v>0.30942999999999998</c:v>
                </c:pt>
                <c:pt idx="5">
                  <c:v>0.35730000000000001</c:v>
                </c:pt>
                <c:pt idx="6">
                  <c:v>0.37890000000000001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60-4B54-B61D-BA200925CE8D}"/>
            </c:ext>
          </c:extLst>
        </c:ser>
        <c:ser>
          <c:idx val="5"/>
          <c:order val="5"/>
          <c:tx>
            <c:v>N=400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Deviation!$L$25:$L$31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Deviation!$R$25:$R$31</c:f>
              <c:numCache>
                <c:formatCode>General</c:formatCode>
                <c:ptCount val="7"/>
                <c:pt idx="0">
                  <c:v>0.117867</c:v>
                </c:pt>
                <c:pt idx="1">
                  <c:v>0.16669</c:v>
                </c:pt>
                <c:pt idx="2">
                  <c:v>0.23573</c:v>
                </c:pt>
                <c:pt idx="3">
                  <c:v>0.25</c:v>
                </c:pt>
                <c:pt idx="4">
                  <c:v>0.28871000000000002</c:v>
                </c:pt>
                <c:pt idx="5">
                  <c:v>0.33337</c:v>
                </c:pt>
                <c:pt idx="6">
                  <c:v>0.35359000000000002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60-4B54-B61D-BA200925C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214256"/>
        <c:axId val="605210320"/>
      </c:scatterChart>
      <c:valAx>
        <c:axId val="605214256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θ</a:t>
                </a: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(degrees)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10320"/>
        <c:crosses val="autoZero"/>
        <c:crossBetween val="midCat"/>
      </c:valAx>
      <c:valAx>
        <c:axId val="6052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A(b)/A(w)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1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1914315276292"/>
          <c:y val="0.44293607366875759"/>
          <c:w val="0.1602672605790646"/>
          <c:h val="0.43051167756572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00787297605099"/>
          <c:y val="5.0925925925925923E-2"/>
          <c:w val="0.82380683340295136"/>
          <c:h val="0.78054024496937879"/>
        </c:manualLayout>
      </c:layout>
      <c:scatterChart>
        <c:scatterStyle val="lineMarker"/>
        <c:varyColors val="0"/>
        <c:ser>
          <c:idx val="0"/>
          <c:order val="0"/>
          <c:tx>
            <c:v>Di/Do=0.5294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Deviation!$A$25:$A$31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Deviation!$E$25:$E$31</c:f>
              <c:numCache>
                <c:formatCode>General</c:formatCode>
                <c:ptCount val="7"/>
                <c:pt idx="0">
                  <c:v>0.106</c:v>
                </c:pt>
                <c:pt idx="1">
                  <c:v>0.15029999999999999</c:v>
                </c:pt>
                <c:pt idx="2">
                  <c:v>0.21199999999999999</c:v>
                </c:pt>
                <c:pt idx="3">
                  <c:v>0.22550999999999999</c:v>
                </c:pt>
                <c:pt idx="4">
                  <c:v>0.26029999999999998</c:v>
                </c:pt>
                <c:pt idx="5">
                  <c:v>0.30070000000000002</c:v>
                </c:pt>
                <c:pt idx="6">
                  <c:v>0.31890000000000002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F-4285-953B-512B8EB39F0D}"/>
            </c:ext>
          </c:extLst>
        </c:ser>
        <c:ser>
          <c:idx val="1"/>
          <c:order val="1"/>
          <c:tx>
            <c:v>Di/Do=0.765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Deviation!$L$25:$L$31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Deviation!$P$25:$P$31</c:f>
              <c:numCache>
                <c:formatCode>General</c:formatCode>
                <c:ptCount val="7"/>
                <c:pt idx="0">
                  <c:v>0.13289999999999999</c:v>
                </c:pt>
                <c:pt idx="1">
                  <c:v>0.188</c:v>
                </c:pt>
                <c:pt idx="2">
                  <c:v>0.26579999999999998</c:v>
                </c:pt>
                <c:pt idx="3">
                  <c:v>0.28199999999999997</c:v>
                </c:pt>
                <c:pt idx="4">
                  <c:v>0.32650000000000001</c:v>
                </c:pt>
                <c:pt idx="5">
                  <c:v>0.376</c:v>
                </c:pt>
                <c:pt idx="6">
                  <c:v>0.39883000000000002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1F-4285-953B-512B8EB39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89712"/>
        <c:axId val="496491024"/>
      </c:scatterChart>
      <c:valAx>
        <c:axId val="49648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θ</a:t>
                </a: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(degrees)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91024"/>
        <c:crosses val="autoZero"/>
        <c:crossBetween val="midCat"/>
      </c:valAx>
      <c:valAx>
        <c:axId val="4964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A(b)/A(w)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8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55850264908317"/>
          <c:y val="0.66724482356372117"/>
          <c:w val="0.2599363754229516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image" Target="../media/image4.png"/><Relationship Id="rId7" Type="http://schemas.openxmlformats.org/officeDocument/2006/relationships/image" Target="../media/image7.png"/><Relationship Id="rId12" Type="http://schemas.openxmlformats.org/officeDocument/2006/relationships/chart" Target="../charts/chart5.xml"/><Relationship Id="rId2" Type="http://schemas.openxmlformats.org/officeDocument/2006/relationships/image" Target="../media/image3.png"/><Relationship Id="rId1" Type="http://schemas.openxmlformats.org/officeDocument/2006/relationships/chart" Target="../charts/chart2.xml"/><Relationship Id="rId6" Type="http://schemas.openxmlformats.org/officeDocument/2006/relationships/image" Target="../media/image6.png"/><Relationship Id="rId11" Type="http://schemas.openxmlformats.org/officeDocument/2006/relationships/chart" Target="../charts/chart4.xml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chart" Target="../charts/chart3.xml"/><Relationship Id="rId9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557212</xdr:colOff>
      <xdr:row>3</xdr:row>
      <xdr:rowOff>0</xdr:rowOff>
    </xdr:from>
    <xdr:ext cx="747713" cy="2074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214812" y="0"/>
              <a:ext cx="747713" cy="2074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/>
                            <a:ea typeface="Cambria Math"/>
                          </a:rPr>
                          <m:t>∅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600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214812" y="0"/>
              <a:ext cx="747713" cy="2074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100" i="0">
                  <a:latin typeface="Cambria Math"/>
                  <a:ea typeface="Cambria Math"/>
                </a:rPr>
                <a:t>∅_</a:t>
              </a:r>
              <a:r>
                <a:rPr lang="en-US" sz="1100" b="0" i="0">
                  <a:latin typeface="Cambria Math"/>
                </a:rPr>
                <a:t>600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452437</xdr:colOff>
      <xdr:row>3</xdr:row>
      <xdr:rowOff>171450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110037" y="17145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/>
                            <a:ea typeface="Cambria Math"/>
                          </a:rPr>
                          <m:t>∅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300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110037" y="17145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100" i="0">
                  <a:latin typeface="Cambria Math"/>
                  <a:ea typeface="Cambria Math"/>
                </a:rPr>
                <a:t>∅_</a:t>
              </a:r>
              <a:r>
                <a:rPr lang="en-US" sz="1100" b="0" i="0">
                  <a:latin typeface="Cambria Math"/>
                </a:rPr>
                <a:t>300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557212</xdr:colOff>
      <xdr:row>6</xdr:row>
      <xdr:rowOff>171450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852612" y="55245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/>
                          </a:rPr>
                          <m:t>𝑣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852612" y="55245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𝑣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585787</xdr:colOff>
      <xdr:row>5</xdr:row>
      <xdr:rowOff>0</xdr:rowOff>
    </xdr:from>
    <xdr:ext cx="747713" cy="2074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1195387" y="6858000"/>
              <a:ext cx="747713" cy="2074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/>
                            <a:ea typeface="Cambria Math"/>
                          </a:rPr>
                          <m:t>∅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195387" y="6858000"/>
              <a:ext cx="747713" cy="2074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100" i="0">
                  <a:latin typeface="Cambria Math"/>
                  <a:ea typeface="Cambria Math"/>
                </a:rPr>
                <a:t>∅_</a:t>
              </a:r>
              <a:r>
                <a:rPr lang="en-US" sz="1100" b="0" i="0">
                  <a:latin typeface="Cambria Math"/>
                  <a:ea typeface="Cambria Math"/>
                </a:rPr>
                <a:t>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595312</xdr:colOff>
      <xdr:row>5</xdr:row>
      <xdr:rowOff>180975</xdr:rowOff>
    </xdr:from>
    <xdr:ext cx="747713" cy="2074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204912" y="7038975"/>
              <a:ext cx="747713" cy="2074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/>
                            <a:ea typeface="Cambria Math"/>
                          </a:rPr>
                          <m:t>∅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1</m:t>
                        </m:r>
                        <m:r>
                          <a:rPr lang="en-US" sz="1100" b="0" i="1">
                            <a:latin typeface="Cambria Math"/>
                          </a:rPr>
                          <m:t>00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204912" y="7038975"/>
              <a:ext cx="747713" cy="2074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100" i="0">
                  <a:latin typeface="Cambria Math"/>
                  <a:ea typeface="Cambria Math"/>
                </a:rPr>
                <a:t>∅_</a:t>
              </a:r>
              <a:r>
                <a:rPr lang="en-US" sz="1100" b="0" i="0">
                  <a:latin typeface="Cambria Math"/>
                  <a:ea typeface="Cambria Math"/>
                </a:rPr>
                <a:t>1</a:t>
              </a:r>
              <a:r>
                <a:rPr lang="en-US" sz="1100" b="0" i="0">
                  <a:latin typeface="Cambria Math"/>
                </a:rPr>
                <a:t>00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106175</xdr:colOff>
      <xdr:row>5</xdr:row>
      <xdr:rowOff>12886</xdr:rowOff>
    </xdr:from>
    <xdr:ext cx="1938898" cy="1009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19688454" y="993401"/>
              <a:ext cx="1938898" cy="1009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∆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𝑁𝑂𝑍𝑍𝐿𝐸</m:t>
                        </m:r>
                      </m:sub>
                    </m:sSub>
                    <m:r>
                      <a:rPr lang="en-US" sz="1100" b="0" i="1"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156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𝜌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𝑄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(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𝑑</m:t>
                            </m:r>
                          </m:e>
                          <m:sub/>
                          <m:sup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2</m:t>
                            </m:r>
                          </m:sup>
                        </m:sSubSup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+…)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9688454" y="993401"/>
              <a:ext cx="1938898" cy="1009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n-US" sz="1100" i="0">
                  <a:latin typeface="Cambria Math"/>
                  <a:ea typeface="Cambria Math"/>
                </a:rPr>
                <a:t>∆</a:t>
              </a:r>
              <a:r>
                <a:rPr lang="en-US" sz="1100" b="0" i="0">
                  <a:latin typeface="Cambria Math"/>
                  <a:ea typeface="Cambria Math"/>
                </a:rPr>
                <a:t>𝑃_𝑁𝑂𝑍𝑍𝐿𝐸=(156𝜌𝑄^2)/((𝑑_^2+…))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557212</xdr:colOff>
      <xdr:row>33</xdr:row>
      <xdr:rowOff>171450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14397037" y="93345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/>
                          </a:rPr>
                          <m:t>𝑣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4397037" y="93345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𝑣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90487</xdr:colOff>
      <xdr:row>7</xdr:row>
      <xdr:rowOff>66675</xdr:rowOff>
    </xdr:from>
    <xdr:ext cx="1195388" cy="382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9053512" y="1419225"/>
              <a:ext cx="1195388" cy="382284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  <a:ln cmpd="dbl"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/>
                          </a:rPr>
                          <m:t>𝑣</m:t>
                        </m:r>
                      </m:e>
                    </m:acc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𝑞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2.448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𝑑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9053512" y="1419225"/>
              <a:ext cx="1195388" cy="382284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  <a:ln cmpd="dbl"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𝑣 ̅=  𝑞/(2.448𝑑^2 )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80961</xdr:colOff>
      <xdr:row>11</xdr:row>
      <xdr:rowOff>152400</xdr:rowOff>
    </xdr:from>
    <xdr:ext cx="2233613" cy="4761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9043986" y="2276475"/>
              <a:ext cx="2233613" cy="476156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𝑅𝑒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89100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𝜌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p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𝑉</m:t>
                                </m:r>
                              </m:e>
                            </m:acc>
                          </m:e>
                          <m:sup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2−</m:t>
                            </m:r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𝑛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𝐾</m:t>
                        </m:r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0.0418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3+1/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den>
                            </m:f>
                          </m:e>
                        </m:d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9043986" y="2276475"/>
              <a:ext cx="2233613" cy="476156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𝑁_𝑅𝑒=(89100</a:t>
              </a:r>
              <a:r>
                <a:rPr lang="en-US" sz="1100" b="0" i="0">
                  <a:latin typeface="Cambria Math"/>
                  <a:ea typeface="Cambria Math"/>
                </a:rPr>
                <a:t>𝜌𝑉 ̅^(2−𝑛))/</a:t>
              </a:r>
              <a:r>
                <a:rPr lang="en-US" sz="1100" b="0" i="0">
                  <a:latin typeface="Cambria Math"/>
                </a:rPr>
                <a:t>𝐾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(0.0418𝑑/(3+1/𝑛))"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effectLst/>
                  <a:latin typeface="Cambria Math"/>
                </a:rPr>
                <a:t>" ^</a:t>
              </a:r>
              <a:r>
                <a:rPr lang="en-US" sz="1100" b="0" i="0">
                  <a:latin typeface="Cambria Math"/>
                </a:rPr>
                <a:t>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90486</xdr:colOff>
      <xdr:row>15</xdr:row>
      <xdr:rowOff>180975</xdr:rowOff>
    </xdr:from>
    <xdr:ext cx="2481264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10158411" y="3076575"/>
              <a:ext cx="2481264" cy="495300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𝑓</m:t>
                            </m:r>
                          </m:e>
                        </m:rad>
                      </m:den>
                    </m:f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0.75</m:t>
                            </m:r>
                          </m:sup>
                        </m:sSup>
                      </m:den>
                    </m:f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log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𝑅𝑒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IN" sz="11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p>
                                <m:r>
                                  <a:rPr lang="en-IN" sz="11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f>
                                  <m:fPr>
                                    <m:ctrlPr>
                                      <a:rPr lang="en-IN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num>
                                  <m:den>
                                    <m:r>
                                      <a:rPr lang="en-IN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</m:sup>
                            </m:sSup>
                          </m:e>
                        </m:d>
                      </m:e>
                    </m:func>
                    <m:r>
                      <a:rPr lang="en-IN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0.395</m:t>
                        </m:r>
                      </m:num>
                      <m:den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1.2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0158411" y="3076575"/>
              <a:ext cx="2481264" cy="495300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b="0" i="0">
                  <a:latin typeface="Cambria Math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/√</a:t>
              </a:r>
              <a:r>
                <a:rPr lang="en-US" sz="1100" b="0" i="0">
                  <a:latin typeface="Cambria Math"/>
                </a:rPr>
                <a:t>𝑓</a:t>
              </a:r>
              <a:r>
                <a:rPr lang="en-IN" sz="1100" b="0" i="0">
                  <a:latin typeface="Cambria Math" panose="02040503050406030204" pitchFamily="18" charset="0"/>
                </a:rPr>
                <a:t>=4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IN" sz="1100" b="0" i="0">
                  <a:latin typeface="Cambria Math" panose="02040503050406030204" pitchFamily="18" charset="0"/>
                </a:rPr>
                <a:t>𝑛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en-IN" sz="1100" b="0" i="0">
                  <a:latin typeface="Cambria Math" panose="02040503050406030204" pitchFamily="18" charset="0"/>
                </a:rPr>
                <a:t>0.75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/>
                </a:rPr>
                <a:t>  log⁡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/>
                </a:rPr>
                <a:t>𝑁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𝑅𝑒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IN" sz="1100" b="0" i="0">
                  <a:latin typeface="Cambria Math" panose="02040503050406030204" pitchFamily="18" charset="0"/>
                </a:rPr>
                <a:t>𝑓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en-IN" sz="1100" b="0" i="0">
                  <a:latin typeface="Cambria Math" panose="02040503050406030204" pitchFamily="18" charset="0"/>
                </a:rPr>
                <a:t>1−𝑛/2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IN" sz="1100" b="0" i="0">
                  <a:latin typeface="Cambria Math" panose="02040503050406030204" pitchFamily="18" charset="0"/>
                </a:rPr>
                <a:t> )−0.395/𝑛^1.2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85724</xdr:colOff>
      <xdr:row>39</xdr:row>
      <xdr:rowOff>47625</xdr:rowOff>
    </xdr:from>
    <xdr:ext cx="2857501" cy="4761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8801099" y="7505700"/>
              <a:ext cx="2857501" cy="476156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𝑅𝑒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109000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𝜌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p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𝑉</m:t>
                                </m:r>
                              </m:e>
                            </m:acc>
                          </m:e>
                          <m:sup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2−</m:t>
                            </m:r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𝑛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𝐾</m:t>
                        </m:r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0208(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+1/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den>
                            </m:f>
                          </m:e>
                        </m:d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8801099" y="7505700"/>
              <a:ext cx="2857501" cy="476156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𝑁_𝑅𝑒=(109000</a:t>
              </a:r>
              <a:r>
                <a:rPr lang="en-US" sz="1100" b="0" i="0">
                  <a:latin typeface="Cambria Math"/>
                  <a:ea typeface="Cambria Math"/>
                </a:rPr>
                <a:t>𝜌𝑉 ̅^(2−𝑛))/</a:t>
              </a:r>
              <a:r>
                <a:rPr lang="en-US" sz="1100" b="0" i="0">
                  <a:latin typeface="Cambria Math"/>
                </a:rPr>
                <a:t>𝐾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((0.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0208(𝑑_2−𝑑_1)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+1/𝑛))"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effectLst/>
                  <a:latin typeface="Cambria Math"/>
                </a:rPr>
                <a:t>" ^</a:t>
              </a:r>
              <a:r>
                <a:rPr lang="en-US" sz="1100" b="0" i="0">
                  <a:latin typeface="Cambria Math"/>
                </a:rPr>
                <a:t>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19050</xdr:colOff>
      <xdr:row>23</xdr:row>
      <xdr:rowOff>171450</xdr:rowOff>
    </xdr:from>
    <xdr:ext cx="2076450" cy="5721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 txBox="1"/>
          </xdr:nvSpPr>
          <xdr:spPr>
            <a:xfrm>
              <a:off x="7210425" y="4581525"/>
              <a:ext cx="2076450" cy="572144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𝑑𝑝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𝑓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𝑑𝐿</m:t>
                        </m:r>
                      </m:den>
                    </m:f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𝐾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𝑉</m:t>
                                </m:r>
                              </m:e>
                            </m:acc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</m:sup>
                        </m:s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3+1/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0.0416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144000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𝑑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1+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7210425" y="4581525"/>
              <a:ext cx="2076450" cy="572144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b="0" i="0">
                  <a:latin typeface="Cambria Math"/>
                </a:rPr>
                <a:t>𝑑𝑝〗_𝑓/𝑑𝐿=(𝐾𝑉 ̅^𝑛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(3+1/𝑛)/0.0416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)^</a:t>
              </a:r>
              <a:r>
                <a:rPr lang="en-US" sz="1100" b="0" i="0">
                  <a:latin typeface="Cambria Math"/>
                </a:rPr>
                <a:t>𝑛)/(144000𝑑^(1+𝑛)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27</xdr:row>
      <xdr:rowOff>152400</xdr:rowOff>
    </xdr:from>
    <xdr:ext cx="1857374" cy="4321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7191375" y="5324475"/>
              <a:ext cx="1857374" cy="432106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𝑑𝑝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𝑓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𝑑𝐿</m:t>
                        </m:r>
                      </m:den>
                    </m:f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𝑓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𝜌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p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𝑣</m:t>
                                </m:r>
                              </m:e>
                            </m:acc>
                          </m:e>
                          <m:sup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25.8</m:t>
                        </m:r>
                        <m:r>
                          <a:rPr lang="en-US" sz="1100" b="0" i="1">
                            <a:latin typeface="Cambria Math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7191375" y="5324475"/>
              <a:ext cx="1857374" cy="432106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b="0" i="0">
                  <a:latin typeface="Cambria Math"/>
                </a:rPr>
                <a:t>𝑑𝑝〗_𝑓/𝑑𝐿=(𝑓</a:t>
              </a:r>
              <a:r>
                <a:rPr lang="en-US" sz="1100" b="0" i="0">
                  <a:latin typeface="Cambria Math"/>
                  <a:ea typeface="Cambria Math"/>
                </a:rPr>
                <a:t>𝜌𝑣 ̅^2)/</a:t>
              </a:r>
              <a:r>
                <a:rPr lang="en-US" sz="1100" b="0" i="0">
                  <a:latin typeface="Cambria Math"/>
                </a:rPr>
                <a:t>25.8𝑑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95249</xdr:colOff>
      <xdr:row>34</xdr:row>
      <xdr:rowOff>9525</xdr:rowOff>
    </xdr:from>
    <xdr:ext cx="1590675" cy="4122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8562974" y="6515100"/>
              <a:ext cx="1590675" cy="412292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  <a:ln cmpd="dbl"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/>
                          </a:rPr>
                          <m:t>𝑣</m:t>
                        </m:r>
                      </m:e>
                    </m:acc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𝑞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2.448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𝑑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𝑑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8562974" y="6515100"/>
              <a:ext cx="1590675" cy="412292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  <a:ln cmpd="dbl"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𝑣 ̅=  𝑞/(2.448〖(𝑑2〗^2−〖𝑑1〗^2))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904875</xdr:colOff>
      <xdr:row>54</xdr:row>
      <xdr:rowOff>9525</xdr:rowOff>
    </xdr:from>
    <xdr:ext cx="2076450" cy="6021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7181850" y="10134600"/>
              <a:ext cx="2076450" cy="602153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𝑑𝑝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𝑓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𝑑𝐿</m:t>
                        </m:r>
                      </m:den>
                    </m:f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𝐾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𝑉</m:t>
                                </m:r>
                              </m:e>
                            </m:acc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</m:sup>
                        </m:s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+1/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0.0208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144000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𝑑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2−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𝑑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1)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1+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7181850" y="10134600"/>
              <a:ext cx="2076450" cy="602153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b="0" i="0">
                  <a:latin typeface="Cambria Math"/>
                </a:rPr>
                <a:t>𝑑𝑝〗_𝑓/𝑑𝐿=(𝐾𝑉 ̅^𝑛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+1/𝑛)/0.0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208)^</a:t>
              </a:r>
              <a:r>
                <a:rPr lang="en-US" sz="1100" b="0" i="0">
                  <a:latin typeface="Cambria Math"/>
                </a:rPr>
                <a:t>𝑛)/(144000〖(𝑑2−𝑑1)〗^(1+𝑛)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47625</xdr:colOff>
      <xdr:row>58</xdr:row>
      <xdr:rowOff>0</xdr:rowOff>
    </xdr:from>
    <xdr:ext cx="1857374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/>
          </xdr:nvSpPr>
          <xdr:spPr>
            <a:xfrm>
              <a:off x="7239000" y="10887075"/>
              <a:ext cx="1857374" cy="462114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𝑑𝑝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𝑓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𝑑𝐿</m:t>
                        </m:r>
                      </m:den>
                    </m:f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𝑓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𝜌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p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𝑣</m:t>
                                </m:r>
                              </m:e>
                            </m:acc>
                          </m:e>
                          <m:sup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21.1(</m:t>
                        </m:r>
                        <m:r>
                          <a:rPr lang="en-US" sz="1100" b="0" i="1">
                            <a:latin typeface="Cambria Math"/>
                          </a:rPr>
                          <m:t>𝑑</m:t>
                        </m:r>
                        <m:r>
                          <a:rPr lang="en-US" sz="1100" b="0" i="1">
                            <a:latin typeface="Cambria Math"/>
                          </a:rPr>
                          <m:t>2−</m:t>
                        </m:r>
                        <m:r>
                          <a:rPr lang="en-US" sz="1100" b="0" i="1">
                            <a:latin typeface="Cambria Math"/>
                          </a:rPr>
                          <m:t>𝑑</m:t>
                        </m:r>
                        <m:r>
                          <a:rPr lang="en-US" sz="1100" b="0" i="1">
                            <a:latin typeface="Cambria Math"/>
                          </a:rPr>
                          <m:t>1)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7239000" y="10887075"/>
              <a:ext cx="1857374" cy="462114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b="0" i="0">
                  <a:latin typeface="Cambria Math"/>
                </a:rPr>
                <a:t>𝑑𝑝〗_𝑓/𝑑𝐿=(𝑓</a:t>
              </a:r>
              <a:r>
                <a:rPr lang="en-US" sz="1100" b="0" i="0">
                  <a:latin typeface="Cambria Math"/>
                  <a:ea typeface="Cambria Math"/>
                </a:rPr>
                <a:t>𝜌𝑣 ̅^2)/(</a:t>
              </a:r>
              <a:r>
                <a:rPr lang="en-US" sz="1100" b="0" i="0">
                  <a:latin typeface="Cambria Math"/>
                </a:rPr>
                <a:t>21.1(𝑑2−𝑑1))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410976</xdr:colOff>
      <xdr:row>7</xdr:row>
      <xdr:rowOff>18490</xdr:rowOff>
    </xdr:from>
    <xdr:ext cx="1195388" cy="382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/>
          </xdr:nvSpPr>
          <xdr:spPr>
            <a:xfrm>
              <a:off x="14306270" y="1783416"/>
              <a:ext cx="1195388" cy="382284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  <a:ln cmpd="dbl"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/>
                          </a:rPr>
                          <m:t>𝑣</m:t>
                        </m:r>
                      </m:e>
                    </m:acc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𝑞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2.448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𝑑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14306270" y="1783416"/>
              <a:ext cx="1195388" cy="382284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  <a:ln cmpd="dbl"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𝑣 ̅=  𝑞/(2.448𝑑^2 )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378198</xdr:colOff>
      <xdr:row>11</xdr:row>
      <xdr:rowOff>182096</xdr:rowOff>
    </xdr:from>
    <xdr:ext cx="2233613" cy="4761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14889816" y="2535331"/>
              <a:ext cx="2233613" cy="476156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𝑅𝑒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89100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𝜌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p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𝑉</m:t>
                                </m:r>
                              </m:e>
                            </m:acc>
                          </m:e>
                          <m:sup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2−</m:t>
                            </m:r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𝑛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𝐾</m:t>
                        </m:r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0.0418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3+1/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den>
                            </m:f>
                          </m:e>
                        </m:d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14889816" y="2535331"/>
              <a:ext cx="2233613" cy="476156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𝑁_𝑅𝑒=(89100</a:t>
              </a:r>
              <a:r>
                <a:rPr lang="en-US" sz="1100" b="0" i="0">
                  <a:latin typeface="Cambria Math"/>
                  <a:ea typeface="Cambria Math"/>
                </a:rPr>
                <a:t>𝜌𝑉 ̅^(2−𝑛))/</a:t>
              </a:r>
              <a:r>
                <a:rPr lang="en-US" sz="1100" b="0" i="0">
                  <a:latin typeface="Cambria Math"/>
                </a:rPr>
                <a:t>𝐾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(0.0418𝑑/(3+1/𝑛))"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effectLst/>
                  <a:latin typeface="Cambria Math"/>
                </a:rPr>
                <a:t>" ^</a:t>
              </a:r>
              <a:r>
                <a:rPr lang="en-US" sz="1100" b="0" i="0">
                  <a:latin typeface="Cambria Math"/>
                </a:rPr>
                <a:t>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19050</xdr:colOff>
      <xdr:row>23</xdr:row>
      <xdr:rowOff>171450</xdr:rowOff>
    </xdr:from>
    <xdr:ext cx="2076450" cy="5721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/>
          </xdr:nvSpPr>
          <xdr:spPr>
            <a:xfrm>
              <a:off x="7260851" y="4681818"/>
              <a:ext cx="2076450" cy="572144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𝑑𝑝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𝑓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𝑑𝐿</m:t>
                        </m:r>
                      </m:den>
                    </m:f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𝐾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𝑉</m:t>
                                </m:r>
                              </m:e>
                            </m:acc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</m:sup>
                        </m:s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3+1/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0.0416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144000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𝑑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1+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7260851" y="4681818"/>
              <a:ext cx="2076450" cy="572144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b="0" i="0">
                  <a:latin typeface="Cambria Math"/>
                </a:rPr>
                <a:t>𝑑𝑝〗_𝑓/𝑑𝐿=(𝐾𝑉 ̅^𝑛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(3+1/𝑛)/0.0416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)^</a:t>
              </a:r>
              <a:r>
                <a:rPr lang="en-US" sz="1100" b="0" i="0">
                  <a:latin typeface="Cambria Math"/>
                </a:rPr>
                <a:t>𝑛)/(144000𝑑^(1+𝑛)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0</xdr:colOff>
      <xdr:row>27</xdr:row>
      <xdr:rowOff>152400</xdr:rowOff>
    </xdr:from>
    <xdr:ext cx="1857374" cy="4321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7241801" y="5447179"/>
              <a:ext cx="1857374" cy="432106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𝑑𝑝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𝑓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𝑑𝐿</m:t>
                        </m:r>
                      </m:den>
                    </m:f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𝑓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𝜌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p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𝑣</m:t>
                                </m:r>
                              </m:e>
                            </m:acc>
                          </m:e>
                          <m:sup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25.8</m:t>
                        </m:r>
                        <m:r>
                          <a:rPr lang="en-US" sz="1100" b="0" i="1">
                            <a:latin typeface="Cambria Math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7241801" y="5447179"/>
              <a:ext cx="1857374" cy="432106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b="0" i="0">
                  <a:latin typeface="Cambria Math"/>
                </a:rPr>
                <a:t>𝑑𝑝〗_𝑓/𝑑𝐿=(𝑓</a:t>
              </a:r>
              <a:r>
                <a:rPr lang="en-US" sz="1100" b="0" i="0">
                  <a:latin typeface="Cambria Math"/>
                  <a:ea typeface="Cambria Math"/>
                </a:rPr>
                <a:t>𝜌𝑣 ̅^2)/</a:t>
              </a:r>
              <a:r>
                <a:rPr lang="en-US" sz="1100" b="0" i="0">
                  <a:latin typeface="Cambria Math"/>
                </a:rPr>
                <a:t>25.8𝑑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354665</xdr:colOff>
      <xdr:row>34</xdr:row>
      <xdr:rowOff>1681</xdr:rowOff>
    </xdr:from>
    <xdr:ext cx="1590675" cy="4122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15412569" y="6669181"/>
              <a:ext cx="1590675" cy="412292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  <a:ln cmpd="dbl"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/>
                          </a:rPr>
                          <m:t>𝑣</m:t>
                        </m:r>
                      </m:e>
                    </m:acc>
                    <m:r>
                      <a:rPr lang="en-US" sz="11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𝑞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2.448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𝑑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𝑑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15412569" y="6669181"/>
              <a:ext cx="1590675" cy="412292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  <a:ln cmpd="dbl"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𝑣 ̅=  𝑞/(2.448〖(𝑑2〗^2−〖𝑑1〗^2))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904875</xdr:colOff>
      <xdr:row>54</xdr:row>
      <xdr:rowOff>9525</xdr:rowOff>
    </xdr:from>
    <xdr:ext cx="2076450" cy="6021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 txBox="1"/>
          </xdr:nvSpPr>
          <xdr:spPr>
            <a:xfrm>
              <a:off x="7236199" y="10599084"/>
              <a:ext cx="2076450" cy="602153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𝑑𝑝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𝑓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𝑑𝐿</m:t>
                        </m:r>
                      </m:den>
                    </m:f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𝐾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𝑉</m:t>
                                </m:r>
                              </m:e>
                            </m:acc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</m:sup>
                        </m:s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+1/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0.0208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144000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𝑑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2−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𝑑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1)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1+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7236199" y="10599084"/>
              <a:ext cx="2076450" cy="602153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b="0" i="0">
                  <a:latin typeface="Cambria Math"/>
                </a:rPr>
                <a:t>𝑑𝑝〗_𝑓/𝑑𝐿=(𝐾𝑉 ̅^𝑛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+1/𝑛)/0.0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208)^</a:t>
              </a:r>
              <a:r>
                <a:rPr lang="en-US" sz="1100" b="0" i="0">
                  <a:latin typeface="Cambria Math"/>
                </a:rPr>
                <a:t>𝑛)/(144000〖(𝑑2−𝑑1)〗^(1+𝑛)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47625</xdr:colOff>
      <xdr:row>58</xdr:row>
      <xdr:rowOff>0</xdr:rowOff>
    </xdr:from>
    <xdr:ext cx="1857374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 txBox="1"/>
          </xdr:nvSpPr>
          <xdr:spPr>
            <a:xfrm>
              <a:off x="7289426" y="11373971"/>
              <a:ext cx="1857374" cy="462114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𝑑𝑝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𝑓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𝑑𝐿</m:t>
                        </m:r>
                      </m:den>
                    </m:f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𝑓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𝜌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p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𝑣</m:t>
                                </m:r>
                              </m:e>
                            </m:acc>
                          </m:e>
                          <m:sup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21.1(</m:t>
                        </m:r>
                        <m:r>
                          <a:rPr lang="en-US" sz="1100" b="0" i="1">
                            <a:latin typeface="Cambria Math"/>
                          </a:rPr>
                          <m:t>𝑑</m:t>
                        </m:r>
                        <m:r>
                          <a:rPr lang="en-US" sz="1100" b="0" i="1">
                            <a:latin typeface="Cambria Math"/>
                          </a:rPr>
                          <m:t>2−</m:t>
                        </m:r>
                        <m:r>
                          <a:rPr lang="en-US" sz="1100" b="0" i="1">
                            <a:latin typeface="Cambria Math"/>
                          </a:rPr>
                          <m:t>𝑑</m:t>
                        </m:r>
                        <m:r>
                          <a:rPr lang="en-US" sz="1100" b="0" i="1">
                            <a:latin typeface="Cambria Math"/>
                          </a:rPr>
                          <m:t>1)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7289426" y="11373971"/>
              <a:ext cx="1857374" cy="462114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b="0" i="0">
                  <a:latin typeface="Cambria Math"/>
                </a:rPr>
                <a:t>𝑑𝑝〗_𝑓/𝑑𝐿=(𝑓</a:t>
              </a:r>
              <a:r>
                <a:rPr lang="en-US" sz="1100" b="0" i="0">
                  <a:latin typeface="Cambria Math"/>
                  <a:ea typeface="Cambria Math"/>
                </a:rPr>
                <a:t>𝜌𝑣 ̅^2)/(</a:t>
              </a:r>
              <a:r>
                <a:rPr lang="en-US" sz="1100" b="0" i="0">
                  <a:latin typeface="Cambria Math"/>
                </a:rPr>
                <a:t>21.1(𝑑2−𝑑1))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368672</xdr:colOff>
      <xdr:row>39</xdr:row>
      <xdr:rowOff>95810</xdr:rowOff>
    </xdr:from>
    <xdr:ext cx="2857501" cy="4761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 txBox="1"/>
          </xdr:nvSpPr>
          <xdr:spPr>
            <a:xfrm>
              <a:off x="15566650" y="7743825"/>
              <a:ext cx="2857501" cy="476156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𝑅𝑒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109000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𝜌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p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𝑉</m:t>
                                </m:r>
                              </m:e>
                            </m:acc>
                          </m:e>
                          <m:sup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2−</m:t>
                            </m:r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𝑛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𝐾</m:t>
                        </m:r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0208(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+1/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den>
                            </m:f>
                          </m:e>
                        </m:d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9" name="TextBox 38"/>
            <xdr:cNvSpPr txBox="1"/>
          </xdr:nvSpPr>
          <xdr:spPr>
            <a:xfrm>
              <a:off x="15566650" y="7743825"/>
              <a:ext cx="2857501" cy="476156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𝑁_𝑅𝑒=(109000</a:t>
              </a:r>
              <a:r>
                <a:rPr lang="en-US" sz="1100" b="0" i="0">
                  <a:latin typeface="Cambria Math"/>
                  <a:ea typeface="Cambria Math"/>
                </a:rPr>
                <a:t>𝜌𝑉 ̅^(2−𝑛))/</a:t>
              </a:r>
              <a:r>
                <a:rPr lang="en-US" sz="1100" b="0" i="0">
                  <a:latin typeface="Cambria Math"/>
                </a:rPr>
                <a:t>𝐾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((0.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0208(𝑑_2−𝑑_1)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+1/𝑛))"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effectLst/>
                  <a:latin typeface="Cambria Math"/>
                </a:rPr>
                <a:t>" ^</a:t>
              </a:r>
              <a:r>
                <a:rPr lang="en-US" sz="1100" b="0" i="0">
                  <a:latin typeface="Cambria Math"/>
                </a:rPr>
                <a:t>𝑛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0</xdr:colOff>
      <xdr:row>9</xdr:row>
      <xdr:rowOff>0</xdr:rowOff>
    </xdr:from>
    <xdr:to>
      <xdr:col>8</xdr:col>
      <xdr:colOff>447675</xdr:colOff>
      <xdr:row>15</xdr:row>
      <xdr:rowOff>76200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1752600"/>
          <a:ext cx="16668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190500</xdr:colOff>
      <xdr:row>43</xdr:row>
      <xdr:rowOff>28575</xdr:rowOff>
    </xdr:from>
    <xdr:ext cx="2481264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10258425" y="8258175"/>
              <a:ext cx="2481264" cy="495300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𝑓</m:t>
                            </m:r>
                          </m:e>
                        </m:rad>
                      </m:den>
                    </m:f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0.75</m:t>
                            </m:r>
                          </m:sup>
                        </m:sSup>
                      </m:den>
                    </m:f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log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𝑅𝑒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IN" sz="11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p>
                                <m:r>
                                  <a:rPr lang="en-IN" sz="11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f>
                                  <m:fPr>
                                    <m:ctrlPr>
                                      <a:rPr lang="en-IN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num>
                                  <m:den>
                                    <m:r>
                                      <a:rPr lang="en-IN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</m:sup>
                            </m:sSup>
                          </m:e>
                        </m:d>
                      </m:e>
                    </m:func>
                    <m:r>
                      <a:rPr lang="en-IN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0.395</m:t>
                        </m:r>
                      </m:num>
                      <m:den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1.2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10258425" y="8258175"/>
              <a:ext cx="2481264" cy="495300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100" b="0" i="0">
                  <a:latin typeface="Cambria Math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/√</a:t>
              </a:r>
              <a:r>
                <a:rPr lang="en-US" sz="1100" b="0" i="0">
                  <a:latin typeface="Cambria Math"/>
                </a:rPr>
                <a:t>𝑓</a:t>
              </a:r>
              <a:r>
                <a:rPr lang="en-IN" sz="1100" b="0" i="0">
                  <a:latin typeface="Cambria Math" panose="02040503050406030204" pitchFamily="18" charset="0"/>
                </a:rPr>
                <a:t>=4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IN" sz="1100" b="0" i="0">
                  <a:latin typeface="Cambria Math" panose="02040503050406030204" pitchFamily="18" charset="0"/>
                </a:rPr>
                <a:t>𝑛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en-IN" sz="1100" b="0" i="0">
                  <a:latin typeface="Cambria Math" panose="02040503050406030204" pitchFamily="18" charset="0"/>
                </a:rPr>
                <a:t>0.75 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/>
                </a:rPr>
                <a:t> log</a:t>
              </a:r>
              <a:r>
                <a:rPr lang="en-US" sz="1100" b="0" i="0">
                  <a:latin typeface="Cambria Math" panose="02040503050406030204" pitchFamily="18" charset="0"/>
                </a:rPr>
                <a:t>⁡(</a:t>
              </a:r>
              <a:r>
                <a:rPr lang="en-US" sz="1100" b="0" i="0">
                  <a:latin typeface="Cambria Math"/>
                </a:rPr>
                <a:t>𝑁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𝑅𝑒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IN" sz="1100" b="0" i="0">
                  <a:latin typeface="Cambria Math" panose="02040503050406030204" pitchFamily="18" charset="0"/>
                </a:rPr>
                <a:t>𝑓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en-IN" sz="1100" b="0" i="0">
                  <a:latin typeface="Cambria Math" panose="02040503050406030204" pitchFamily="18" charset="0"/>
                </a:rPr>
                <a:t>1−𝑛/2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IN" sz="1100" b="0" i="0">
                  <a:latin typeface="Cambria Math" panose="02040503050406030204" pitchFamily="18" charset="0"/>
                </a:rPr>
                <a:t> )−0.395/𝑛^1.2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390525</xdr:colOff>
      <xdr:row>43</xdr:row>
      <xdr:rowOff>95250</xdr:rowOff>
    </xdr:from>
    <xdr:ext cx="2481264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17535525" y="8324850"/>
              <a:ext cx="2481264" cy="495300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𝑓</m:t>
                            </m:r>
                          </m:e>
                        </m:rad>
                      </m:den>
                    </m:f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0.75</m:t>
                            </m:r>
                          </m:sup>
                        </m:sSup>
                      </m:den>
                    </m:f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log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𝑅𝑒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IN" sz="11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p>
                                <m:r>
                                  <a:rPr lang="en-IN" sz="11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f>
                                  <m:fPr>
                                    <m:ctrlPr>
                                      <a:rPr lang="en-IN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num>
                                  <m:den>
                                    <m:r>
                                      <a:rPr lang="en-IN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</m:sup>
                            </m:sSup>
                          </m:e>
                        </m:d>
                      </m:e>
                    </m:func>
                    <m:r>
                      <a:rPr lang="en-IN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0.395</m:t>
                        </m:r>
                      </m:num>
                      <m:den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1.2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17535525" y="8324850"/>
              <a:ext cx="2481264" cy="495300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100" b="0" i="0">
                  <a:latin typeface="Cambria Math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/√</a:t>
              </a:r>
              <a:r>
                <a:rPr lang="en-US" sz="1100" b="0" i="0">
                  <a:latin typeface="Cambria Math"/>
                </a:rPr>
                <a:t>𝑓</a:t>
              </a:r>
              <a:r>
                <a:rPr lang="en-IN" sz="1100" b="0" i="0">
                  <a:latin typeface="Cambria Math" panose="02040503050406030204" pitchFamily="18" charset="0"/>
                </a:rPr>
                <a:t>=4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IN" sz="1100" b="0" i="0">
                  <a:latin typeface="Cambria Math" panose="02040503050406030204" pitchFamily="18" charset="0"/>
                </a:rPr>
                <a:t>𝑛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en-IN" sz="1100" b="0" i="0">
                  <a:latin typeface="Cambria Math" panose="02040503050406030204" pitchFamily="18" charset="0"/>
                </a:rPr>
                <a:t>0.75 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/>
                </a:rPr>
                <a:t> log</a:t>
              </a:r>
              <a:r>
                <a:rPr lang="en-US" sz="1100" b="0" i="0">
                  <a:latin typeface="Cambria Math" panose="02040503050406030204" pitchFamily="18" charset="0"/>
                </a:rPr>
                <a:t>⁡(</a:t>
              </a:r>
              <a:r>
                <a:rPr lang="en-US" sz="1100" b="0" i="0">
                  <a:latin typeface="Cambria Math"/>
                </a:rPr>
                <a:t>𝑁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𝑅𝑒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IN" sz="1100" b="0" i="0">
                  <a:latin typeface="Cambria Math" panose="02040503050406030204" pitchFamily="18" charset="0"/>
                </a:rPr>
                <a:t>𝑓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en-IN" sz="1100" b="0" i="0">
                  <a:latin typeface="Cambria Math" panose="02040503050406030204" pitchFamily="18" charset="0"/>
                </a:rPr>
                <a:t>1−𝑛/2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IN" sz="1100" b="0" i="0">
                  <a:latin typeface="Cambria Math" panose="02040503050406030204" pitchFamily="18" charset="0"/>
                </a:rPr>
                <a:t> )−0.395/𝑛^1.2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32</xdr:col>
      <xdr:colOff>523875</xdr:colOff>
      <xdr:row>43</xdr:row>
      <xdr:rowOff>38100</xdr:rowOff>
    </xdr:from>
    <xdr:ext cx="2481264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24736425" y="8267700"/>
              <a:ext cx="2481264" cy="495300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𝑓</m:t>
                            </m:r>
                          </m:e>
                        </m:rad>
                      </m:den>
                    </m:f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0.75</m:t>
                            </m:r>
                          </m:sup>
                        </m:sSup>
                      </m:den>
                    </m:f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log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𝑅𝑒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IN" sz="11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p>
                                <m:r>
                                  <a:rPr lang="en-IN" sz="11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f>
                                  <m:fPr>
                                    <m:ctrlPr>
                                      <a:rPr lang="en-IN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num>
                                  <m:den>
                                    <m:r>
                                      <a:rPr lang="en-IN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</m:sup>
                            </m:sSup>
                          </m:e>
                        </m:d>
                      </m:e>
                    </m:func>
                    <m:r>
                      <a:rPr lang="en-IN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0.395</m:t>
                        </m:r>
                      </m:num>
                      <m:den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1.2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24736425" y="8267700"/>
              <a:ext cx="2481264" cy="495300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100" b="0" i="0">
                  <a:latin typeface="Cambria Math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/√</a:t>
              </a:r>
              <a:r>
                <a:rPr lang="en-US" sz="1100" b="0" i="0">
                  <a:latin typeface="Cambria Math"/>
                </a:rPr>
                <a:t>𝑓</a:t>
              </a:r>
              <a:r>
                <a:rPr lang="en-IN" sz="1100" b="0" i="0">
                  <a:latin typeface="Cambria Math" panose="02040503050406030204" pitchFamily="18" charset="0"/>
                </a:rPr>
                <a:t>=4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IN" sz="1100" b="0" i="0">
                  <a:latin typeface="Cambria Math" panose="02040503050406030204" pitchFamily="18" charset="0"/>
                </a:rPr>
                <a:t>𝑛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en-IN" sz="1100" b="0" i="0">
                  <a:latin typeface="Cambria Math" panose="02040503050406030204" pitchFamily="18" charset="0"/>
                </a:rPr>
                <a:t>0.75 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/>
                </a:rPr>
                <a:t> log</a:t>
              </a:r>
              <a:r>
                <a:rPr lang="en-US" sz="1100" b="0" i="0">
                  <a:latin typeface="Cambria Math" panose="02040503050406030204" pitchFamily="18" charset="0"/>
                </a:rPr>
                <a:t>⁡(</a:t>
              </a:r>
              <a:r>
                <a:rPr lang="en-US" sz="1100" b="0" i="0">
                  <a:latin typeface="Cambria Math"/>
                </a:rPr>
                <a:t>𝑁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𝑅𝑒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IN" sz="1100" b="0" i="0">
                  <a:latin typeface="Cambria Math" panose="02040503050406030204" pitchFamily="18" charset="0"/>
                </a:rPr>
                <a:t>𝑓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en-IN" sz="1100" b="0" i="0">
                  <a:latin typeface="Cambria Math" panose="02040503050406030204" pitchFamily="18" charset="0"/>
                </a:rPr>
                <a:t>1−𝑛/2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IN" sz="1100" b="0" i="0">
                  <a:latin typeface="Cambria Math" panose="02040503050406030204" pitchFamily="18" charset="0"/>
                </a:rPr>
                <a:t> )−0.395/𝑛^1.2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32</xdr:col>
      <xdr:colOff>142875</xdr:colOff>
      <xdr:row>39</xdr:row>
      <xdr:rowOff>133350</xdr:rowOff>
    </xdr:from>
    <xdr:ext cx="2857501" cy="4761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 txBox="1"/>
          </xdr:nvSpPr>
          <xdr:spPr>
            <a:xfrm>
              <a:off x="24641175" y="7600950"/>
              <a:ext cx="2857501" cy="476156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𝑅𝑒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109000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𝜌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p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𝑉</m:t>
                                </m:r>
                              </m:e>
                            </m:acc>
                          </m:e>
                          <m:sup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2−</m:t>
                            </m:r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𝑛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𝐾</m:t>
                        </m:r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0208(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+1/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den>
                            </m:f>
                          </m:e>
                        </m:d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2" name="TextBox 41"/>
            <xdr:cNvSpPr txBox="1"/>
          </xdr:nvSpPr>
          <xdr:spPr>
            <a:xfrm>
              <a:off x="24641175" y="7600950"/>
              <a:ext cx="2857501" cy="476156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𝑁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𝑅𝑒=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/>
                </a:rPr>
                <a:t>109000</a:t>
              </a:r>
              <a:r>
                <a:rPr lang="en-US" sz="1100" b="0" i="0">
                  <a:latin typeface="Cambria Math"/>
                  <a:ea typeface="Cambria Math"/>
                </a:rPr>
                <a:t>𝜌𝑉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 ̅^(</a:t>
              </a:r>
              <a:r>
                <a:rPr lang="en-US" sz="1100" b="0" i="0">
                  <a:latin typeface="Cambria Math"/>
                  <a:ea typeface="Cambria Math"/>
                </a:rPr>
                <a:t>2−𝑛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))/</a:t>
              </a:r>
              <a:r>
                <a:rPr lang="en-US" sz="1100" b="0" i="0">
                  <a:latin typeface="Cambria Math"/>
                </a:rPr>
                <a:t>𝐾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((0.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0208(𝑑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2−𝑑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+1/𝑛))"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/>
                </a:rPr>
                <a:t>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904875</xdr:colOff>
      <xdr:row>53</xdr:row>
      <xdr:rowOff>9525</xdr:rowOff>
    </xdr:from>
    <xdr:ext cx="2076450" cy="6021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 txBox="1"/>
          </xdr:nvSpPr>
          <xdr:spPr>
            <a:xfrm>
              <a:off x="15011400" y="10334625"/>
              <a:ext cx="2076450" cy="602153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𝑑𝑝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𝑓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𝑑𝐿</m:t>
                        </m:r>
                      </m:den>
                    </m:f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𝐾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𝑉</m:t>
                                </m:r>
                              </m:e>
                            </m:acc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</m:sup>
                        </m:s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+1/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0.0208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144000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𝑑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2−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𝑑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1)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1+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15011400" y="10334625"/>
              <a:ext cx="2076450" cy="602153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/>
                </a:rPr>
                <a:t>𝑑𝑝</a:t>
              </a:r>
              <a:r>
                <a:rPr lang="en-US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/>
                </a:rPr>
                <a:t>𝑓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/>
                </a:rPr>
                <a:t>𝑑𝐿=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/>
                </a:rPr>
                <a:t>𝐾𝑉</a:t>
              </a:r>
              <a:r>
                <a:rPr lang="en-US" sz="1100" b="0" i="0">
                  <a:latin typeface="Cambria Math" panose="02040503050406030204" pitchFamily="18" charset="0"/>
                </a:rPr>
                <a:t> ̅^</a:t>
              </a:r>
              <a:r>
                <a:rPr lang="en-US" sz="1100" b="0" i="0">
                  <a:latin typeface="Cambria Math"/>
                </a:rPr>
                <a:t>𝑛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+1/𝑛)/0.0208)^</a:t>
              </a:r>
              <a:r>
                <a:rPr lang="en-US" sz="1100" b="0" i="0">
                  <a:latin typeface="Cambria Math"/>
                </a:rPr>
                <a:t>𝑛</a:t>
              </a:r>
              <a:r>
                <a:rPr lang="en-US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/>
                </a:rPr>
                <a:t>144000</a:t>
              </a:r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/>
                </a:rPr>
                <a:t>(𝑑2−𝑑1)</a:t>
              </a:r>
              <a:r>
                <a:rPr lang="en-US" sz="1100" b="0" i="0">
                  <a:latin typeface="Cambria Math" panose="02040503050406030204" pitchFamily="18" charset="0"/>
                </a:rPr>
                <a:t>〗^(</a:t>
              </a:r>
              <a:r>
                <a:rPr lang="en-US" sz="1100" b="0" i="0">
                  <a:latin typeface="Cambria Math"/>
                </a:rPr>
                <a:t>1+𝑛</a:t>
              </a:r>
              <a:r>
                <a:rPr lang="en-US" sz="1100" b="0" i="0">
                  <a:latin typeface="Cambria Math" panose="02040503050406030204" pitchFamily="18" charset="0"/>
                </a:rPr>
                <a:t>)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31</xdr:col>
      <xdr:colOff>47625</xdr:colOff>
      <xdr:row>57</xdr:row>
      <xdr:rowOff>0</xdr:rowOff>
    </xdr:from>
    <xdr:ext cx="1857374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 txBox="1"/>
          </xdr:nvSpPr>
          <xdr:spPr>
            <a:xfrm>
              <a:off x="15059025" y="11087100"/>
              <a:ext cx="1857374" cy="462114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𝑑𝑝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𝑓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𝑑𝐿</m:t>
                        </m:r>
                      </m:den>
                    </m:f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𝑓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𝜌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p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𝑣</m:t>
                                </m:r>
                              </m:e>
                            </m:acc>
                          </m:e>
                          <m:sup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21.1(</m:t>
                        </m:r>
                        <m:r>
                          <a:rPr lang="en-US" sz="1100" b="0" i="1">
                            <a:latin typeface="Cambria Math"/>
                          </a:rPr>
                          <m:t>𝑑</m:t>
                        </m:r>
                        <m:r>
                          <a:rPr lang="en-US" sz="1100" b="0" i="1">
                            <a:latin typeface="Cambria Math"/>
                          </a:rPr>
                          <m:t>2−</m:t>
                        </m:r>
                        <m:r>
                          <a:rPr lang="en-US" sz="1100" b="0" i="1">
                            <a:latin typeface="Cambria Math"/>
                          </a:rPr>
                          <m:t>𝑑</m:t>
                        </m:r>
                        <m:r>
                          <a:rPr lang="en-US" sz="1100" b="0" i="1">
                            <a:latin typeface="Cambria Math"/>
                          </a:rPr>
                          <m:t>1)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4" name="TextBox 43"/>
            <xdr:cNvSpPr txBox="1"/>
          </xdr:nvSpPr>
          <xdr:spPr>
            <a:xfrm>
              <a:off x="15059025" y="11087100"/>
              <a:ext cx="1857374" cy="462114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/>
                </a:rPr>
                <a:t>𝑑𝑝</a:t>
              </a:r>
              <a:r>
                <a:rPr lang="en-US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/>
                </a:rPr>
                <a:t>𝑓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/>
                </a:rPr>
                <a:t>𝑑𝐿=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/>
                </a:rPr>
                <a:t>𝑓</a:t>
              </a:r>
              <a:r>
                <a:rPr lang="en-US" sz="1100" b="0" i="0">
                  <a:latin typeface="Cambria Math"/>
                  <a:ea typeface="Cambria Math"/>
                </a:rPr>
                <a:t>𝜌𝑣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 ̅^</a:t>
              </a:r>
              <a:r>
                <a:rPr lang="en-US" sz="1100" b="0" i="0">
                  <a:latin typeface="Cambria Math"/>
                  <a:ea typeface="Cambria Math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)/(</a:t>
              </a:r>
              <a:r>
                <a:rPr lang="en-US" sz="1100" b="0" i="0">
                  <a:latin typeface="Cambria Math"/>
                </a:rPr>
                <a:t>21.1(𝑑2−𝑑1)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13</xdr:col>
      <xdr:colOff>9525</xdr:colOff>
      <xdr:row>68</xdr:row>
      <xdr:rowOff>85725</xdr:rowOff>
    </xdr:from>
    <xdr:to>
      <xdr:col>16</xdr:col>
      <xdr:colOff>9525</xdr:colOff>
      <xdr:row>72</xdr:row>
      <xdr:rowOff>57150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72600" y="13077825"/>
          <a:ext cx="1828800" cy="733425"/>
        </a:xfrm>
        <a:prstGeom prst="rect">
          <a:avLst/>
        </a:prstGeom>
      </xdr:spPr>
    </xdr:pic>
    <xdr:clientData/>
  </xdr:twoCellAnchor>
  <xdr:twoCellAnchor>
    <xdr:from>
      <xdr:col>18</xdr:col>
      <xdr:colOff>514350</xdr:colOff>
      <xdr:row>76</xdr:row>
      <xdr:rowOff>61912</xdr:rowOff>
    </xdr:from>
    <xdr:to>
      <xdr:col>22</xdr:col>
      <xdr:colOff>447675</xdr:colOff>
      <xdr:row>93</xdr:row>
      <xdr:rowOff>138112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142875</xdr:colOff>
      <xdr:row>15</xdr:row>
      <xdr:rowOff>76200</xdr:rowOff>
    </xdr:from>
    <xdr:ext cx="2076450" cy="666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3686175" y="8077200"/>
              <a:ext cx="2076450" cy="666750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𝑑𝑝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𝑓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𝑑𝐿</m:t>
                        </m:r>
                      </m:den>
                    </m:f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𝐾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𝑉</m:t>
                                </m:r>
                              </m:e>
                            </m:acc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</m:sup>
                        </m:s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+1/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0.0208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144000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𝑑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2−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𝑑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1)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1+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686175" y="8077200"/>
              <a:ext cx="2076450" cy="666750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/>
                </a:rPr>
                <a:t>𝑑𝑝</a:t>
              </a:r>
              <a:r>
                <a:rPr lang="en-US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/>
                </a:rPr>
                <a:t>𝑓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/>
                </a:rPr>
                <a:t>𝑑𝐿=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/>
                </a:rPr>
                <a:t>𝐾𝑉</a:t>
              </a:r>
              <a:r>
                <a:rPr lang="en-US" sz="1100" b="0" i="0">
                  <a:latin typeface="Cambria Math" panose="02040503050406030204" pitchFamily="18" charset="0"/>
                </a:rPr>
                <a:t> ̅^</a:t>
              </a:r>
              <a:r>
                <a:rPr lang="en-US" sz="1100" b="0" i="0">
                  <a:latin typeface="Cambria Math"/>
                </a:rPr>
                <a:t>𝑛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+1/𝑛)/0.0208)^</a:t>
              </a:r>
              <a:r>
                <a:rPr lang="en-US" sz="1100" b="0" i="0">
                  <a:latin typeface="Cambria Math"/>
                </a:rPr>
                <a:t>𝑛</a:t>
              </a:r>
              <a:r>
                <a:rPr lang="en-US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/>
                </a:rPr>
                <a:t>144000</a:t>
              </a:r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/>
                </a:rPr>
                <a:t>(𝑑2−𝑑1)</a:t>
              </a:r>
              <a:r>
                <a:rPr lang="en-US" sz="1100" b="0" i="0">
                  <a:latin typeface="Cambria Math" panose="02040503050406030204" pitchFamily="18" charset="0"/>
                </a:rPr>
                <a:t>〗^(</a:t>
              </a:r>
              <a:r>
                <a:rPr lang="en-US" sz="1100" b="0" i="0">
                  <a:latin typeface="Cambria Math"/>
                </a:rPr>
                <a:t>1+𝑛</a:t>
              </a:r>
              <a:r>
                <a:rPr lang="en-US" sz="1100" b="0" i="0">
                  <a:latin typeface="Cambria Math" panose="02040503050406030204" pitchFamily="18" charset="0"/>
                </a:rPr>
                <a:t>)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371475</xdr:colOff>
      <xdr:row>19</xdr:row>
      <xdr:rowOff>76200</xdr:rowOff>
    </xdr:from>
    <xdr:ext cx="1857374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3914775" y="8839200"/>
              <a:ext cx="1857374" cy="462114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𝑑𝑝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𝑓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𝑑𝐿</m:t>
                        </m:r>
                      </m:den>
                    </m:f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𝑓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𝜌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p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𝑣</m:t>
                                </m:r>
                              </m:e>
                            </m:acc>
                          </m:e>
                          <m:sup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21.1(</m:t>
                        </m:r>
                        <m:r>
                          <a:rPr lang="en-US" sz="1100" b="0" i="1">
                            <a:latin typeface="Cambria Math"/>
                          </a:rPr>
                          <m:t>𝑑</m:t>
                        </m:r>
                        <m:r>
                          <a:rPr lang="en-US" sz="1100" b="0" i="1">
                            <a:latin typeface="Cambria Math"/>
                          </a:rPr>
                          <m:t>2−</m:t>
                        </m:r>
                        <m:r>
                          <a:rPr lang="en-US" sz="1100" b="0" i="1">
                            <a:latin typeface="Cambria Math"/>
                          </a:rPr>
                          <m:t>𝑑</m:t>
                        </m:r>
                        <m:r>
                          <a:rPr lang="en-US" sz="1100" b="0" i="1">
                            <a:latin typeface="Cambria Math"/>
                          </a:rPr>
                          <m:t>1)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914775" y="8839200"/>
              <a:ext cx="1857374" cy="462114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/>
                </a:rPr>
                <a:t>𝑑𝑝</a:t>
              </a:r>
              <a:r>
                <a:rPr lang="en-US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/>
                </a:rPr>
                <a:t>𝑓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/>
                </a:rPr>
                <a:t>𝑑𝐿=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/>
                </a:rPr>
                <a:t>𝑓</a:t>
              </a:r>
              <a:r>
                <a:rPr lang="en-US" sz="1100" b="0" i="0">
                  <a:latin typeface="Cambria Math"/>
                  <a:ea typeface="Cambria Math"/>
                </a:rPr>
                <a:t>𝜌𝑣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 ̅^</a:t>
              </a:r>
              <a:r>
                <a:rPr lang="en-US" sz="1100" b="0" i="0">
                  <a:latin typeface="Cambria Math"/>
                  <a:ea typeface="Cambria Math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)/(</a:t>
              </a:r>
              <a:r>
                <a:rPr lang="en-US" sz="1100" b="0" i="0">
                  <a:latin typeface="Cambria Math"/>
                </a:rPr>
                <a:t>21.1(𝑑2−𝑑1)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133350</xdr:colOff>
      <xdr:row>15</xdr:row>
      <xdr:rowOff>161925</xdr:rowOff>
    </xdr:from>
    <xdr:ext cx="2076450" cy="666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11391900" y="8162925"/>
              <a:ext cx="2076450" cy="666750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𝑑𝑝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𝑓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𝑑𝐿</m:t>
                        </m:r>
                      </m:den>
                    </m:f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𝐾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𝑉</m:t>
                                </m:r>
                              </m:e>
                            </m:acc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</m:sup>
                        </m:s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+1/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0.0208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144000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𝑑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2−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𝑑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1)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1+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1391900" y="8162925"/>
              <a:ext cx="2076450" cy="666750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/>
                </a:rPr>
                <a:t>𝑑𝑝</a:t>
              </a:r>
              <a:r>
                <a:rPr lang="en-US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/>
                </a:rPr>
                <a:t>𝑓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/>
                </a:rPr>
                <a:t>𝑑𝐿=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/>
                </a:rPr>
                <a:t>𝐾𝑉</a:t>
              </a:r>
              <a:r>
                <a:rPr lang="en-US" sz="1100" b="0" i="0">
                  <a:latin typeface="Cambria Math" panose="02040503050406030204" pitchFamily="18" charset="0"/>
                </a:rPr>
                <a:t> ̅^</a:t>
              </a:r>
              <a:r>
                <a:rPr lang="en-US" sz="1100" b="0" i="0">
                  <a:latin typeface="Cambria Math"/>
                </a:rPr>
                <a:t>𝑛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+1/𝑛)/0.0208)^</a:t>
              </a:r>
              <a:r>
                <a:rPr lang="en-US" sz="1100" b="0" i="0">
                  <a:latin typeface="Cambria Math"/>
                </a:rPr>
                <a:t>𝑛</a:t>
              </a:r>
              <a:r>
                <a:rPr lang="en-US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/>
                </a:rPr>
                <a:t>144000</a:t>
              </a:r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/>
                </a:rPr>
                <a:t>(𝑑2−𝑑1)</a:t>
              </a:r>
              <a:r>
                <a:rPr lang="en-US" sz="1100" b="0" i="0">
                  <a:latin typeface="Cambria Math" panose="02040503050406030204" pitchFamily="18" charset="0"/>
                </a:rPr>
                <a:t>〗^(</a:t>
              </a:r>
              <a:r>
                <a:rPr lang="en-US" sz="1100" b="0" i="0">
                  <a:latin typeface="Cambria Math"/>
                </a:rPr>
                <a:t>1+𝑛</a:t>
              </a:r>
              <a:r>
                <a:rPr lang="en-US" sz="1100" b="0" i="0">
                  <a:latin typeface="Cambria Math" panose="02040503050406030204" pitchFamily="18" charset="0"/>
                </a:rPr>
                <a:t>)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361950</xdr:colOff>
      <xdr:row>19</xdr:row>
      <xdr:rowOff>133350</xdr:rowOff>
    </xdr:from>
    <xdr:ext cx="1857374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11620500" y="8896350"/>
              <a:ext cx="1857374" cy="462114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𝑑𝑝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𝑓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𝑑𝐿</m:t>
                        </m:r>
                      </m:den>
                    </m:f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𝑓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𝜌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p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𝑣</m:t>
                                </m:r>
                              </m:e>
                            </m:acc>
                          </m:e>
                          <m:sup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21.1(</m:t>
                        </m:r>
                        <m:r>
                          <a:rPr lang="en-US" sz="1100" b="0" i="1">
                            <a:latin typeface="Cambria Math"/>
                          </a:rPr>
                          <m:t>𝑑</m:t>
                        </m:r>
                        <m:r>
                          <a:rPr lang="en-US" sz="1100" b="0" i="1">
                            <a:latin typeface="Cambria Math"/>
                          </a:rPr>
                          <m:t>2−</m:t>
                        </m:r>
                        <m:r>
                          <a:rPr lang="en-US" sz="1100" b="0" i="1">
                            <a:latin typeface="Cambria Math"/>
                          </a:rPr>
                          <m:t>𝑑</m:t>
                        </m:r>
                        <m:r>
                          <a:rPr lang="en-US" sz="1100" b="0" i="1">
                            <a:latin typeface="Cambria Math"/>
                          </a:rPr>
                          <m:t>1)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1620500" y="8896350"/>
              <a:ext cx="1857374" cy="462114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/>
                </a:rPr>
                <a:t>𝑑𝑝</a:t>
              </a:r>
              <a:r>
                <a:rPr lang="en-US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/>
                </a:rPr>
                <a:t>𝑓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/>
                </a:rPr>
                <a:t>𝑑𝐿=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/>
                </a:rPr>
                <a:t>𝑓</a:t>
              </a:r>
              <a:r>
                <a:rPr lang="en-US" sz="1100" b="0" i="0">
                  <a:latin typeface="Cambria Math"/>
                  <a:ea typeface="Cambria Math"/>
                </a:rPr>
                <a:t>𝜌𝑣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 ̅^</a:t>
              </a:r>
              <a:r>
                <a:rPr lang="en-US" sz="1100" b="0" i="0">
                  <a:latin typeface="Cambria Math"/>
                  <a:ea typeface="Cambria Math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)/(</a:t>
              </a:r>
              <a:r>
                <a:rPr lang="en-US" sz="1100" b="0" i="0">
                  <a:latin typeface="Cambria Math"/>
                </a:rPr>
                <a:t>21.1(𝑑2−𝑑1)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619125</xdr:colOff>
      <xdr:row>15</xdr:row>
      <xdr:rowOff>66675</xdr:rowOff>
    </xdr:from>
    <xdr:ext cx="2076450" cy="666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19992975" y="8067675"/>
              <a:ext cx="2076450" cy="666750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𝑑𝑝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𝑓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𝑑𝐿</m:t>
                        </m:r>
                      </m:den>
                    </m:f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𝐾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𝑉</m:t>
                                </m:r>
                              </m:e>
                            </m:acc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</m:sup>
                        </m:s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+1/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0.0208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144000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𝑑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2−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𝑑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1)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1+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9992975" y="8067675"/>
              <a:ext cx="2076450" cy="666750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/>
                </a:rPr>
                <a:t>𝑑𝑝</a:t>
              </a:r>
              <a:r>
                <a:rPr lang="en-US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/>
                </a:rPr>
                <a:t>𝑓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/>
                </a:rPr>
                <a:t>𝑑𝐿=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/>
                </a:rPr>
                <a:t>𝐾𝑉</a:t>
              </a:r>
              <a:r>
                <a:rPr lang="en-US" sz="1100" b="0" i="0">
                  <a:latin typeface="Cambria Math" panose="02040503050406030204" pitchFamily="18" charset="0"/>
                </a:rPr>
                <a:t> ̅^</a:t>
              </a:r>
              <a:r>
                <a:rPr lang="en-US" sz="1100" b="0" i="0">
                  <a:latin typeface="Cambria Math"/>
                </a:rPr>
                <a:t>𝑛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+1/𝑛)/0.0208)^</a:t>
              </a:r>
              <a:r>
                <a:rPr lang="en-US" sz="1100" b="0" i="0">
                  <a:latin typeface="Cambria Math"/>
                </a:rPr>
                <a:t>𝑛</a:t>
              </a:r>
              <a:r>
                <a:rPr lang="en-US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/>
                </a:rPr>
                <a:t>144000</a:t>
              </a:r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/>
                </a:rPr>
                <a:t>(𝑑2−𝑑1)</a:t>
              </a:r>
              <a:r>
                <a:rPr lang="en-US" sz="1100" b="0" i="0">
                  <a:latin typeface="Cambria Math" panose="02040503050406030204" pitchFamily="18" charset="0"/>
                </a:rPr>
                <a:t>〗^(</a:t>
              </a:r>
              <a:r>
                <a:rPr lang="en-US" sz="1100" b="0" i="0">
                  <a:latin typeface="Cambria Math"/>
                </a:rPr>
                <a:t>1+𝑛</a:t>
              </a:r>
              <a:r>
                <a:rPr lang="en-US" sz="1100" b="0" i="0">
                  <a:latin typeface="Cambria Math" panose="02040503050406030204" pitchFamily="18" charset="0"/>
                </a:rPr>
                <a:t>)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26</xdr:col>
      <xdr:colOff>361950</xdr:colOff>
      <xdr:row>19</xdr:row>
      <xdr:rowOff>133350</xdr:rowOff>
    </xdr:from>
    <xdr:ext cx="1857374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11620500" y="8896350"/>
              <a:ext cx="1857374" cy="462114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𝑑𝑝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𝑓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𝑑𝐿</m:t>
                        </m:r>
                      </m:den>
                    </m:f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𝑓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𝜌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p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𝑣</m:t>
                                </m:r>
                              </m:e>
                            </m:acc>
                          </m:e>
                          <m:sup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21.1(</m:t>
                        </m:r>
                        <m:r>
                          <a:rPr lang="en-US" sz="1100" b="0" i="1">
                            <a:latin typeface="Cambria Math"/>
                          </a:rPr>
                          <m:t>𝑑</m:t>
                        </m:r>
                        <m:r>
                          <a:rPr lang="en-US" sz="1100" b="0" i="1">
                            <a:latin typeface="Cambria Math"/>
                          </a:rPr>
                          <m:t>2−</m:t>
                        </m:r>
                        <m:r>
                          <a:rPr lang="en-US" sz="1100" b="0" i="1">
                            <a:latin typeface="Cambria Math"/>
                          </a:rPr>
                          <m:t>𝑑</m:t>
                        </m:r>
                        <m:r>
                          <a:rPr lang="en-US" sz="1100" b="0" i="1">
                            <a:latin typeface="Cambria Math"/>
                          </a:rPr>
                          <m:t>1)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1620500" y="8896350"/>
              <a:ext cx="1857374" cy="462114"/>
            </a:xfrm>
            <a:prstGeom prst="rect">
              <a:avLst/>
            </a:prstGeom>
            <a:pattFill prst="pct5">
              <a:fgClr>
                <a:schemeClr val="accent1"/>
              </a:fgClr>
              <a:bgClr>
                <a:schemeClr val="tx1">
                  <a:lumMod val="50000"/>
                  <a:lumOff val="50000"/>
                </a:schemeClr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/>
                </a:rPr>
                <a:t>𝑑𝑝</a:t>
              </a:r>
              <a:r>
                <a:rPr lang="en-US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/>
                </a:rPr>
                <a:t>𝑓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/>
                </a:rPr>
                <a:t>𝑑𝐿=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/>
                </a:rPr>
                <a:t>𝑓</a:t>
              </a:r>
              <a:r>
                <a:rPr lang="en-US" sz="1100" b="0" i="0">
                  <a:latin typeface="Cambria Math"/>
                  <a:ea typeface="Cambria Math"/>
                </a:rPr>
                <a:t>𝜌𝑣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 ̅^</a:t>
              </a:r>
              <a:r>
                <a:rPr lang="en-US" sz="1100" b="0" i="0">
                  <a:latin typeface="Cambria Math"/>
                  <a:ea typeface="Cambria Math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)/(</a:t>
              </a:r>
              <a:r>
                <a:rPr lang="en-US" sz="1100" b="0" i="0">
                  <a:latin typeface="Cambria Math"/>
                </a:rPr>
                <a:t>21.1(𝑑2−𝑑1)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17</xdr:col>
      <xdr:colOff>389467</xdr:colOff>
      <xdr:row>32</xdr:row>
      <xdr:rowOff>42863</xdr:rowOff>
    </xdr:from>
    <xdr:to>
      <xdr:col>24</xdr:col>
      <xdr:colOff>53976</xdr:colOff>
      <xdr:row>50</xdr:row>
      <xdr:rowOff>63501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1259419</xdr:colOff>
      <xdr:row>54</xdr:row>
      <xdr:rowOff>179917</xdr:rowOff>
    </xdr:from>
    <xdr:to>
      <xdr:col>7</xdr:col>
      <xdr:colOff>572560</xdr:colOff>
      <xdr:row>59</xdr:row>
      <xdr:rowOff>52917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68086" y="10276417"/>
          <a:ext cx="5005916" cy="8255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1047750</xdr:colOff>
      <xdr:row>62</xdr:row>
      <xdr:rowOff>74084</xdr:rowOff>
    </xdr:from>
    <xdr:to>
      <xdr:col>7</xdr:col>
      <xdr:colOff>148167</xdr:colOff>
      <xdr:row>64</xdr:row>
      <xdr:rowOff>169334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56417" y="11694584"/>
          <a:ext cx="4878917" cy="476250"/>
        </a:xfrm>
        <a:prstGeom prst="rect">
          <a:avLst/>
        </a:prstGeom>
      </xdr:spPr>
    </xdr:pic>
    <xdr:clientData/>
  </xdr:twoCellAnchor>
  <xdr:twoCellAnchor editAs="oneCell">
    <xdr:from>
      <xdr:col>14</xdr:col>
      <xdr:colOff>412751</xdr:colOff>
      <xdr:row>54</xdr:row>
      <xdr:rowOff>116417</xdr:rowOff>
    </xdr:from>
    <xdr:to>
      <xdr:col>20</xdr:col>
      <xdr:colOff>592668</xdr:colOff>
      <xdr:row>58</xdr:row>
      <xdr:rowOff>179917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33251" y="10212917"/>
          <a:ext cx="5005916" cy="825500"/>
        </a:xfrm>
        <a:prstGeom prst="rect">
          <a:avLst/>
        </a:prstGeom>
      </xdr:spPr>
    </xdr:pic>
    <xdr:clientData/>
  </xdr:twoCellAnchor>
  <xdr:twoCellAnchor editAs="oneCell">
    <xdr:from>
      <xdr:col>14</xdr:col>
      <xdr:colOff>433914</xdr:colOff>
      <xdr:row>59</xdr:row>
      <xdr:rowOff>158749</xdr:rowOff>
    </xdr:from>
    <xdr:to>
      <xdr:col>20</xdr:col>
      <xdr:colOff>486832</xdr:colOff>
      <xdr:row>62</xdr:row>
      <xdr:rowOff>63499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54414" y="11207749"/>
          <a:ext cx="4878917" cy="476250"/>
        </a:xfrm>
        <a:prstGeom prst="rect">
          <a:avLst/>
        </a:prstGeom>
      </xdr:spPr>
    </xdr:pic>
    <xdr:clientData/>
  </xdr:twoCellAnchor>
  <xdr:twoCellAnchor editAs="oneCell">
    <xdr:from>
      <xdr:col>26</xdr:col>
      <xdr:colOff>211667</xdr:colOff>
      <xdr:row>54</xdr:row>
      <xdr:rowOff>63500</xdr:rowOff>
    </xdr:from>
    <xdr:to>
      <xdr:col>33</xdr:col>
      <xdr:colOff>21166</xdr:colOff>
      <xdr:row>58</xdr:row>
      <xdr:rowOff>127000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85667" y="10160000"/>
          <a:ext cx="5005916" cy="825500"/>
        </a:xfrm>
        <a:prstGeom prst="rect">
          <a:avLst/>
        </a:prstGeom>
      </xdr:spPr>
    </xdr:pic>
    <xdr:clientData/>
  </xdr:twoCellAnchor>
  <xdr:twoCellAnchor editAs="oneCell">
    <xdr:from>
      <xdr:col>26</xdr:col>
      <xdr:colOff>317497</xdr:colOff>
      <xdr:row>60</xdr:row>
      <xdr:rowOff>137583</xdr:rowOff>
    </xdr:from>
    <xdr:to>
      <xdr:col>33</xdr:col>
      <xdr:colOff>2114</xdr:colOff>
      <xdr:row>63</xdr:row>
      <xdr:rowOff>42333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891497" y="11377083"/>
          <a:ext cx="4878917" cy="476250"/>
        </a:xfrm>
        <a:prstGeom prst="rect">
          <a:avLst/>
        </a:prstGeom>
      </xdr:spPr>
    </xdr:pic>
    <xdr:clientData/>
  </xdr:twoCellAnchor>
  <xdr:twoCellAnchor>
    <xdr:from>
      <xdr:col>18</xdr:col>
      <xdr:colOff>254001</xdr:colOff>
      <xdr:row>72</xdr:row>
      <xdr:rowOff>147105</xdr:rowOff>
    </xdr:from>
    <xdr:to>
      <xdr:col>25</xdr:col>
      <xdr:colOff>116417</xdr:colOff>
      <xdr:row>91</xdr:row>
      <xdr:rowOff>105832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486833</xdr:colOff>
      <xdr:row>3</xdr:row>
      <xdr:rowOff>95250</xdr:rowOff>
    </xdr:from>
    <xdr:to>
      <xdr:col>10</xdr:col>
      <xdr:colOff>51546</xdr:colOff>
      <xdr:row>19</xdr:row>
      <xdr:rowOff>16522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67916" y="666750"/>
          <a:ext cx="1935379" cy="2969272"/>
        </a:xfrm>
        <a:prstGeom prst="rect">
          <a:avLst/>
        </a:prstGeom>
      </xdr:spPr>
    </xdr:pic>
    <xdr:clientData/>
  </xdr:twoCellAnchor>
  <xdr:twoCellAnchor editAs="oneCell">
    <xdr:from>
      <xdr:col>4</xdr:col>
      <xdr:colOff>624417</xdr:colOff>
      <xdr:row>5</xdr:row>
      <xdr:rowOff>21167</xdr:rowOff>
    </xdr:from>
    <xdr:to>
      <xdr:col>6</xdr:col>
      <xdr:colOff>651667</xdr:colOff>
      <xdr:row>8</xdr:row>
      <xdr:rowOff>135381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31167" y="973667"/>
          <a:ext cx="1858166" cy="685714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95251</xdr:colOff>
      <xdr:row>3</xdr:row>
      <xdr:rowOff>105833</xdr:rowOff>
    </xdr:from>
    <xdr:to>
      <xdr:col>22</xdr:col>
      <xdr:colOff>495857</xdr:colOff>
      <xdr:row>15</xdr:row>
      <xdr:rowOff>48404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36501" y="677333"/>
          <a:ext cx="3501523" cy="2228571"/>
        </a:xfrm>
        <a:prstGeom prst="rect">
          <a:avLst/>
        </a:prstGeom>
      </xdr:spPr>
    </xdr:pic>
    <xdr:clientData/>
  </xdr:twoCellAnchor>
  <xdr:twoCellAnchor editAs="oneCell">
    <xdr:from>
      <xdr:col>11</xdr:col>
      <xdr:colOff>21167</xdr:colOff>
      <xdr:row>33</xdr:row>
      <xdr:rowOff>1</xdr:rowOff>
    </xdr:from>
    <xdr:to>
      <xdr:col>12</xdr:col>
      <xdr:colOff>1169202</xdr:colOff>
      <xdr:row>37</xdr:row>
      <xdr:rowOff>85620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23500" y="6307668"/>
          <a:ext cx="1761868" cy="847619"/>
        </a:xfrm>
        <a:prstGeom prst="rect">
          <a:avLst/>
        </a:prstGeom>
      </xdr:spPr>
    </xdr:pic>
    <xdr:clientData/>
  </xdr:twoCellAnchor>
  <xdr:twoCellAnchor editAs="oneCell">
    <xdr:from>
      <xdr:col>13</xdr:col>
      <xdr:colOff>127000</xdr:colOff>
      <xdr:row>33</xdr:row>
      <xdr:rowOff>10582</xdr:rowOff>
    </xdr:from>
    <xdr:to>
      <xdr:col>14</xdr:col>
      <xdr:colOff>368118</xdr:colOff>
      <xdr:row>36</xdr:row>
      <xdr:rowOff>987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477750" y="6318249"/>
          <a:ext cx="1235952" cy="5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264582</xdr:colOff>
      <xdr:row>23</xdr:row>
      <xdr:rowOff>169333</xdr:rowOff>
    </xdr:from>
    <xdr:to>
      <xdr:col>13</xdr:col>
      <xdr:colOff>486524</xdr:colOff>
      <xdr:row>31</xdr:row>
      <xdr:rowOff>90833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096249" y="4550833"/>
          <a:ext cx="2148108" cy="1466667"/>
        </a:xfrm>
        <a:prstGeom prst="rect">
          <a:avLst/>
        </a:prstGeom>
      </xdr:spPr>
    </xdr:pic>
    <xdr:clientData/>
  </xdr:twoCellAnchor>
  <xdr:twoCellAnchor>
    <xdr:from>
      <xdr:col>8</xdr:col>
      <xdr:colOff>58208</xdr:colOff>
      <xdr:row>37</xdr:row>
      <xdr:rowOff>110067</xdr:rowOff>
    </xdr:from>
    <xdr:to>
      <xdr:col>11</xdr:col>
      <xdr:colOff>370417</xdr:colOff>
      <xdr:row>51</xdr:row>
      <xdr:rowOff>42333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412750</xdr:colOff>
      <xdr:row>37</xdr:row>
      <xdr:rowOff>127000</xdr:rowOff>
    </xdr:from>
    <xdr:to>
      <xdr:col>14</xdr:col>
      <xdr:colOff>560917</xdr:colOff>
      <xdr:row>50</xdr:row>
      <xdr:rowOff>179917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6</xdr:row>
      <xdr:rowOff>38100</xdr:rowOff>
    </xdr:from>
    <xdr:to>
      <xdr:col>1</xdr:col>
      <xdr:colOff>647548</xdr:colOff>
      <xdr:row>22</xdr:row>
      <xdr:rowOff>142481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181100"/>
          <a:ext cx="1219048" cy="3152381"/>
        </a:xfrm>
        <a:prstGeom prst="rect">
          <a:avLst/>
        </a:prstGeom>
      </xdr:spPr>
    </xdr:pic>
    <xdr:clientData/>
  </xdr:twoCellAnchor>
  <xdr:oneCellAnchor>
    <xdr:from>
      <xdr:col>2</xdr:col>
      <xdr:colOff>238125</xdr:colOff>
      <xdr:row>0</xdr:row>
      <xdr:rowOff>104775</xdr:rowOff>
    </xdr:from>
    <xdr:ext cx="6819900" cy="8667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1457325" y="104775"/>
              <a:ext cx="6819900" cy="866775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𝑏𝑒𝑑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𝑤𝑒𝑙𝑙𝑏𝑜𝑟𝑒</m:t>
                            </m:r>
                          </m:sub>
                        </m:sSub>
                      </m:den>
                    </m:f>
                    <m:r>
                      <a:rPr lang="en-IN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</m:t>
                        </m:r>
                      </m:sub>
                    </m:sSub>
                    <m:r>
                      <a:rPr lang="en-IN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az-Cyrl-AZ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П</m:t>
                        </m:r>
                      </m:e>
                      <m:sub>
                        <m:r>
                          <a:rPr lang="en-IN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IN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az-Cyrl-AZ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П</m:t>
                        </m:r>
                      </m:e>
                      <m:sub>
                        <m:r>
                          <a:rPr lang="en-IN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IN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az-Cyrl-AZ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П</m:t>
                        </m:r>
                      </m:e>
                      <m:sub>
                        <m:r>
                          <a:rPr lang="en-IN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IN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az-Cyrl-AZ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П</m:t>
                        </m:r>
                      </m:e>
                      <m:sub>
                        <m:r>
                          <a:rPr lang="en-IN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IN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az-Cyrl-AZ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П</m:t>
                        </m:r>
                      </m:e>
                      <m:sub>
                        <m:r>
                          <a:rPr lang="en-IN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IN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az-Cyrl-AZ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П</m:t>
                        </m:r>
                      </m:e>
                      <m:sub>
                        <m:r>
                          <a:rPr lang="en-IN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b>
                    </m:sSub>
                    <m:sSup>
                      <m:sSupPr>
                        <m:ctrlPr>
                          <a:rPr lang="en-IN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I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az-Cyrl-AZ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П</m:t>
                            </m:r>
                          </m:e>
                          <m:sub>
                            <m:r>
                              <a:rPr lang="en-I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sub>
                        </m:sSub>
                      </m:e>
                      <m:sup>
                        <m:r>
                          <a:rPr lang="en-IN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p>
                    </m:sSup>
                    <m:sSub>
                      <m:sSubPr>
                        <m:ctrlPr>
                          <a:rPr lang="en-IN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az-Cyrl-AZ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П</m:t>
                        </m:r>
                      </m:e>
                      <m:sub>
                        <m:r>
                          <a:rPr lang="en-IN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sub>
                    </m:sSub>
                    <m:r>
                      <a:rPr lang="en-IN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  <m:oMath xmlns:m="http://schemas.openxmlformats.org/officeDocument/2006/math">
                    <m:r>
                      <a:rPr lang="en-IN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⇒</m:t>
                    </m:r>
                    <m:f>
                      <m:fPr>
                        <m:ctrlP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𝑏𝑒𝑑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𝑤𝑒𝑙𝑙𝑏𝑜𝑟𝑒</m:t>
                            </m:r>
                          </m:sub>
                        </m:sSub>
                      </m:den>
                    </m:f>
                    <m:r>
                      <a:rPr lang="en-IN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e>
                    </m:d>
                    <m:d>
                      <m:dPr>
                        <m:ctrlP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ρ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𝑎𝑛𝑛𝑢𝑙𝑢𝑠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μ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ρ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𝑡𝑎𝑛𝑔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𝑎𝑛𝑛𝑢𝑙𝑢𝑠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μ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I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</m:e>
                                  <m:sub>
                                    <m:r>
                                      <a:rPr lang="en-I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𝑎𝑛𝑛𝑢𝑙𝑢𝑠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𝑎𝑛𝑢𝑢𝑙𝑢𝑠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b>
                            </m:sSub>
                          </m:den>
                        </m:f>
                      </m:e>
                    </m:d>
                    <m:sSup>
                      <m:sSupPr>
                        <m:ctrlP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l-G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𝜽</m:t>
                            </m:r>
                          </m:e>
                        </m:d>
                      </m:e>
                      <m:sup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p>
                    </m:sSup>
                    <m:d>
                      <m:dPr>
                        <m:ctrlP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ρ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μ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br>
                <a:rPr lang="en-IN" sz="1100"/>
              </a:br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457325" y="104775"/>
              <a:ext cx="6819900" cy="866775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𝐴_𝑏𝑒𝑑/𝐴_𝑤𝑒𝑙𝑙𝑏𝑜𝑟𝑒 =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𝑎_𝑜 (</a:t>
              </a:r>
              <a:r>
                <a:rPr lang="az-Cyrl-AZ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П</a:t>
              </a:r>
              <a:r>
                <a:rPr lang="en-I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 </a:t>
              </a:r>
              <a:r>
                <a:rPr lang="az-Cyrl-AZ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П</a:t>
              </a:r>
              <a:r>
                <a:rPr lang="en-I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_2 </a:t>
              </a:r>
              <a:r>
                <a:rPr lang="az-Cyrl-AZ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П</a:t>
              </a:r>
              <a:r>
                <a:rPr lang="en-I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_3 </a:t>
              </a:r>
              <a:r>
                <a:rPr lang="az-Cyrl-AZ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П</a:t>
              </a:r>
              <a:r>
                <a:rPr lang="en-I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_4 </a:t>
              </a:r>
              <a:r>
                <a:rPr lang="az-Cyrl-AZ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П</a:t>
              </a:r>
              <a:r>
                <a:rPr lang="en-I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_5 </a:t>
              </a:r>
              <a:r>
                <a:rPr lang="az-Cyrl-AZ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П</a:t>
              </a:r>
              <a:r>
                <a:rPr lang="en-I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_6 〖</a:t>
              </a:r>
              <a:r>
                <a:rPr lang="az-Cyrl-AZ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П</a:t>
              </a:r>
              <a:r>
                <a:rPr lang="en-I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_7〗^𝑎 </a:t>
              </a:r>
              <a:r>
                <a:rPr lang="az-Cyrl-AZ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П</a:t>
              </a:r>
              <a:r>
                <a:rPr lang="en-I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_8)</a:t>
              </a:r>
              <a:br>
                <a:rPr lang="en-IN" sz="12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⇒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𝐴_𝑏𝑒𝑑/𝐴_𝑤𝑒𝑙𝑙𝑏𝑜𝑟𝑒 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=(𝐷_𝑖/𝐷_𝑜 )(𝐶_𝑐 )((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ρ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_𝑚 𝑣_𝑎 𝐷_𝑎𝑛𝑛𝑢𝑙𝑢𝑠)/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μ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_𝑚 )((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ρ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_𝑚 𝑣_𝑡𝑎𝑛𝑔 𝐷_𝑎𝑛𝑛𝑢𝑙𝑢𝑠)/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μ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_𝑚 )(〖𝑣_𝑎〗^2/(𝑔𝐷_𝑎𝑛𝑛𝑢𝑙𝑢𝑠 ))((𝑁𝐷_𝑎𝑛𝑢𝑢𝑙𝑢𝑠)/𝑣_𝑎 ) (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𝜽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^𝑎 ((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ρ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_𝑚 𝑣_𝑎 𝑑_𝑐)/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μ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_𝑚 )</a:t>
              </a:r>
              <a:br>
                <a:rPr lang="en-IN" sz="1100"/>
              </a:br>
              <a:endParaRPr lang="en-US" sz="1100"/>
            </a:p>
          </xdr:txBody>
        </xdr:sp>
      </mc:Fallback>
    </mc:AlternateContent>
    <xdr:clientData/>
  </xdr:oneCellAnchor>
  <xdr:twoCellAnchor>
    <xdr:from>
      <xdr:col>10</xdr:col>
      <xdr:colOff>476250</xdr:colOff>
      <xdr:row>14</xdr:row>
      <xdr:rowOff>100012</xdr:rowOff>
    </xdr:from>
    <xdr:to>
      <xdr:col>17</xdr:col>
      <xdr:colOff>457200</xdr:colOff>
      <xdr:row>35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31</xdr:row>
      <xdr:rowOff>104774</xdr:rowOff>
    </xdr:from>
    <xdr:to>
      <xdr:col>6</xdr:col>
      <xdr:colOff>590550</xdr:colOff>
      <xdr:row>48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31</xdr:row>
      <xdr:rowOff>76199</xdr:rowOff>
    </xdr:from>
    <xdr:to>
      <xdr:col>17</xdr:col>
      <xdr:colOff>304800</xdr:colOff>
      <xdr:row>46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47</xdr:row>
      <xdr:rowOff>19050</xdr:rowOff>
    </xdr:from>
    <xdr:to>
      <xdr:col>12</xdr:col>
      <xdr:colOff>457200</xdr:colOff>
      <xdr:row>61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91"/>
  <sheetViews>
    <sheetView tabSelected="1" topLeftCell="A46" zoomScaleNormal="100" workbookViewId="0">
      <selection activeCell="L69" sqref="L69"/>
    </sheetView>
  </sheetViews>
  <sheetFormatPr defaultRowHeight="15" x14ac:dyDescent="0.25"/>
  <cols>
    <col min="2" max="2" width="10.28515625" customWidth="1"/>
    <col min="3" max="3" width="12.7109375" bestFit="1" customWidth="1"/>
    <col min="4" max="4" width="10" bestFit="1" customWidth="1"/>
    <col min="9" max="9" width="11.7109375" customWidth="1"/>
    <col min="10" max="10" width="7.28515625" customWidth="1"/>
    <col min="11" max="11" width="15.140625" customWidth="1"/>
    <col min="12" max="12" width="12.28515625" customWidth="1"/>
    <col min="13" max="13" width="15.28515625" bestFit="1" customWidth="1"/>
    <col min="17" max="17" width="15.5703125" bestFit="1" customWidth="1"/>
    <col min="19" max="19" width="15.28515625" bestFit="1" customWidth="1"/>
    <col min="20" max="20" width="10.85546875" customWidth="1"/>
    <col min="21" max="21" width="14.140625" customWidth="1"/>
    <col min="22" max="22" width="15.5703125" bestFit="1" customWidth="1"/>
    <col min="24" max="24" width="15.28515625" bestFit="1" customWidth="1"/>
    <col min="27" max="27" width="10.28515625" customWidth="1"/>
    <col min="30" max="30" width="10.42578125" customWidth="1"/>
    <col min="31" max="31" width="11.42578125" bestFit="1" customWidth="1"/>
    <col min="32" max="32" width="10.42578125" bestFit="1" customWidth="1"/>
  </cols>
  <sheetData>
    <row r="1" spans="2:36" ht="15.75" thickBot="1" x14ac:dyDescent="0.3">
      <c r="B1" t="s">
        <v>45</v>
      </c>
      <c r="C1" t="s">
        <v>108</v>
      </c>
      <c r="D1">
        <v>2.65</v>
      </c>
      <c r="J1" s="14"/>
      <c r="K1" s="15" t="s">
        <v>39</v>
      </c>
      <c r="L1" s="14"/>
      <c r="M1" s="14"/>
      <c r="N1" s="14"/>
      <c r="O1" s="14"/>
      <c r="P1" s="14"/>
      <c r="Q1" s="14"/>
      <c r="T1" s="15" t="s">
        <v>30</v>
      </c>
      <c r="U1" s="14"/>
      <c r="V1" s="14"/>
      <c r="W1" s="14"/>
      <c r="X1" s="14"/>
      <c r="Y1" s="14"/>
      <c r="Z1" s="14"/>
      <c r="AD1" s="14" t="s">
        <v>34</v>
      </c>
      <c r="AE1" s="14"/>
      <c r="AF1" s="14"/>
      <c r="AG1" s="14"/>
      <c r="AH1" s="14"/>
      <c r="AI1" s="14"/>
      <c r="AJ1" s="14"/>
    </row>
    <row r="2" spans="2:36" ht="15.75" thickBot="1" x14ac:dyDescent="0.3">
      <c r="C2" s="19" t="s">
        <v>106</v>
      </c>
      <c r="D2">
        <f>2.65*8.334</f>
        <v>22.085099999999997</v>
      </c>
      <c r="E2" t="s">
        <v>107</v>
      </c>
      <c r="K2" s="1" t="s">
        <v>44</v>
      </c>
      <c r="T2" s="13" t="s">
        <v>22</v>
      </c>
      <c r="U2" s="6"/>
      <c r="V2" s="7"/>
      <c r="AD2" s="5" t="s">
        <v>35</v>
      </c>
      <c r="AE2" s="7">
        <v>11</v>
      </c>
    </row>
    <row r="3" spans="2:36" x14ac:dyDescent="0.25">
      <c r="C3" t="s">
        <v>110</v>
      </c>
      <c r="D3">
        <v>0.25</v>
      </c>
      <c r="E3" t="s">
        <v>72</v>
      </c>
      <c r="K3" s="13" t="s">
        <v>18</v>
      </c>
      <c r="L3" s="6"/>
      <c r="M3" s="7"/>
      <c r="T3" s="8" t="s">
        <v>23</v>
      </c>
      <c r="U3" s="4">
        <v>2.5</v>
      </c>
      <c r="V3" s="9" t="s">
        <v>10</v>
      </c>
      <c r="AD3" s="8" t="s">
        <v>36</v>
      </c>
      <c r="AE3" s="9">
        <v>11</v>
      </c>
    </row>
    <row r="4" spans="2:36" ht="15.75" thickBot="1" x14ac:dyDescent="0.3">
      <c r="D4">
        <v>65</v>
      </c>
      <c r="K4" s="8" t="s">
        <v>12</v>
      </c>
      <c r="L4" s="4">
        <v>3.78</v>
      </c>
      <c r="M4" s="9" t="s">
        <v>10</v>
      </c>
      <c r="T4" s="8" t="s">
        <v>24</v>
      </c>
      <c r="U4" s="4">
        <v>6.5</v>
      </c>
      <c r="V4" s="9" t="s">
        <v>10</v>
      </c>
      <c r="X4" t="s">
        <v>31</v>
      </c>
      <c r="Y4">
        <f>((D14*U3^(1-D10))/(96*U9^(1-D10)))*((3+(1/D10))/0.0416)^D10</f>
        <v>60.106986977919355</v>
      </c>
      <c r="AD4" s="10" t="s">
        <v>37</v>
      </c>
      <c r="AE4" s="12">
        <v>12</v>
      </c>
    </row>
    <row r="5" spans="2:36" x14ac:dyDescent="0.25">
      <c r="D5">
        <v>39</v>
      </c>
      <c r="K5" s="8" t="s">
        <v>11</v>
      </c>
      <c r="L5" s="4">
        <v>4.5</v>
      </c>
      <c r="M5" s="9" t="s">
        <v>10</v>
      </c>
      <c r="T5" s="8" t="s">
        <v>26</v>
      </c>
      <c r="U5" s="4">
        <v>600</v>
      </c>
      <c r="V5" s="9" t="s">
        <v>20</v>
      </c>
    </row>
    <row r="6" spans="2:36" ht="15.75" thickBot="1" x14ac:dyDescent="0.3">
      <c r="D6">
        <v>3</v>
      </c>
      <c r="K6" s="10" t="s">
        <v>26</v>
      </c>
      <c r="L6" s="11">
        <v>5000</v>
      </c>
      <c r="M6" s="12" t="s">
        <v>20</v>
      </c>
      <c r="T6" s="16" t="s">
        <v>21</v>
      </c>
      <c r="U6" s="11">
        <v>8.5</v>
      </c>
      <c r="V6" s="12" t="s">
        <v>10</v>
      </c>
    </row>
    <row r="7" spans="2:36" x14ac:dyDescent="0.25">
      <c r="D7">
        <v>20</v>
      </c>
    </row>
    <row r="8" spans="2:36" x14ac:dyDescent="0.25">
      <c r="J8" s="1">
        <v>1</v>
      </c>
      <c r="K8" s="1" t="s">
        <v>25</v>
      </c>
      <c r="L8" s="1"/>
      <c r="S8" s="1">
        <v>1</v>
      </c>
      <c r="T8" s="1" t="s">
        <v>25</v>
      </c>
      <c r="U8" s="1"/>
    </row>
    <row r="9" spans="2:36" x14ac:dyDescent="0.25">
      <c r="K9" t="s">
        <v>18</v>
      </c>
      <c r="L9">
        <f>D16/(2.448*(L4^2))</f>
        <v>1.4294698217650117</v>
      </c>
      <c r="T9" t="s">
        <v>22</v>
      </c>
      <c r="U9">
        <f>0.408*D16/U3^2</f>
        <v>3.2639999999999998</v>
      </c>
      <c r="AF9">
        <f>156*D11*(D16^2)/((AE2^2)+(AE3^2)+(AE4^2))^2</f>
        <v>32.718999167762895</v>
      </c>
      <c r="AG9" t="s">
        <v>38</v>
      </c>
    </row>
    <row r="10" spans="2:36" x14ac:dyDescent="0.25">
      <c r="C10" t="s">
        <v>0</v>
      </c>
      <c r="D10">
        <f>3.32*LOG(D4/D5)</f>
        <v>0.73653784872630323</v>
      </c>
      <c r="S10" s="1"/>
    </row>
    <row r="11" spans="2:36" x14ac:dyDescent="0.25">
      <c r="C11" s="19" t="s">
        <v>109</v>
      </c>
      <c r="D11">
        <v>12.5</v>
      </c>
      <c r="E11" t="s">
        <v>6</v>
      </c>
    </row>
    <row r="12" spans="2:36" x14ac:dyDescent="0.25">
      <c r="J12" s="1">
        <v>2</v>
      </c>
      <c r="K12" s="1" t="s">
        <v>42</v>
      </c>
      <c r="S12" s="1">
        <v>2</v>
      </c>
      <c r="T12" s="1" t="s">
        <v>42</v>
      </c>
      <c r="U12" s="1"/>
    </row>
    <row r="13" spans="2:36" x14ac:dyDescent="0.25">
      <c r="C13" t="s">
        <v>1</v>
      </c>
      <c r="D13">
        <v>12</v>
      </c>
      <c r="E13" t="s">
        <v>8</v>
      </c>
      <c r="L13" t="s">
        <v>13</v>
      </c>
      <c r="U13" t="s">
        <v>13</v>
      </c>
    </row>
    <row r="14" spans="2:36" x14ac:dyDescent="0.25">
      <c r="C14" t="s">
        <v>2</v>
      </c>
      <c r="D14">
        <f>510*D5/(511^D10)</f>
        <v>201.27057156219252</v>
      </c>
      <c r="K14" t="s">
        <v>18</v>
      </c>
      <c r="L14">
        <f>(89100*D11*L9^((2-D10))/D14)*(0.0416*L4/(3+(1/D10)))^D10</f>
        <v>752.45794604764944</v>
      </c>
      <c r="T14" t="s">
        <v>22</v>
      </c>
      <c r="U14">
        <f>(89100*D11*U9^((2-D10))/D14)*(0.0416*U3/(3+(1/D10)))^D10</f>
        <v>1575.0040845463952</v>
      </c>
    </row>
    <row r="15" spans="2:36" x14ac:dyDescent="0.25">
      <c r="C15" t="s">
        <v>3</v>
      </c>
      <c r="D15">
        <f>1-(1/((2*D10)+1))*(D13/(D13+(D14*((3*D10+1)*D16/D10*3.14*(L4/2)^3))))</f>
        <v>0.99999478066454706</v>
      </c>
    </row>
    <row r="16" spans="2:36" x14ac:dyDescent="0.25">
      <c r="C16" t="s">
        <v>4</v>
      </c>
      <c r="D16">
        <v>50</v>
      </c>
      <c r="E16" t="s">
        <v>9</v>
      </c>
      <c r="L16" t="s">
        <v>28</v>
      </c>
      <c r="M16" t="s">
        <v>29</v>
      </c>
      <c r="U16" t="s">
        <v>28</v>
      </c>
      <c r="V16" t="s">
        <v>29</v>
      </c>
    </row>
    <row r="17" spans="3:25" x14ac:dyDescent="0.25">
      <c r="C17" t="s">
        <v>5</v>
      </c>
      <c r="D17">
        <v>24</v>
      </c>
      <c r="E17" t="s">
        <v>7</v>
      </c>
      <c r="K17" t="s">
        <v>18</v>
      </c>
      <c r="L17">
        <f>1/SQRT(M18)</f>
        <v>11.835811477434246</v>
      </c>
      <c r="M17">
        <f>(4/D10^0.75)*LOG(L14*M18^(1-(D10/2)))-(0.395/D10^1.2)</f>
        <v>7.0798716715601868</v>
      </c>
      <c r="T17" t="s">
        <v>22</v>
      </c>
      <c r="U17">
        <f>1/SQRT(V18)</f>
        <v>13.158008639764468</v>
      </c>
      <c r="V17">
        <f>(4/D10^0.75)*LOG(U14*V18^(1-(D10/2)))-(0.395/D10^1.2)</f>
        <v>8.4014942788410369</v>
      </c>
    </row>
    <row r="18" spans="3:25" x14ac:dyDescent="0.25">
      <c r="L18" t="s">
        <v>14</v>
      </c>
      <c r="M18">
        <v>7.1384500000000002E-3</v>
      </c>
      <c r="U18" t="s">
        <v>14</v>
      </c>
      <c r="V18">
        <v>5.7758999999999996E-3</v>
      </c>
    </row>
    <row r="20" spans="3:25" x14ac:dyDescent="0.25">
      <c r="J20" s="1">
        <v>3</v>
      </c>
      <c r="K20" s="1" t="s">
        <v>43</v>
      </c>
      <c r="L20" s="1"/>
      <c r="M20" s="1"/>
      <c r="N20" s="1"/>
      <c r="S20" s="1">
        <v>3</v>
      </c>
      <c r="T20" s="1" t="s">
        <v>43</v>
      </c>
      <c r="U20" s="1"/>
      <c r="V20" s="1"/>
      <c r="W20" s="1"/>
    </row>
    <row r="21" spans="3:25" x14ac:dyDescent="0.25">
      <c r="M21" t="s">
        <v>93</v>
      </c>
      <c r="P21" t="s">
        <v>27</v>
      </c>
      <c r="V21" t="s">
        <v>15</v>
      </c>
      <c r="Y21" t="s">
        <v>27</v>
      </c>
    </row>
    <row r="22" spans="3:25" x14ac:dyDescent="0.25">
      <c r="L22" t="s">
        <v>17</v>
      </c>
      <c r="M22" t="s">
        <v>16</v>
      </c>
      <c r="O22" t="s">
        <v>17</v>
      </c>
      <c r="P22" t="s">
        <v>16</v>
      </c>
      <c r="U22" t="s">
        <v>17</v>
      </c>
      <c r="V22" t="s">
        <v>16</v>
      </c>
      <c r="X22" t="s">
        <v>17</v>
      </c>
      <c r="Y22" t="s">
        <v>16</v>
      </c>
    </row>
    <row r="23" spans="3:25" x14ac:dyDescent="0.25">
      <c r="K23" t="s">
        <v>18</v>
      </c>
      <c r="L23">
        <f>D14*L9^D10*((3+(1/D10))/0.0416)^D10/(144000*L4^(1+D10))</f>
        <v>5.5564981582196891E-3</v>
      </c>
      <c r="M23">
        <f>M18*D11*(L9^2)/25.8/L4</f>
        <v>1.8696159804496657E-3</v>
      </c>
      <c r="O23">
        <f>L23*L6</f>
        <v>27.782490791098446</v>
      </c>
      <c r="P23">
        <f>M23*L6</f>
        <v>9.3480799022483279</v>
      </c>
      <c r="T23" t="s">
        <v>22</v>
      </c>
      <c r="U23">
        <f>D14*U9^D10*((3+(1/D10))/0.0416)^D10/(144000*U3^(1+D10))</f>
        <v>2.0926848586232401E-2</v>
      </c>
      <c r="V23">
        <f>V18*D11*(U9^2)/25.8/U3</f>
        <v>1.192532610976744E-2</v>
      </c>
      <c r="X23">
        <f>U23*U5</f>
        <v>12.55610915173944</v>
      </c>
      <c r="Y23">
        <f>V23*U5</f>
        <v>7.1551956658604636</v>
      </c>
    </row>
    <row r="26" spans="3:25" x14ac:dyDescent="0.25">
      <c r="O26" t="s">
        <v>17</v>
      </c>
      <c r="X26" t="s">
        <v>17</v>
      </c>
    </row>
    <row r="29" spans="3:25" x14ac:dyDescent="0.25">
      <c r="O29" t="s">
        <v>16</v>
      </c>
      <c r="X29" t="s">
        <v>16</v>
      </c>
    </row>
    <row r="33" spans="10:37" x14ac:dyDescent="0.25">
      <c r="J33" s="14"/>
      <c r="K33" s="17" t="s">
        <v>40</v>
      </c>
      <c r="L33" s="14"/>
      <c r="M33" s="14" t="e">
        <f>(2.025*'stand pipe'!D11*'pipe rotation &amp; Eccentricity'!L1*('stand pipe'!U6-'stand pipe'!U6)*'stand pipe'!V5)/'pipe rotation &amp; Eccentricity'!M5</f>
        <v>#VALUE!</v>
      </c>
      <c r="N33" s="14"/>
      <c r="O33" s="14"/>
      <c r="P33" s="14"/>
      <c r="Q33" s="14"/>
      <c r="T33" s="17" t="s">
        <v>41</v>
      </c>
      <c r="U33" s="14"/>
      <c r="V33" s="14"/>
      <c r="W33" s="14"/>
      <c r="X33" s="14"/>
      <c r="Y33" s="14"/>
      <c r="Z33" s="14"/>
      <c r="AD33" s="64" t="s">
        <v>67</v>
      </c>
      <c r="AE33" s="64"/>
      <c r="AF33" s="64"/>
      <c r="AG33" s="64"/>
      <c r="AH33" s="64"/>
      <c r="AI33" s="64"/>
      <c r="AJ33" s="64"/>
      <c r="AK33" s="64"/>
    </row>
    <row r="34" spans="10:37" x14ac:dyDescent="0.25">
      <c r="T34" t="s">
        <v>33</v>
      </c>
      <c r="U34">
        <f>((D14*(U6-U4)^(1-D10))/(144*U36^(1-D10)))*((2+(1/D10))/0.0208)^D10</f>
        <v>78.51926897317864</v>
      </c>
      <c r="AD34" s="4" t="s">
        <v>70</v>
      </c>
      <c r="AE34" s="4">
        <v>7.75</v>
      </c>
      <c r="AF34" s="4" t="s">
        <v>72</v>
      </c>
    </row>
    <row r="35" spans="10:37" x14ac:dyDescent="0.25">
      <c r="J35">
        <v>1</v>
      </c>
      <c r="K35" s="1" t="s">
        <v>25</v>
      </c>
      <c r="S35" s="1">
        <v>1</v>
      </c>
      <c r="T35" s="1" t="s">
        <v>25</v>
      </c>
      <c r="U35" s="1"/>
      <c r="AD35" s="4" t="s">
        <v>71</v>
      </c>
      <c r="AE35" s="4">
        <v>6400</v>
      </c>
      <c r="AF35" s="4" t="s">
        <v>20</v>
      </c>
    </row>
    <row r="36" spans="10:37" x14ac:dyDescent="0.25">
      <c r="K36" t="s">
        <v>19</v>
      </c>
      <c r="L36">
        <f>D16/(2.448*(U6^2-L5^2))</f>
        <v>0.39278531925590754</v>
      </c>
      <c r="T36" t="s">
        <v>32</v>
      </c>
      <c r="U36">
        <f>D16/(2.448*(U6^2-U4^2))</f>
        <v>0.68082788671023964</v>
      </c>
    </row>
    <row r="37" spans="10:37" x14ac:dyDescent="0.25">
      <c r="AC37" s="1">
        <v>1</v>
      </c>
      <c r="AD37" s="1" t="s">
        <v>68</v>
      </c>
    </row>
    <row r="38" spans="10:37" x14ac:dyDescent="0.25">
      <c r="AD38" s="18" t="s">
        <v>69</v>
      </c>
      <c r="AE38">
        <f>(D16/(2.448*((AE34^2)-(L5^2))))</f>
        <v>0.51302572310975669</v>
      </c>
      <c r="AF38" t="s">
        <v>73</v>
      </c>
    </row>
    <row r="40" spans="10:37" x14ac:dyDescent="0.25">
      <c r="J40" s="1">
        <v>2</v>
      </c>
      <c r="K40" s="1" t="s">
        <v>42</v>
      </c>
      <c r="S40" s="1">
        <v>2</v>
      </c>
      <c r="T40" s="1" t="s">
        <v>42</v>
      </c>
      <c r="U40" s="1"/>
      <c r="AC40" s="1">
        <v>2</v>
      </c>
      <c r="AD40" s="1" t="s">
        <v>74</v>
      </c>
    </row>
    <row r="41" spans="10:37" x14ac:dyDescent="0.25">
      <c r="L41" t="s">
        <v>13</v>
      </c>
      <c r="U41" t="s">
        <v>13</v>
      </c>
      <c r="AE41" t="s">
        <v>13</v>
      </c>
    </row>
    <row r="42" spans="10:37" x14ac:dyDescent="0.25">
      <c r="K42" t="s">
        <v>19</v>
      </c>
      <c r="L42">
        <f>(109000*D11*L36^(2-D10)/D14)*(0.0208*(U6-L5)/(2+(1/D10)))^D10</f>
        <v>136.44782285498124</v>
      </c>
      <c r="T42" t="s">
        <v>19</v>
      </c>
      <c r="U42">
        <f>(109000*D11*U36^(2-D10)/D14)*(0.0208*(U6-U4)/(2+(1/D10)))^D10</f>
        <v>164.08357248085349</v>
      </c>
      <c r="AD42" t="s">
        <v>19</v>
      </c>
      <c r="AE42">
        <f>(109000*D11*(AE38^2)/D14)*((0.0208*(AE34-L5))/(2+(1/D10)))^D10</f>
        <v>100.36813999982004</v>
      </c>
    </row>
    <row r="44" spans="10:37" x14ac:dyDescent="0.25">
      <c r="L44" t="s">
        <v>28</v>
      </c>
      <c r="M44" t="s">
        <v>29</v>
      </c>
      <c r="U44" t="s">
        <v>28</v>
      </c>
      <c r="V44" t="s">
        <v>29</v>
      </c>
      <c r="AE44" t="s">
        <v>28</v>
      </c>
      <c r="AF44" t="s">
        <v>29</v>
      </c>
    </row>
    <row r="45" spans="10:37" x14ac:dyDescent="0.25">
      <c r="K45" t="s">
        <v>19</v>
      </c>
      <c r="L45" s="2">
        <f>1/SQRT(M46)</f>
        <v>8.8940484943956672</v>
      </c>
      <c r="M45" s="2">
        <f>(4/D10^0.75)*LOG(L42*M46^(1-(D10/2)))-(0.395/D10^1.2)</f>
        <v>4.138072778912961</v>
      </c>
      <c r="T45" t="s">
        <v>19</v>
      </c>
      <c r="U45" s="2">
        <f>1/SQRT(V46)</f>
        <v>9.2092588543961202</v>
      </c>
      <c r="V45" s="2">
        <f>(4/D10^0.75)*LOG(U42*V46^(1-(D10/2)))-(0.395/D10^1.2)</f>
        <v>4.4449119954892549</v>
      </c>
      <c r="AD45" s="18" t="s">
        <v>52</v>
      </c>
      <c r="AE45" s="3">
        <f>1/(SQRT(AF46))</f>
        <v>10.52963391832553</v>
      </c>
      <c r="AF45" s="27">
        <f>(4/(D10^0.75))*LOG(AE42*(AF46^(1-(D10/2))))-(0.395/(D10^1.2))</f>
        <v>3.0010426446545839</v>
      </c>
    </row>
    <row r="46" spans="10:37" x14ac:dyDescent="0.25">
      <c r="L46" t="s">
        <v>14</v>
      </c>
      <c r="M46" s="3">
        <v>1.264157E-2</v>
      </c>
      <c r="U46" t="s">
        <v>14</v>
      </c>
      <c r="V46" s="3">
        <v>1.1790999999999999E-2</v>
      </c>
      <c r="AF46">
        <v>9.0193129277300471E-3</v>
      </c>
    </row>
    <row r="47" spans="10:37" x14ac:dyDescent="0.25">
      <c r="M47" s="3"/>
      <c r="V47" s="3"/>
      <c r="AE47" s="3"/>
    </row>
    <row r="48" spans="10:37" x14ac:dyDescent="0.25">
      <c r="J48" s="1">
        <v>3</v>
      </c>
      <c r="K48" s="1" t="s">
        <v>43</v>
      </c>
      <c r="L48" s="1"/>
      <c r="M48" s="1"/>
      <c r="N48" s="1"/>
      <c r="S48" s="1">
        <v>3</v>
      </c>
      <c r="T48" s="1" t="s">
        <v>43</v>
      </c>
      <c r="U48" s="1"/>
      <c r="V48" s="1"/>
      <c r="W48" s="1"/>
      <c r="AC48" s="1">
        <v>3</v>
      </c>
      <c r="AD48" s="1" t="s">
        <v>43</v>
      </c>
      <c r="AE48" s="1"/>
      <c r="AF48" s="1"/>
    </row>
    <row r="49" spans="11:35" x14ac:dyDescent="0.25">
      <c r="M49" t="s">
        <v>15</v>
      </c>
      <c r="P49" t="s">
        <v>27</v>
      </c>
      <c r="V49" t="s">
        <v>15</v>
      </c>
      <c r="Y49" t="s">
        <v>27</v>
      </c>
      <c r="AE49" s="65" t="s">
        <v>76</v>
      </c>
      <c r="AF49" s="65"/>
      <c r="AH49" s="65" t="s">
        <v>77</v>
      </c>
      <c r="AI49" s="65"/>
    </row>
    <row r="50" spans="11:35" x14ac:dyDescent="0.25">
      <c r="L50" t="s">
        <v>17</v>
      </c>
      <c r="M50" t="s">
        <v>16</v>
      </c>
      <c r="O50" t="s">
        <v>17</v>
      </c>
      <c r="P50" t="s">
        <v>16</v>
      </c>
      <c r="U50" t="s">
        <v>17</v>
      </c>
      <c r="V50" t="s">
        <v>16</v>
      </c>
      <c r="X50" t="s">
        <v>17</v>
      </c>
      <c r="Y50" t="s">
        <v>16</v>
      </c>
      <c r="AE50" t="s">
        <v>17</v>
      </c>
      <c r="AF50" t="s">
        <v>16</v>
      </c>
      <c r="AH50" t="s">
        <v>17</v>
      </c>
      <c r="AI50" t="s">
        <v>16</v>
      </c>
    </row>
    <row r="51" spans="11:35" x14ac:dyDescent="0.25">
      <c r="K51" t="s">
        <v>19</v>
      </c>
      <c r="L51">
        <f>D14*L36^D10*((2+(1/D10))/0.0208)^D10/(144000*(U6-L5)^(1+D10))</f>
        <v>2.6745942799948044E-3</v>
      </c>
      <c r="M51">
        <f>M18*D11*(L9^2)/21.1/(U6-L4)</f>
        <v>1.8307939279999714E-3</v>
      </c>
      <c r="O51">
        <f>L51*L6</f>
        <v>13.372971399974022</v>
      </c>
      <c r="P51">
        <f>M51*L6</f>
        <v>9.1539696399998576</v>
      </c>
      <c r="T51" t="s">
        <v>19</v>
      </c>
      <c r="U51">
        <f>D14*(U36^D10)*((2+(1/D10))/0.0208)^D10/(144000*(U6-U4)^(1+D10))</f>
        <v>1.3364526990260523E-2</v>
      </c>
      <c r="V51">
        <f>V46*D11*(U36^2)/21.1/(U6-U4)</f>
        <v>1.6189106262149301E-3</v>
      </c>
      <c r="X51">
        <f>U51*U5</f>
        <v>8.0187161941563136</v>
      </c>
      <c r="Y51">
        <f>V51*U5</f>
        <v>0.97134637572895799</v>
      </c>
      <c r="AD51" t="s">
        <v>19</v>
      </c>
      <c r="AE51">
        <f>D14*(AE38^D10)*((2+(1/D10))/0.0208)^D10/(144000*(AE34-L5)^(1+D10))</f>
        <v>4.6695988235057623E-3</v>
      </c>
      <c r="AF51">
        <f>AF46*D11*(AE38^2)/(21.1*(AE34-L5))</f>
        <v>4.3270900596905374E-4</v>
      </c>
      <c r="AH51">
        <f>AE51*AE35</f>
        <v>29.885432470436879</v>
      </c>
      <c r="AI51" s="28">
        <f>AE35*AF51</f>
        <v>2.7693376382019439</v>
      </c>
    </row>
    <row r="55" spans="11:35" x14ac:dyDescent="0.25">
      <c r="AI55" t="s">
        <v>17</v>
      </c>
    </row>
    <row r="56" spans="11:35" x14ac:dyDescent="0.25">
      <c r="O56" t="s">
        <v>17</v>
      </c>
      <c r="X56" t="s">
        <v>17</v>
      </c>
    </row>
    <row r="59" spans="11:35" x14ac:dyDescent="0.25">
      <c r="AI59" t="s">
        <v>16</v>
      </c>
    </row>
    <row r="60" spans="11:35" x14ac:dyDescent="0.25">
      <c r="O60" t="s">
        <v>16</v>
      </c>
      <c r="X60" t="s">
        <v>16</v>
      </c>
    </row>
    <row r="66" spans="11:33" x14ac:dyDescent="0.25">
      <c r="K66" s="66" t="s">
        <v>104</v>
      </c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E66" s="23" t="s">
        <v>78</v>
      </c>
      <c r="AF66" s="29">
        <f>O51+X51+AI51</f>
        <v>24.161025232332278</v>
      </c>
      <c r="AG66" s="1" t="s">
        <v>38</v>
      </c>
    </row>
    <row r="67" spans="11:33" x14ac:dyDescent="0.25">
      <c r="K67" s="59" t="s">
        <v>57</v>
      </c>
      <c r="L67" s="59"/>
      <c r="M67" s="59"/>
      <c r="Q67" s="61" t="s">
        <v>122</v>
      </c>
      <c r="R67" s="61"/>
      <c r="S67" s="61"/>
      <c r="T67" s="62"/>
      <c r="V67" s="63" t="s">
        <v>66</v>
      </c>
      <c r="W67" s="61"/>
      <c r="X67" s="61"/>
      <c r="Y67" s="61"/>
      <c r="Z67" s="61"/>
      <c r="AE67" s="1" t="s">
        <v>75</v>
      </c>
      <c r="AF67" s="29">
        <f>P23+O51+Y23+X51+AF9+AI51</f>
        <v>73.383299968203971</v>
      </c>
      <c r="AG67" s="1" t="s">
        <v>38</v>
      </c>
    </row>
    <row r="68" spans="11:33" x14ac:dyDescent="0.25">
      <c r="K68" s="60" t="s">
        <v>115</v>
      </c>
      <c r="L68" s="60"/>
      <c r="M68" s="60"/>
      <c r="N68" s="60"/>
    </row>
    <row r="69" spans="11:33" x14ac:dyDescent="0.25">
      <c r="K69" s="36" t="s">
        <v>125</v>
      </c>
      <c r="L69">
        <f>(D14/144)*(((U6-L5)/L36)^(1-D10))*((2+(1/D10))/0.0208)^D10</f>
        <v>108.94884910918996</v>
      </c>
      <c r="M69" s="1" t="s">
        <v>60</v>
      </c>
      <c r="Q69" s="36" t="s">
        <v>125</v>
      </c>
      <c r="R69">
        <f>(D14/144)*(((U6-L5)/U36)^(1-D10))*((2+(1/D10))/0.0208)^D10</f>
        <v>94.251063174726724</v>
      </c>
      <c r="S69" s="1" t="s">
        <v>60</v>
      </c>
      <c r="V69" s="36" t="s">
        <v>125</v>
      </c>
      <c r="W69">
        <f>(D14/144)*(((U6-L5)/AE38)^(1-D10))*((2+(1/D10))/0.0208)^D10</f>
        <v>101.54657517277221</v>
      </c>
      <c r="X69" s="1" t="s">
        <v>60</v>
      </c>
    </row>
    <row r="70" spans="11:33" x14ac:dyDescent="0.25">
      <c r="K70" s="23" t="s">
        <v>105</v>
      </c>
      <c r="L70">
        <f>2.9*D3*((D2-D11)^0.667)/((D11^0.333)*(L69^0.333))</f>
        <v>0.29607163032539952</v>
      </c>
      <c r="M70" s="1" t="s">
        <v>111</v>
      </c>
      <c r="Q70" s="23" t="s">
        <v>119</v>
      </c>
      <c r="R70">
        <f>2.9*D3*((D2-D11)^0.667)/((D11^0.333)*(R69^0.333))</f>
        <v>0.31070955767347674</v>
      </c>
      <c r="S70" s="1" t="s">
        <v>111</v>
      </c>
      <c r="V70" s="23" t="s">
        <v>119</v>
      </c>
      <c r="W70">
        <f>2.9*D3*((D2-D11)^0.667)/((D11^0.333)*(W69^0.333))</f>
        <v>0.30309055160812048</v>
      </c>
      <c r="X70" s="1" t="s">
        <v>111</v>
      </c>
    </row>
    <row r="71" spans="11:33" x14ac:dyDescent="0.25">
      <c r="K71" t="s">
        <v>116</v>
      </c>
      <c r="Q71" t="s">
        <v>116</v>
      </c>
      <c r="V71" t="s">
        <v>116</v>
      </c>
    </row>
    <row r="72" spans="11:33" x14ac:dyDescent="0.25">
      <c r="K72" s="23" t="s">
        <v>112</v>
      </c>
      <c r="L72">
        <f>928*D11*L70*D3/L69</f>
        <v>7.8808333907515689</v>
      </c>
      <c r="M72" s="1" t="str">
        <f>IF(AND(L72&gt;3,L72&lt;300),"V(sl) Eqn. VALID","-")</f>
        <v>V(sl) Eqn. VALID</v>
      </c>
      <c r="Q72" s="23" t="s">
        <v>112</v>
      </c>
      <c r="R72">
        <f>928*D11*R70*D3/R69</f>
        <v>9.5601862398375541</v>
      </c>
      <c r="S72" s="1" t="str">
        <f>IF(AND(R72&gt;3,R72&lt;300),"V(sl) Eqn. VALID","-")</f>
        <v>V(sl) Eqn. VALID</v>
      </c>
      <c r="V72" s="23" t="s">
        <v>112</v>
      </c>
      <c r="W72">
        <f>928*D11*W70*D3/W69</f>
        <v>8.6557581894620768</v>
      </c>
      <c r="X72" s="1" t="str">
        <f>IF(AND(W72&gt;3,W72&lt;300),"V(sl) Eqn. VALID","-")</f>
        <v>V(sl) Eqn. VALID</v>
      </c>
    </row>
    <row r="75" spans="11:33" x14ac:dyDescent="0.25">
      <c r="K75" s="1" t="s">
        <v>114</v>
      </c>
      <c r="L75">
        <f>1-(L70/L36)</f>
        <v>0.24622531492195898</v>
      </c>
      <c r="Q75" s="1" t="s">
        <v>114</v>
      </c>
      <c r="R75">
        <f>1-(R70/U36)</f>
        <v>0.54362980168919739</v>
      </c>
      <c r="V75" s="1" t="s">
        <v>114</v>
      </c>
      <c r="W75">
        <f>1-(W70/AE38)</f>
        <v>0.40920983499441932</v>
      </c>
    </row>
    <row r="79" spans="11:33" x14ac:dyDescent="0.25">
      <c r="Q79" s="23" t="s">
        <v>126</v>
      </c>
      <c r="R79">
        <f>((L75+R75+W75)/3)*100</f>
        <v>39.968831720185854</v>
      </c>
    </row>
    <row r="83" spans="17:18" x14ac:dyDescent="0.25">
      <c r="Q83" s="45" t="s">
        <v>4</v>
      </c>
      <c r="R83" s="45" t="s">
        <v>127</v>
      </c>
    </row>
    <row r="84" spans="17:18" x14ac:dyDescent="0.25">
      <c r="Q84" s="20">
        <v>50</v>
      </c>
      <c r="R84" s="20">
        <v>39.96</v>
      </c>
    </row>
    <row r="85" spans="17:18" x14ac:dyDescent="0.25">
      <c r="Q85" s="20">
        <v>100</v>
      </c>
      <c r="R85" s="20">
        <v>68.099999999999994</v>
      </c>
    </row>
    <row r="86" spans="17:18" x14ac:dyDescent="0.25">
      <c r="Q86" s="20">
        <v>200</v>
      </c>
      <c r="R86" s="20">
        <v>83.05</v>
      </c>
    </row>
    <row r="87" spans="17:18" x14ac:dyDescent="0.25">
      <c r="Q87" s="20">
        <v>280</v>
      </c>
      <c r="R87" s="20">
        <v>87.53</v>
      </c>
    </row>
    <row r="88" spans="17:18" x14ac:dyDescent="0.25">
      <c r="Q88" s="20">
        <v>300</v>
      </c>
      <c r="R88" s="20">
        <v>88.290999999999997</v>
      </c>
    </row>
    <row r="89" spans="17:18" x14ac:dyDescent="0.25">
      <c r="Q89" s="20">
        <v>380</v>
      </c>
      <c r="R89" s="20">
        <v>90.562799999999996</v>
      </c>
    </row>
    <row r="90" spans="17:18" x14ac:dyDescent="0.25">
      <c r="Q90" s="20">
        <v>400</v>
      </c>
      <c r="R90" s="20">
        <v>90.99</v>
      </c>
    </row>
    <row r="91" spans="17:18" x14ac:dyDescent="0.25">
      <c r="Q91" s="54">
        <v>500</v>
      </c>
      <c r="R91" s="54">
        <v>92.65</v>
      </c>
    </row>
  </sheetData>
  <mergeCells count="8">
    <mergeCell ref="K67:M67"/>
    <mergeCell ref="K68:N68"/>
    <mergeCell ref="Q67:T67"/>
    <mergeCell ref="V67:Z67"/>
    <mergeCell ref="AD33:AK33"/>
    <mergeCell ref="AE49:AF49"/>
    <mergeCell ref="AH49:AI49"/>
    <mergeCell ref="K66:Z66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9"/>
  <sheetViews>
    <sheetView zoomScale="90" zoomScaleNormal="90" workbookViewId="0">
      <selection activeCell="C57" sqref="C57"/>
    </sheetView>
  </sheetViews>
  <sheetFormatPr defaultRowHeight="15" x14ac:dyDescent="0.25"/>
  <cols>
    <col min="1" max="1" width="15.85546875" bestFit="1" customWidth="1"/>
    <col min="2" max="2" width="13.28515625" bestFit="1" customWidth="1"/>
    <col min="3" max="3" width="19.7109375" bestFit="1" customWidth="1"/>
    <col min="4" max="4" width="11.42578125" bestFit="1" customWidth="1"/>
    <col min="5" max="5" width="15.85546875" bestFit="1" customWidth="1"/>
    <col min="6" max="6" width="11.5703125" bestFit="1" customWidth="1"/>
    <col min="7" max="7" width="17.7109375" bestFit="1" customWidth="1"/>
    <col min="8" max="8" width="10.42578125" bestFit="1" customWidth="1"/>
    <col min="9" max="9" width="15.85546875" bestFit="1" customWidth="1"/>
    <col min="11" max="11" width="17.7109375" bestFit="1" customWidth="1"/>
    <col min="13" max="13" width="19.7109375" bestFit="1" customWidth="1"/>
    <col min="14" max="14" width="14.85546875" bestFit="1" customWidth="1"/>
    <col min="15" max="15" width="9.85546875" bestFit="1" customWidth="1"/>
    <col min="16" max="16" width="11.42578125" bestFit="1" customWidth="1"/>
    <col min="17" max="17" width="13.28515625" bestFit="1" customWidth="1"/>
    <col min="18" max="19" width="9.42578125" bestFit="1" customWidth="1"/>
    <col min="21" max="21" width="9.42578125" bestFit="1" customWidth="1"/>
    <col min="23" max="23" width="10.5703125" bestFit="1" customWidth="1"/>
    <col min="24" max="24" width="10.42578125" customWidth="1"/>
    <col min="25" max="25" width="13.85546875" bestFit="1" customWidth="1"/>
    <col min="28" max="28" width="11.28515625" customWidth="1"/>
    <col min="29" max="29" width="11.7109375" customWidth="1"/>
  </cols>
  <sheetData>
    <row r="1" spans="1:34" x14ac:dyDescent="0.25">
      <c r="A1" s="18" t="s">
        <v>58</v>
      </c>
      <c r="B1" s="1">
        <v>200</v>
      </c>
      <c r="E1" s="23"/>
      <c r="K1" s="18" t="s">
        <v>58</v>
      </c>
      <c r="L1" s="1">
        <f>B1</f>
        <v>200</v>
      </c>
      <c r="P1" s="23"/>
      <c r="W1" s="18" t="s">
        <v>58</v>
      </c>
      <c r="X1" s="1">
        <f>L1</f>
        <v>200</v>
      </c>
      <c r="AB1" s="23"/>
    </row>
    <row r="3" spans="1:34" x14ac:dyDescent="0.25">
      <c r="A3" s="64" t="s">
        <v>57</v>
      </c>
      <c r="B3" s="64"/>
      <c r="C3" s="64"/>
      <c r="D3" s="64"/>
      <c r="E3" s="64"/>
      <c r="F3" s="64"/>
      <c r="G3" s="64"/>
      <c r="H3" s="64"/>
      <c r="I3" s="64"/>
      <c r="K3" s="64" t="s">
        <v>65</v>
      </c>
      <c r="L3" s="64"/>
      <c r="M3" s="64"/>
      <c r="N3" s="64"/>
      <c r="O3" s="64"/>
      <c r="P3" s="64"/>
      <c r="Q3" s="64"/>
      <c r="R3" s="64"/>
      <c r="S3" s="64"/>
      <c r="T3" s="64"/>
      <c r="U3" s="64"/>
      <c r="W3" s="64" t="s">
        <v>66</v>
      </c>
      <c r="X3" s="64"/>
      <c r="Y3" s="64"/>
      <c r="Z3" s="64"/>
      <c r="AA3" s="64"/>
      <c r="AB3" s="64"/>
      <c r="AC3" s="64"/>
      <c r="AD3" s="64"/>
      <c r="AE3" s="64"/>
      <c r="AF3" s="64"/>
      <c r="AG3" s="64"/>
    </row>
    <row r="4" spans="1:34" x14ac:dyDescent="0.25">
      <c r="A4" s="1">
        <v>1</v>
      </c>
      <c r="B4" s="18" t="s">
        <v>56</v>
      </c>
      <c r="C4">
        <f>'stand pipe'!L42</f>
        <v>136.44782285498124</v>
      </c>
      <c r="D4" s="1" t="str">
        <f>IF(C4&lt;2100,"LAMINAR","TURBULENT")</f>
        <v>LAMINAR</v>
      </c>
      <c r="E4" s="19" t="s">
        <v>64</v>
      </c>
      <c r="F4">
        <f>((('stand pipe'!U6^2)-('stand pipe'!L5^2))/('stand pipe'!U6^2))*((15/PI())^(1-'stand pipe'!D10))*((1/(1-(('stand pipe'!U6/'stand pipe'!L5)^(-2/'stand pipe'!D10))))^'stand pipe'!D10)</f>
        <v>1.2550816770728521</v>
      </c>
      <c r="K4" s="1">
        <v>1</v>
      </c>
      <c r="L4" s="18" t="s">
        <v>56</v>
      </c>
      <c r="M4">
        <f>'stand pipe'!U42</f>
        <v>164.08357248085349</v>
      </c>
      <c r="N4" s="1" t="str">
        <f>IF(M4&lt;2100,"LAMINAR","TURBULENT")</f>
        <v>LAMINAR</v>
      </c>
      <c r="O4" s="19" t="s">
        <v>64</v>
      </c>
      <c r="P4" s="1">
        <f>((('stand pipe'!U6^2)-('stand pipe'!U4^2))/('stand pipe'!U6^2))*((15/PI())^(1-'stand pipe'!D10))*((1/(1-(('stand pipe'!U6/'stand pipe'!U4)^(-2/'stand pipe'!D10))))^'stand pipe'!D10)</f>
        <v>1.0185271394287518</v>
      </c>
      <c r="W4" s="1">
        <v>1</v>
      </c>
      <c r="X4" s="18" t="s">
        <v>56</v>
      </c>
      <c r="Y4">
        <f>'stand pipe'!AE42</f>
        <v>100.36813999982004</v>
      </c>
      <c r="Z4" s="1" t="str">
        <f>IF(Y4&lt;2100,"LAMINAR","TURBULENT")</f>
        <v>LAMINAR</v>
      </c>
      <c r="AA4" s="19" t="s">
        <v>64</v>
      </c>
      <c r="AB4" s="1">
        <f>((('stand pipe'!AE34^2)-('stand pipe'!L5^2))/('stand pipe'!AE34^2))*((15/PI())^(1-'stand pipe'!D10))*((1/(1-(('stand pipe'!AE34/'stand pipe'!L5)^(-2/'stand pipe'!D10))))^'stand pipe'!D10)</f>
        <v>1.211380320638799</v>
      </c>
    </row>
    <row r="5" spans="1:34" x14ac:dyDescent="0.25">
      <c r="B5" s="19" t="s">
        <v>55</v>
      </c>
      <c r="C5">
        <f>('stand pipe'!D14)*((1/'stand pipe'!D10)^'stand pipe'!D10)*'pipe rotation &amp; Eccentricity'!F4*((1/'pipe rotation &amp; Eccentricity'!B1)^(1-'stand pipe'!D10))</f>
        <v>78.349064381623037</v>
      </c>
      <c r="D5" s="1" t="s">
        <v>60</v>
      </c>
      <c r="L5" s="19" t="s">
        <v>55</v>
      </c>
      <c r="M5">
        <f>('stand pipe'!D14)*((1/'stand pipe'!D10)^'stand pipe'!D10)*'pipe rotation &amp; Eccentricity'!P4*((1/'pipe rotation &amp; Eccentricity'!L1)^(1-'stand pipe'!D10))</f>
        <v>63.582036037405665</v>
      </c>
      <c r="N5" s="1" t="s">
        <v>60</v>
      </c>
      <c r="X5" s="19" t="s">
        <v>55</v>
      </c>
      <c r="Y5">
        <f>('stand pipe'!D14)*((1/'stand pipe'!D10)^'stand pipe'!D10)*'pipe rotation &amp; Eccentricity'!AB4*((1/'pipe rotation &amp; Eccentricity'!X1)^(1-'stand pipe'!D10))</f>
        <v>75.620986638665812</v>
      </c>
      <c r="Z5" s="1" t="s">
        <v>60</v>
      </c>
    </row>
    <row r="6" spans="1:34" x14ac:dyDescent="0.25">
      <c r="B6" s="18" t="s">
        <v>54</v>
      </c>
      <c r="C6">
        <f>(2.025*'stand pipe'!D11*'pipe rotation &amp; Eccentricity'!B1*('stand pipe'!U6-'stand pipe'!L5)*'stand pipe'!L5)/'pipe rotation &amp; Eccentricity'!C5</f>
        <v>1163.0643035652331</v>
      </c>
      <c r="F6" s="24"/>
      <c r="G6" s="24"/>
      <c r="H6" s="24"/>
      <c r="L6" s="18" t="s">
        <v>54</v>
      </c>
      <c r="M6" s="26">
        <f>(2.025*'stand pipe'!D11*'pipe rotation &amp; Eccentricity'!L1*('stand pipe'!U6-'stand pipe'!U4)*'stand pipe'!U4)/'pipe rotation &amp; Eccentricity'!M5</f>
        <v>1035.0800965430258</v>
      </c>
      <c r="P6" s="24"/>
      <c r="Q6" s="24"/>
      <c r="R6" s="24"/>
      <c r="X6" s="18" t="s">
        <v>54</v>
      </c>
      <c r="Y6" s="26">
        <f>(2.025*'stand pipe'!D11*'pipe rotation &amp; Eccentricity'!X1*('stand pipe'!AE34-'stand pipe'!L5)*'stand pipe'!L5)/'pipe rotation &amp; Eccentricity'!Y5</f>
        <v>979.08088469905044</v>
      </c>
      <c r="AB6" s="24"/>
      <c r="AC6" s="24"/>
      <c r="AD6" s="24"/>
    </row>
    <row r="7" spans="1:34" x14ac:dyDescent="0.25">
      <c r="B7" s="18" t="s">
        <v>53</v>
      </c>
      <c r="C7">
        <f>C4+C6</f>
        <v>1299.5121264202144</v>
      </c>
      <c r="D7" s="21" t="str">
        <f>IF(C7&lt;2100,"LAMINAR","TURBULENT")</f>
        <v>LAMINAR</v>
      </c>
      <c r="F7" s="24"/>
      <c r="G7" s="24"/>
      <c r="H7" s="24"/>
      <c r="L7" s="18" t="s">
        <v>53</v>
      </c>
      <c r="M7">
        <f>M4+M6</f>
        <v>1199.1636690238793</v>
      </c>
      <c r="N7" s="21" t="str">
        <f>IF(M7&lt;2100,"LAMINAR","TURBULENT")</f>
        <v>LAMINAR</v>
      </c>
      <c r="P7" s="24"/>
      <c r="Q7" s="24"/>
      <c r="R7" s="24"/>
      <c r="X7" s="18" t="s">
        <v>53</v>
      </c>
      <c r="Y7">
        <f>Y4+Y6</f>
        <v>1079.4490246988705</v>
      </c>
      <c r="Z7" s="21" t="str">
        <f>IF(Y7&lt;2100,"LAMINAR","TURBULENT")</f>
        <v>LAMINAR</v>
      </c>
      <c r="AB7" s="24"/>
      <c r="AC7" s="24"/>
      <c r="AD7" s="24"/>
    </row>
    <row r="8" spans="1:34" x14ac:dyDescent="0.25">
      <c r="D8" s="20"/>
      <c r="F8" s="24"/>
      <c r="G8" s="24"/>
      <c r="H8" s="24"/>
      <c r="N8" s="20"/>
      <c r="P8" s="24"/>
      <c r="Q8" s="24"/>
      <c r="R8" s="24"/>
      <c r="Z8" s="20"/>
      <c r="AB8" s="24"/>
      <c r="AC8" s="24"/>
      <c r="AD8" s="24"/>
    </row>
    <row r="9" spans="1:34" x14ac:dyDescent="0.25">
      <c r="B9" s="18" t="s">
        <v>52</v>
      </c>
      <c r="C9" s="3">
        <f>(8.274*($C$4^(-0.9075))+(0.00003*$C$6))</f>
        <v>0.13044250688881656</v>
      </c>
      <c r="D9" s="21" t="str">
        <f>IF(C7&lt;3000,"TRUE","-")</f>
        <v>TRUE</v>
      </c>
      <c r="L9" s="18" t="s">
        <v>52</v>
      </c>
      <c r="M9" s="3">
        <f>(8.274*($M$4^(-0.9075))+(0.00003*$M$6))</f>
        <v>0.11187707204540399</v>
      </c>
      <c r="N9" s="21" t="str">
        <f>IF(M7&lt;3000,"TRUE","-")</f>
        <v>TRUE</v>
      </c>
      <c r="X9" s="18" t="s">
        <v>52</v>
      </c>
      <c r="Y9" s="3">
        <f>(8.274*($Y$4^(-0.9075))+(0.00003*$Y$6))</f>
        <v>0.1556328551045747</v>
      </c>
      <c r="Z9" s="21" t="str">
        <f>IF(Y7&lt;3000,"TRUE","-")</f>
        <v>TRUE</v>
      </c>
    </row>
    <row r="10" spans="1:34" x14ac:dyDescent="0.25">
      <c r="B10" s="18" t="s">
        <v>51</v>
      </c>
      <c r="C10">
        <f>(0.0729*($C$4^-0.3017)+(0.000011*$C$6))</f>
        <v>2.9336472398419189E-2</v>
      </c>
      <c r="D10" s="21" t="str">
        <f>IF((AND(C7&gt;3000,C7&lt;7000)),"TRUE","-")</f>
        <v>-</v>
      </c>
      <c r="F10" t="s">
        <v>61</v>
      </c>
      <c r="L10" s="18" t="s">
        <v>51</v>
      </c>
      <c r="M10">
        <f>(0.0729*($M$4^-0.3017)+(0.000011*$M$6))</f>
        <v>2.7033288339752728E-2</v>
      </c>
      <c r="N10" s="21" t="str">
        <f>IF((AND(M7&gt;3000,M7&lt;7000)),"TRUE","-")</f>
        <v>-</v>
      </c>
      <c r="P10" t="s">
        <v>61</v>
      </c>
      <c r="X10" s="18" t="s">
        <v>51</v>
      </c>
      <c r="Y10">
        <f>(0.0729*($Y$4^-0.3017)+(0.000011*$Y$6))</f>
        <v>2.8918611912013361E-2</v>
      </c>
      <c r="Z10" s="21" t="str">
        <f>IF((AND(Y7&gt;3000,Y7&lt;7000)),"TRUE","-")</f>
        <v>-</v>
      </c>
      <c r="AB10" t="s">
        <v>61</v>
      </c>
      <c r="AH10" t="s">
        <v>82</v>
      </c>
    </row>
    <row r="11" spans="1:34" x14ac:dyDescent="0.25">
      <c r="B11" s="18" t="s">
        <v>50</v>
      </c>
      <c r="C11">
        <f>(0.006764*($C$4^-0.0286))+(0.00001*$C$6)</f>
        <v>1.7507478798551329E-2</v>
      </c>
      <c r="D11" s="21" t="str">
        <f>IF(AND(C7&gt;7000,C7&lt;10000),"TRUE","-")</f>
        <v>-</v>
      </c>
      <c r="F11" s="23" t="s">
        <v>52</v>
      </c>
      <c r="G11" s="1">
        <v>4.8146540000000002E-2</v>
      </c>
      <c r="L11" s="18" t="s">
        <v>50</v>
      </c>
      <c r="M11">
        <f>(0.006764*($M$4^-0.0286))+(0.00001*$M$6)</f>
        <v>1.6196719203836397E-2</v>
      </c>
      <c r="N11" s="21" t="str">
        <f>IF(AND(M7&gt;7000,M7&lt;10000),"TRUE","-")</f>
        <v>-</v>
      </c>
      <c r="P11" s="23" t="s">
        <v>52</v>
      </c>
      <c r="Q11" s="1">
        <v>4.2264259999999998E-2</v>
      </c>
      <c r="X11" s="18" t="s">
        <v>50</v>
      </c>
      <c r="Y11">
        <f>(0.006764*($Y$4^-0.0286))+(0.00001*$Y$6)</f>
        <v>1.5719488122149058E-2</v>
      </c>
      <c r="Z11" s="21" t="str">
        <f>IF(AND(Y7&gt;7000,Y7&lt;10000),"TRUE","-")</f>
        <v>-</v>
      </c>
      <c r="AB11" s="23" t="s">
        <v>52</v>
      </c>
      <c r="AC11" s="1">
        <v>1.7187737000000002E-2</v>
      </c>
      <c r="AH11" t="s">
        <v>83</v>
      </c>
    </row>
    <row r="12" spans="1:34" x14ac:dyDescent="0.25">
      <c r="B12" s="18" t="s">
        <v>49</v>
      </c>
      <c r="C12">
        <f>(8.28*($C$4^-0.7258))+(0.000001*$C$6)</f>
        <v>0.23476238250220988</v>
      </c>
      <c r="D12" s="21" t="str">
        <f>IF(AND(C7&gt;10000,C7&lt;25000),"TRUE","-")</f>
        <v>-</v>
      </c>
      <c r="L12" s="18" t="s">
        <v>49</v>
      </c>
      <c r="M12">
        <f>(8.28*($M$4^-0.7258))+(0.000001*$M$6)</f>
        <v>0.20536693851955054</v>
      </c>
      <c r="N12" s="21" t="str">
        <f>IF(AND(M7&gt;10000,M7&lt;25000),"TRUE","-")</f>
        <v>-</v>
      </c>
      <c r="X12" s="18" t="s">
        <v>49</v>
      </c>
      <c r="Y12">
        <f>(8.28*($Y$4^-0.7258))+(0.000001*$Y$6)</f>
        <v>0.29290459249776041</v>
      </c>
      <c r="Z12" s="21" t="str">
        <f>IF(AND(Y7&gt;10000,Y7&lt;25000),"TRUE","-")</f>
        <v>-</v>
      </c>
      <c r="AH12" t="s">
        <v>86</v>
      </c>
    </row>
    <row r="13" spans="1:34" x14ac:dyDescent="0.25">
      <c r="B13" s="18" t="s">
        <v>48</v>
      </c>
      <c r="C13">
        <f>(0.06188*(C4^-0.2262))</f>
        <v>2.0352645010526277E-2</v>
      </c>
      <c r="D13" s="21" t="str">
        <f>IF(AND(C7&gt;25000,C7&lt;40000),"TRUE","-")</f>
        <v>-</v>
      </c>
      <c r="L13" s="18" t="s">
        <v>48</v>
      </c>
      <c r="M13">
        <f>(0.06188*(M4^-0.2262))</f>
        <v>1.9521023250246215E-2</v>
      </c>
      <c r="N13" s="21" t="str">
        <f>IF(AND(M7&gt;25000,M7&lt;40000),"TRUE","-")</f>
        <v>-</v>
      </c>
      <c r="X13" s="18" t="s">
        <v>48</v>
      </c>
      <c r="Y13">
        <f>(0.06188*(Y4^-0.2262))</f>
        <v>2.1816712968804271E-2</v>
      </c>
      <c r="Z13" s="21" t="str">
        <f>IF(AND(Y7&gt;25000,Y7&lt;40000),"TRUE","-")</f>
        <v>-</v>
      </c>
      <c r="AH13" t="s">
        <v>84</v>
      </c>
    </row>
    <row r="14" spans="1:34" x14ac:dyDescent="0.25">
      <c r="B14" s="18" t="s">
        <v>47</v>
      </c>
      <c r="C14">
        <f>0.03039*(C4^-0.1542)</f>
        <v>1.4240290493418777E-2</v>
      </c>
      <c r="D14" s="21" t="str">
        <f>IF(C7&gt;40000,"TRUE","-")</f>
        <v>-</v>
      </c>
      <c r="L14" s="18" t="s">
        <v>47</v>
      </c>
      <c r="M14">
        <f>0.03039*(M4^-0.1542)</f>
        <v>1.3841006136307092E-2</v>
      </c>
      <c r="N14" s="21" t="str">
        <f>IF(M7&gt;40000,"TRUE","-")</f>
        <v>-</v>
      </c>
      <c r="X14" s="18" t="s">
        <v>47</v>
      </c>
      <c r="Y14">
        <f>0.03039*(Y4^-0.1542)</f>
        <v>1.4930852873357577E-2</v>
      </c>
      <c r="Z14" s="21" t="str">
        <f>IF(Y7&gt;40000,"TRUE","-")</f>
        <v>-</v>
      </c>
      <c r="AH14" t="s">
        <v>85</v>
      </c>
    </row>
    <row r="16" spans="1:34" x14ac:dyDescent="0.25">
      <c r="A16" s="1">
        <v>2</v>
      </c>
      <c r="B16" s="69" t="s">
        <v>59</v>
      </c>
      <c r="C16" s="69"/>
      <c r="D16" s="69"/>
      <c r="E16" s="69"/>
      <c r="K16" s="1">
        <v>2</v>
      </c>
      <c r="L16" s="69" t="s">
        <v>59</v>
      </c>
      <c r="M16" s="69"/>
      <c r="N16" s="69"/>
      <c r="O16" s="69"/>
      <c r="W16" s="1">
        <v>2</v>
      </c>
      <c r="X16" s="69" t="s">
        <v>59</v>
      </c>
      <c r="Y16" s="69"/>
      <c r="Z16" s="69"/>
      <c r="AA16" s="69"/>
    </row>
    <row r="17" spans="1:30" x14ac:dyDescent="0.25">
      <c r="B17" s="18" t="s">
        <v>46</v>
      </c>
      <c r="C17" s="25">
        <f>IF(C7&lt;1700,F18,"-")</f>
        <v>4.2454985666486912E-7</v>
      </c>
      <c r="D17" t="s">
        <v>63</v>
      </c>
      <c r="L17" s="18" t="s">
        <v>46</v>
      </c>
      <c r="M17" s="25">
        <f>IF(M7&lt;1700,P18,"-")</f>
        <v>2.1214088658410897E-6</v>
      </c>
      <c r="N17" t="s">
        <v>63</v>
      </c>
      <c r="X17" s="18" t="s">
        <v>46</v>
      </c>
      <c r="Y17" s="25">
        <f>IF(Y7&lt;1700,AB18,"-")</f>
        <v>2.1214088658410897E-6</v>
      </c>
      <c r="Z17" t="s">
        <v>63</v>
      </c>
    </row>
    <row r="18" spans="1:30" x14ac:dyDescent="0.25">
      <c r="F18" s="22">
        <f>('stand pipe'!$D$14*('stand pipe'!$L$36^'stand pipe'!$D$10)*((2+(1/'stand pipe'!$D$10))/0.0208)^'stand pipe'!$D$10)/((144000*('stand pipe'!$U$6-'stand pipe'!$L$5))^(1+'stand pipe'!$D$10))</f>
        <v>4.2454985666486912E-7</v>
      </c>
      <c r="H18" t="s">
        <v>17</v>
      </c>
      <c r="P18" s="22">
        <f>('stand pipe'!$D$14*('stand pipe'!U36^'stand pipe'!$D$10)*((2+(1/'stand pipe'!$D$10))/0.0208)^'stand pipe'!$D$10)/((144000*('stand pipe'!$U$6-'stand pipe'!$U$4))^(1+'stand pipe'!$D$10))</f>
        <v>2.1214088658410897E-6</v>
      </c>
      <c r="R18" t="s">
        <v>17</v>
      </c>
      <c r="AB18" s="22">
        <f>('stand pipe'!$D$14*('stand pipe'!$U$36^'stand pipe'!$D$10)*((2+(1/'stand pipe'!$D$10))/0.0208)^'stand pipe'!$D$10)/((144000*('stand pipe'!$U$6-'stand pipe'!$U$4))^(1+'stand pipe'!$D$10))</f>
        <v>2.1214088658410897E-6</v>
      </c>
      <c r="AD18" t="s">
        <v>17</v>
      </c>
    </row>
    <row r="19" spans="1:30" x14ac:dyDescent="0.25">
      <c r="B19" s="19" t="s">
        <v>62</v>
      </c>
      <c r="C19" s="1">
        <f>C17*'stand pipe'!$L$6</f>
        <v>2.1227492833243455E-3</v>
      </c>
      <c r="D19" t="s">
        <v>38</v>
      </c>
      <c r="L19" s="19" t="s">
        <v>62</v>
      </c>
      <c r="M19" s="1">
        <f>M17*'stand pipe'!U5</f>
        <v>1.2728453195046539E-3</v>
      </c>
      <c r="N19" t="s">
        <v>38</v>
      </c>
      <c r="X19" s="19" t="s">
        <v>62</v>
      </c>
      <c r="Y19" s="1">
        <f>Y17*'stand pipe'!AG5</f>
        <v>0</v>
      </c>
      <c r="Z19" t="s">
        <v>38</v>
      </c>
    </row>
    <row r="21" spans="1:30" x14ac:dyDescent="0.25">
      <c r="F21">
        <f>(G11*'stand pipe'!$D$11*'stand pipe'!$L$36^2)/(21.1*('stand pipe'!$U$6-'stand pipe'!$L$5))</f>
        <v>1.1001278100256924E-3</v>
      </c>
      <c r="H21" t="s">
        <v>16</v>
      </c>
      <c r="P21">
        <f>(Q11*'stand pipe'!$D$11*'stand pipe'!$U$36^2)/(21.1*('stand pipe'!$U$6-'stand pipe'!$U$4))</f>
        <v>5.8029055740064974E-3</v>
      </c>
      <c r="R21" t="s">
        <v>16</v>
      </c>
      <c r="AB21">
        <f>(AC11*'stand pipe'!$D$11*'stand pipe'!$U$36^2)/(21.1*('stand pipe'!$U$6-'stand pipe'!$U$4))</f>
        <v>2.3598855118215183E-3</v>
      </c>
      <c r="AD21" t="s">
        <v>16</v>
      </c>
    </row>
    <row r="22" spans="1:30" x14ac:dyDescent="0.25">
      <c r="B22" s="18" t="s">
        <v>46</v>
      </c>
      <c r="C22" s="20" t="str">
        <f>IF(C7&gt;1700,F21,"-")</f>
        <v>-</v>
      </c>
      <c r="D22" t="s">
        <v>63</v>
      </c>
      <c r="L22" s="18" t="s">
        <v>46</v>
      </c>
      <c r="M22" s="21" t="str">
        <f>IF(M7&gt;1700,P21,"-")</f>
        <v>-</v>
      </c>
      <c r="N22" t="s">
        <v>63</v>
      </c>
      <c r="X22" s="18" t="s">
        <v>46</v>
      </c>
      <c r="Y22" s="21" t="str">
        <f>IF(Y7&gt;1700,AB21,"-")</f>
        <v>-</v>
      </c>
      <c r="Z22" t="s">
        <v>63</v>
      </c>
    </row>
    <row r="23" spans="1:30" x14ac:dyDescent="0.25">
      <c r="B23" s="19" t="s">
        <v>62</v>
      </c>
      <c r="C23" s="1" t="e">
        <f>C22*'stand pipe'!L6</f>
        <v>#VALUE!</v>
      </c>
      <c r="D23" s="1" t="s">
        <v>38</v>
      </c>
      <c r="L23" s="19" t="s">
        <v>62</v>
      </c>
      <c r="M23" s="1" t="e">
        <f>M22*'stand pipe'!U5</f>
        <v>#VALUE!</v>
      </c>
      <c r="N23" s="1" t="s">
        <v>38</v>
      </c>
      <c r="X23" s="19" t="s">
        <v>62</v>
      </c>
      <c r="Y23" s="1" t="e">
        <f>Y22*'stand pipe'!AE35</f>
        <v>#VALUE!</v>
      </c>
      <c r="Z23" s="1" t="s">
        <v>38</v>
      </c>
    </row>
    <row r="27" spans="1:30" ht="15.75" thickBot="1" x14ac:dyDescent="0.3"/>
    <row r="28" spans="1:30" ht="15.75" thickBot="1" x14ac:dyDescent="0.3">
      <c r="A28" s="70" t="s">
        <v>104</v>
      </c>
      <c r="B28" s="71"/>
      <c r="C28" s="71"/>
      <c r="D28" s="72"/>
      <c r="E28" s="72"/>
      <c r="F28" s="72"/>
      <c r="G28" s="72"/>
      <c r="H28" s="72"/>
      <c r="I28" s="72"/>
      <c r="J28" s="72"/>
      <c r="K28" s="73"/>
    </row>
    <row r="29" spans="1:30" x14ac:dyDescent="0.25">
      <c r="A29" s="59" t="s">
        <v>57</v>
      </c>
      <c r="B29" s="59"/>
      <c r="C29" s="59"/>
      <c r="E29" s="59" t="s">
        <v>122</v>
      </c>
      <c r="F29" s="59"/>
      <c r="G29" s="59"/>
      <c r="I29" s="59" t="s">
        <v>66</v>
      </c>
      <c r="J29" s="59"/>
      <c r="K29" s="59"/>
      <c r="X29" s="23" t="s">
        <v>78</v>
      </c>
      <c r="Y29" s="30" t="e">
        <f>Y23+M19+C19</f>
        <v>#VALUE!</v>
      </c>
      <c r="Z29" s="1" t="s">
        <v>38</v>
      </c>
    </row>
    <row r="30" spans="1:30" x14ac:dyDescent="0.25">
      <c r="A30" t="s">
        <v>115</v>
      </c>
      <c r="X30" s="23" t="s">
        <v>78</v>
      </c>
      <c r="Y30" s="35" t="e">
        <f>Y23+M23+C19</f>
        <v>#VALUE!</v>
      </c>
    </row>
    <row r="31" spans="1:30" x14ac:dyDescent="0.25">
      <c r="A31" s="18" t="s">
        <v>105</v>
      </c>
      <c r="B31">
        <f>(2.9*'stand pipe'!D3*(('stand pipe'!D2-'stand pipe'!D11)^0.667))/(('stand pipe'!D11^0.333)*('pipe rotation &amp; Eccentricity'!C5^0.333))</f>
        <v>0.33042939582949538</v>
      </c>
      <c r="C31" s="1" t="s">
        <v>111</v>
      </c>
      <c r="E31" s="18" t="s">
        <v>113</v>
      </c>
      <c r="F31">
        <f>(2.9*'stand pipe'!D3*(('stand pipe'!D2-'stand pipe'!D11)^0.667))/(('stand pipe'!D11^0.333)*(M5^0.333))</f>
        <v>0.35422692662942612</v>
      </c>
      <c r="G31" s="1" t="s">
        <v>111</v>
      </c>
      <c r="I31" s="18" t="s">
        <v>113</v>
      </c>
      <c r="J31">
        <f>(2.9*'stand pipe'!D3*(('stand pipe'!D2-'stand pipe'!D11)^0.667))/(('stand pipe'!D11^0.333)*(Y5^0.333))</f>
        <v>0.33435208637011976</v>
      </c>
      <c r="K31" s="1" t="s">
        <v>111</v>
      </c>
      <c r="P31" s="33" t="s">
        <v>79</v>
      </c>
      <c r="Q31" s="34" t="s">
        <v>80</v>
      </c>
      <c r="X31" s="23" t="s">
        <v>78</v>
      </c>
      <c r="Y31" t="e">
        <f>Y23+C23+M23</f>
        <v>#VALUE!</v>
      </c>
    </row>
    <row r="32" spans="1:30" x14ac:dyDescent="0.25">
      <c r="A32" t="s">
        <v>116</v>
      </c>
      <c r="P32" s="31">
        <v>20</v>
      </c>
      <c r="Q32" s="32">
        <v>196.49180000000001</v>
      </c>
    </row>
    <row r="33" spans="1:17" ht="15" customHeight="1" thickBot="1" x14ac:dyDescent="0.3">
      <c r="A33" s="18" t="s">
        <v>112</v>
      </c>
      <c r="B33">
        <f>(928*'stand pipe'!D11*'pipe rotation &amp; Eccentricity'!B31*'stand pipe'!D3)/('pipe rotation &amp; Eccentricity'!C5)</f>
        <v>12.230461913854015</v>
      </c>
      <c r="C33" s="21" t="str">
        <f>IF(AND((B33&gt;3),(B33&lt;300)),"EQN of V(sl) VALID","EQN of V(sl) INVALID")</f>
        <v>EQN of V(sl) VALID</v>
      </c>
      <c r="E33" s="18" t="s">
        <v>112</v>
      </c>
      <c r="F33">
        <f>(928*'stand pipe'!D11*F31*'stand pipe'!D3)/(M5)</f>
        <v>16.156420134469961</v>
      </c>
      <c r="G33" s="1" t="str">
        <f>IF(AND((F33&gt;3),(F33&lt;300)),"EQN of V(sl) VALID","EQN of V(sl) INVALID")</f>
        <v>EQN of V(sl) VALID</v>
      </c>
      <c r="I33" s="18" t="s">
        <v>112</v>
      </c>
      <c r="J33">
        <f>(928*'stand pipe'!D11*J31*'stand pipe'!D3)/(M5)</f>
        <v>15.249921375636884</v>
      </c>
      <c r="K33" s="21" t="str">
        <f>IF(AND((J33&gt;3),(J33&lt;300)),"EQN of V(sl) VALID","EQN of V(sl) INVALID")</f>
        <v>EQN of V(sl) VALID</v>
      </c>
      <c r="P33" s="31">
        <v>40</v>
      </c>
      <c r="Q33" s="32">
        <v>215.69889000000001</v>
      </c>
    </row>
    <row r="34" spans="1:17" ht="15" customHeight="1" x14ac:dyDescent="0.25">
      <c r="A34" s="48" t="s">
        <v>105</v>
      </c>
      <c r="B34" s="49">
        <f>1.54*SQRT('stand pipe'!D3*(('stand pipe'!D2-'stand pipe'!D11)/'stand pipe'!D11))</f>
        <v>0.67427031908575052</v>
      </c>
      <c r="C34" s="50" t="s">
        <v>117</v>
      </c>
      <c r="E34" s="48" t="s">
        <v>119</v>
      </c>
      <c r="F34" s="49">
        <f>1.54*SQRT('stand pipe'!D3*(('stand pipe'!D2-'stand pipe'!D11)/'stand pipe'!D11))</f>
        <v>0.67427031908575052</v>
      </c>
      <c r="G34" s="50" t="s">
        <v>117</v>
      </c>
      <c r="I34" s="48" t="s">
        <v>120</v>
      </c>
      <c r="J34" s="49">
        <f>1.54*SQRT('stand pipe'!D3*(('stand pipe'!D2-'stand pipe'!D11)/'stand pipe'!D11))</f>
        <v>0.67427031908575052</v>
      </c>
      <c r="K34" s="50" t="s">
        <v>117</v>
      </c>
      <c r="P34" s="31">
        <v>60</v>
      </c>
      <c r="Q34" s="32">
        <v>241.6849</v>
      </c>
    </row>
    <row r="35" spans="1:17" ht="15" customHeight="1" x14ac:dyDescent="0.25">
      <c r="A35" s="18" t="s">
        <v>105</v>
      </c>
      <c r="B35">
        <f>82.87*(('stand pipe'!D3^2)/C5)*('stand pipe'!D2-'stand pipe'!D11)</f>
        <v>0.63363650484311718</v>
      </c>
      <c r="C35" s="21" t="s">
        <v>118</v>
      </c>
      <c r="E35" s="18" t="s">
        <v>119</v>
      </c>
      <c r="F35">
        <f>82.87*(('stand pipe'!D3^2)/C5)*('stand pipe'!D2-'stand pipe'!D11)</f>
        <v>0.63363650484311718</v>
      </c>
      <c r="G35" s="21" t="s">
        <v>118</v>
      </c>
      <c r="I35" s="18" t="s">
        <v>120</v>
      </c>
      <c r="J35">
        <f>82.87*(('stand pipe'!D3^2)/C5)*('stand pipe'!D2-'stand pipe'!D11)</f>
        <v>0.63363650484311718</v>
      </c>
      <c r="K35" s="21" t="s">
        <v>118</v>
      </c>
      <c r="P35" s="31">
        <v>80</v>
      </c>
      <c r="Q35" s="32">
        <v>324.27999999999997</v>
      </c>
    </row>
    <row r="36" spans="1:17" x14ac:dyDescent="0.25">
      <c r="A36" t="s">
        <v>114</v>
      </c>
      <c r="B36">
        <f>1-(B31/'stand pipe'!L36)</f>
        <v>0.15875319256977127</v>
      </c>
      <c r="E36" t="s">
        <v>114</v>
      </c>
      <c r="F36">
        <f>1-(F31/'stand pipe'!U36)</f>
        <v>0.4797114901666989</v>
      </c>
      <c r="I36" t="s">
        <v>114</v>
      </c>
      <c r="J36">
        <f>1-(J31/'stand pipe'!AE38)</f>
        <v>0.34827422620563508</v>
      </c>
      <c r="P36" s="31">
        <v>100</v>
      </c>
      <c r="Q36" s="32">
        <v>362.85</v>
      </c>
    </row>
    <row r="37" spans="1:17" x14ac:dyDescent="0.25">
      <c r="P37" s="31">
        <v>120</v>
      </c>
      <c r="Q37" s="32">
        <v>516.5566</v>
      </c>
    </row>
    <row r="38" spans="1:17" x14ac:dyDescent="0.25">
      <c r="P38" s="31">
        <v>150</v>
      </c>
      <c r="Q38" s="32">
        <v>602.178</v>
      </c>
    </row>
    <row r="39" spans="1:17" x14ac:dyDescent="0.25">
      <c r="P39" s="31">
        <v>200</v>
      </c>
      <c r="Q39" s="32">
        <v>755.11</v>
      </c>
    </row>
    <row r="41" spans="1:17" x14ac:dyDescent="0.25">
      <c r="D41" s="38" t="s">
        <v>121</v>
      </c>
      <c r="E41" s="39">
        <f>(B36+F36+J36)/3</f>
        <v>0.32891296964736844</v>
      </c>
      <c r="G41" s="52"/>
      <c r="H41" s="52"/>
    </row>
    <row r="42" spans="1:17" x14ac:dyDescent="0.25">
      <c r="C42" s="18"/>
      <c r="G42" s="38" t="s">
        <v>124</v>
      </c>
      <c r="H42" s="31">
        <v>280</v>
      </c>
      <c r="I42" s="53"/>
    </row>
    <row r="43" spans="1:17" ht="15.75" thickBot="1" x14ac:dyDescent="0.3">
      <c r="G43" s="51" t="s">
        <v>79</v>
      </c>
      <c r="H43" s="51" t="s">
        <v>123</v>
      </c>
      <c r="P43" s="33" t="s">
        <v>79</v>
      </c>
      <c r="Q43" s="34" t="s">
        <v>80</v>
      </c>
    </row>
    <row r="44" spans="1:17" ht="15.75" thickBot="1" x14ac:dyDescent="0.3">
      <c r="D44" s="46" t="s">
        <v>4</v>
      </c>
      <c r="E44" s="46" t="s">
        <v>123</v>
      </c>
      <c r="G44" s="20">
        <v>20</v>
      </c>
      <c r="H44" s="20">
        <f>0.902*100</f>
        <v>90.2</v>
      </c>
      <c r="P44" s="31">
        <v>20</v>
      </c>
      <c r="Q44" s="32">
        <v>420.43349999999998</v>
      </c>
    </row>
    <row r="45" spans="1:17" x14ac:dyDescent="0.25">
      <c r="D45" s="20">
        <v>200</v>
      </c>
      <c r="E45" s="20">
        <f>0.83222*100</f>
        <v>83.221999999999994</v>
      </c>
      <c r="G45" s="20">
        <v>40</v>
      </c>
      <c r="H45" s="20">
        <f>0.8959*100</f>
        <v>89.59</v>
      </c>
      <c r="P45" s="31">
        <v>40</v>
      </c>
      <c r="Q45" s="4">
        <v>491.15460000000002</v>
      </c>
    </row>
    <row r="46" spans="1:17" x14ac:dyDescent="0.25">
      <c r="D46" s="20">
        <v>300</v>
      </c>
      <c r="E46" s="20">
        <f>0.888152162*100</f>
        <v>88.815216200000009</v>
      </c>
      <c r="G46" s="20">
        <v>60</v>
      </c>
      <c r="H46" s="20">
        <f>0.8921*100</f>
        <v>89.21</v>
      </c>
      <c r="P46" s="31">
        <v>60</v>
      </c>
      <c r="Q46" s="4">
        <v>572.09059999999999</v>
      </c>
    </row>
    <row r="47" spans="1:17" x14ac:dyDescent="0.25">
      <c r="D47" s="20">
        <v>380</v>
      </c>
      <c r="E47" s="20">
        <f>0.911699*100</f>
        <v>91.169899999999998</v>
      </c>
      <c r="G47" s="20">
        <v>80</v>
      </c>
      <c r="H47" s="20">
        <f>0.8894*100</f>
        <v>88.94</v>
      </c>
      <c r="P47" s="31">
        <v>80</v>
      </c>
      <c r="Q47" s="4">
        <v>660.577</v>
      </c>
    </row>
    <row r="48" spans="1:17" ht="15.75" thickBot="1" x14ac:dyDescent="0.3">
      <c r="D48" s="47">
        <v>400</v>
      </c>
      <c r="E48" s="47">
        <f>0.916*100</f>
        <v>91.600000000000009</v>
      </c>
      <c r="G48" s="20">
        <v>100</v>
      </c>
      <c r="H48" s="20">
        <f>0.887233374*100</f>
        <v>88.723337400000005</v>
      </c>
      <c r="P48" s="31">
        <v>120</v>
      </c>
      <c r="Q48" s="4">
        <v>854.69889999999998</v>
      </c>
    </row>
    <row r="49" spans="1:33" x14ac:dyDescent="0.25">
      <c r="G49" s="20">
        <v>150</v>
      </c>
      <c r="H49" s="20">
        <f>0.883149*100</f>
        <v>88.314899999999994</v>
      </c>
      <c r="P49" s="31">
        <v>150</v>
      </c>
      <c r="Q49" s="4">
        <v>1012.909</v>
      </c>
    </row>
    <row r="50" spans="1:33" ht="15.75" thickBot="1" x14ac:dyDescent="0.3">
      <c r="G50" s="47">
        <v>200</v>
      </c>
      <c r="H50" s="47">
        <f>0.88016*100</f>
        <v>88.016000000000005</v>
      </c>
      <c r="P50" s="31">
        <v>200</v>
      </c>
      <c r="Q50" s="4">
        <v>1197.5325</v>
      </c>
    </row>
    <row r="53" spans="1:33" x14ac:dyDescent="0.25">
      <c r="A53" s="1" t="s">
        <v>81</v>
      </c>
      <c r="B53">
        <v>0.6</v>
      </c>
      <c r="K53" s="1" t="s">
        <v>81</v>
      </c>
      <c r="L53">
        <f>B53</f>
        <v>0.6</v>
      </c>
      <c r="W53" s="1" t="s">
        <v>81</v>
      </c>
      <c r="X53">
        <f>B53</f>
        <v>0.6</v>
      </c>
    </row>
    <row r="54" spans="1:33" x14ac:dyDescent="0.25">
      <c r="A54" s="68" t="s">
        <v>57</v>
      </c>
      <c r="B54" s="68"/>
      <c r="C54" s="68"/>
      <c r="D54" s="68"/>
      <c r="E54" s="68"/>
      <c r="F54" s="68"/>
      <c r="G54" s="68"/>
      <c r="H54" s="68"/>
      <c r="I54" s="68"/>
      <c r="K54" s="68" t="s">
        <v>65</v>
      </c>
      <c r="L54" s="68"/>
      <c r="M54" s="68"/>
      <c r="N54" s="68"/>
      <c r="O54" s="68"/>
      <c r="P54" s="68"/>
      <c r="Q54" s="68"/>
      <c r="R54" s="68"/>
      <c r="S54" s="68"/>
      <c r="T54" s="68"/>
      <c r="U54" s="68"/>
      <c r="W54" s="68" t="s">
        <v>66</v>
      </c>
      <c r="X54" s="68"/>
      <c r="Y54" s="68"/>
      <c r="Z54" s="68"/>
      <c r="AA54" s="68"/>
      <c r="AB54" s="68"/>
      <c r="AC54" s="68"/>
      <c r="AD54" s="68"/>
      <c r="AE54" s="68"/>
      <c r="AF54" s="68"/>
      <c r="AG54" s="68"/>
    </row>
    <row r="55" spans="1:33" x14ac:dyDescent="0.25">
      <c r="A55" s="23" t="s">
        <v>87</v>
      </c>
      <c r="B55">
        <f>1-(0.072*(B53/'stand pipe'!D10)*(('stand pipe'!L5/'stand pipe'!U6)^0.8454))-(1.5*('pipe rotation &amp; Eccentricity'!B53^(2*SQRT('stand pipe'!D10)))*(('stand pipe'!L5/'stand pipe'!U6)^0.1852))+(0.96*('pipe rotation &amp; Eccentricity'!B53^(3*SQRT('stand pipe'!D10)))*(('stand pipe'!L5/'stand pipe'!U6)^0.2527))</f>
        <v>0.63035167869709052</v>
      </c>
      <c r="L55" s="23" t="s">
        <v>87</v>
      </c>
      <c r="M55">
        <f>1-(0.072*(B53/'stand pipe'!D10)*(('stand pipe'!U4/'stand pipe'!U6)^0.8454))-(1.5*('pipe rotation &amp; Eccentricity'!B53^(2*SQRT('stand pipe'!D10)))*(('stand pipe'!U4/'stand pipe'!U6)^0.1852))+(0.96*('pipe rotation &amp; Eccentricity'!B53^(3*SQRT('stand pipe'!D10)))*(('stand pipe'!U4/'stand pipe'!U6)^0.2527))</f>
        <v>0.60012669779251848</v>
      </c>
      <c r="X55" s="23" t="s">
        <v>87</v>
      </c>
      <c r="Y55">
        <f>1-(0.072*(B53/'stand pipe'!D10)*(('stand pipe'!L5/'stand pipe'!AE34)^0.8454))-(1.5*('pipe rotation &amp; Eccentricity'!B53^(2*SQRT('stand pipe'!D10)))*(('stand pipe'!L5/'stand pipe'!AE34)^0.1852))+(0.96*('pipe rotation &amp; Eccentricity'!B53^(3*SQRT('stand pipe'!D10)))*(('stand pipe'!L5/'stand pipe'!AE34)^0.2527))</f>
        <v>0.62317811014652114</v>
      </c>
    </row>
    <row r="56" spans="1:33" x14ac:dyDescent="0.25">
      <c r="A56" s="19" t="s">
        <v>62</v>
      </c>
      <c r="B56">
        <f>C19</f>
        <v>2.1227492833243455E-3</v>
      </c>
      <c r="C56" t="s">
        <v>89</v>
      </c>
      <c r="L56" s="19" t="s">
        <v>62</v>
      </c>
      <c r="M56">
        <f>M19</f>
        <v>1.2728453195046539E-3</v>
      </c>
      <c r="N56" t="s">
        <v>89</v>
      </c>
      <c r="X56" s="19" t="s">
        <v>62</v>
      </c>
      <c r="Y56">
        <f>Y19</f>
        <v>0</v>
      </c>
      <c r="Z56" t="s">
        <v>89</v>
      </c>
    </row>
    <row r="58" spans="1:33" x14ac:dyDescent="0.25">
      <c r="A58" s="36" t="s">
        <v>90</v>
      </c>
      <c r="B58" s="1">
        <f>B56*B55</f>
        <v>1.338078574196547E-3</v>
      </c>
      <c r="C58" s="1" t="s">
        <v>38</v>
      </c>
      <c r="L58" s="36" t="s">
        <v>90</v>
      </c>
      <c r="M58" s="1">
        <f>M56*M55</f>
        <v>7.6386845839499114E-4</v>
      </c>
      <c r="N58" s="1" t="s">
        <v>38</v>
      </c>
      <c r="X58" s="36" t="s">
        <v>90</v>
      </c>
      <c r="Y58" s="1">
        <f>Y56*Y55</f>
        <v>0</v>
      </c>
      <c r="Z58" s="1" t="s">
        <v>38</v>
      </c>
    </row>
    <row r="62" spans="1:33" x14ac:dyDescent="0.25">
      <c r="L62" s="23" t="s">
        <v>88</v>
      </c>
      <c r="M62">
        <f>1-(0.048*(B53/'stand pipe'!D10)*(('stand pipe'!U4/'stand pipe'!U6)^0.8454))-(0.66*('pipe rotation &amp; Eccentricity'!B53^(2*SQRT('stand pipe'!D10)))*(('stand pipe'!U4/'stand pipe'!U6)^0.1852))+(0.285*('pipe rotation &amp; Eccentricity'!B53^(3*SQRT('stand pipe'!D10)))*(('stand pipe'!U4/'stand pipe'!U6)^0.2527))</f>
        <v>0.77899503990112229</v>
      </c>
      <c r="X62" s="23" t="s">
        <v>88</v>
      </c>
      <c r="Y62">
        <f>1-(0.048*(B53/'stand pipe'!D10)*(('stand pipe'!L5/'stand pipe'!AE34)^0.8454))-(0.66*('pipe rotation &amp; Eccentricity'!B53^(2*SQRT('stand pipe'!D10)))*(('stand pipe'!L5/'stand pipe'!AE34)^0.1852))+(0.285*('pipe rotation &amp; Eccentricity'!B53^(3*SQRT('stand pipe'!D10)))*(('stand pipe'!L5/'stand pipe'!AE34)^0.2527))</f>
        <v>0.79365488220000913</v>
      </c>
    </row>
    <row r="63" spans="1:33" x14ac:dyDescent="0.25">
      <c r="A63" s="23" t="s">
        <v>88</v>
      </c>
      <c r="B63">
        <f>1-(0.048*(B53/'stand pipe'!D10)*(('stand pipe'!L5/'stand pipe'!U6)^0.8454))-(0.66*('pipe rotation &amp; Eccentricity'!B53^(2*SQRT('stand pipe'!D10)))*(('stand pipe'!L5/'stand pipe'!U6)^0.1852))+(0.285*('pipe rotation &amp; Eccentricity'!B53^(3*SQRT('stand pipe'!D10)))*(('stand pipe'!L5/'stand pipe'!U6)^0.2527))</f>
        <v>0.79818370259871196</v>
      </c>
      <c r="L63" s="19" t="s">
        <v>62</v>
      </c>
      <c r="M63" t="e">
        <f>M23</f>
        <v>#VALUE!</v>
      </c>
      <c r="N63" t="s">
        <v>89</v>
      </c>
      <c r="X63" s="19" t="s">
        <v>62</v>
      </c>
      <c r="Y63" t="e">
        <f>Y23</f>
        <v>#VALUE!</v>
      </c>
      <c r="Z63" t="s">
        <v>89</v>
      </c>
    </row>
    <row r="64" spans="1:33" x14ac:dyDescent="0.25">
      <c r="A64" s="19" t="s">
        <v>62</v>
      </c>
      <c r="B64" t="e">
        <f>C23</f>
        <v>#VALUE!</v>
      </c>
      <c r="C64" t="s">
        <v>89</v>
      </c>
    </row>
    <row r="65" spans="1:26" x14ac:dyDescent="0.25">
      <c r="L65" s="36" t="s">
        <v>90</v>
      </c>
      <c r="M65" s="1" t="e">
        <f>M63*M62</f>
        <v>#VALUE!</v>
      </c>
      <c r="N65" s="1" t="s">
        <v>38</v>
      </c>
      <c r="X65" s="36" t="s">
        <v>90</v>
      </c>
      <c r="Y65" s="1" t="e">
        <f>Y63*Y62</f>
        <v>#VALUE!</v>
      </c>
      <c r="Z65" s="1" t="s">
        <v>38</v>
      </c>
    </row>
    <row r="66" spans="1:26" x14ac:dyDescent="0.25">
      <c r="A66" s="36" t="s">
        <v>90</v>
      </c>
      <c r="B66" s="1" t="e">
        <f>B64*B63</f>
        <v>#VALUE!</v>
      </c>
      <c r="C66" s="1" t="s">
        <v>38</v>
      </c>
    </row>
    <row r="69" spans="1:26" x14ac:dyDescent="0.25">
      <c r="M69" s="38" t="s">
        <v>92</v>
      </c>
      <c r="N69" s="4">
        <v>380</v>
      </c>
      <c r="O69" s="4" t="s">
        <v>9</v>
      </c>
    </row>
    <row r="70" spans="1:26" x14ac:dyDescent="0.25">
      <c r="B70">
        <v>9848337110</v>
      </c>
      <c r="M70" s="37" t="s">
        <v>91</v>
      </c>
      <c r="N70" s="39"/>
      <c r="O70" s="39">
        <v>0.2</v>
      </c>
      <c r="P70" s="40">
        <v>0.4</v>
      </c>
      <c r="Q70" s="40">
        <v>0.6</v>
      </c>
      <c r="R70" s="40">
        <v>0.8</v>
      </c>
      <c r="X70" s="23" t="s">
        <v>78</v>
      </c>
      <c r="Y70" t="e">
        <f>Y65+M65+B66</f>
        <v>#VALUE!</v>
      </c>
      <c r="Z70" s="1" t="s">
        <v>38</v>
      </c>
    </row>
    <row r="71" spans="1:26" x14ac:dyDescent="0.25">
      <c r="N71" s="34" t="s">
        <v>79</v>
      </c>
      <c r="O71" s="34" t="s">
        <v>80</v>
      </c>
      <c r="P71" s="34" t="s">
        <v>80</v>
      </c>
      <c r="Q71" s="34" t="s">
        <v>80</v>
      </c>
      <c r="R71" s="34" t="s">
        <v>80</v>
      </c>
      <c r="X71" s="23" t="s">
        <v>78</v>
      </c>
      <c r="Z71" s="1" t="s">
        <v>38</v>
      </c>
    </row>
    <row r="72" spans="1:26" x14ac:dyDescent="0.25">
      <c r="N72" s="31">
        <v>20</v>
      </c>
      <c r="O72" s="31">
        <v>402.6995</v>
      </c>
      <c r="P72" s="31">
        <v>371.21654899999999</v>
      </c>
      <c r="Q72" s="31">
        <v>333.43546099999998</v>
      </c>
      <c r="R72" s="31">
        <v>293.94741090000002</v>
      </c>
      <c r="X72" s="23" t="s">
        <v>78</v>
      </c>
      <c r="Z72" s="1" t="s">
        <v>38</v>
      </c>
    </row>
    <row r="73" spans="1:26" x14ac:dyDescent="0.25">
      <c r="N73" s="31">
        <v>40</v>
      </c>
      <c r="O73" s="31">
        <v>470.4298</v>
      </c>
      <c r="P73" s="31">
        <v>433.524</v>
      </c>
      <c r="Q73" s="31">
        <v>389.38839999999999</v>
      </c>
      <c r="R73" s="31">
        <v>343.25998499999997</v>
      </c>
    </row>
    <row r="74" spans="1:26" x14ac:dyDescent="0.25">
      <c r="N74" s="31">
        <v>60</v>
      </c>
      <c r="O74" s="31">
        <v>547.97889999999995</v>
      </c>
      <c r="P74" s="31">
        <v>504.97818360000002</v>
      </c>
      <c r="Q74" s="31">
        <v>453.55500000000001</v>
      </c>
      <c r="R74" s="31">
        <v>399.81156329999999</v>
      </c>
    </row>
    <row r="75" spans="1:26" x14ac:dyDescent="0.25">
      <c r="N75" s="31">
        <v>80</v>
      </c>
      <c r="O75" s="31">
        <f>632.717</f>
        <v>632.71699999999998</v>
      </c>
      <c r="P75" s="31">
        <v>583.10616100000004</v>
      </c>
      <c r="Q75" s="31">
        <v>523.71507729999996</v>
      </c>
      <c r="R75" s="31">
        <v>461.64507830000002</v>
      </c>
    </row>
    <row r="76" spans="1:26" x14ac:dyDescent="0.25">
      <c r="N76" s="31">
        <v>100</v>
      </c>
      <c r="O76" s="31">
        <v>723.39140350000002</v>
      </c>
      <c r="P76" s="31">
        <v>666.60400000000004</v>
      </c>
      <c r="Q76" s="31">
        <v>598.69738410000002</v>
      </c>
      <c r="R76" s="31">
        <v>527.72865669999999</v>
      </c>
    </row>
    <row r="77" spans="1:26" x14ac:dyDescent="0.25">
      <c r="N77" s="31">
        <v>120</v>
      </c>
      <c r="O77" s="31">
        <v>818.94420000000002</v>
      </c>
      <c r="P77" s="31">
        <v>754.64710000000002</v>
      </c>
      <c r="Q77" s="31">
        <v>677.76099999999997</v>
      </c>
      <c r="R77" s="31">
        <v>597.40899999999999</v>
      </c>
    </row>
    <row r="78" spans="1:26" x14ac:dyDescent="0.25">
      <c r="N78" s="31">
        <v>150</v>
      </c>
      <c r="O78" s="31">
        <v>970.19899999999996</v>
      </c>
      <c r="P78" s="31">
        <v>893.97918000000004</v>
      </c>
      <c r="Q78" s="31">
        <v>802.91459999999995</v>
      </c>
      <c r="R78" s="31">
        <v>707.70990800000004</v>
      </c>
    </row>
    <row r="79" spans="1:26" x14ac:dyDescent="0.25">
      <c r="N79" s="31">
        <v>200</v>
      </c>
      <c r="O79" s="31">
        <v>1147.06924</v>
      </c>
      <c r="P79" s="31">
        <v>1058.0510999999999</v>
      </c>
      <c r="Q79" s="31">
        <v>950.79798579999999</v>
      </c>
      <c r="R79" s="31">
        <v>838.65759609999998</v>
      </c>
    </row>
  </sheetData>
  <mergeCells count="13">
    <mergeCell ref="A54:I54"/>
    <mergeCell ref="K54:U54"/>
    <mergeCell ref="W54:AG54"/>
    <mergeCell ref="W3:AG3"/>
    <mergeCell ref="X16:AA16"/>
    <mergeCell ref="K3:U3"/>
    <mergeCell ref="L16:O16"/>
    <mergeCell ref="A3:I3"/>
    <mergeCell ref="B16:E16"/>
    <mergeCell ref="A28:K28"/>
    <mergeCell ref="A29:C29"/>
    <mergeCell ref="E29:G29"/>
    <mergeCell ref="I29:K2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8"/>
  <sheetViews>
    <sheetView topLeftCell="A7" zoomScaleNormal="100" workbookViewId="0">
      <selection activeCell="G32" sqref="G32"/>
    </sheetView>
  </sheetViews>
  <sheetFormatPr defaultRowHeight="15" x14ac:dyDescent="0.25"/>
  <cols>
    <col min="6" max="8" width="12.42578125" bestFit="1" customWidth="1"/>
    <col min="9" max="9" width="11.85546875" bestFit="1" customWidth="1"/>
    <col min="10" max="10" width="12.42578125" bestFit="1" customWidth="1"/>
  </cols>
  <sheetData>
    <row r="1" spans="1:9" x14ac:dyDescent="0.25">
      <c r="A1" t="s">
        <v>94</v>
      </c>
    </row>
    <row r="6" spans="1:9" x14ac:dyDescent="0.25">
      <c r="A6" s="74" t="s">
        <v>95</v>
      </c>
      <c r="B6" s="74"/>
      <c r="C6" s="74"/>
      <c r="D6" s="74"/>
    </row>
    <row r="12" spans="1:9" x14ac:dyDescent="0.25">
      <c r="C12" t="s">
        <v>96</v>
      </c>
    </row>
    <row r="15" spans="1:9" x14ac:dyDescent="0.25">
      <c r="D15" s="60" t="s">
        <v>98</v>
      </c>
      <c r="E15" s="60"/>
      <c r="F15" s="60"/>
      <c r="G15" s="60"/>
      <c r="H15" s="60"/>
      <c r="I15" s="60"/>
    </row>
    <row r="16" spans="1:9" x14ac:dyDescent="0.25">
      <c r="D16" t="s">
        <v>97</v>
      </c>
    </row>
    <row r="17" spans="4:10" x14ac:dyDescent="0.25">
      <c r="E17" s="41" t="s">
        <v>101</v>
      </c>
      <c r="F17" s="39">
        <v>15</v>
      </c>
      <c r="G17" s="39">
        <v>30</v>
      </c>
      <c r="H17" s="39">
        <v>45</v>
      </c>
      <c r="I17" s="39">
        <v>60</v>
      </c>
      <c r="J17" s="39">
        <v>90</v>
      </c>
    </row>
    <row r="18" spans="4:10" x14ac:dyDescent="0.25">
      <c r="D18" s="40" t="s">
        <v>99</v>
      </c>
      <c r="E18" s="40" t="s">
        <v>100</v>
      </c>
      <c r="F18" s="40" t="s">
        <v>102</v>
      </c>
      <c r="G18" s="40" t="s">
        <v>102</v>
      </c>
      <c r="H18" s="40" t="s">
        <v>102</v>
      </c>
      <c r="I18" s="40" t="s">
        <v>102</v>
      </c>
      <c r="J18" s="40" t="s">
        <v>102</v>
      </c>
    </row>
    <row r="19" spans="4:10" x14ac:dyDescent="0.25">
      <c r="D19" s="31">
        <v>0.1</v>
      </c>
      <c r="E19" s="31">
        <v>-0.4</v>
      </c>
      <c r="F19" s="31">
        <f>$F$17^F32</f>
        <v>0.5235155332798378</v>
      </c>
      <c r="G19" s="31">
        <f>$G$17^F32</f>
        <v>0.44359571328678815</v>
      </c>
      <c r="H19" s="31">
        <f>$H$17^F32</f>
        <v>0.40262786947974</v>
      </c>
      <c r="I19" s="31">
        <f>$I$17^F32</f>
        <v>0.3758764436531627</v>
      </c>
      <c r="J19" s="31">
        <f>$J$17^G32</f>
        <v>0.60042787660620134</v>
      </c>
    </row>
    <row r="20" spans="4:10" x14ac:dyDescent="0.25">
      <c r="D20" s="31">
        <v>0.2</v>
      </c>
      <c r="E20" s="31">
        <v>-0.3</v>
      </c>
      <c r="F20" s="31">
        <f t="shared" ref="F20:F28" si="0">$F$17^F33</f>
        <v>0.56120345468523114</v>
      </c>
      <c r="G20" s="31">
        <f t="shared" ref="G20:G28" si="1">$G$17^F33</f>
        <v>0.4840672181803094</v>
      </c>
      <c r="H20" s="31">
        <f t="shared" ref="H20:H28" si="2">$H$17^F33</f>
        <v>0.44395862992628554</v>
      </c>
      <c r="I20" s="31">
        <f t="shared" ref="I20:I28" si="3">$I$17^F33</f>
        <v>0.41753319542241552</v>
      </c>
      <c r="J20" s="31">
        <f t="shared" ref="J20:J28" si="4">$J$17^G33</f>
        <v>0.61230352393812426</v>
      </c>
    </row>
    <row r="21" spans="4:10" x14ac:dyDescent="0.25">
      <c r="D21" s="31">
        <v>0.3</v>
      </c>
      <c r="E21" s="31">
        <v>-0.2</v>
      </c>
      <c r="F21" s="31">
        <f t="shared" si="0"/>
        <v>0.6147535046888799</v>
      </c>
      <c r="G21" s="31">
        <f t="shared" si="1"/>
        <v>0.54277188307134738</v>
      </c>
      <c r="H21" s="31">
        <f t="shared" si="2"/>
        <v>0.50463854845328837</v>
      </c>
      <c r="I21" s="31">
        <f t="shared" si="3"/>
        <v>0.47921860519023946</v>
      </c>
      <c r="J21" s="31">
        <f t="shared" si="4"/>
        <v>0.62994805666218212</v>
      </c>
    </row>
    <row r="22" spans="4:10" x14ac:dyDescent="0.25">
      <c r="D22" s="31">
        <v>0.4</v>
      </c>
      <c r="E22" s="31">
        <v>-0.1</v>
      </c>
      <c r="F22" s="31">
        <f t="shared" si="0"/>
        <v>0.69277475000377997</v>
      </c>
      <c r="G22" s="31">
        <f t="shared" si="1"/>
        <v>0.63065276816473992</v>
      </c>
      <c r="H22" s="31">
        <f t="shared" si="2"/>
        <v>0.59692918951447449</v>
      </c>
      <c r="I22" s="31">
        <f t="shared" si="3"/>
        <v>0.57410134245175537</v>
      </c>
      <c r="J22" s="31">
        <f t="shared" si="4"/>
        <v>0.6573167500957463</v>
      </c>
    </row>
    <row r="23" spans="4:10" x14ac:dyDescent="0.25">
      <c r="D23" s="31">
        <v>0.5</v>
      </c>
      <c r="E23" s="31">
        <v>0</v>
      </c>
      <c r="F23" s="31">
        <f t="shared" si="0"/>
        <v>0.81025591036943323</v>
      </c>
      <c r="G23" s="31">
        <f t="shared" si="1"/>
        <v>0.76777387163380406</v>
      </c>
      <c r="H23" s="31">
        <f t="shared" si="2"/>
        <v>0.74396364083737843</v>
      </c>
      <c r="I23" s="31">
        <f t="shared" si="3"/>
        <v>0.72751918303785179</v>
      </c>
      <c r="J23" s="31">
        <f t="shared" si="4"/>
        <v>0.70241454095239531</v>
      </c>
    </row>
    <row r="24" spans="4:10" x14ac:dyDescent="0.25">
      <c r="D24" s="31">
        <v>0.6</v>
      </c>
      <c r="E24" s="31">
        <v>0.1</v>
      </c>
      <c r="F24" s="31">
        <f t="shared" si="0"/>
        <v>0.99497247214072548</v>
      </c>
      <c r="G24" s="31">
        <f t="shared" si="1"/>
        <v>0.99368970389293632</v>
      </c>
      <c r="H24" s="31">
        <f t="shared" si="2"/>
        <v>0.99294009936688343</v>
      </c>
      <c r="I24" s="31">
        <f t="shared" si="3"/>
        <v>0.99240858945409538</v>
      </c>
      <c r="J24" s="31">
        <f t="shared" si="4"/>
        <v>0.78356370185208135</v>
      </c>
    </row>
    <row r="25" spans="4:10" x14ac:dyDescent="0.25">
      <c r="D25" s="31">
        <v>0.7</v>
      </c>
      <c r="E25" s="31">
        <v>0.2</v>
      </c>
      <c r="F25" s="31">
        <f t="shared" si="0"/>
        <v>1.3023850130309635</v>
      </c>
      <c r="G25" s="31">
        <f t="shared" si="1"/>
        <v>1.3935028383448687</v>
      </c>
      <c r="H25" s="31">
        <f t="shared" si="2"/>
        <v>1.4497306136530961</v>
      </c>
      <c r="I25" s="31">
        <f t="shared" si="3"/>
        <v>1.4909954744918728</v>
      </c>
      <c r="J25" s="31">
        <f t="shared" si="4"/>
        <v>0.95083068102420676</v>
      </c>
    </row>
    <row r="26" spans="4:10" x14ac:dyDescent="0.25">
      <c r="D26" s="31">
        <v>0.8</v>
      </c>
      <c r="E26" s="31">
        <v>0.3</v>
      </c>
      <c r="F26" s="31">
        <f t="shared" si="0"/>
        <v>1.8536797037225747</v>
      </c>
      <c r="G26" s="31">
        <f t="shared" si="1"/>
        <v>2.1709025353737936</v>
      </c>
      <c r="H26" s="31">
        <f t="shared" si="2"/>
        <v>2.3810693647740337</v>
      </c>
      <c r="I26" s="31">
        <f t="shared" si="3"/>
        <v>2.542412159246306</v>
      </c>
      <c r="J26" s="31">
        <f t="shared" si="4"/>
        <v>1.385126936554989</v>
      </c>
    </row>
    <row r="27" spans="4:10" x14ac:dyDescent="0.25">
      <c r="D27" s="31">
        <v>0.9</v>
      </c>
      <c r="E27" s="31">
        <v>0.4</v>
      </c>
      <c r="F27" s="31">
        <f t="shared" si="0"/>
        <v>2.9444746306383327</v>
      </c>
      <c r="G27" s="31">
        <f t="shared" si="1"/>
        <v>3.8819874876041145</v>
      </c>
      <c r="H27" s="31">
        <f t="shared" si="2"/>
        <v>4.56327585900243</v>
      </c>
      <c r="I27" s="31">
        <f t="shared" si="3"/>
        <v>5.1180019338960712</v>
      </c>
      <c r="J27" s="31">
        <f t="shared" si="4"/>
        <v>3.1703626738827193</v>
      </c>
    </row>
    <row r="28" spans="4:10" x14ac:dyDescent="0.25">
      <c r="D28" s="31">
        <v>1</v>
      </c>
      <c r="E28" s="31">
        <v>0.5</v>
      </c>
      <c r="F28" s="31">
        <f t="shared" si="0"/>
        <v>5.4011654799242006</v>
      </c>
      <c r="G28" s="31">
        <f t="shared" si="1"/>
        <v>8.3171308238623674</v>
      </c>
      <c r="H28" s="31">
        <f t="shared" si="2"/>
        <v>10.706458577205796</v>
      </c>
      <c r="I28" s="31">
        <f t="shared" si="3"/>
        <v>12.80735896694139</v>
      </c>
      <c r="J28" s="31">
        <f t="shared" si="4"/>
        <v>27.117190839514286</v>
      </c>
    </row>
    <row r="29" spans="4:10" ht="15.75" thickBot="1" x14ac:dyDescent="0.3">
      <c r="E29" s="41"/>
      <c r="F29" s="39"/>
      <c r="G29" s="39"/>
      <c r="H29" s="39"/>
      <c r="I29" s="39"/>
      <c r="J29" s="39"/>
    </row>
    <row r="30" spans="4:10" ht="15.75" thickBot="1" x14ac:dyDescent="0.3">
      <c r="F30" s="43" t="s">
        <v>100</v>
      </c>
      <c r="G30" s="43" t="s">
        <v>100</v>
      </c>
      <c r="H30" s="43" t="s">
        <v>100</v>
      </c>
      <c r="I30" s="43" t="s">
        <v>100</v>
      </c>
      <c r="J30" s="43" t="s">
        <v>100</v>
      </c>
    </row>
    <row r="31" spans="4:10" x14ac:dyDescent="0.25">
      <c r="F31" s="43" t="s">
        <v>103</v>
      </c>
      <c r="G31" s="43" t="s">
        <v>103</v>
      </c>
    </row>
    <row r="32" spans="4:10" x14ac:dyDescent="0.25">
      <c r="D32" s="21"/>
      <c r="F32">
        <v>-0.23898692013595932</v>
      </c>
      <c r="G32">
        <v>-0.11336318369356002</v>
      </c>
    </row>
    <row r="33" spans="1:14" x14ac:dyDescent="0.25">
      <c r="F33">
        <v>-0.21331649415069226</v>
      </c>
      <c r="G33">
        <v>-0.10901064738392734</v>
      </c>
    </row>
    <row r="34" spans="1:14" x14ac:dyDescent="0.25">
      <c r="F34">
        <v>-0.17966206708630278</v>
      </c>
      <c r="G34">
        <v>-0.10269721312554458</v>
      </c>
    </row>
    <row r="35" spans="1:14" x14ac:dyDescent="0.25">
      <c r="C35" s="44"/>
      <c r="F35">
        <v>-0.13554045953361352</v>
      </c>
      <c r="G35">
        <v>-9.3246001852378371E-2</v>
      </c>
    </row>
    <row r="36" spans="1:14" x14ac:dyDescent="0.25">
      <c r="F36">
        <v>-7.7696175056300637E-2</v>
      </c>
      <c r="G36">
        <v>-7.8499216843117586E-2</v>
      </c>
    </row>
    <row r="37" spans="1:14" x14ac:dyDescent="0.25">
      <c r="F37">
        <v>-1.8611945947067388E-3</v>
      </c>
      <c r="G37">
        <v>-5.4202940600961549E-2</v>
      </c>
    </row>
    <row r="38" spans="1:14" x14ac:dyDescent="0.25">
      <c r="F38">
        <v>9.7559937736282909E-2</v>
      </c>
      <c r="G38">
        <v>-1.1204757327359871E-2</v>
      </c>
    </row>
    <row r="39" spans="1:14" x14ac:dyDescent="0.25">
      <c r="F39">
        <v>0.22790297328281545</v>
      </c>
      <c r="G39">
        <v>7.2401236996748247E-2</v>
      </c>
    </row>
    <row r="40" spans="1:14" x14ac:dyDescent="0.25">
      <c r="F40">
        <v>0.39878522454228021</v>
      </c>
      <c r="G40">
        <v>0.25642106534369996</v>
      </c>
    </row>
    <row r="41" spans="1:14" ht="15.75" thickBot="1" x14ac:dyDescent="0.3">
      <c r="F41" s="42">
        <v>0.62281517499619743</v>
      </c>
      <c r="G41" s="42">
        <v>0.73340165848640182</v>
      </c>
    </row>
    <row r="46" spans="1:14" x14ac:dyDescent="0.25">
      <c r="I46" s="36"/>
      <c r="J46" s="1"/>
      <c r="K46" s="1"/>
      <c r="L46" s="1"/>
      <c r="M46" s="1"/>
      <c r="N46" s="1"/>
    </row>
    <row r="47" spans="1:14" x14ac:dyDescent="0.25">
      <c r="I47" s="21"/>
      <c r="J47" s="21"/>
      <c r="K47" s="21"/>
      <c r="L47" s="21"/>
      <c r="M47" s="21"/>
      <c r="N47" s="21"/>
    </row>
    <row r="48" spans="1:14" x14ac:dyDescent="0.25">
      <c r="A48" s="44"/>
      <c r="B48" s="21"/>
      <c r="C48" s="44"/>
      <c r="E48" s="44"/>
    </row>
  </sheetData>
  <sortState xmlns:xlrd2="http://schemas.microsoft.com/office/spreadsheetml/2017/richdata2" ref="D19:E29">
    <sortCondition ref="D19"/>
  </sortState>
  <mergeCells count="2">
    <mergeCell ref="A6:D6"/>
    <mergeCell ref="D15:I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E31"/>
  <sheetViews>
    <sheetView zoomScaleNormal="100" workbookViewId="0">
      <selection activeCell="X32" sqref="X32"/>
    </sheetView>
  </sheetViews>
  <sheetFormatPr defaultRowHeight="15" x14ac:dyDescent="0.25"/>
  <cols>
    <col min="1" max="1" width="11" bestFit="1" customWidth="1"/>
    <col min="2" max="2" width="14.7109375" bestFit="1" customWidth="1"/>
    <col min="3" max="5" width="10" bestFit="1" customWidth="1"/>
    <col min="12" max="12" width="11" bestFit="1" customWidth="1"/>
    <col min="13" max="13" width="12" bestFit="1" customWidth="1"/>
    <col min="14" max="18" width="10" bestFit="1" customWidth="1"/>
    <col min="23" max="23" width="11" bestFit="1" customWidth="1"/>
  </cols>
  <sheetData>
    <row r="2" spans="1:31" x14ac:dyDescent="0.25">
      <c r="A2" s="36" t="s">
        <v>101</v>
      </c>
      <c r="B2" s="18">
        <v>90</v>
      </c>
      <c r="C2" s="1" t="s">
        <v>146</v>
      </c>
      <c r="L2" s="36" t="s">
        <v>101</v>
      </c>
      <c r="M2" s="18">
        <v>90</v>
      </c>
      <c r="N2" s="1" t="s">
        <v>146</v>
      </c>
      <c r="W2" s="36" t="s">
        <v>101</v>
      </c>
      <c r="X2" s="18">
        <v>90</v>
      </c>
      <c r="Y2" s="1" t="s">
        <v>146</v>
      </c>
    </row>
    <row r="3" spans="1:31" x14ac:dyDescent="0.25">
      <c r="A3" s="23" t="s">
        <v>144</v>
      </c>
      <c r="B3">
        <v>400</v>
      </c>
      <c r="C3" s="1" t="s">
        <v>145</v>
      </c>
      <c r="L3" s="23" t="s">
        <v>144</v>
      </c>
      <c r="M3">
        <v>20</v>
      </c>
      <c r="N3" s="1" t="s">
        <v>145</v>
      </c>
      <c r="W3" s="23" t="s">
        <v>144</v>
      </c>
      <c r="X3">
        <v>20</v>
      </c>
      <c r="Y3" s="1" t="s">
        <v>145</v>
      </c>
    </row>
    <row r="4" spans="1:31" x14ac:dyDescent="0.25">
      <c r="A4" s="68" t="s">
        <v>57</v>
      </c>
      <c r="B4" s="68"/>
      <c r="C4" s="68"/>
      <c r="D4" s="68"/>
      <c r="E4" s="68"/>
      <c r="F4" s="68"/>
      <c r="G4" s="68"/>
      <c r="H4" s="68"/>
      <c r="I4" s="68"/>
      <c r="L4" s="75" t="s">
        <v>139</v>
      </c>
      <c r="M4" s="76"/>
      <c r="N4" s="76"/>
      <c r="O4" s="76"/>
      <c r="P4" s="76"/>
      <c r="Q4" s="76"/>
      <c r="R4" s="76"/>
      <c r="S4" s="76"/>
      <c r="T4" s="77"/>
      <c r="W4" s="75" t="s">
        <v>67</v>
      </c>
      <c r="X4" s="76"/>
      <c r="Y4" s="76"/>
      <c r="Z4" s="76"/>
      <c r="AA4" s="76"/>
      <c r="AB4" s="76"/>
      <c r="AC4" s="76"/>
      <c r="AD4" s="76"/>
      <c r="AE4" s="77"/>
    </row>
    <row r="5" spans="1:31" x14ac:dyDescent="0.25">
      <c r="A5" s="23" t="s">
        <v>128</v>
      </c>
      <c r="B5">
        <v>10</v>
      </c>
      <c r="C5" s="1" t="s">
        <v>143</v>
      </c>
      <c r="L5" s="23" t="s">
        <v>128</v>
      </c>
      <c r="M5">
        <f>B5</f>
        <v>10</v>
      </c>
      <c r="N5" s="1" t="s">
        <v>143</v>
      </c>
      <c r="W5" s="23" t="s">
        <v>128</v>
      </c>
      <c r="X5">
        <f>M5</f>
        <v>10</v>
      </c>
      <c r="Y5" s="1" t="s">
        <v>143</v>
      </c>
    </row>
    <row r="6" spans="1:31" ht="15" customHeight="1" x14ac:dyDescent="0.25">
      <c r="A6" s="23" t="s">
        <v>129</v>
      </c>
      <c r="B6">
        <f>('stand pipe'!D2*(Deviation!B5/100))+((1-(Deviation!B5/100))*'stand pipe'!D11)</f>
        <v>13.45851</v>
      </c>
      <c r="C6" s="1" t="s">
        <v>142</v>
      </c>
      <c r="L6" s="23" t="s">
        <v>129</v>
      </c>
      <c r="M6">
        <f>((M5/100)*'stand pipe'!D2)+(1-(Deviation!M5/100))*'stand pipe'!D11</f>
        <v>13.45851</v>
      </c>
      <c r="N6" s="1" t="s">
        <v>142</v>
      </c>
      <c r="W6" s="23" t="s">
        <v>129</v>
      </c>
      <c r="X6">
        <f>((X5/100)*'stand pipe'!D2)+(1-(Deviation!X5/100))*'stand pipe'!D11</f>
        <v>13.45851</v>
      </c>
      <c r="Y6" s="1" t="s">
        <v>142</v>
      </c>
    </row>
    <row r="7" spans="1:31" ht="15" customHeight="1" x14ac:dyDescent="0.25">
      <c r="A7" s="36" t="s">
        <v>140</v>
      </c>
      <c r="B7">
        <f>'stand pipe'!L69</f>
        <v>108.94884910918996</v>
      </c>
      <c r="C7" s="1" t="s">
        <v>60</v>
      </c>
      <c r="L7" s="36" t="s">
        <v>140</v>
      </c>
      <c r="M7">
        <f>'stand pipe'!R69</f>
        <v>94.251063174726724</v>
      </c>
      <c r="N7" s="1" t="s">
        <v>60</v>
      </c>
      <c r="W7" s="36" t="s">
        <v>140</v>
      </c>
      <c r="X7">
        <f>'stand pipe'!W69</f>
        <v>101.54657517277221</v>
      </c>
      <c r="Y7" s="1" t="s">
        <v>60</v>
      </c>
    </row>
    <row r="8" spans="1:31" x14ac:dyDescent="0.25">
      <c r="A8" s="36" t="s">
        <v>141</v>
      </c>
      <c r="B8">
        <f>(1+(2.5*B5/100)+(10.5*(B5/100)^2)+(0.00273*EXP(16.6*B5/100)))*B7</f>
        <v>149.18996925060762</v>
      </c>
      <c r="C8" s="1" t="s">
        <v>60</v>
      </c>
      <c r="L8" s="36" t="s">
        <v>141</v>
      </c>
      <c r="M8">
        <f>(1+(2.5*M5/100)+(10.05*(M5/100)^2)+(0.00273*EXP(16.6*M5/100)))*M7</f>
        <v>128.63930991099792</v>
      </c>
      <c r="N8" s="1" t="s">
        <v>60</v>
      </c>
      <c r="W8" s="36" t="s">
        <v>141</v>
      </c>
      <c r="X8">
        <f>(1+(2.5*X5/100)+(10.05*(X5/100)^2)+(0.00273*EXP(16.6*X5/100)))*X7</f>
        <v>138.59664723181058</v>
      </c>
      <c r="Y8" s="1" t="s">
        <v>60</v>
      </c>
    </row>
    <row r="9" spans="1:31" x14ac:dyDescent="0.25">
      <c r="A9" s="36" t="s">
        <v>130</v>
      </c>
      <c r="B9">
        <f>'stand pipe'!L36</f>
        <v>0.39278531925590754</v>
      </c>
      <c r="C9" s="1" t="s">
        <v>111</v>
      </c>
      <c r="L9" s="36" t="s">
        <v>130</v>
      </c>
      <c r="M9">
        <f>'stand pipe'!U36</f>
        <v>0.68082788671023964</v>
      </c>
      <c r="N9" s="1" t="s">
        <v>111</v>
      </c>
      <c r="W9" s="36" t="s">
        <v>130</v>
      </c>
      <c r="X9">
        <f>'stand pipe'!AE38</f>
        <v>0.51302572310975669</v>
      </c>
      <c r="Y9" s="1" t="s">
        <v>111</v>
      </c>
    </row>
    <row r="10" spans="1:31" x14ac:dyDescent="0.25">
      <c r="A10" s="36" t="s">
        <v>131</v>
      </c>
      <c r="B10">
        <f>0.0013888*(((('stand pipe'!L5/'stand pipe'!U6)^2)*'stand pipe'!U6*B3)/(((('stand pipe'!L5/'stand pipe'!U6)^2)-1)*(('stand pipe'!U6^2)-('stand pipe'!L5^2))))*(((('stand pipe'!U6^3)-('stand pipe'!L5^3))/(3*'stand pipe'!U6))-(('stand pipe'!U6^2)-('stand pipe'!L5*'stand pipe'!U6)))</f>
        <v>0.47704047337278094</v>
      </c>
      <c r="C10" s="1" t="s">
        <v>111</v>
      </c>
      <c r="L10" s="36" t="s">
        <v>131</v>
      </c>
      <c r="M10">
        <f>0.0013888*(((('stand pipe'!L5/'stand pipe'!U6)^2)*'stand pipe'!U6*M3)/(((('stand pipe'!U4/'stand pipe'!U6)^2)-1)*(('stand pipe'!U6^2)-('stand pipe'!U4^2))))*(((('stand pipe'!U6^3)-('stand pipe'!U4^3))/(3*'stand pipe'!U6))-(('stand pipe'!U6^2)-('stand pipe'!U4*'stand pipe'!U6)))</f>
        <v>1.9582079999999991E-2</v>
      </c>
      <c r="N10" s="1" t="s">
        <v>111</v>
      </c>
      <c r="W10" s="36" t="s">
        <v>131</v>
      </c>
      <c r="X10">
        <f>0.0013888*(((('stand pipe'!AE34/'stand pipe'!U6)^2)*'stand pipe'!U6*X3)/(((('stand pipe'!AE34/'stand pipe'!U6)^2)-1)*(('stand pipe'!U6^2)-('stand pipe'!AE34^2))))*(((('stand pipe'!U6^3)-('stand pipe'!AE34^3))/(3*'stand pipe'!U6))-(('stand pipe'!U6^2)-('stand pipe'!AE34*'stand pipe'!U6)))</f>
        <v>5.2121910532544335E-2</v>
      </c>
      <c r="Y10" s="1" t="s">
        <v>111</v>
      </c>
    </row>
    <row r="11" spans="1:31" x14ac:dyDescent="0.25">
      <c r="L11" s="1"/>
      <c r="W11" s="1"/>
    </row>
    <row r="12" spans="1:31" x14ac:dyDescent="0.25">
      <c r="A12" s="55" t="s">
        <v>132</v>
      </c>
      <c r="B12">
        <f>('stand pipe'!L5/'stand pipe'!U6)^-(2.021)</f>
        <v>3.6158729179536007</v>
      </c>
      <c r="L12" s="36" t="s">
        <v>132</v>
      </c>
      <c r="M12">
        <f>('stand pipe'!U4/'stand pipe'!U6)^-(2.021)</f>
        <v>1.719720051646638</v>
      </c>
      <c r="W12" s="36" t="s">
        <v>132</v>
      </c>
      <c r="X12">
        <f>('stand pipe'!AE34/'stand pipe'!U6)^-(2.021)</f>
        <v>1.2052493560124227</v>
      </c>
    </row>
    <row r="13" spans="1:31" x14ac:dyDescent="0.25">
      <c r="A13" s="55" t="s">
        <v>133</v>
      </c>
      <c r="B13">
        <f>B5^0.17</f>
        <v>1.4791083881682074</v>
      </c>
      <c r="L13" s="36" t="s">
        <v>133</v>
      </c>
      <c r="M13">
        <f>M5^0.17</f>
        <v>1.4791083881682074</v>
      </c>
      <c r="W13" s="36" t="s">
        <v>133</v>
      </c>
      <c r="X13">
        <f>X5^0.17</f>
        <v>1.4791083881682074</v>
      </c>
    </row>
    <row r="14" spans="1:31" x14ac:dyDescent="0.25">
      <c r="A14" s="55" t="s">
        <v>134</v>
      </c>
      <c r="B14">
        <f>(928.341*(B6*B9*('stand pipe'!U6-'stand pipe'!L5))/Deviation!B8)^-1</f>
        <v>7.600109910083962E-3</v>
      </c>
      <c r="L14" s="36" t="s">
        <v>134</v>
      </c>
      <c r="M14">
        <f>(928.341*(M6*M9*('stand pipe'!U6-'stand pipe'!U4))/Deviation!M8)^-1</f>
        <v>7.5613938002761097E-3</v>
      </c>
      <c r="W14" s="36" t="s">
        <v>134</v>
      </c>
      <c r="X14">
        <f>(928.341*(X6*X9*('stand pipe'!U6-'stand pipe'!AE34))/Deviation!X8)^-1</f>
        <v>2.8830210074709622E-2</v>
      </c>
    </row>
    <row r="15" spans="1:31" x14ac:dyDescent="0.25">
      <c r="A15" s="55" t="s">
        <v>135</v>
      </c>
      <c r="B15">
        <f>(928.341*('stand pipe'!U6-'stand pipe'!L5)*Deviation!B10/Deviation!B8)^1</f>
        <v>11.873619448166947</v>
      </c>
      <c r="L15" s="36" t="s">
        <v>135</v>
      </c>
      <c r="M15">
        <f>(928.341*('stand pipe'!U6-'stand pipe'!U4)*Deviation!M10/Deviation!M8)^1</f>
        <v>0.28263285525796811</v>
      </c>
      <c r="W15" s="36" t="s">
        <v>135</v>
      </c>
      <c r="X15">
        <f>(928.341*('stand pipe'!U6-'stand pipe'!AE34)*Deviation!X10/Deviation!X8)^1</f>
        <v>0.2618402438593786</v>
      </c>
    </row>
    <row r="16" spans="1:31" x14ac:dyDescent="0.25">
      <c r="A16" s="55" t="s">
        <v>136</v>
      </c>
      <c r="B16">
        <f>(144*(B9^2)/(32.174*('stand pipe'!U6-'stand pipe'!L5)))^0.5</f>
        <v>0.41548367932567404</v>
      </c>
      <c r="L16" s="36" t="s">
        <v>136</v>
      </c>
      <c r="M16">
        <f>(144*(M9^2)/(32.174*('stand pipe'!U6-'stand pipe'!U4)))^0.5</f>
        <v>1.0184766006948729</v>
      </c>
      <c r="W16" s="36" t="s">
        <v>136</v>
      </c>
      <c r="X16">
        <f>(144*(X9^2)/(32.174*('stand pipe'!U6-'stand pipe'!AE34)))^0.5</f>
        <v>1.2532485961277335</v>
      </c>
    </row>
    <row r="17" spans="1:29" x14ac:dyDescent="0.25">
      <c r="A17" s="55" t="s">
        <v>137</v>
      </c>
      <c r="B17">
        <f>((B3/60)*('stand pipe'!U6-'stand pipe'!L5)/12/Deviation!B9)^-1.1</f>
        <v>0.14862933583318172</v>
      </c>
      <c r="L17" s="36" t="s">
        <v>137</v>
      </c>
      <c r="M17">
        <f>((M3/60)*('stand pipe'!U6-'stand pipe'!U4)/12/Deviation!M9)^-1.1</f>
        <v>15.744933306845104</v>
      </c>
      <c r="W17" s="36" t="s">
        <v>137</v>
      </c>
      <c r="X17">
        <f>((X3/60)*('stand pipe'!U6-'stand pipe'!AE34)/12/Deviation!X9)^-1.1</f>
        <v>33.924887520763377</v>
      </c>
    </row>
    <row r="18" spans="1:29" x14ac:dyDescent="0.25">
      <c r="A18" s="55" t="s">
        <v>138</v>
      </c>
      <c r="B18">
        <f>B2^0.5</f>
        <v>9.4868329805051381</v>
      </c>
      <c r="L18" s="55" t="s">
        <v>138</v>
      </c>
      <c r="M18">
        <f>M2^0.5</f>
        <v>9.4868329805051381</v>
      </c>
      <c r="W18" s="36" t="s">
        <v>138</v>
      </c>
      <c r="X18">
        <f>X2^0.5</f>
        <v>9.4868329805051381</v>
      </c>
    </row>
    <row r="19" spans="1:29" x14ac:dyDescent="0.25">
      <c r="A19" s="55" t="s">
        <v>147</v>
      </c>
      <c r="B19">
        <f>928.341*(B6*B9*'stand pipe'!D3)/Deviation!B8</f>
        <v>8.2235652825328067</v>
      </c>
      <c r="L19" s="55" t="s">
        <v>147</v>
      </c>
      <c r="M19">
        <f>928.341*(M6*M9*'stand pipe'!D3)/Deviation!M8</f>
        <v>16.531343731288739</v>
      </c>
      <c r="W19" s="55" t="s">
        <v>147</v>
      </c>
      <c r="X19">
        <f>928.341*(X6*X9*'stand pipe'!D3)/Deviation!X8</f>
        <v>11.561946044428561</v>
      </c>
    </row>
    <row r="21" spans="1:29" x14ac:dyDescent="0.25">
      <c r="A21" s="55" t="s">
        <v>148</v>
      </c>
      <c r="B21" s="58">
        <f>B12*B13*B14*B15*B16*B17*B18</f>
        <v>0.28274564066285063</v>
      </c>
      <c r="L21" s="55" t="s">
        <v>148</v>
      </c>
      <c r="M21">
        <f>M12*M13*M14*M15*M16*M17*M18</f>
        <v>0.82698073706225617</v>
      </c>
      <c r="W21" s="55" t="s">
        <v>148</v>
      </c>
      <c r="X21">
        <f>X12*X13*X14*X15*X16*X17*X18</f>
        <v>5.427977137327983</v>
      </c>
    </row>
    <row r="23" spans="1:29" x14ac:dyDescent="0.25">
      <c r="A23" s="55" t="s">
        <v>144</v>
      </c>
      <c r="B23" s="21">
        <v>20</v>
      </c>
      <c r="C23" s="21">
        <v>40</v>
      </c>
      <c r="D23" s="21">
        <v>80</v>
      </c>
      <c r="E23" s="21">
        <v>120</v>
      </c>
      <c r="F23" s="21">
        <v>200</v>
      </c>
      <c r="G23" s="21">
        <v>400</v>
      </c>
      <c r="L23" s="55" t="s">
        <v>144</v>
      </c>
      <c r="M23" s="21">
        <v>20</v>
      </c>
      <c r="N23" s="21">
        <v>40</v>
      </c>
      <c r="O23" s="21">
        <v>80</v>
      </c>
      <c r="P23" s="21">
        <v>120</v>
      </c>
      <c r="Q23" s="21">
        <v>200</v>
      </c>
      <c r="R23" s="21">
        <v>400</v>
      </c>
      <c r="W23" s="55" t="s">
        <v>144</v>
      </c>
      <c r="X23" s="21">
        <v>20</v>
      </c>
      <c r="Y23" s="21">
        <v>40</v>
      </c>
      <c r="Z23" s="21">
        <v>80</v>
      </c>
      <c r="AA23" s="21">
        <v>120</v>
      </c>
      <c r="AB23" s="21">
        <v>200</v>
      </c>
      <c r="AC23" s="21">
        <v>400</v>
      </c>
    </row>
    <row r="24" spans="1:29" x14ac:dyDescent="0.25">
      <c r="A24" s="57" t="s">
        <v>150</v>
      </c>
      <c r="B24" s="56" t="s">
        <v>149</v>
      </c>
      <c r="C24" s="56" t="s">
        <v>149</v>
      </c>
      <c r="D24" s="56" t="s">
        <v>149</v>
      </c>
      <c r="E24" s="56" t="s">
        <v>149</v>
      </c>
      <c r="F24" s="56" t="s">
        <v>149</v>
      </c>
      <c r="G24" s="56" t="s">
        <v>149</v>
      </c>
      <c r="L24" s="57" t="s">
        <v>150</v>
      </c>
      <c r="M24" s="56" t="s">
        <v>149</v>
      </c>
      <c r="N24" s="56" t="s">
        <v>149</v>
      </c>
      <c r="O24" s="56" t="s">
        <v>149</v>
      </c>
      <c r="P24" s="56" t="s">
        <v>149</v>
      </c>
      <c r="Q24" s="56" t="s">
        <v>149</v>
      </c>
      <c r="R24" s="56" t="s">
        <v>149</v>
      </c>
      <c r="W24" s="57" t="s">
        <v>150</v>
      </c>
      <c r="X24" s="56" t="s">
        <v>149</v>
      </c>
      <c r="Y24" s="56" t="s">
        <v>149</v>
      </c>
      <c r="Z24" s="56" t="s">
        <v>149</v>
      </c>
      <c r="AA24" s="56" t="s">
        <v>149</v>
      </c>
      <c r="AB24" s="56" t="s">
        <v>149</v>
      </c>
      <c r="AC24" s="56" t="s">
        <v>149</v>
      </c>
    </row>
    <row r="25" spans="1:29" x14ac:dyDescent="0.25">
      <c r="A25" s="20">
        <v>10</v>
      </c>
      <c r="B25" s="20">
        <v>0.12</v>
      </c>
      <c r="C25" s="20">
        <v>0.11867</v>
      </c>
      <c r="D25" s="20">
        <v>0.11</v>
      </c>
      <c r="E25" s="20">
        <v>0.106</v>
      </c>
      <c r="F25" s="20">
        <v>0.10101</v>
      </c>
      <c r="G25" s="20">
        <v>9.4240000000000004E-2</v>
      </c>
      <c r="L25" s="20">
        <v>10</v>
      </c>
      <c r="M25" s="20">
        <v>0.159</v>
      </c>
      <c r="N25" s="20">
        <v>0.14399999999999999</v>
      </c>
      <c r="O25" s="20">
        <v>0.1384</v>
      </c>
      <c r="P25" s="20">
        <v>0.13289999999999999</v>
      </c>
      <c r="Q25" s="20">
        <v>0.1263</v>
      </c>
      <c r="R25" s="20">
        <v>0.117867</v>
      </c>
      <c r="W25" s="20">
        <v>10</v>
      </c>
      <c r="X25">
        <v>1.8092999999999999</v>
      </c>
      <c r="Y25">
        <v>1.6880999999999999</v>
      </c>
      <c r="Z25">
        <v>1.575</v>
      </c>
      <c r="AA25">
        <v>1.512</v>
      </c>
      <c r="AB25">
        <v>1.4370000000000001</v>
      </c>
      <c r="AC25">
        <v>1.3409</v>
      </c>
    </row>
    <row r="26" spans="1:29" x14ac:dyDescent="0.25">
      <c r="A26" s="20">
        <v>20</v>
      </c>
      <c r="B26" s="20">
        <v>0.17979999999999999</v>
      </c>
      <c r="C26" s="20">
        <v>0.16778999999999999</v>
      </c>
      <c r="D26" s="20">
        <v>0.1565</v>
      </c>
      <c r="E26" s="20">
        <v>0.15029999999999999</v>
      </c>
      <c r="F26" s="20">
        <v>0.14280000000000001</v>
      </c>
      <c r="G26" s="20">
        <v>0.1333</v>
      </c>
      <c r="L26" s="20">
        <v>20</v>
      </c>
      <c r="M26" s="20">
        <v>0.22489999999999999</v>
      </c>
      <c r="N26" s="20">
        <v>0.20979999999999999</v>
      </c>
      <c r="O26" s="20">
        <v>0.1958</v>
      </c>
      <c r="P26" s="20">
        <v>0.188</v>
      </c>
      <c r="Q26" s="20">
        <v>0.17865</v>
      </c>
      <c r="R26" s="20">
        <v>0.16669</v>
      </c>
      <c r="W26" s="20">
        <v>20</v>
      </c>
      <c r="X26">
        <v>2.5587</v>
      </c>
      <c r="Y26">
        <v>2.3874</v>
      </c>
      <c r="Z26">
        <v>2.2275</v>
      </c>
      <c r="AA26">
        <v>2.1389999999999998</v>
      </c>
      <c r="AB26">
        <v>2.0325000000000002</v>
      </c>
      <c r="AC26">
        <v>1.8959999999999999</v>
      </c>
    </row>
    <row r="27" spans="1:29" x14ac:dyDescent="0.25">
      <c r="A27" s="20">
        <v>40</v>
      </c>
      <c r="B27" s="20">
        <v>0.25433</v>
      </c>
      <c r="C27" s="20">
        <v>0.23730000000000001</v>
      </c>
      <c r="D27" s="20">
        <v>0.22140000000000001</v>
      </c>
      <c r="E27" s="20">
        <v>0.21199999999999999</v>
      </c>
      <c r="F27" s="20">
        <v>0.20202000000000001</v>
      </c>
      <c r="G27" s="20">
        <v>0.18848999999999999</v>
      </c>
      <c r="L27" s="20">
        <v>40</v>
      </c>
      <c r="M27" s="20">
        <v>0.318</v>
      </c>
      <c r="N27" s="20">
        <v>0.29670000000000002</v>
      </c>
      <c r="O27" s="20">
        <v>0.27689999999999998</v>
      </c>
      <c r="P27" s="20">
        <v>0.26579999999999998</v>
      </c>
      <c r="Q27" s="20">
        <v>0.25259999999999999</v>
      </c>
      <c r="R27" s="20">
        <v>0.23573</v>
      </c>
      <c r="W27" s="20">
        <v>40</v>
      </c>
      <c r="X27">
        <v>3.6179999999999999</v>
      </c>
      <c r="Y27">
        <v>3.3763000000000001</v>
      </c>
      <c r="Z27">
        <v>3.1509</v>
      </c>
      <c r="AA27">
        <v>3.0249999999999999</v>
      </c>
      <c r="AB27">
        <f>2.8744</f>
        <v>2.8744000000000001</v>
      </c>
      <c r="AC27">
        <v>2.6819069999999998</v>
      </c>
    </row>
    <row r="28" spans="1:29" x14ac:dyDescent="0.25">
      <c r="A28" s="20">
        <v>45</v>
      </c>
      <c r="B28" s="20">
        <v>0.2697</v>
      </c>
      <c r="C28" s="20">
        <v>0.25164999999999998</v>
      </c>
      <c r="D28" s="20">
        <v>0.23480000000000001</v>
      </c>
      <c r="E28" s="20">
        <v>0.22550999999999999</v>
      </c>
      <c r="F28" s="20">
        <v>0.2142</v>
      </c>
      <c r="G28" s="20">
        <v>0.19989999999999999</v>
      </c>
      <c r="L28" s="20">
        <v>45</v>
      </c>
      <c r="M28" s="20">
        <v>0.33729999999999999</v>
      </c>
      <c r="N28" s="20">
        <v>0.31469999999999998</v>
      </c>
      <c r="O28" s="20">
        <v>0.29360000000000003</v>
      </c>
      <c r="P28" s="20">
        <v>0.28199999999999997</v>
      </c>
      <c r="Q28" s="20">
        <v>0.26790000000000003</v>
      </c>
      <c r="R28" s="20">
        <v>0.25</v>
      </c>
      <c r="W28" s="20">
        <v>45</v>
      </c>
      <c r="X28">
        <v>3.8380999999999998</v>
      </c>
      <c r="Y28">
        <v>3.5811000000000002</v>
      </c>
      <c r="Z28">
        <v>3.3412999999999999</v>
      </c>
      <c r="AA28">
        <v>3.2084999999999999</v>
      </c>
      <c r="AB28">
        <v>3.048</v>
      </c>
      <c r="AC28">
        <v>2.8445</v>
      </c>
    </row>
    <row r="29" spans="1:29" x14ac:dyDescent="0.25">
      <c r="A29" s="20">
        <v>60</v>
      </c>
      <c r="B29" s="20">
        <v>0.31148999999999999</v>
      </c>
      <c r="C29" s="20">
        <v>0.29060000000000002</v>
      </c>
      <c r="D29" s="20">
        <v>0.27711000000000002</v>
      </c>
      <c r="E29" s="20">
        <v>0.26029999999999998</v>
      </c>
      <c r="F29" s="20">
        <v>0.24740000000000001</v>
      </c>
      <c r="G29" s="20">
        <v>0.23086000000000001</v>
      </c>
      <c r="L29" s="20">
        <v>60</v>
      </c>
      <c r="M29" s="20">
        <v>0.38950000000000001</v>
      </c>
      <c r="N29" s="20">
        <v>0.3634</v>
      </c>
      <c r="O29" s="20">
        <v>0.33911999999999998</v>
      </c>
      <c r="P29" s="20">
        <v>0.32650000000000001</v>
      </c>
      <c r="Q29" s="20">
        <v>0.30942999999999998</v>
      </c>
      <c r="R29" s="20">
        <v>0.28871000000000002</v>
      </c>
      <c r="W29" s="20">
        <v>60</v>
      </c>
      <c r="X29">
        <v>4.4318999999999997</v>
      </c>
      <c r="Y29">
        <v>4.1351000000000004</v>
      </c>
      <c r="Z29">
        <v>3.8519999999999999</v>
      </c>
      <c r="AA29">
        <v>3.7050000000000001</v>
      </c>
      <c r="AB29">
        <v>3.52</v>
      </c>
      <c r="AC29">
        <v>3.2846000000000002</v>
      </c>
    </row>
    <row r="30" spans="1:29" x14ac:dyDescent="0.25">
      <c r="A30" s="20">
        <v>80</v>
      </c>
      <c r="B30" s="20">
        <v>0.35970000000000002</v>
      </c>
      <c r="C30" s="20">
        <v>0.33559</v>
      </c>
      <c r="D30" s="20">
        <v>0.31309999999999999</v>
      </c>
      <c r="E30" s="20">
        <v>0.30070000000000002</v>
      </c>
      <c r="F30" s="20">
        <v>0.28570000000000001</v>
      </c>
      <c r="G30" s="20">
        <v>0.26657500000000001</v>
      </c>
      <c r="L30" s="20">
        <v>80</v>
      </c>
      <c r="M30" s="20">
        <v>0.44979999999999998</v>
      </c>
      <c r="N30" s="20">
        <v>0.41970000000000002</v>
      </c>
      <c r="O30" s="20">
        <v>0.39158999999999999</v>
      </c>
      <c r="P30" s="20">
        <v>0.376</v>
      </c>
      <c r="Q30" s="20">
        <v>0.35730000000000001</v>
      </c>
      <c r="R30" s="20">
        <v>0.33337</v>
      </c>
      <c r="W30" s="20">
        <v>80</v>
      </c>
      <c r="X30">
        <v>5.1174999999999997</v>
      </c>
      <c r="Y30">
        <v>4.7747999999999999</v>
      </c>
      <c r="Z30">
        <v>4.4550000000000001</v>
      </c>
      <c r="AA30">
        <v>4.2779999999999996</v>
      </c>
      <c r="AB30">
        <v>4.0650000000000004</v>
      </c>
      <c r="AC30">
        <v>3.7930000000000001</v>
      </c>
    </row>
    <row r="31" spans="1:29" x14ac:dyDescent="0.25">
      <c r="A31" s="20">
        <v>90</v>
      </c>
      <c r="B31" s="20">
        <v>0.38150000000000001</v>
      </c>
      <c r="C31" s="20">
        <v>0.35594999999999999</v>
      </c>
      <c r="D31" s="20">
        <v>0.33221000000000001</v>
      </c>
      <c r="E31" s="20">
        <v>0.31890000000000002</v>
      </c>
      <c r="F31" s="20">
        <v>0.30299999999999999</v>
      </c>
      <c r="G31" s="20">
        <v>0.28270000000000001</v>
      </c>
      <c r="L31" s="20">
        <v>90</v>
      </c>
      <c r="M31" s="20">
        <v>0.47699999999999998</v>
      </c>
      <c r="N31" s="20">
        <v>0.44540000000000002</v>
      </c>
      <c r="O31" s="20">
        <v>0.4153</v>
      </c>
      <c r="P31" s="20">
        <v>0.39883000000000002</v>
      </c>
      <c r="Q31" s="20">
        <v>0.37890000000000001</v>
      </c>
      <c r="R31" s="20">
        <f>0.35359</f>
        <v>0.35359000000000002</v>
      </c>
      <c r="W31" s="20">
        <v>90</v>
      </c>
      <c r="X31">
        <v>5.4279000000000002</v>
      </c>
      <c r="Y31">
        <v>5.0644</v>
      </c>
      <c r="Z31">
        <v>4.7252999999999998</v>
      </c>
      <c r="AA31">
        <v>4.5369999999999999</v>
      </c>
      <c r="AB31">
        <v>4.3099999999999996</v>
      </c>
      <c r="AC31">
        <v>4.0228000000000002</v>
      </c>
    </row>
  </sheetData>
  <mergeCells count="3">
    <mergeCell ref="A4:I4"/>
    <mergeCell ref="L4:T4"/>
    <mergeCell ref="W4:A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stand pipe</vt:lpstr>
      <vt:lpstr>pipe rotation &amp; Eccentricity</vt:lpstr>
      <vt:lpstr>buckingham constant for theta</vt:lpstr>
      <vt:lpstr>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Engineering Core</dc:creator>
  <cp:lastModifiedBy>Krishna Bharatula</cp:lastModifiedBy>
  <dcterms:created xsi:type="dcterms:W3CDTF">2016-10-16T20:58:45Z</dcterms:created>
  <dcterms:modified xsi:type="dcterms:W3CDTF">2023-09-06T10:34:26Z</dcterms:modified>
</cp:coreProperties>
</file>