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n.jha\AppData\Local\Microsoft\Windows\INetCache\Content.Outlook\1WI8QU8O\"/>
    </mc:Choice>
  </mc:AlternateContent>
  <bookViews>
    <workbookView xWindow="240" yWindow="855" windowWidth="15120" windowHeight="7215"/>
  </bookViews>
  <sheets>
    <sheet name="Main Sheet" sheetId="1" r:id="rId1"/>
    <sheet name="Manpower Backup" sheetId="2" r:id="rId2"/>
    <sheet name="Production in Sqm" sheetId="3" r:id="rId3"/>
    <sheet name="Dashboards" sheetId="4" r:id="rId4"/>
    <sheet name="Prod Annualized" sheetId="5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calcPr calcId="162913"/>
</workbook>
</file>

<file path=xl/calcChain.xml><?xml version="1.0" encoding="utf-8"?>
<calcChain xmlns="http://schemas.openxmlformats.org/spreadsheetml/2006/main">
  <c r="AZ40" i="3" l="1"/>
  <c r="AY40" i="3"/>
  <c r="AX40" i="3"/>
  <c r="AW40" i="3"/>
  <c r="AV40" i="3"/>
  <c r="AU40" i="3"/>
  <c r="AT40" i="3"/>
  <c r="AS40" i="3"/>
  <c r="AR40" i="3"/>
  <c r="AQ40" i="3"/>
  <c r="AP40" i="3"/>
  <c r="AO40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DA12" i="1" l="1"/>
  <c r="DB11" i="1" l="1"/>
  <c r="CW2" i="1"/>
  <c r="CJ66" i="1" l="1"/>
  <c r="CJ50" i="1"/>
  <c r="CJ34" i="1"/>
  <c r="CJ18" i="1"/>
  <c r="AT32" i="3"/>
  <c r="AT23" i="3"/>
  <c r="AT14" i="3"/>
  <c r="AZ50" i="3"/>
  <c r="CI86" i="1" s="1"/>
  <c r="AZ49" i="3"/>
  <c r="AZ48" i="3"/>
  <c r="AZ41" i="3"/>
  <c r="CI52" i="1" s="1"/>
  <c r="BA40" i="3"/>
  <c r="AZ39" i="3"/>
  <c r="AZ32" i="3"/>
  <c r="CI36" i="1" s="1"/>
  <c r="BA31" i="3"/>
  <c r="AZ30" i="3"/>
  <c r="BA22" i="3"/>
  <c r="AZ23" i="3"/>
  <c r="CI20" i="1" s="1"/>
  <c r="CI22" i="1"/>
  <c r="AZ21" i="3"/>
  <c r="BA13" i="3"/>
  <c r="AZ14" i="3"/>
  <c r="CI4" i="1" s="1"/>
  <c r="CI6" i="1"/>
  <c r="AZ12" i="3"/>
  <c r="CI8" i="1" l="1"/>
  <c r="CI38" i="1"/>
  <c r="CI54" i="1"/>
  <c r="CI56" i="1" s="1"/>
  <c r="CI24" i="1"/>
  <c r="CI68" i="1"/>
  <c r="CI70" i="1" l="1"/>
  <c r="CI40" i="1"/>
  <c r="CI72" i="1"/>
  <c r="CZ7" i="1" l="1"/>
  <c r="DA74" i="1" l="1"/>
  <c r="DG8" i="1"/>
  <c r="DC8" i="1"/>
  <c r="DI7" i="1"/>
  <c r="DI8" i="1" s="1"/>
  <c r="DH7" i="1"/>
  <c r="DH8" i="1" s="1"/>
  <c r="DG7" i="1"/>
  <c r="DF7" i="1"/>
  <c r="DF8" i="1" s="1"/>
  <c r="DE7" i="1"/>
  <c r="DE8" i="1" s="1"/>
  <c r="DD7" i="1"/>
  <c r="DD8" i="1" s="1"/>
  <c r="DC7" i="1"/>
  <c r="DB7" i="1"/>
  <c r="DB8" i="1" s="1"/>
  <c r="DA7" i="1"/>
  <c r="DA8" i="1" s="1"/>
  <c r="DI9" i="1" l="1"/>
  <c r="DA13" i="1" s="1"/>
  <c r="DD11" i="1"/>
  <c r="DC11" i="1"/>
  <c r="DE11" i="1" s="1"/>
  <c r="DA11" i="1"/>
  <c r="DA75" i="1" l="1"/>
  <c r="DA76" i="1" s="1"/>
  <c r="DA14" i="1"/>
  <c r="JA58" i="2"/>
  <c r="JA57" i="2"/>
  <c r="JA71" i="2" l="1"/>
  <c r="JA69" i="2"/>
  <c r="JN56" i="2" l="1"/>
  <c r="JA56" i="2" s="1"/>
  <c r="KA45" i="2" l="1"/>
  <c r="JA17" i="2"/>
  <c r="JN6" i="2"/>
  <c r="JA6" i="2"/>
  <c r="JA5" i="2"/>
  <c r="JA4" i="2"/>
  <c r="JN32" i="2" l="1"/>
  <c r="LA45" i="2"/>
  <c r="KN45" i="2"/>
  <c r="JN19" i="2"/>
  <c r="JN45" i="2"/>
  <c r="JA45" i="2" s="1"/>
  <c r="IN6" i="2"/>
  <c r="IA6" i="2" s="1"/>
  <c r="JN30" i="2"/>
  <c r="LA43" i="2"/>
  <c r="JN17" i="2"/>
  <c r="IN17" i="2" l="1"/>
  <c r="IA17" i="2" s="1"/>
  <c r="JN43" i="2"/>
  <c r="KN43" i="2"/>
  <c r="IN4" i="2"/>
  <c r="IA4" i="2" s="1"/>
  <c r="JA43" i="2" l="1"/>
  <c r="JN18" i="2" l="1"/>
  <c r="IN5" i="2" l="1"/>
  <c r="IA5" i="2" s="1"/>
  <c r="KN44" i="2" l="1"/>
  <c r="CN2" i="1" l="1"/>
  <c r="CM2" i="1"/>
  <c r="CL2" i="1"/>
  <c r="AY50" i="3" l="1"/>
  <c r="CH86" i="1" s="1"/>
  <c r="AY49" i="3"/>
  <c r="AY48" i="3"/>
  <c r="AY41" i="3"/>
  <c r="CH52" i="1" s="1"/>
  <c r="CH54" i="1"/>
  <c r="AY39" i="3"/>
  <c r="AY32" i="3"/>
  <c r="CH36" i="1" s="1"/>
  <c r="CH38" i="1"/>
  <c r="AY30" i="3"/>
  <c r="AY23" i="3"/>
  <c r="CH20" i="1" s="1"/>
  <c r="CH22" i="1"/>
  <c r="AY21" i="3"/>
  <c r="AY14" i="3"/>
  <c r="CH4" i="1" s="1"/>
  <c r="CH6" i="1"/>
  <c r="AY12" i="3"/>
  <c r="CH8" i="1" l="1"/>
  <c r="CH70" i="1"/>
  <c r="CH56" i="1"/>
  <c r="CH68" i="1"/>
  <c r="CH40" i="1"/>
  <c r="CH24" i="1"/>
  <c r="CH72" i="1" l="1"/>
  <c r="JM56" i="2" l="1"/>
  <c r="JZ45" i="2" l="1"/>
  <c r="IZ17" i="2"/>
  <c r="JM6" i="2"/>
  <c r="IZ6" i="2"/>
  <c r="IZ5" i="2"/>
  <c r="IZ4" i="2"/>
  <c r="JL32" i="2" l="1"/>
  <c r="AX50" i="3" l="1"/>
  <c r="CG86" i="1" s="1"/>
  <c r="AX49" i="3"/>
  <c r="AX48" i="3"/>
  <c r="AX41" i="3"/>
  <c r="CG52" i="1" s="1"/>
  <c r="CG54" i="1"/>
  <c r="AX39" i="3"/>
  <c r="AX32" i="3"/>
  <c r="CG36" i="1" s="1"/>
  <c r="CG38" i="1"/>
  <c r="AX30" i="3"/>
  <c r="AX23" i="3"/>
  <c r="CG20" i="1" s="1"/>
  <c r="AX25" i="3"/>
  <c r="CG22" i="1"/>
  <c r="AX21" i="3"/>
  <c r="AX14" i="3"/>
  <c r="CG4" i="1" s="1"/>
  <c r="CG6" i="1"/>
  <c r="AX12" i="3"/>
  <c r="CG56" i="1" l="1"/>
  <c r="CG68" i="1"/>
  <c r="CG70" i="1"/>
  <c r="CG8" i="1"/>
  <c r="CG24" i="1"/>
  <c r="CG40" i="1"/>
  <c r="CG72" i="1" l="1"/>
  <c r="JL56" i="2"/>
  <c r="JY45" i="2" l="1"/>
  <c r="IY71" i="2" l="1"/>
  <c r="KY45" i="2"/>
  <c r="KL45" i="2"/>
  <c r="JL45" i="2"/>
  <c r="KL44" i="2"/>
  <c r="JL19" i="2" l="1"/>
  <c r="JL18" i="2"/>
  <c r="IY17" i="2"/>
  <c r="IL6" i="2"/>
  <c r="JL6" i="2"/>
  <c r="IY6" i="2"/>
  <c r="IY5" i="2"/>
  <c r="IL5" i="2" s="1"/>
  <c r="IY4" i="2"/>
  <c r="CT2" i="1" l="1"/>
  <c r="AW50" i="3"/>
  <c r="CF86" i="1" s="1"/>
  <c r="AW49" i="3"/>
  <c r="AW48" i="3"/>
  <c r="AW41" i="3"/>
  <c r="CF52" i="1" s="1"/>
  <c r="CF54" i="1"/>
  <c r="AW39" i="3"/>
  <c r="AW32" i="3"/>
  <c r="CF36" i="1" s="1"/>
  <c r="CF38" i="1"/>
  <c r="CF40" i="1" l="1"/>
  <c r="CF56" i="1"/>
  <c r="AW30" i="3"/>
  <c r="AW23" i="3"/>
  <c r="CF20" i="1" s="1"/>
  <c r="CF68" i="1" s="1"/>
  <c r="CF22" i="1"/>
  <c r="AW21" i="3"/>
  <c r="AW14" i="3"/>
  <c r="CF4" i="1" s="1"/>
  <c r="CF6" i="1"/>
  <c r="AW12" i="3"/>
  <c r="CF70" i="1" l="1"/>
  <c r="CF24" i="1"/>
  <c r="CF8" i="1"/>
  <c r="IX71" i="2"/>
  <c r="JK56" i="2"/>
  <c r="JX45" i="2"/>
  <c r="IX17" i="2"/>
  <c r="JK6" i="2"/>
  <c r="IX6" i="2"/>
  <c r="IX5" i="2"/>
  <c r="IX4" i="2"/>
  <c r="CF72" i="1" l="1"/>
  <c r="JK32" i="2"/>
  <c r="KX45" i="2"/>
  <c r="KK45" i="2"/>
  <c r="JK19" i="2"/>
  <c r="JK45" i="2"/>
  <c r="IK6" i="2"/>
  <c r="JK18" i="2" l="1"/>
  <c r="IK5" i="2" l="1"/>
  <c r="KK44" i="2" l="1"/>
  <c r="CS2" i="1" l="1"/>
  <c r="AV50" i="3" l="1"/>
  <c r="CE86" i="1" s="1"/>
  <c r="AV49" i="3"/>
  <c r="AV48" i="3"/>
  <c r="AV41" i="3"/>
  <c r="CE52" i="1" s="1"/>
  <c r="CE54" i="1"/>
  <c r="AV39" i="3"/>
  <c r="AV32" i="3"/>
  <c r="CE36" i="1" s="1"/>
  <c r="CE38" i="1"/>
  <c r="AV30" i="3"/>
  <c r="AV23" i="3"/>
  <c r="CE20" i="1" s="1"/>
  <c r="CE22" i="1"/>
  <c r="AV21" i="3"/>
  <c r="AV14" i="3"/>
  <c r="CE4" i="1" s="1"/>
  <c r="CE6" i="1"/>
  <c r="AV12" i="3"/>
  <c r="CE40" i="1" l="1"/>
  <c r="CE8" i="1"/>
  <c r="CE70" i="1"/>
  <c r="CE56" i="1"/>
  <c r="CE68" i="1"/>
  <c r="CE24" i="1"/>
  <c r="IN36" i="2"/>
  <c r="IM36" i="2"/>
  <c r="IL36" i="2"/>
  <c r="IK36" i="2"/>
  <c r="IJ36" i="2"/>
  <c r="IW37" i="2"/>
  <c r="CE72" i="1" l="1"/>
  <c r="IW71" i="2"/>
  <c r="JJ56" i="2"/>
  <c r="JW45" i="2"/>
  <c r="IW17" i="2"/>
  <c r="JJ6" i="2"/>
  <c r="IW6" i="2"/>
  <c r="IW5" i="2"/>
  <c r="IW4" i="2"/>
  <c r="JJ32" i="2" l="1"/>
  <c r="KW45" i="2"/>
  <c r="KJ45" i="2"/>
  <c r="JJ19" i="2"/>
  <c r="JJ45" i="2"/>
  <c r="IJ6" i="2"/>
  <c r="JJ18" i="2" l="1"/>
  <c r="KJ44" i="2" l="1"/>
  <c r="IJ5" i="2" l="1"/>
  <c r="CR2" i="1" l="1"/>
  <c r="AU50" i="3" l="1"/>
  <c r="CD86" i="1" s="1"/>
  <c r="AU49" i="3"/>
  <c r="AU48" i="3"/>
  <c r="AU41" i="3"/>
  <c r="CD52" i="1" s="1"/>
  <c r="CD54" i="1"/>
  <c r="AU39" i="3"/>
  <c r="AU32" i="3"/>
  <c r="CD36" i="1" s="1"/>
  <c r="CD38" i="1"/>
  <c r="AU30" i="3"/>
  <c r="AU23" i="3"/>
  <c r="CD20" i="1" s="1"/>
  <c r="CD22" i="1"/>
  <c r="AU21" i="3"/>
  <c r="AU14" i="3"/>
  <c r="CD4" i="1" s="1"/>
  <c r="CD6" i="1"/>
  <c r="AU12" i="3"/>
  <c r="CD40" i="1" l="1"/>
  <c r="CD24" i="1"/>
  <c r="CD70" i="1"/>
  <c r="CD8" i="1"/>
  <c r="CD68" i="1"/>
  <c r="CD56" i="1"/>
  <c r="II36" i="2"/>
  <c r="JI56" i="2"/>
  <c r="JV45" i="2"/>
  <c r="IV17" i="2"/>
  <c r="CD72" i="1" l="1"/>
  <c r="JI6" i="2"/>
  <c r="IV6" i="2"/>
  <c r="IV5" i="2"/>
  <c r="IV4" i="2"/>
  <c r="JI32" i="2" l="1"/>
  <c r="KV45" i="2"/>
  <c r="KI45" i="2"/>
  <c r="JI19" i="2"/>
  <c r="JI45" i="2"/>
  <c r="II6" i="2"/>
  <c r="KI44" i="2"/>
  <c r="JI18" i="2"/>
  <c r="II5" i="2"/>
  <c r="AT50" i="3" l="1"/>
  <c r="CC86" i="1" s="1"/>
  <c r="AT49" i="3"/>
  <c r="AT48" i="3"/>
  <c r="AT41" i="3"/>
  <c r="CC52" i="1" s="1"/>
  <c r="CC54" i="1"/>
  <c r="AT39" i="3"/>
  <c r="CC36" i="1"/>
  <c r="CC38" i="1"/>
  <c r="AT30" i="3"/>
  <c r="CC20" i="1"/>
  <c r="CC22" i="1"/>
  <c r="AT21" i="3"/>
  <c r="CC4" i="1"/>
  <c r="CC6" i="1"/>
  <c r="AT12" i="3"/>
  <c r="CC70" i="1" l="1"/>
  <c r="CC8" i="1"/>
  <c r="CC24" i="1"/>
  <c r="CC40" i="1"/>
  <c r="CC56" i="1"/>
  <c r="CC68" i="1"/>
  <c r="CC72" i="1" l="1"/>
  <c r="IH36" i="2"/>
  <c r="JH56" i="2"/>
  <c r="JU45" i="2" l="1"/>
  <c r="IU17" i="2"/>
  <c r="JH6" i="2"/>
  <c r="IU6" i="2"/>
  <c r="IU5" i="2"/>
  <c r="IU4" i="2"/>
  <c r="JH32" i="2" l="1"/>
  <c r="KU45" i="2"/>
  <c r="KH45" i="2"/>
  <c r="JH19" i="2"/>
  <c r="JH45" i="2"/>
  <c r="IH6" i="2"/>
  <c r="JH18" i="2" l="1"/>
  <c r="IH5" i="2" l="1"/>
  <c r="KH44" i="2" l="1"/>
  <c r="IG36" i="2" l="1"/>
  <c r="AS50" i="3" l="1"/>
  <c r="CB86" i="1" s="1"/>
  <c r="AS49" i="3"/>
  <c r="AS48" i="3"/>
  <c r="AS41" i="3"/>
  <c r="CB52" i="1" s="1"/>
  <c r="CB54" i="1"/>
  <c r="AS39" i="3"/>
  <c r="AS32" i="3"/>
  <c r="CB36" i="1" s="1"/>
  <c r="CB38" i="1"/>
  <c r="AS30" i="3"/>
  <c r="AS23" i="3"/>
  <c r="CB20" i="1" s="1"/>
  <c r="CB22" i="1"/>
  <c r="AS21" i="3"/>
  <c r="AS14" i="3"/>
  <c r="CB4" i="1" s="1"/>
  <c r="CB6" i="1"/>
  <c r="AS12" i="3"/>
  <c r="CB56" i="1" l="1"/>
  <c r="CB68" i="1"/>
  <c r="CB40" i="1"/>
  <c r="CB24" i="1"/>
  <c r="CB8" i="1"/>
  <c r="CB70" i="1"/>
  <c r="JT45" i="2"/>
  <c r="IT17" i="2"/>
  <c r="IT69" i="2"/>
  <c r="JG56" i="2"/>
  <c r="CB72" i="1" l="1"/>
  <c r="KT45" i="2"/>
  <c r="KT43" i="2"/>
  <c r="KG45" i="2"/>
  <c r="KG44" i="2"/>
  <c r="KG43" i="2"/>
  <c r="JG45" i="2"/>
  <c r="JG43" i="2"/>
  <c r="JG30" i="2"/>
  <c r="JG19" i="2"/>
  <c r="JG18" i="2"/>
  <c r="JG17" i="2"/>
  <c r="IG17" i="2"/>
  <c r="JG6" i="2"/>
  <c r="IT6" i="2"/>
  <c r="IT5" i="2"/>
  <c r="IT4" i="2"/>
  <c r="IG6" i="2" l="1"/>
  <c r="IG5" i="2"/>
  <c r="IG4" i="2"/>
  <c r="IS95" i="2" l="1"/>
  <c r="IR95" i="2"/>
  <c r="IQ95" i="2"/>
  <c r="IP95" i="2"/>
  <c r="IS94" i="2"/>
  <c r="IR94" i="2"/>
  <c r="IQ94" i="2"/>
  <c r="IP94" i="2"/>
  <c r="IS93" i="2"/>
  <c r="IR93" i="2"/>
  <c r="IQ93" i="2"/>
  <c r="IP93" i="2"/>
  <c r="JA95" i="2"/>
  <c r="IZ95" i="2"/>
  <c r="IY95" i="2"/>
  <c r="IX95" i="2"/>
  <c r="IW95" i="2"/>
  <c r="IV95" i="2"/>
  <c r="IU95" i="2"/>
  <c r="IT95" i="2"/>
  <c r="JA94" i="2"/>
  <c r="IZ94" i="2"/>
  <c r="IY94" i="2"/>
  <c r="IX94" i="2"/>
  <c r="IW94" i="2"/>
  <c r="IV94" i="2"/>
  <c r="IU94" i="2"/>
  <c r="IT94" i="2"/>
  <c r="JA93" i="2"/>
  <c r="IZ93" i="2"/>
  <c r="IY93" i="2"/>
  <c r="IX93" i="2"/>
  <c r="IW93" i="2"/>
  <c r="IV93" i="2"/>
  <c r="IU93" i="2"/>
  <c r="IT93" i="2"/>
  <c r="JA77" i="2"/>
  <c r="IZ77" i="2"/>
  <c r="IY77" i="2"/>
  <c r="IX77" i="2"/>
  <c r="IW77" i="2"/>
  <c r="IV77" i="2"/>
  <c r="IU77" i="2"/>
  <c r="IT77" i="2"/>
  <c r="JA75" i="2"/>
  <c r="IZ75" i="2"/>
  <c r="IY75" i="2"/>
  <c r="IX75" i="2"/>
  <c r="IW75" i="2"/>
  <c r="IV75" i="2"/>
  <c r="IU75" i="2"/>
  <c r="IT75" i="2"/>
  <c r="JN64" i="2"/>
  <c r="JM64" i="2"/>
  <c r="JL64" i="2"/>
  <c r="JK64" i="2"/>
  <c r="JJ64" i="2"/>
  <c r="JI64" i="2"/>
  <c r="JH64" i="2"/>
  <c r="JN63" i="2"/>
  <c r="JM63" i="2"/>
  <c r="JL63" i="2"/>
  <c r="JK63" i="2"/>
  <c r="JJ63" i="2"/>
  <c r="JI63" i="2"/>
  <c r="JH63" i="2"/>
  <c r="JN62" i="2"/>
  <c r="JM62" i="2"/>
  <c r="JL62" i="2"/>
  <c r="JK62" i="2"/>
  <c r="JJ62" i="2"/>
  <c r="JI62" i="2"/>
  <c r="JH62" i="2"/>
  <c r="JG64" i="2"/>
  <c r="JG63" i="2"/>
  <c r="JG62" i="2"/>
  <c r="LN51" i="2"/>
  <c r="LM51" i="2"/>
  <c r="LL51" i="2"/>
  <c r="LK51" i="2"/>
  <c r="LJ51" i="2"/>
  <c r="LI51" i="2"/>
  <c r="LH51" i="2"/>
  <c r="LN50" i="2"/>
  <c r="LM50" i="2"/>
  <c r="LL50" i="2"/>
  <c r="LK50" i="2"/>
  <c r="LJ50" i="2"/>
  <c r="LI50" i="2"/>
  <c r="LH50" i="2"/>
  <c r="LN49" i="2"/>
  <c r="LM49" i="2"/>
  <c r="LL49" i="2"/>
  <c r="LK49" i="2"/>
  <c r="LJ49" i="2"/>
  <c r="LI49" i="2"/>
  <c r="LH49" i="2"/>
  <c r="LG51" i="2"/>
  <c r="LG50" i="2"/>
  <c r="LG49" i="2"/>
  <c r="LA51" i="2"/>
  <c r="KZ51" i="2"/>
  <c r="KY51" i="2"/>
  <c r="KX51" i="2"/>
  <c r="KW51" i="2"/>
  <c r="KV51" i="2"/>
  <c r="KU51" i="2"/>
  <c r="LA50" i="2"/>
  <c r="KZ50" i="2"/>
  <c r="KY50" i="2"/>
  <c r="KX50" i="2"/>
  <c r="KW50" i="2"/>
  <c r="KV50" i="2"/>
  <c r="KU50" i="2"/>
  <c r="LA49" i="2"/>
  <c r="KZ49" i="2"/>
  <c r="KY49" i="2"/>
  <c r="KX49" i="2"/>
  <c r="KW49" i="2"/>
  <c r="KV49" i="2"/>
  <c r="KU49" i="2"/>
  <c r="KT51" i="2"/>
  <c r="KT50" i="2"/>
  <c r="KT49" i="2"/>
  <c r="KN51" i="2"/>
  <c r="KM51" i="2"/>
  <c r="KL51" i="2"/>
  <c r="KK51" i="2"/>
  <c r="KJ51" i="2"/>
  <c r="KI51" i="2"/>
  <c r="KH51" i="2"/>
  <c r="KN50" i="2"/>
  <c r="KM50" i="2"/>
  <c r="KL50" i="2"/>
  <c r="KK50" i="2"/>
  <c r="KJ50" i="2"/>
  <c r="KI50" i="2"/>
  <c r="KH50" i="2"/>
  <c r="KN49" i="2"/>
  <c r="KM49" i="2"/>
  <c r="KL49" i="2"/>
  <c r="KK49" i="2"/>
  <c r="KJ49" i="2"/>
  <c r="KI49" i="2"/>
  <c r="KH49" i="2"/>
  <c r="KG51" i="2"/>
  <c r="KG50" i="2"/>
  <c r="KG49" i="2"/>
  <c r="JN49" i="2"/>
  <c r="JM49" i="2"/>
  <c r="JL49" i="2"/>
  <c r="JK49" i="2"/>
  <c r="JJ49" i="2"/>
  <c r="JI49" i="2"/>
  <c r="JH49" i="2"/>
  <c r="JG49" i="2"/>
  <c r="JN38" i="2"/>
  <c r="JM38" i="2"/>
  <c r="JL38" i="2"/>
  <c r="JK38" i="2"/>
  <c r="JJ38" i="2"/>
  <c r="JI38" i="2"/>
  <c r="JH38" i="2"/>
  <c r="JN37" i="2"/>
  <c r="JM37" i="2"/>
  <c r="JL37" i="2"/>
  <c r="JK37" i="2"/>
  <c r="JJ37" i="2"/>
  <c r="JI37" i="2"/>
  <c r="JH37" i="2"/>
  <c r="JN36" i="2"/>
  <c r="JM36" i="2"/>
  <c r="JL36" i="2"/>
  <c r="JK36" i="2"/>
  <c r="JJ36" i="2"/>
  <c r="JI36" i="2"/>
  <c r="JH36" i="2"/>
  <c r="JG38" i="2"/>
  <c r="JG37" i="2"/>
  <c r="JG36" i="2"/>
  <c r="IJ37" i="2"/>
  <c r="JN25" i="2"/>
  <c r="JM25" i="2"/>
  <c r="JL25" i="2"/>
  <c r="JK25" i="2"/>
  <c r="JJ25" i="2"/>
  <c r="JI25" i="2"/>
  <c r="JH25" i="2"/>
  <c r="JG25" i="2"/>
  <c r="JN24" i="2"/>
  <c r="JM24" i="2"/>
  <c r="JL24" i="2"/>
  <c r="JK24" i="2"/>
  <c r="JJ24" i="2"/>
  <c r="JI24" i="2"/>
  <c r="JH24" i="2"/>
  <c r="JG24" i="2"/>
  <c r="JN23" i="2"/>
  <c r="JM23" i="2"/>
  <c r="JL23" i="2"/>
  <c r="JK23" i="2"/>
  <c r="JJ23" i="2"/>
  <c r="JI23" i="2"/>
  <c r="JH23" i="2"/>
  <c r="JG23" i="2"/>
  <c r="IU78" i="2" l="1"/>
  <c r="CC92" i="1" s="1"/>
  <c r="JB95" i="2"/>
  <c r="JB93" i="2"/>
  <c r="JB94" i="2"/>
  <c r="AZ17" i="3"/>
  <c r="CI5" i="1" s="1"/>
  <c r="AY17" i="3"/>
  <c r="CH5" i="1" s="1"/>
  <c r="AX17" i="3"/>
  <c r="CG5" i="1" s="1"/>
  <c r="CP9" i="1" s="1"/>
  <c r="AW17" i="3"/>
  <c r="CF5" i="1" s="1"/>
  <c r="CO9" i="1" s="1"/>
  <c r="AV17" i="3"/>
  <c r="CE5" i="1" s="1"/>
  <c r="AU17" i="3"/>
  <c r="CD5" i="1" s="1"/>
  <c r="CK9" i="1" s="1"/>
  <c r="AT17" i="3"/>
  <c r="CC5" i="1" s="1"/>
  <c r="AZ16" i="3"/>
  <c r="AY16" i="3"/>
  <c r="AX16" i="3"/>
  <c r="AW16" i="3"/>
  <c r="AV16" i="3"/>
  <c r="AU16" i="3"/>
  <c r="AT16" i="3"/>
  <c r="AZ74" i="3"/>
  <c r="AY74" i="3"/>
  <c r="AX74" i="3"/>
  <c r="AW74" i="3"/>
  <c r="AV74" i="3"/>
  <c r="AU74" i="3"/>
  <c r="AT74" i="3"/>
  <c r="AS74" i="3"/>
  <c r="AZ66" i="3"/>
  <c r="AY66" i="3"/>
  <c r="AX66" i="3"/>
  <c r="AW66" i="3"/>
  <c r="AV66" i="3"/>
  <c r="AU66" i="3"/>
  <c r="AT66" i="3"/>
  <c r="AS66" i="3"/>
  <c r="AZ44" i="3"/>
  <c r="CI53" i="1" s="1"/>
  <c r="AY44" i="3"/>
  <c r="CH53" i="1" s="1"/>
  <c r="CR54" i="1" s="1"/>
  <c r="AX44" i="3"/>
  <c r="CG53" i="1" s="1"/>
  <c r="AW44" i="3"/>
  <c r="CF53" i="1" s="1"/>
  <c r="AV44" i="3"/>
  <c r="CE53" i="1" s="1"/>
  <c r="CK55" i="1" s="1"/>
  <c r="AU44" i="3"/>
  <c r="CD53" i="1" s="1"/>
  <c r="AT44" i="3"/>
  <c r="CC53" i="1" s="1"/>
  <c r="AS44" i="3"/>
  <c r="CB53" i="1" s="1"/>
  <c r="AZ35" i="3"/>
  <c r="CI37" i="1" s="1"/>
  <c r="AY35" i="3"/>
  <c r="CH37" i="1" s="1"/>
  <c r="CR38" i="1" s="1"/>
  <c r="AX35" i="3"/>
  <c r="CG37" i="1" s="1"/>
  <c r="CQ38" i="1" s="1"/>
  <c r="AW35" i="3"/>
  <c r="CF37" i="1" s="1"/>
  <c r="CP38" i="1" s="1"/>
  <c r="AV35" i="3"/>
  <c r="CE37" i="1" s="1"/>
  <c r="CO38" i="1" s="1"/>
  <c r="AU35" i="3"/>
  <c r="CD37" i="1" s="1"/>
  <c r="AT35" i="3"/>
  <c r="CC37" i="1" s="1"/>
  <c r="AS35" i="3"/>
  <c r="CB37" i="1" s="1"/>
  <c r="AZ26" i="3"/>
  <c r="CI21" i="1" s="1"/>
  <c r="AY26" i="3"/>
  <c r="CH21" i="1" s="1"/>
  <c r="AX26" i="3"/>
  <c r="CG21" i="1" s="1"/>
  <c r="AW26" i="3"/>
  <c r="CF21" i="1" s="1"/>
  <c r="AV26" i="3"/>
  <c r="CE21" i="1" s="1"/>
  <c r="CO23" i="1" s="1"/>
  <c r="AU26" i="3"/>
  <c r="CD21" i="1" s="1"/>
  <c r="CK23" i="1" s="1"/>
  <c r="AT26" i="3"/>
  <c r="CC21" i="1" s="1"/>
  <c r="AS26" i="3"/>
  <c r="CB21" i="1" s="1"/>
  <c r="AS17" i="3"/>
  <c r="CB5" i="1" s="1"/>
  <c r="AZ43" i="3"/>
  <c r="AY43" i="3"/>
  <c r="AX43" i="3"/>
  <c r="AW43" i="3"/>
  <c r="AV43" i="3"/>
  <c r="AU43" i="3"/>
  <c r="AT43" i="3"/>
  <c r="AS43" i="3"/>
  <c r="AZ34" i="3"/>
  <c r="AY34" i="3"/>
  <c r="AX34" i="3"/>
  <c r="AW34" i="3"/>
  <c r="AV34" i="3"/>
  <c r="AU34" i="3"/>
  <c r="AT34" i="3"/>
  <c r="AS34" i="3"/>
  <c r="AZ25" i="3"/>
  <c r="AY25" i="3"/>
  <c r="AW25" i="3"/>
  <c r="AV25" i="3"/>
  <c r="AU25" i="3"/>
  <c r="AT25" i="3"/>
  <c r="AS25" i="3"/>
  <c r="AS16" i="3"/>
  <c r="CI69" i="1" l="1"/>
  <c r="CH69" i="1"/>
  <c r="CG69" i="1"/>
  <c r="CF69" i="1"/>
  <c r="CK70" i="1" s="1"/>
  <c r="CE69" i="1"/>
  <c r="CD69" i="1"/>
  <c r="CC69" i="1"/>
  <c r="CB69" i="1"/>
  <c r="CO2" i="1"/>
  <c r="CP2" i="1" l="1"/>
  <c r="CQ2" i="1" s="1"/>
  <c r="IS71" i="2"/>
  <c r="IS69" i="2"/>
  <c r="JF45" i="2"/>
  <c r="JF43" i="2"/>
  <c r="JS45" i="2"/>
  <c r="JS44" i="2"/>
  <c r="KS45" i="2"/>
  <c r="KS46" i="2" s="1"/>
  <c r="KS43" i="2"/>
  <c r="KF45" i="2"/>
  <c r="KF44" i="2"/>
  <c r="KF43" i="2"/>
  <c r="JF30" i="2"/>
  <c r="JF19" i="2"/>
  <c r="JF18" i="2"/>
  <c r="JF17" i="2"/>
  <c r="JF6" i="2"/>
  <c r="IS6" i="2"/>
  <c r="IS5" i="2"/>
  <c r="IF5" i="2" s="1"/>
  <c r="HS5" i="2" s="1"/>
  <c r="IS4" i="2"/>
  <c r="IF4" i="2" s="1"/>
  <c r="AR50" i="3"/>
  <c r="CA86" i="1" s="1"/>
  <c r="AR49" i="3"/>
  <c r="AR48" i="3"/>
  <c r="AR41" i="3"/>
  <c r="CA52" i="1" s="1"/>
  <c r="CA54" i="1"/>
  <c r="AR39" i="3"/>
  <c r="AR32" i="3"/>
  <c r="CA36" i="1" s="1"/>
  <c r="CA38" i="1"/>
  <c r="AR30" i="3"/>
  <c r="AR23" i="3"/>
  <c r="CA20" i="1" s="1"/>
  <c r="CA22" i="1"/>
  <c r="AR21" i="3"/>
  <c r="AR14" i="3"/>
  <c r="CA4" i="1" s="1"/>
  <c r="CA6" i="1"/>
  <c r="AR12" i="3"/>
  <c r="IS72" i="2"/>
  <c r="CA93" i="1" s="1"/>
  <c r="IS75" i="2"/>
  <c r="IS77" i="2"/>
  <c r="JF62" i="2"/>
  <c r="JF63" i="2"/>
  <c r="IS63" i="2" s="1"/>
  <c r="JF64" i="2"/>
  <c r="IS64" i="2" s="1"/>
  <c r="AR66" i="3"/>
  <c r="AR44" i="3"/>
  <c r="CA53" i="1" s="1"/>
  <c r="AR35" i="3"/>
  <c r="CA37" i="1" s="1"/>
  <c r="AR26" i="3"/>
  <c r="CA21" i="1" s="1"/>
  <c r="AR17" i="3"/>
  <c r="JF49" i="2"/>
  <c r="IF37" i="2"/>
  <c r="IP10" i="2"/>
  <c r="IP11" i="2"/>
  <c r="IQ11" i="2" s="1"/>
  <c r="IS12" i="2"/>
  <c r="JC12" i="2"/>
  <c r="JD12" i="2" s="1"/>
  <c r="AR43" i="3"/>
  <c r="AR34" i="3"/>
  <c r="AR25" i="3"/>
  <c r="AR16" i="3"/>
  <c r="KF49" i="2"/>
  <c r="KS49" i="2"/>
  <c r="LF49" i="2"/>
  <c r="KF50" i="2"/>
  <c r="KS50" i="2"/>
  <c r="LF50" i="2"/>
  <c r="KF51" i="2"/>
  <c r="KS51" i="2"/>
  <c r="LF51" i="2"/>
  <c r="JF36" i="2"/>
  <c r="JF37" i="2"/>
  <c r="JF38" i="2"/>
  <c r="JF23" i="2"/>
  <c r="JF24" i="2"/>
  <c r="JF25" i="2"/>
  <c r="CA5" i="1"/>
  <c r="AO66" i="3"/>
  <c r="AO44" i="3"/>
  <c r="BX53" i="1" s="1"/>
  <c r="AO35" i="3"/>
  <c r="BX37" i="1" s="1"/>
  <c r="AO26" i="3"/>
  <c r="AO17" i="3"/>
  <c r="BX5" i="1" s="1"/>
  <c r="AP66" i="3"/>
  <c r="AP44" i="3"/>
  <c r="BY53" i="1" s="1"/>
  <c r="AP35" i="3"/>
  <c r="AP26" i="3"/>
  <c r="BY21" i="1" s="1"/>
  <c r="CQ23" i="1" s="1"/>
  <c r="AP17" i="3"/>
  <c r="BY5" i="1" s="1"/>
  <c r="AQ66" i="3"/>
  <c r="AQ44" i="3"/>
  <c r="AQ35" i="3"/>
  <c r="AQ26" i="3"/>
  <c r="BZ21" i="1" s="1"/>
  <c r="AQ17" i="3"/>
  <c r="BZ5" i="1" s="1"/>
  <c r="JE43" i="2"/>
  <c r="KE43" i="2"/>
  <c r="KR43" i="2"/>
  <c r="KE44" i="2"/>
  <c r="KE45" i="2"/>
  <c r="KR45" i="2"/>
  <c r="JE30" i="2"/>
  <c r="JE17" i="2"/>
  <c r="IE18" i="2"/>
  <c r="JE18" i="2"/>
  <c r="JE19" i="2"/>
  <c r="IR4" i="2"/>
  <c r="IR5" i="2"/>
  <c r="IE5" i="2" s="1"/>
  <c r="HR5" i="2" s="1"/>
  <c r="IR6" i="2"/>
  <c r="JE6" i="2"/>
  <c r="JE7" i="2" s="1"/>
  <c r="JE56" i="2"/>
  <c r="IR69" i="2"/>
  <c r="IR71" i="2"/>
  <c r="IR75" i="2"/>
  <c r="IR77" i="2"/>
  <c r="JE62" i="2"/>
  <c r="JE63" i="2"/>
  <c r="IR63" i="2" s="1"/>
  <c r="JE64" i="2"/>
  <c r="IR64" i="2" s="1"/>
  <c r="AQ50" i="3"/>
  <c r="BZ86" i="1" s="1"/>
  <c r="JC30" i="2"/>
  <c r="JD30" i="2"/>
  <c r="ID32" i="2"/>
  <c r="JC36" i="2"/>
  <c r="JC37" i="2"/>
  <c r="JC38" i="2"/>
  <c r="JD36" i="2"/>
  <c r="JD37" i="2"/>
  <c r="JD38" i="2"/>
  <c r="JE36" i="2"/>
  <c r="JE37" i="2"/>
  <c r="JE38" i="2"/>
  <c r="AQ25" i="3"/>
  <c r="AQ21" i="3"/>
  <c r="JA37" i="2"/>
  <c r="IN37" i="2" s="1"/>
  <c r="IZ37" i="2"/>
  <c r="IM37" i="2" s="1"/>
  <c r="IY37" i="2"/>
  <c r="IL37" i="2" s="1"/>
  <c r="HY37" i="2" s="1"/>
  <c r="IX37" i="2"/>
  <c r="IK37" i="2" s="1"/>
  <c r="IV37" i="2"/>
  <c r="II37" i="2" s="1"/>
  <c r="IU37" i="2"/>
  <c r="IH37" i="2" s="1"/>
  <c r="IT37" i="2"/>
  <c r="IG37" i="2" s="1"/>
  <c r="IS37" i="2"/>
  <c r="IR37" i="2"/>
  <c r="IE37" i="2" s="1"/>
  <c r="IQ37" i="2"/>
  <c r="ID37" i="2" s="1"/>
  <c r="IP37" i="2"/>
  <c r="AQ49" i="3"/>
  <c r="AQ48" i="3"/>
  <c r="AQ41" i="3"/>
  <c r="AQ39" i="3"/>
  <c r="AQ32" i="3"/>
  <c r="AQ30" i="3"/>
  <c r="AQ23" i="3"/>
  <c r="AQ14" i="3"/>
  <c r="BZ4" i="1" s="1"/>
  <c r="AQ12" i="3"/>
  <c r="BZ18" i="1"/>
  <c r="BZ34" i="1" s="1"/>
  <c r="BZ50" i="1" s="1"/>
  <c r="BZ66" i="1" s="1"/>
  <c r="BZ54" i="1"/>
  <c r="BZ52" i="1"/>
  <c r="BZ38" i="1"/>
  <c r="BZ36" i="1"/>
  <c r="BZ22" i="1"/>
  <c r="BZ6" i="1"/>
  <c r="AO41" i="3"/>
  <c r="AO32" i="3"/>
  <c r="AO23" i="3"/>
  <c r="AO14" i="3"/>
  <c r="AO50" i="3"/>
  <c r="AP23" i="3"/>
  <c r="BY20" i="1" s="1"/>
  <c r="AR74" i="3"/>
  <c r="AQ74" i="3"/>
  <c r="AP74" i="3"/>
  <c r="AO74" i="3"/>
  <c r="AZ59" i="3"/>
  <c r="AY59" i="3"/>
  <c r="AX59" i="3"/>
  <c r="AW59" i="3"/>
  <c r="AV59" i="3"/>
  <c r="AU59" i="3"/>
  <c r="AT59" i="3"/>
  <c r="AS59" i="3"/>
  <c r="AZ58" i="3"/>
  <c r="AY58" i="3"/>
  <c r="AX58" i="3"/>
  <c r="AW58" i="3"/>
  <c r="AV58" i="3"/>
  <c r="AU58" i="3"/>
  <c r="AT58" i="3"/>
  <c r="AS58" i="3"/>
  <c r="AQ58" i="3"/>
  <c r="AZ57" i="3"/>
  <c r="AY57" i="3"/>
  <c r="AX57" i="3"/>
  <c r="AW57" i="3"/>
  <c r="AV57" i="3"/>
  <c r="AU57" i="3"/>
  <c r="AT57" i="3"/>
  <c r="AS57" i="3"/>
  <c r="AP50" i="3"/>
  <c r="BY86" i="1"/>
  <c r="AP49" i="3"/>
  <c r="AP58" i="3" s="1"/>
  <c r="AP48" i="3"/>
  <c r="AO49" i="3"/>
  <c r="AO48" i="3"/>
  <c r="AP41" i="3"/>
  <c r="BY52" i="1" s="1"/>
  <c r="BY54" i="1"/>
  <c r="BY38" i="1"/>
  <c r="BY22" i="1"/>
  <c r="BY6" i="1"/>
  <c r="AP39" i="3"/>
  <c r="AP57" i="3" s="1"/>
  <c r="AO39" i="3"/>
  <c r="AP32" i="3"/>
  <c r="BY36" i="1" s="1"/>
  <c r="BY40" i="1" s="1"/>
  <c r="BX38" i="1"/>
  <c r="CJ38" i="1" s="1"/>
  <c r="AP30" i="3"/>
  <c r="AO30" i="3"/>
  <c r="AP21" i="3"/>
  <c r="BX22" i="1"/>
  <c r="AO21" i="3"/>
  <c r="AP14" i="3"/>
  <c r="BY4" i="1"/>
  <c r="AP12" i="3"/>
  <c r="BX6" i="1"/>
  <c r="AO12" i="3"/>
  <c r="AP59" i="3"/>
  <c r="AQ43" i="3"/>
  <c r="AP43" i="3"/>
  <c r="AO43" i="3"/>
  <c r="AQ34" i="3"/>
  <c r="AP34" i="3"/>
  <c r="AO34" i="3"/>
  <c r="AP25" i="3"/>
  <c r="AO25" i="3"/>
  <c r="AT61" i="3"/>
  <c r="AQ16" i="3"/>
  <c r="AP16" i="3"/>
  <c r="AO16" i="3"/>
  <c r="IP71" i="2"/>
  <c r="IQ71" i="2"/>
  <c r="JC45" i="2"/>
  <c r="JD44" i="2"/>
  <c r="JC44" i="2"/>
  <c r="JR45" i="2"/>
  <c r="JE45" i="2" s="1"/>
  <c r="JR44" i="2"/>
  <c r="JE44" i="2" s="1"/>
  <c r="JQ45" i="2"/>
  <c r="JQ44" i="2"/>
  <c r="JP45" i="2"/>
  <c r="JP44" i="2"/>
  <c r="KP45" i="2"/>
  <c r="KQ45" i="2"/>
  <c r="KD45" i="2"/>
  <c r="KD44" i="2"/>
  <c r="KC45" i="2"/>
  <c r="KC44" i="2"/>
  <c r="IR32" i="2"/>
  <c r="IS32" i="2" s="1"/>
  <c r="IT32" i="2" s="1"/>
  <c r="IQ32" i="2"/>
  <c r="IR31" i="2"/>
  <c r="IS31" i="2" s="1"/>
  <c r="IQ31" i="2"/>
  <c r="ID31" i="2" s="1"/>
  <c r="IR30" i="2"/>
  <c r="IE36" i="2" s="1"/>
  <c r="IQ30" i="2"/>
  <c r="ID30" i="2" s="1"/>
  <c r="IP32" i="2"/>
  <c r="IC32" i="2" s="1"/>
  <c r="IP31" i="2"/>
  <c r="IC31" i="2" s="1"/>
  <c r="IP30" i="2"/>
  <c r="IC30" i="2" s="1"/>
  <c r="ID19" i="2"/>
  <c r="ID18" i="2"/>
  <c r="ID17" i="2"/>
  <c r="IC17" i="2"/>
  <c r="IR17" i="2"/>
  <c r="IQ17" i="2"/>
  <c r="IP17" i="2"/>
  <c r="IR19" i="2"/>
  <c r="IR18" i="2"/>
  <c r="IS18" i="2" s="1"/>
  <c r="IQ19" i="2"/>
  <c r="IQ18" i="2"/>
  <c r="IP19" i="2"/>
  <c r="IC19" i="2" s="1"/>
  <c r="IP18" i="2"/>
  <c r="JD19" i="2"/>
  <c r="JC19" i="2"/>
  <c r="JD18" i="2"/>
  <c r="JC18" i="2"/>
  <c r="KQ43" i="2"/>
  <c r="KP43" i="2"/>
  <c r="KD43" i="2"/>
  <c r="KC43" i="2"/>
  <c r="IQ69" i="2"/>
  <c r="IP69" i="2"/>
  <c r="JD56" i="2"/>
  <c r="JC56" i="2"/>
  <c r="JD43" i="2"/>
  <c r="JC43" i="2"/>
  <c r="JD17" i="2"/>
  <c r="JC17" i="2"/>
  <c r="IQ4" i="2"/>
  <c r="ID4" i="2" s="1"/>
  <c r="IP4" i="2"/>
  <c r="IC4" i="2"/>
  <c r="IQ5" i="2"/>
  <c r="IP5" i="2"/>
  <c r="IC5" i="2"/>
  <c r="IQ6" i="2"/>
  <c r="ID6" i="2" s="1"/>
  <c r="HQ6" i="2" s="1"/>
  <c r="IP6" i="2"/>
  <c r="JD6" i="2"/>
  <c r="JC6" i="2"/>
  <c r="JB96" i="2"/>
  <c r="IZ96" i="2"/>
  <c r="IX96" i="2"/>
  <c r="IV96" i="2"/>
  <c r="IU96" i="2"/>
  <c r="IS96" i="2"/>
  <c r="JA38" i="2"/>
  <c r="IN38" i="2" s="1"/>
  <c r="IZ38" i="2"/>
  <c r="IM38" i="2" s="1"/>
  <c r="IY38" i="2"/>
  <c r="IL38" i="2" s="1"/>
  <c r="HY38" i="2" s="1"/>
  <c r="IX38" i="2"/>
  <c r="IK38" i="2" s="1"/>
  <c r="IW38" i="2"/>
  <c r="IJ38" i="2" s="1"/>
  <c r="IV38" i="2"/>
  <c r="II38" i="2" s="1"/>
  <c r="II39" i="2" s="1"/>
  <c r="CD45" i="1" s="1"/>
  <c r="CD47" i="1" s="1"/>
  <c r="IU38" i="2"/>
  <c r="IH38" i="2" s="1"/>
  <c r="IH39" i="2" s="1"/>
  <c r="CC45" i="1" s="1"/>
  <c r="CC47" i="1" s="1"/>
  <c r="IT38" i="2"/>
  <c r="IG38" i="2" s="1"/>
  <c r="IS38" i="2"/>
  <c r="IF38" i="2" s="1"/>
  <c r="IR38" i="2"/>
  <c r="IE38" i="2" s="1"/>
  <c r="IQ38" i="2"/>
  <c r="ID38" i="2" s="1"/>
  <c r="IP38" i="2"/>
  <c r="IA37" i="2"/>
  <c r="HW37" i="2"/>
  <c r="HU37" i="2"/>
  <c r="JN39" i="2"/>
  <c r="JL39" i="2"/>
  <c r="JJ39" i="2"/>
  <c r="JH39" i="2"/>
  <c r="IA38" i="2"/>
  <c r="HZ38" i="2"/>
  <c r="HX38" i="2"/>
  <c r="HW38" i="2"/>
  <c r="HV38" i="2"/>
  <c r="HY36" i="2"/>
  <c r="JA64" i="2"/>
  <c r="IY64" i="2"/>
  <c r="IW64" i="2"/>
  <c r="IU64" i="2"/>
  <c r="JD64" i="2"/>
  <c r="IQ64" i="2" s="1"/>
  <c r="IZ63" i="2"/>
  <c r="JI65" i="2"/>
  <c r="JD63" i="2"/>
  <c r="IQ63" i="2" s="1"/>
  <c r="JA62" i="2"/>
  <c r="IY62" i="2"/>
  <c r="IW62" i="2"/>
  <c r="IU62" i="2"/>
  <c r="JD62" i="2"/>
  <c r="IQ62" i="2" s="1"/>
  <c r="JC64" i="2"/>
  <c r="IP64" i="2" s="1"/>
  <c r="JC63" i="2"/>
  <c r="IP63" i="2" s="1"/>
  <c r="JC62" i="2"/>
  <c r="IP62" i="2" s="1"/>
  <c r="JD51" i="2"/>
  <c r="JE49" i="2"/>
  <c r="JD49" i="2"/>
  <c r="JC51" i="2"/>
  <c r="JC49" i="2"/>
  <c r="KA51" i="2"/>
  <c r="JN51" i="2" s="1"/>
  <c r="JZ51" i="2"/>
  <c r="JM51" i="2" s="1"/>
  <c r="JY51" i="2"/>
  <c r="JL51" i="2" s="1"/>
  <c r="JX51" i="2"/>
  <c r="JK51" i="2" s="1"/>
  <c r="JW51" i="2"/>
  <c r="JJ51" i="2" s="1"/>
  <c r="JV51" i="2"/>
  <c r="JI51" i="2" s="1"/>
  <c r="JU51" i="2"/>
  <c r="JH51" i="2" s="1"/>
  <c r="JT51" i="2"/>
  <c r="JG51" i="2" s="1"/>
  <c r="JS51" i="2"/>
  <c r="JF51" i="2" s="1"/>
  <c r="JR51" i="2"/>
  <c r="JE51" i="2" s="1"/>
  <c r="JQ51" i="2"/>
  <c r="KA50" i="2"/>
  <c r="JN50" i="2" s="1"/>
  <c r="JZ50" i="2"/>
  <c r="JM50" i="2" s="1"/>
  <c r="JY50" i="2"/>
  <c r="JX50" i="2"/>
  <c r="JK50" i="2" s="1"/>
  <c r="JW50" i="2"/>
  <c r="JJ50" i="2" s="1"/>
  <c r="JV50" i="2"/>
  <c r="JI50" i="2" s="1"/>
  <c r="JU50" i="2"/>
  <c r="JT50" i="2"/>
  <c r="JG50" i="2" s="1"/>
  <c r="JS50" i="2"/>
  <c r="JF50" i="2" s="1"/>
  <c r="JR50" i="2"/>
  <c r="JE50" i="2" s="1"/>
  <c r="JQ50" i="2"/>
  <c r="JP51" i="2"/>
  <c r="JP50" i="2"/>
  <c r="JC50" i="2" s="1"/>
  <c r="IY96" i="2"/>
  <c r="IQ96" i="2"/>
  <c r="IW96" i="2"/>
  <c r="JA96" i="2"/>
  <c r="LE51" i="2"/>
  <c r="LD51" i="2"/>
  <c r="LE50" i="2"/>
  <c r="LD50" i="2"/>
  <c r="LE49" i="2"/>
  <c r="LD49" i="2"/>
  <c r="LC51" i="2"/>
  <c r="LC50" i="2"/>
  <c r="LC49" i="2"/>
  <c r="KR51" i="2"/>
  <c r="KQ51" i="2"/>
  <c r="KR50" i="2"/>
  <c r="KQ50" i="2"/>
  <c r="KR49" i="2"/>
  <c r="KQ49" i="2"/>
  <c r="KP51" i="2"/>
  <c r="KP50" i="2"/>
  <c r="KP49" i="2"/>
  <c r="KE51" i="2"/>
  <c r="KD51" i="2"/>
  <c r="KE50" i="2"/>
  <c r="KD50" i="2"/>
  <c r="KE49" i="2"/>
  <c r="KD49" i="2"/>
  <c r="KC51" i="2"/>
  <c r="KC50" i="2"/>
  <c r="KC49" i="2"/>
  <c r="ID25" i="2"/>
  <c r="ID23" i="2"/>
  <c r="IC25" i="2"/>
  <c r="JA23" i="2"/>
  <c r="IZ23" i="2"/>
  <c r="IY23" i="2"/>
  <c r="IL23" i="2" s="1"/>
  <c r="IX23" i="2"/>
  <c r="IK23" i="2" s="1"/>
  <c r="IW23" i="2"/>
  <c r="IV23" i="2"/>
  <c r="IU23" i="2"/>
  <c r="IH23" i="2" s="1"/>
  <c r="IT23" i="2"/>
  <c r="IG23" i="2" s="1"/>
  <c r="IS23" i="2"/>
  <c r="IR23" i="2"/>
  <c r="IQ23" i="2"/>
  <c r="IP23" i="2"/>
  <c r="IC23" i="2" s="1"/>
  <c r="JA25" i="2"/>
  <c r="IN25" i="2" s="1"/>
  <c r="IZ25" i="2"/>
  <c r="IM25" i="2" s="1"/>
  <c r="IY25" i="2"/>
  <c r="IL25" i="2" s="1"/>
  <c r="IX25" i="2"/>
  <c r="IK25" i="2" s="1"/>
  <c r="IW25" i="2"/>
  <c r="IJ25" i="2" s="1"/>
  <c r="IV25" i="2"/>
  <c r="II25" i="2" s="1"/>
  <c r="IU25" i="2"/>
  <c r="IH25" i="2" s="1"/>
  <c r="IT25" i="2"/>
  <c r="IG25" i="2" s="1"/>
  <c r="IS25" i="2"/>
  <c r="IF25" i="2" s="1"/>
  <c r="IR25" i="2"/>
  <c r="IQ25" i="2"/>
  <c r="IP25" i="2"/>
  <c r="JA24" i="2"/>
  <c r="IN24" i="2" s="1"/>
  <c r="IZ24" i="2"/>
  <c r="IM24" i="2" s="1"/>
  <c r="IY24" i="2"/>
  <c r="IL24" i="2" s="1"/>
  <c r="IX24" i="2"/>
  <c r="IK24" i="2" s="1"/>
  <c r="IW24" i="2"/>
  <c r="IJ24" i="2" s="1"/>
  <c r="IV24" i="2"/>
  <c r="II24" i="2" s="1"/>
  <c r="IU24" i="2"/>
  <c r="IH24" i="2" s="1"/>
  <c r="IT24" i="2"/>
  <c r="IG24" i="2" s="1"/>
  <c r="IS24" i="2"/>
  <c r="IF24" i="2" s="1"/>
  <c r="IR24" i="2"/>
  <c r="JB24" i="2" s="1"/>
  <c r="IQ24" i="2"/>
  <c r="ID24" i="2" s="1"/>
  <c r="IP24" i="2"/>
  <c r="IC24" i="2" s="1"/>
  <c r="JE25" i="2"/>
  <c r="JD25" i="2"/>
  <c r="JE24" i="2"/>
  <c r="JD24" i="2"/>
  <c r="JC25" i="2"/>
  <c r="JC24" i="2"/>
  <c r="JE23" i="2"/>
  <c r="JD23" i="2"/>
  <c r="JC23" i="2"/>
  <c r="IV12" i="2"/>
  <c r="IU12" i="2"/>
  <c r="IT12" i="2"/>
  <c r="IR12" i="2"/>
  <c r="IQ12" i="2"/>
  <c r="IP12" i="2"/>
  <c r="IC11" i="2"/>
  <c r="HP11" i="2" s="1"/>
  <c r="JA12" i="2"/>
  <c r="IZ12" i="2"/>
  <c r="IY12" i="2"/>
  <c r="IX12" i="2"/>
  <c r="IW12" i="2"/>
  <c r="IQ77" i="2"/>
  <c r="IT78" i="2"/>
  <c r="CB92" i="1" s="1"/>
  <c r="IQ75" i="2"/>
  <c r="IP75" i="2"/>
  <c r="IP77" i="2"/>
  <c r="JB76" i="2"/>
  <c r="JB70" i="2"/>
  <c r="JA72" i="2"/>
  <c r="CI93" i="1" s="1"/>
  <c r="IZ64" i="2"/>
  <c r="IX64" i="2"/>
  <c r="IV64" i="2"/>
  <c r="IT64" i="2"/>
  <c r="JA63" i="2"/>
  <c r="IY63" i="2"/>
  <c r="IW63" i="2"/>
  <c r="IU63" i="2"/>
  <c r="IZ62" i="2"/>
  <c r="IX62" i="2"/>
  <c r="IV62" i="2"/>
  <c r="IT62" i="2"/>
  <c r="JN59" i="2"/>
  <c r="JM59" i="2"/>
  <c r="JL59" i="2"/>
  <c r="JK59" i="2"/>
  <c r="JJ59" i="2"/>
  <c r="JI59" i="2"/>
  <c r="JH59" i="2"/>
  <c r="JG59" i="2"/>
  <c r="JO58" i="2"/>
  <c r="IZ58" i="2"/>
  <c r="IY58" i="2"/>
  <c r="IX58" i="2"/>
  <c r="IW58" i="2"/>
  <c r="IV58" i="2"/>
  <c r="IU58" i="2"/>
  <c r="IT58" i="2"/>
  <c r="IS58" i="2"/>
  <c r="IR58" i="2"/>
  <c r="IQ58" i="2"/>
  <c r="IP58" i="2"/>
  <c r="JO57" i="2"/>
  <c r="IZ57" i="2"/>
  <c r="IY57" i="2"/>
  <c r="IX57" i="2"/>
  <c r="IW57" i="2"/>
  <c r="IV57" i="2"/>
  <c r="IU57" i="2"/>
  <c r="IT57" i="2"/>
  <c r="IS57" i="2"/>
  <c r="IR57" i="2"/>
  <c r="IQ57" i="2"/>
  <c r="IP57" i="2"/>
  <c r="JA59" i="2"/>
  <c r="CI89" i="1" s="1"/>
  <c r="IZ56" i="2"/>
  <c r="IZ59" i="2" s="1"/>
  <c r="CH89" i="1" s="1"/>
  <c r="IY56" i="2"/>
  <c r="IX56" i="2"/>
  <c r="IW56" i="2"/>
  <c r="IW59" i="2" s="1"/>
  <c r="CE89" i="1" s="1"/>
  <c r="IV56" i="2"/>
  <c r="IV59" i="2" s="1"/>
  <c r="CD89" i="1" s="1"/>
  <c r="IU56" i="2"/>
  <c r="IT56" i="2"/>
  <c r="IT59" i="2"/>
  <c r="CB89" i="1" s="1"/>
  <c r="IY45" i="2"/>
  <c r="IX45" i="2"/>
  <c r="IW45" i="2"/>
  <c r="IV45" i="2"/>
  <c r="IU45" i="2"/>
  <c r="IT45" i="2"/>
  <c r="IT43" i="2"/>
  <c r="LN46" i="2"/>
  <c r="LM46" i="2"/>
  <c r="LL46" i="2"/>
  <c r="LK46" i="2"/>
  <c r="LJ46" i="2"/>
  <c r="LI46" i="2"/>
  <c r="LH46" i="2"/>
  <c r="LG46" i="2"/>
  <c r="LF46" i="2"/>
  <c r="LE46" i="2"/>
  <c r="LD46" i="2"/>
  <c r="LC46" i="2"/>
  <c r="LO45" i="2"/>
  <c r="LO44" i="2"/>
  <c r="LO43" i="2"/>
  <c r="LO46" i="2" s="1"/>
  <c r="LA46" i="2"/>
  <c r="KT46" i="2"/>
  <c r="LB44" i="2"/>
  <c r="KA52" i="2"/>
  <c r="JX52" i="2"/>
  <c r="JW52" i="2"/>
  <c r="JV52" i="2"/>
  <c r="JT52" i="2"/>
  <c r="JS52" i="2"/>
  <c r="JP52" i="2"/>
  <c r="KB49" i="2"/>
  <c r="KN46" i="2"/>
  <c r="KG46" i="2"/>
  <c r="JS46" i="2"/>
  <c r="JR46" i="2"/>
  <c r="JP46" i="2"/>
  <c r="KB43" i="2"/>
  <c r="JM39" i="2"/>
  <c r="JK39" i="2"/>
  <c r="JI39" i="2"/>
  <c r="JG39" i="2"/>
  <c r="JA39" i="2"/>
  <c r="IZ39" i="2"/>
  <c r="IX39" i="2"/>
  <c r="IW39" i="2"/>
  <c r="IV39" i="2"/>
  <c r="IT39" i="2"/>
  <c r="IS39" i="2"/>
  <c r="IR39" i="2"/>
  <c r="IP39" i="2"/>
  <c r="JB38" i="2"/>
  <c r="HV37" i="2"/>
  <c r="JB36" i="2"/>
  <c r="HZ36" i="2"/>
  <c r="HX36" i="2"/>
  <c r="HV36" i="2"/>
  <c r="HT36" i="2"/>
  <c r="JN33" i="2"/>
  <c r="JG33" i="2"/>
  <c r="JO31" i="2"/>
  <c r="JL26" i="2"/>
  <c r="IY26" i="2"/>
  <c r="IX26" i="2"/>
  <c r="IU26" i="2"/>
  <c r="IT26" i="2"/>
  <c r="IQ26" i="2"/>
  <c r="IP26" i="2"/>
  <c r="JB23" i="2"/>
  <c r="JN20" i="2"/>
  <c r="JG20" i="2"/>
  <c r="IQ20" i="2"/>
  <c r="HT17" i="2"/>
  <c r="JC13" i="2"/>
  <c r="JO11" i="2"/>
  <c r="JO10" i="2"/>
  <c r="JO5" i="2"/>
  <c r="JO4" i="2"/>
  <c r="HY6" i="2"/>
  <c r="HX6" i="2"/>
  <c r="HW6" i="2"/>
  <c r="HV6" i="2"/>
  <c r="HU6" i="2"/>
  <c r="HT6" i="2"/>
  <c r="HY5" i="2"/>
  <c r="HX5" i="2"/>
  <c r="HW5" i="2"/>
  <c r="HV5" i="2"/>
  <c r="HU5" i="2"/>
  <c r="HT5" i="2"/>
  <c r="IA7" i="2"/>
  <c r="CI10" i="1" s="1"/>
  <c r="CI12" i="1" s="1"/>
  <c r="HT4" i="2"/>
  <c r="HP5" i="2"/>
  <c r="JN7" i="2"/>
  <c r="JM7" i="2"/>
  <c r="JL7" i="2"/>
  <c r="JK7" i="2"/>
  <c r="JJ7" i="2"/>
  <c r="JI7" i="2"/>
  <c r="JH7" i="2"/>
  <c r="JG7" i="2"/>
  <c r="JF7" i="2"/>
  <c r="JD7" i="2"/>
  <c r="JA7" i="2"/>
  <c r="IZ7" i="2"/>
  <c r="IY7" i="2"/>
  <c r="IX7" i="2"/>
  <c r="IW7" i="2"/>
  <c r="IV7" i="2"/>
  <c r="IU7" i="2"/>
  <c r="IT7" i="2"/>
  <c r="IP7" i="2"/>
  <c r="IN7" i="2"/>
  <c r="CI14" i="1" s="1"/>
  <c r="CI16" i="1" s="1"/>
  <c r="IG7" i="2"/>
  <c r="CB14" i="1" s="1"/>
  <c r="CB16" i="1" s="1"/>
  <c r="AA19" i="3"/>
  <c r="AL57" i="3"/>
  <c r="AK57" i="3"/>
  <c r="AJ57" i="3"/>
  <c r="AI57" i="3"/>
  <c r="AH57" i="3"/>
  <c r="AG57" i="3"/>
  <c r="AF57" i="3"/>
  <c r="AE57" i="3"/>
  <c r="AY54" i="1"/>
  <c r="AY52" i="1"/>
  <c r="AY38" i="1"/>
  <c r="AY36" i="1"/>
  <c r="AY22" i="1"/>
  <c r="AY20" i="1"/>
  <c r="AY6" i="1"/>
  <c r="AY4" i="1"/>
  <c r="FZ56" i="2"/>
  <c r="GM6" i="2"/>
  <c r="GM5" i="2"/>
  <c r="GM4" i="2"/>
  <c r="HM19" i="2"/>
  <c r="HM17" i="2"/>
  <c r="GM18" i="2"/>
  <c r="HK30" i="2"/>
  <c r="GM32" i="2"/>
  <c r="GM43" i="2"/>
  <c r="GM51" i="2"/>
  <c r="GM45" i="2"/>
  <c r="FZ62" i="2"/>
  <c r="FZ64" i="2"/>
  <c r="FY62" i="2"/>
  <c r="FY56" i="2"/>
  <c r="FY64" i="2"/>
  <c r="AN56" i="3"/>
  <c r="AB57" i="3"/>
  <c r="AL48" i="3"/>
  <c r="AA57" i="3"/>
  <c r="BA69" i="1"/>
  <c r="AM30" i="3"/>
  <c r="AD57" i="3"/>
  <c r="AX54" i="1"/>
  <c r="AX52" i="1"/>
  <c r="AX38" i="1"/>
  <c r="AX36" i="1"/>
  <c r="AX22" i="1"/>
  <c r="AX20" i="1"/>
  <c r="AX6" i="1"/>
  <c r="AX4" i="1"/>
  <c r="GL51" i="2"/>
  <c r="GM50" i="2"/>
  <c r="GL50" i="2"/>
  <c r="GM49" i="2"/>
  <c r="GL49" i="2"/>
  <c r="HZ44" i="2"/>
  <c r="HY44" i="2"/>
  <c r="HM44" i="2"/>
  <c r="HL44" i="2"/>
  <c r="GZ44" i="2"/>
  <c r="GY44" i="2"/>
  <c r="GL44" i="2" s="1"/>
  <c r="GL45" i="2"/>
  <c r="GM44" i="2"/>
  <c r="GL43" i="2"/>
  <c r="HM38" i="2"/>
  <c r="HL38" i="2"/>
  <c r="HK38" i="2"/>
  <c r="HM36" i="2"/>
  <c r="HL36" i="2"/>
  <c r="HK36" i="2"/>
  <c r="GZ38" i="2"/>
  <c r="GY38" i="2"/>
  <c r="GL38" i="2" s="1"/>
  <c r="GZ37" i="2"/>
  <c r="GY37" i="2"/>
  <c r="GL37" i="2" s="1"/>
  <c r="GZ36" i="2"/>
  <c r="GY36" i="2"/>
  <c r="GL36" i="2" s="1"/>
  <c r="GM38" i="2"/>
  <c r="GM37" i="2"/>
  <c r="GM36" i="2"/>
  <c r="HM30" i="2"/>
  <c r="HL30" i="2"/>
  <c r="GZ32" i="2"/>
  <c r="GY32" i="2"/>
  <c r="GZ31" i="2"/>
  <c r="GM31" i="2"/>
  <c r="GY31" i="2"/>
  <c r="GL31" i="2" s="1"/>
  <c r="GZ30" i="2"/>
  <c r="GM30" i="2" s="1"/>
  <c r="GY30" i="2"/>
  <c r="GL30" i="2" s="1"/>
  <c r="GL32" i="2"/>
  <c r="GM25" i="2"/>
  <c r="GM24" i="2"/>
  <c r="GM23" i="2"/>
  <c r="GL25" i="2"/>
  <c r="GL24" i="2"/>
  <c r="GL23" i="2"/>
  <c r="HL19" i="2"/>
  <c r="HM18" i="2"/>
  <c r="HL18" i="2"/>
  <c r="HL17" i="2"/>
  <c r="GZ19" i="2"/>
  <c r="GM19" i="2" s="1"/>
  <c r="GY19" i="2"/>
  <c r="GZ18" i="2"/>
  <c r="GY18" i="2"/>
  <c r="GL18" i="2" s="1"/>
  <c r="FY18" i="2" s="1"/>
  <c r="GZ17" i="2"/>
  <c r="GM17" i="2" s="1"/>
  <c r="GY17" i="2"/>
  <c r="GL17" i="2"/>
  <c r="GL19" i="2"/>
  <c r="HM12" i="2"/>
  <c r="HL12" i="2"/>
  <c r="GZ12" i="2"/>
  <c r="GM12" i="2" s="1"/>
  <c r="GM13" i="2" s="1"/>
  <c r="AY13" i="1" s="1"/>
  <c r="GY12" i="2"/>
  <c r="GL12" i="2"/>
  <c r="GZ11" i="2"/>
  <c r="GM11" i="2" s="1"/>
  <c r="GY11" i="2"/>
  <c r="GL11" i="2" s="1"/>
  <c r="GZ10" i="2"/>
  <c r="GY10" i="2"/>
  <c r="GM10" i="2"/>
  <c r="GL10" i="2"/>
  <c r="AC57" i="3"/>
  <c r="GL4" i="2"/>
  <c r="GL6" i="2"/>
  <c r="GL5" i="2"/>
  <c r="GZ20" i="2"/>
  <c r="AW54" i="1"/>
  <c r="AW52" i="1"/>
  <c r="AW38" i="1"/>
  <c r="AW36" i="1"/>
  <c r="AW22" i="1"/>
  <c r="AW20" i="1"/>
  <c r="AW6" i="1"/>
  <c r="AW4" i="1"/>
  <c r="FX64" i="2"/>
  <c r="FX62" i="2"/>
  <c r="FX58" i="2"/>
  <c r="FX56" i="2"/>
  <c r="HX44" i="2"/>
  <c r="HK44" i="2"/>
  <c r="GX44" i="2"/>
  <c r="GK45" i="2"/>
  <c r="GK43" i="2"/>
  <c r="GK51" i="2"/>
  <c r="GK50" i="2"/>
  <c r="GK49" i="2"/>
  <c r="GK44" i="2"/>
  <c r="GX32" i="2"/>
  <c r="GX31" i="2"/>
  <c r="GX30" i="2"/>
  <c r="GX38" i="2"/>
  <c r="GK38" i="2" s="1"/>
  <c r="GX37" i="2"/>
  <c r="GX36" i="2"/>
  <c r="GK37" i="2"/>
  <c r="GK36" i="2"/>
  <c r="GK32" i="2"/>
  <c r="GK30" i="2"/>
  <c r="GK31" i="2"/>
  <c r="HK19" i="2"/>
  <c r="HK18" i="2"/>
  <c r="HK17" i="2"/>
  <c r="GX19" i="2"/>
  <c r="GK19" i="2" s="1"/>
  <c r="GX18" i="2"/>
  <c r="GX17" i="2"/>
  <c r="GK25" i="2"/>
  <c r="GK24" i="2"/>
  <c r="GK23" i="2"/>
  <c r="GK18" i="2"/>
  <c r="GK17" i="2"/>
  <c r="HK12" i="2"/>
  <c r="GX12" i="2"/>
  <c r="GX11" i="2"/>
  <c r="GX10" i="2"/>
  <c r="GK10" i="2" s="1"/>
  <c r="GK12" i="2"/>
  <c r="GK11" i="2"/>
  <c r="GK6" i="2"/>
  <c r="GK5" i="2"/>
  <c r="GK4" i="2"/>
  <c r="D21" i="5"/>
  <c r="D20" i="5"/>
  <c r="D19" i="5"/>
  <c r="D18" i="5"/>
  <c r="D17" i="5"/>
  <c r="D1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AV54" i="1"/>
  <c r="AV52" i="1"/>
  <c r="AV38" i="1"/>
  <c r="AV36" i="1"/>
  <c r="AV22" i="1"/>
  <c r="AV20" i="1"/>
  <c r="AV6" i="1"/>
  <c r="AV4" i="1"/>
  <c r="HJ12" i="2"/>
  <c r="GW12" i="2"/>
  <c r="GJ12" i="2" s="1"/>
  <c r="FW12" i="2" s="1"/>
  <c r="GW11" i="2"/>
  <c r="GW10" i="2"/>
  <c r="GJ10" i="2" s="1"/>
  <c r="GJ4" i="2"/>
  <c r="GJ5" i="2"/>
  <c r="GJ6" i="2"/>
  <c r="GJ11" i="2"/>
  <c r="GJ24" i="2"/>
  <c r="GJ25" i="2"/>
  <c r="GJ19" i="2"/>
  <c r="GJ23" i="2"/>
  <c r="GJ18" i="2"/>
  <c r="GJ17" i="2"/>
  <c r="HJ32" i="2"/>
  <c r="HJ33" i="2" s="1"/>
  <c r="HJ31" i="2"/>
  <c r="HJ30" i="2"/>
  <c r="HJ38" i="2"/>
  <c r="HJ36" i="2"/>
  <c r="HJ39" i="2" s="1"/>
  <c r="GW38" i="2"/>
  <c r="GJ38" i="2" s="1"/>
  <c r="FW38" i="2" s="1"/>
  <c r="GW37" i="2"/>
  <c r="GJ37" i="2"/>
  <c r="GW36" i="2"/>
  <c r="GJ36" i="2" s="1"/>
  <c r="GW32" i="2"/>
  <c r="GW31" i="2"/>
  <c r="GJ31" i="2"/>
  <c r="GW30" i="2"/>
  <c r="GJ30" i="2" s="1"/>
  <c r="GJ32" i="2"/>
  <c r="GI31" i="2"/>
  <c r="HW44" i="2"/>
  <c r="GW45" i="2"/>
  <c r="GJ45" i="2" s="1"/>
  <c r="GJ43" i="2"/>
  <c r="GJ51" i="2"/>
  <c r="GJ50" i="2"/>
  <c r="GJ49" i="2"/>
  <c r="GJ44" i="2"/>
  <c r="FW62" i="2"/>
  <c r="FW64" i="2"/>
  <c r="FW58" i="2"/>
  <c r="FW56" i="2"/>
  <c r="AU54" i="1"/>
  <c r="AU52" i="1"/>
  <c r="AU38" i="1"/>
  <c r="AU36" i="1"/>
  <c r="AU22" i="1"/>
  <c r="AU20" i="1"/>
  <c r="AU6" i="1"/>
  <c r="AU4" i="1"/>
  <c r="FV56" i="2"/>
  <c r="FV62" i="2"/>
  <c r="HV44" i="2"/>
  <c r="GI45" i="2"/>
  <c r="GI43" i="2"/>
  <c r="GI51" i="2"/>
  <c r="GI50" i="2"/>
  <c r="GI49" i="2"/>
  <c r="GH49" i="2"/>
  <c r="GH50" i="2"/>
  <c r="GH51" i="2"/>
  <c r="GI44" i="2"/>
  <c r="GI36" i="2"/>
  <c r="GV32" i="2"/>
  <c r="GI32" i="2" s="1"/>
  <c r="GV31" i="2"/>
  <c r="GV30" i="2"/>
  <c r="GI30" i="2" s="1"/>
  <c r="GV38" i="2"/>
  <c r="GI38" i="2" s="1"/>
  <c r="GV37" i="2"/>
  <c r="GI37" i="2" s="1"/>
  <c r="GI39" i="2" s="1"/>
  <c r="AU45" i="1" s="1"/>
  <c r="GV36" i="2"/>
  <c r="HB38" i="2"/>
  <c r="HC38" i="2"/>
  <c r="HN38" i="2" s="1"/>
  <c r="HD38" i="2"/>
  <c r="HE38" i="2"/>
  <c r="HF38" i="2"/>
  <c r="HG38" i="2"/>
  <c r="HG39" i="2" s="1"/>
  <c r="HH38" i="2"/>
  <c r="HI38" i="2"/>
  <c r="HI37" i="2"/>
  <c r="HI36" i="2"/>
  <c r="HI39" i="2" s="1"/>
  <c r="HI32" i="2"/>
  <c r="HI31" i="2"/>
  <c r="HI30" i="2"/>
  <c r="HB32" i="2"/>
  <c r="HC32" i="2"/>
  <c r="HD32" i="2"/>
  <c r="HE32" i="2"/>
  <c r="HN32" i="2"/>
  <c r="HF32" i="2"/>
  <c r="HG32" i="2"/>
  <c r="HH32" i="2"/>
  <c r="GO32" i="2"/>
  <c r="GP32" i="2"/>
  <c r="GQ32" i="2"/>
  <c r="GR32" i="2"/>
  <c r="GS32" i="2"/>
  <c r="GT32" i="2"/>
  <c r="GU32" i="2"/>
  <c r="GO38" i="2"/>
  <c r="GP38" i="2"/>
  <c r="GQ38" i="2"/>
  <c r="GR38" i="2"/>
  <c r="GS38" i="2"/>
  <c r="GT38" i="2"/>
  <c r="GU38" i="2"/>
  <c r="HM39" i="2"/>
  <c r="HL39" i="2"/>
  <c r="HK39" i="2"/>
  <c r="HH37" i="2"/>
  <c r="HG37" i="2"/>
  <c r="HF37" i="2"/>
  <c r="HE37" i="2"/>
  <c r="HD37" i="2"/>
  <c r="HN37" i="2" s="1"/>
  <c r="HC37" i="2"/>
  <c r="HB37" i="2"/>
  <c r="HH36" i="2"/>
  <c r="HH39" i="2" s="1"/>
  <c r="HG36" i="2"/>
  <c r="HF36" i="2"/>
  <c r="HF39" i="2" s="1"/>
  <c r="HE36" i="2"/>
  <c r="HE39" i="2"/>
  <c r="HD36" i="2"/>
  <c r="HD39" i="2" s="1"/>
  <c r="HC36" i="2"/>
  <c r="HB36" i="2"/>
  <c r="HB39" i="2" s="1"/>
  <c r="HN35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M33" i="2"/>
  <c r="HL33" i="2"/>
  <c r="HK33" i="2"/>
  <c r="HI33" i="2"/>
  <c r="HH31" i="2"/>
  <c r="HG31" i="2"/>
  <c r="HF31" i="2"/>
  <c r="HE31" i="2"/>
  <c r="HN31" i="2"/>
  <c r="HD31" i="2"/>
  <c r="HC31" i="2"/>
  <c r="HB31" i="2"/>
  <c r="HH30" i="2"/>
  <c r="HH33" i="2" s="1"/>
  <c r="HG30" i="2"/>
  <c r="HG33" i="2"/>
  <c r="HF30" i="2"/>
  <c r="HF33" i="2" s="1"/>
  <c r="HE30" i="2"/>
  <c r="HD30" i="2"/>
  <c r="HD33" i="2" s="1"/>
  <c r="HC30" i="2"/>
  <c r="HC33" i="2"/>
  <c r="HB30" i="2"/>
  <c r="HB33" i="2" s="1"/>
  <c r="HN33" i="2" s="1"/>
  <c r="HE33" i="2"/>
  <c r="GI25" i="2"/>
  <c r="GI24" i="2"/>
  <c r="GI19" i="2"/>
  <c r="GI23" i="2"/>
  <c r="GI18" i="2"/>
  <c r="GI17" i="2"/>
  <c r="GV4" i="2"/>
  <c r="GI4" i="2" s="1"/>
  <c r="GI7" i="2" s="1"/>
  <c r="AU14" i="1" s="1"/>
  <c r="AU16" i="1" s="1"/>
  <c r="GV12" i="2"/>
  <c r="GV11" i="2"/>
  <c r="GV10" i="2"/>
  <c r="HI12" i="2"/>
  <c r="GI12" i="2" s="1"/>
  <c r="GI11" i="2"/>
  <c r="GI10" i="2"/>
  <c r="GI6" i="2"/>
  <c r="GI5" i="2"/>
  <c r="FU56" i="2"/>
  <c r="FU62" i="2"/>
  <c r="HU44" i="2"/>
  <c r="GU45" i="2"/>
  <c r="GH45" i="2"/>
  <c r="GH44" i="2"/>
  <c r="GH43" i="2"/>
  <c r="GH38" i="2"/>
  <c r="GH37" i="2"/>
  <c r="GU37" i="2"/>
  <c r="GU36" i="2"/>
  <c r="GH36" i="2" s="1"/>
  <c r="GH39" i="2" s="1"/>
  <c r="AT45" i="1" s="1"/>
  <c r="GU31" i="2"/>
  <c r="GH31" i="2" s="1"/>
  <c r="FU31" i="2" s="1"/>
  <c r="GU30" i="2"/>
  <c r="GH30" i="2" s="1"/>
  <c r="GH32" i="2"/>
  <c r="HH12" i="2"/>
  <c r="GU12" i="2"/>
  <c r="GH12" i="2" s="1"/>
  <c r="GU11" i="2"/>
  <c r="GU10" i="2"/>
  <c r="GU4" i="2"/>
  <c r="GH25" i="2"/>
  <c r="GH24" i="2"/>
  <c r="GH23" i="2"/>
  <c r="GH19" i="2"/>
  <c r="GH18" i="2"/>
  <c r="GH17" i="2"/>
  <c r="GH6" i="2"/>
  <c r="GH4" i="2"/>
  <c r="GH5" i="2"/>
  <c r="GH10" i="2"/>
  <c r="GH11" i="2"/>
  <c r="AT54" i="1"/>
  <c r="AT52" i="1"/>
  <c r="AT38" i="1"/>
  <c r="AT36" i="1"/>
  <c r="AT22" i="1"/>
  <c r="AT20" i="1"/>
  <c r="AT6" i="1"/>
  <c r="AT4" i="1"/>
  <c r="BU10" i="1"/>
  <c r="BB10" i="1"/>
  <c r="AS54" i="1"/>
  <c r="AR54" i="1"/>
  <c r="AS52" i="1"/>
  <c r="AR52" i="1"/>
  <c r="AS38" i="1"/>
  <c r="AR38" i="1"/>
  <c r="AS36" i="1"/>
  <c r="AR36" i="1"/>
  <c r="AS22" i="1"/>
  <c r="AR22" i="1"/>
  <c r="AS20" i="1"/>
  <c r="AR20" i="1"/>
  <c r="AS6" i="1"/>
  <c r="AR6" i="1"/>
  <c r="AS4" i="1"/>
  <c r="AR4" i="1"/>
  <c r="GF38" i="2"/>
  <c r="GG38" i="2"/>
  <c r="GT37" i="2"/>
  <c r="GG37" i="2" s="1"/>
  <c r="FT37" i="2" s="1"/>
  <c r="GT36" i="2"/>
  <c r="GG36" i="2" s="1"/>
  <c r="GT31" i="2"/>
  <c r="GG31" i="2"/>
  <c r="GT30" i="2"/>
  <c r="GG32" i="2"/>
  <c r="GG30" i="2"/>
  <c r="GF32" i="2"/>
  <c r="GG45" i="2"/>
  <c r="GG43" i="2"/>
  <c r="GF45" i="2"/>
  <c r="GF43" i="2"/>
  <c r="GG51" i="2"/>
  <c r="GG50" i="2"/>
  <c r="FT50" i="2" s="1"/>
  <c r="GG49" i="2"/>
  <c r="GF51" i="2"/>
  <c r="GF50" i="2"/>
  <c r="GF49" i="2"/>
  <c r="FS49" i="2" s="1"/>
  <c r="GG44" i="2"/>
  <c r="GF44" i="2"/>
  <c r="GS37" i="2"/>
  <c r="GF37" i="2" s="1"/>
  <c r="GS36" i="2"/>
  <c r="HA36" i="2" s="1"/>
  <c r="GS31" i="2"/>
  <c r="GF31" i="2" s="1"/>
  <c r="FS31" i="2" s="1"/>
  <c r="GS30" i="2"/>
  <c r="GF30" i="2" s="1"/>
  <c r="GG25" i="2"/>
  <c r="GG23" i="2"/>
  <c r="GG19" i="2"/>
  <c r="GG17" i="2"/>
  <c r="GG24" i="2"/>
  <c r="GG18" i="2"/>
  <c r="GF25" i="2"/>
  <c r="GF19" i="2"/>
  <c r="GF17" i="2"/>
  <c r="GF24" i="2"/>
  <c r="GF26" i="2" s="1"/>
  <c r="AR29" i="1" s="1"/>
  <c r="GF23" i="2"/>
  <c r="GF18" i="2"/>
  <c r="HG12" i="2"/>
  <c r="GT12" i="2"/>
  <c r="GG12" i="2" s="1"/>
  <c r="GT11" i="2"/>
  <c r="GT10" i="2"/>
  <c r="GG11" i="2"/>
  <c r="GG10" i="2"/>
  <c r="GG6" i="2"/>
  <c r="GG5" i="2"/>
  <c r="GG4" i="2"/>
  <c r="HF12" i="2"/>
  <c r="GS12" i="2"/>
  <c r="GS11" i="2"/>
  <c r="GF11" i="2" s="1"/>
  <c r="GS10" i="2"/>
  <c r="GF6" i="2"/>
  <c r="GF5" i="2"/>
  <c r="GF4" i="2"/>
  <c r="GF10" i="2"/>
  <c r="GF12" i="2"/>
  <c r="BL6" i="1"/>
  <c r="BL70" i="1"/>
  <c r="BV65" i="1"/>
  <c r="BU65" i="1"/>
  <c r="BV1" i="1"/>
  <c r="BU1" i="1"/>
  <c r="GE43" i="2"/>
  <c r="AQ54" i="1"/>
  <c r="AQ52" i="1"/>
  <c r="AQ38" i="1"/>
  <c r="AQ36" i="1"/>
  <c r="AQ22" i="1"/>
  <c r="AQ20" i="1"/>
  <c r="GE51" i="2"/>
  <c r="GE50" i="2"/>
  <c r="GE49" i="2"/>
  <c r="FR49" i="2" s="1"/>
  <c r="GE45" i="2"/>
  <c r="GE44" i="2"/>
  <c r="GE38" i="2"/>
  <c r="GE36" i="2"/>
  <c r="GE32" i="2"/>
  <c r="GR37" i="2"/>
  <c r="GE37" i="2" s="1"/>
  <c r="GR36" i="2"/>
  <c r="GR31" i="2"/>
  <c r="GE31" i="2" s="1"/>
  <c r="FR31" i="2" s="1"/>
  <c r="GR30" i="2"/>
  <c r="GE30" i="2" s="1"/>
  <c r="FR30" i="2" s="1"/>
  <c r="HE19" i="2"/>
  <c r="HE18" i="2"/>
  <c r="HE17" i="2"/>
  <c r="GE25" i="2"/>
  <c r="GE23" i="2"/>
  <c r="GE24" i="2"/>
  <c r="GE26" i="2" s="1"/>
  <c r="AQ29" i="1" s="1"/>
  <c r="GE19" i="2"/>
  <c r="GE17" i="2"/>
  <c r="GE18" i="2"/>
  <c r="HE12" i="2"/>
  <c r="GR12" i="2"/>
  <c r="GR11" i="2"/>
  <c r="GR10" i="2"/>
  <c r="GE10" i="2" s="1"/>
  <c r="GE12" i="2"/>
  <c r="GE11" i="2"/>
  <c r="GE6" i="2"/>
  <c r="GE5" i="2"/>
  <c r="GE4" i="2"/>
  <c r="AQ6" i="1"/>
  <c r="AQ4" i="1"/>
  <c r="AM58" i="1"/>
  <c r="AM42" i="1"/>
  <c r="AM26" i="1"/>
  <c r="AM10" i="1"/>
  <c r="AC6" i="3"/>
  <c r="AP54" i="1"/>
  <c r="AP52" i="1"/>
  <c r="AP38" i="1"/>
  <c r="AP36" i="1"/>
  <c r="AP22" i="1"/>
  <c r="AP20" i="1"/>
  <c r="AP6" i="1"/>
  <c r="GD51" i="2"/>
  <c r="GD50" i="2"/>
  <c r="FQ50" i="2" s="1"/>
  <c r="GD49" i="2"/>
  <c r="GD45" i="2"/>
  <c r="GD43" i="2"/>
  <c r="GD44" i="2"/>
  <c r="GD38" i="2"/>
  <c r="GD36" i="2"/>
  <c r="GQ37" i="2"/>
  <c r="GD37" i="2" s="1"/>
  <c r="FQ37" i="2" s="1"/>
  <c r="GQ36" i="2"/>
  <c r="GD32" i="2"/>
  <c r="GQ31" i="2"/>
  <c r="GD31" i="2" s="1"/>
  <c r="GQ30" i="2"/>
  <c r="GD30" i="2" s="1"/>
  <c r="FQ30" i="2" s="1"/>
  <c r="GD25" i="2"/>
  <c r="GD24" i="2"/>
  <c r="GN24" i="2" s="1"/>
  <c r="GD23" i="2"/>
  <c r="HD19" i="2"/>
  <c r="HD18" i="2"/>
  <c r="HD17" i="2"/>
  <c r="GQ19" i="2"/>
  <c r="GD19" i="2"/>
  <c r="GD17" i="2"/>
  <c r="GD18" i="2"/>
  <c r="HD12" i="2"/>
  <c r="GQ12" i="2"/>
  <c r="GQ11" i="2"/>
  <c r="GD11" i="2"/>
  <c r="GQ10" i="2"/>
  <c r="GD10" i="2"/>
  <c r="GD12" i="2"/>
  <c r="GD6" i="2"/>
  <c r="GD4" i="2"/>
  <c r="GD5" i="2"/>
  <c r="AP4" i="1"/>
  <c r="FP56" i="2"/>
  <c r="FO56" i="2"/>
  <c r="GB43" i="2"/>
  <c r="GB30" i="2"/>
  <c r="GC17" i="2"/>
  <c r="GB17" i="2"/>
  <c r="GC4" i="2"/>
  <c r="GB4" i="2"/>
  <c r="AL44" i="3"/>
  <c r="AY53" i="1" s="1"/>
  <c r="AK44" i="3"/>
  <c r="AJ44" i="3"/>
  <c r="AW53" i="1" s="1"/>
  <c r="AI44" i="3"/>
  <c r="AH44" i="3"/>
  <c r="AG44" i="3"/>
  <c r="AT53" i="1" s="1"/>
  <c r="AF44" i="3"/>
  <c r="AE44" i="3"/>
  <c r="AR53" i="1" s="1"/>
  <c r="AD44" i="3"/>
  <c r="AC44" i="3"/>
  <c r="AP53" i="1" s="1"/>
  <c r="AB44" i="3"/>
  <c r="AA44" i="3"/>
  <c r="HC12" i="2"/>
  <c r="AF28" i="3"/>
  <c r="AB28" i="3"/>
  <c r="GC51" i="2"/>
  <c r="GC50" i="2"/>
  <c r="GC49" i="2"/>
  <c r="GB51" i="2"/>
  <c r="GN51" i="2" s="1"/>
  <c r="GB50" i="2"/>
  <c r="GB49" i="2"/>
  <c r="GC45" i="2"/>
  <c r="GC44" i="2"/>
  <c r="GC43" i="2"/>
  <c r="GB45" i="2"/>
  <c r="GB44" i="2"/>
  <c r="GP31" i="2"/>
  <c r="GC31" i="2" s="1"/>
  <c r="FP31" i="2" s="1"/>
  <c r="GP30" i="2"/>
  <c r="GC30" i="2" s="1"/>
  <c r="GP37" i="2"/>
  <c r="GC37" i="2" s="1"/>
  <c r="GC39" i="2" s="1"/>
  <c r="AO45" i="1" s="1"/>
  <c r="GP36" i="2"/>
  <c r="GO37" i="2"/>
  <c r="GO36" i="2"/>
  <c r="GO31" i="2"/>
  <c r="GO30" i="2"/>
  <c r="GC38" i="2"/>
  <c r="GN38" i="2" s="1"/>
  <c r="GC36" i="2"/>
  <c r="GB38" i="2"/>
  <c r="GB37" i="2"/>
  <c r="GB36" i="2"/>
  <c r="GC32" i="2"/>
  <c r="GB32" i="2"/>
  <c r="GB31" i="2"/>
  <c r="GC25" i="2"/>
  <c r="GC24" i="2"/>
  <c r="GC23" i="2"/>
  <c r="GN23" i="2" s="1"/>
  <c r="GB25" i="2"/>
  <c r="GB24" i="2"/>
  <c r="GB23" i="2"/>
  <c r="HC19" i="2"/>
  <c r="HC18" i="2"/>
  <c r="HC17" i="2"/>
  <c r="HB19" i="2"/>
  <c r="HB18" i="2"/>
  <c r="HB17" i="2"/>
  <c r="GC19" i="2"/>
  <c r="GC18" i="2"/>
  <c r="GB19" i="2"/>
  <c r="GB18" i="2"/>
  <c r="HB12" i="2"/>
  <c r="GP12" i="2"/>
  <c r="GC12" i="2" s="1"/>
  <c r="FP12" i="2" s="1"/>
  <c r="GO12" i="2"/>
  <c r="GB12" i="2" s="1"/>
  <c r="FO12" i="2" s="1"/>
  <c r="GP11" i="2"/>
  <c r="GC11" i="2" s="1"/>
  <c r="GO11" i="2"/>
  <c r="GP10" i="2"/>
  <c r="GC10" i="2" s="1"/>
  <c r="GC13" i="2" s="1"/>
  <c r="AO13" i="1" s="1"/>
  <c r="GO10" i="2"/>
  <c r="GB10" i="2" s="1"/>
  <c r="GB13" i="2" s="1"/>
  <c r="AN13" i="1" s="1"/>
  <c r="GB11" i="2"/>
  <c r="GC6" i="2"/>
  <c r="GC5" i="2"/>
  <c r="GO6" i="2"/>
  <c r="GB6" i="2" s="1"/>
  <c r="GO4" i="2"/>
  <c r="GB5" i="2"/>
  <c r="AY18" i="1"/>
  <c r="AX18" i="1"/>
  <c r="AW18" i="1"/>
  <c r="AV18" i="1"/>
  <c r="AU18" i="1"/>
  <c r="AT18" i="1"/>
  <c r="AS18" i="1"/>
  <c r="AR18" i="1"/>
  <c r="AQ18" i="1"/>
  <c r="AP18" i="1"/>
  <c r="AO18" i="1"/>
  <c r="AN18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L43" i="3"/>
  <c r="AK43" i="3"/>
  <c r="L5" i="5" s="1"/>
  <c r="AJ43" i="3"/>
  <c r="AI43" i="3"/>
  <c r="AH43" i="3"/>
  <c r="AG43" i="3"/>
  <c r="AF43" i="3"/>
  <c r="AE43" i="3"/>
  <c r="AD43" i="3"/>
  <c r="AC43" i="3"/>
  <c r="AB43" i="3"/>
  <c r="AA43" i="3"/>
  <c r="AL35" i="3"/>
  <c r="AY37" i="1" s="1"/>
  <c r="AK35" i="3"/>
  <c r="AX37" i="1" s="1"/>
  <c r="AJ35" i="3"/>
  <c r="AW37" i="1" s="1"/>
  <c r="AI35" i="3"/>
  <c r="AV37" i="1" s="1"/>
  <c r="AH35" i="3"/>
  <c r="AU37" i="1" s="1"/>
  <c r="AG35" i="3"/>
  <c r="AT37" i="1" s="1"/>
  <c r="AF35" i="3"/>
  <c r="AS37" i="1" s="1"/>
  <c r="AE35" i="3"/>
  <c r="AR37" i="1" s="1"/>
  <c r="AD35" i="3"/>
  <c r="AC35" i="3"/>
  <c r="AP37" i="1" s="1"/>
  <c r="AB35" i="3"/>
  <c r="AA35" i="3"/>
  <c r="AL34" i="3"/>
  <c r="AK34" i="3"/>
  <c r="L4" i="5" s="1"/>
  <c r="AJ34" i="3"/>
  <c r="AI34" i="3"/>
  <c r="AH34" i="3"/>
  <c r="AG34" i="3"/>
  <c r="AF34" i="3"/>
  <c r="AE34" i="3"/>
  <c r="AD34" i="3"/>
  <c r="AC34" i="3"/>
  <c r="AB34" i="3"/>
  <c r="AA34" i="3"/>
  <c r="AL26" i="3"/>
  <c r="AY21" i="1" s="1"/>
  <c r="AK26" i="3"/>
  <c r="AJ26" i="3"/>
  <c r="AW21" i="1" s="1"/>
  <c r="AI26" i="3"/>
  <c r="AH26" i="3"/>
  <c r="AU21" i="1" s="1"/>
  <c r="AG26" i="3"/>
  <c r="AF26" i="3"/>
  <c r="AS21" i="1" s="1"/>
  <c r="AE26" i="3"/>
  <c r="AD26" i="3"/>
  <c r="AQ21" i="1" s="1"/>
  <c r="AC26" i="3"/>
  <c r="AB26" i="3"/>
  <c r="AO21" i="1" s="1"/>
  <c r="AA26" i="3"/>
  <c r="AN21" i="1" s="1"/>
  <c r="AL25" i="3"/>
  <c r="AK25" i="3"/>
  <c r="L3" i="5" s="1"/>
  <c r="AJ25" i="3"/>
  <c r="AI25" i="3"/>
  <c r="AH25" i="3"/>
  <c r="AG25" i="3"/>
  <c r="AF25" i="3"/>
  <c r="AF24" i="3" s="1"/>
  <c r="AE25" i="3"/>
  <c r="AD25" i="3"/>
  <c r="AC25" i="3"/>
  <c r="AB25" i="3"/>
  <c r="AA25" i="3"/>
  <c r="AL17" i="3"/>
  <c r="AY5" i="1" s="1"/>
  <c r="AK17" i="3"/>
  <c r="AX5" i="1" s="1"/>
  <c r="AJ17" i="3"/>
  <c r="AW5" i="1" s="1"/>
  <c r="AI17" i="3"/>
  <c r="AV5" i="1" s="1"/>
  <c r="AH17" i="3"/>
  <c r="AU5" i="1" s="1"/>
  <c r="AG17" i="3"/>
  <c r="AT5" i="1" s="1"/>
  <c r="AF17" i="3"/>
  <c r="AS5" i="1" s="1"/>
  <c r="AE17" i="3"/>
  <c r="AR5" i="1" s="1"/>
  <c r="AD17" i="3"/>
  <c r="AQ5" i="1" s="1"/>
  <c r="AC17" i="3"/>
  <c r="AP5" i="1" s="1"/>
  <c r="AB17" i="3"/>
  <c r="AA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AL49" i="3"/>
  <c r="AK49" i="3"/>
  <c r="AJ49" i="3"/>
  <c r="AI49" i="3"/>
  <c r="AH49" i="3"/>
  <c r="AG49" i="3"/>
  <c r="AF49" i="3"/>
  <c r="AE49" i="3"/>
  <c r="AD49" i="3"/>
  <c r="AC49" i="3"/>
  <c r="AE46" i="3" s="1"/>
  <c r="AB49" i="3"/>
  <c r="AA49" i="3"/>
  <c r="AK48" i="3"/>
  <c r="AJ48" i="3"/>
  <c r="AI48" i="3"/>
  <c r="AH48" i="3"/>
  <c r="AG48" i="3"/>
  <c r="AF48" i="3"/>
  <c r="AE48" i="3"/>
  <c r="AD48" i="3"/>
  <c r="AC48" i="3"/>
  <c r="AB48" i="3"/>
  <c r="AA48" i="3"/>
  <c r="IN51" i="2"/>
  <c r="IA51" i="2"/>
  <c r="HN51" i="2"/>
  <c r="HA51" i="2"/>
  <c r="FZ51" i="2"/>
  <c r="FY51" i="2"/>
  <c r="FX51" i="2"/>
  <c r="FW51" i="2"/>
  <c r="FV51" i="2"/>
  <c r="FU51" i="2"/>
  <c r="FT51" i="2"/>
  <c r="FS51" i="2"/>
  <c r="FR51" i="2"/>
  <c r="FQ51" i="2"/>
  <c r="FP51" i="2"/>
  <c r="IN50" i="2"/>
  <c r="IA50" i="2"/>
  <c r="HN50" i="2"/>
  <c r="HA50" i="2"/>
  <c r="GN50" i="2"/>
  <c r="FZ50" i="2"/>
  <c r="FY50" i="2"/>
  <c r="FX50" i="2"/>
  <c r="FW50" i="2"/>
  <c r="FV50" i="2"/>
  <c r="FU50" i="2"/>
  <c r="FS50" i="2"/>
  <c r="FR50" i="2"/>
  <c r="FP50" i="2"/>
  <c r="FO50" i="2"/>
  <c r="IN49" i="2"/>
  <c r="IA49" i="2"/>
  <c r="HN49" i="2"/>
  <c r="HA49" i="2"/>
  <c r="FO49" i="2"/>
  <c r="FZ49" i="2"/>
  <c r="FY49" i="2"/>
  <c r="FX49" i="2"/>
  <c r="FW49" i="2"/>
  <c r="FV49" i="2"/>
  <c r="FU49" i="2"/>
  <c r="FT49" i="2"/>
  <c r="FQ49" i="2"/>
  <c r="FP49" i="2"/>
  <c r="GZ39" i="2"/>
  <c r="GY39" i="2"/>
  <c r="GX39" i="2"/>
  <c r="GW39" i="2"/>
  <c r="GV39" i="2"/>
  <c r="GU39" i="2"/>
  <c r="GT39" i="2"/>
  <c r="GS39" i="2"/>
  <c r="GR39" i="2"/>
  <c r="GQ39" i="2"/>
  <c r="GP39" i="2"/>
  <c r="GO39" i="2"/>
  <c r="GM39" i="2"/>
  <c r="AY45" i="1" s="1"/>
  <c r="GL39" i="2"/>
  <c r="AX45" i="1" s="1"/>
  <c r="HA38" i="2"/>
  <c r="HA37" i="2"/>
  <c r="GB39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M26" i="2"/>
  <c r="AY29" i="1" s="1"/>
  <c r="GL26" i="2"/>
  <c r="AX29" i="1" s="1"/>
  <c r="GK26" i="2"/>
  <c r="AW29" i="1" s="1"/>
  <c r="GJ26" i="2"/>
  <c r="AV29" i="1" s="1"/>
  <c r="GI26" i="2"/>
  <c r="AU29" i="1" s="1"/>
  <c r="GH26" i="2"/>
  <c r="AT29" i="1" s="1"/>
  <c r="GG26" i="2"/>
  <c r="AS29" i="1" s="1"/>
  <c r="GC26" i="2"/>
  <c r="AO29" i="1" s="1"/>
  <c r="HN25" i="2"/>
  <c r="HA25" i="2"/>
  <c r="GN25" i="2"/>
  <c r="HN24" i="2"/>
  <c r="HA24" i="2"/>
  <c r="HN23" i="2"/>
  <c r="HA23" i="2"/>
  <c r="GB26" i="2"/>
  <c r="AN29" i="1" s="1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IN48" i="2"/>
  <c r="IM48" i="2"/>
  <c r="IL48" i="2"/>
  <c r="IK48" i="2"/>
  <c r="IJ48" i="2"/>
  <c r="II48" i="2"/>
  <c r="IH48" i="2"/>
  <c r="IG48" i="2"/>
  <c r="IF48" i="2"/>
  <c r="IE48" i="2"/>
  <c r="ID48" i="2"/>
  <c r="IC48" i="2"/>
  <c r="IB48" i="2"/>
  <c r="IA48" i="2"/>
  <c r="HZ48" i="2"/>
  <c r="HY48" i="2"/>
  <c r="HX48" i="2"/>
  <c r="HW48" i="2"/>
  <c r="HV48" i="2"/>
  <c r="HU48" i="2"/>
  <c r="HT48" i="2"/>
  <c r="HS48" i="2"/>
  <c r="HR48" i="2"/>
  <c r="HQ48" i="2"/>
  <c r="HP48" i="2"/>
  <c r="HO48" i="2"/>
  <c r="HN48" i="2"/>
  <c r="HM48" i="2"/>
  <c r="HL48" i="2"/>
  <c r="HK48" i="2"/>
  <c r="HJ48" i="2"/>
  <c r="HI48" i="2"/>
  <c r="HH48" i="2"/>
  <c r="HG48" i="2"/>
  <c r="HF48" i="2"/>
  <c r="HE48" i="2"/>
  <c r="HD48" i="2"/>
  <c r="HC48" i="2"/>
  <c r="HB48" i="2"/>
  <c r="HA48" i="2"/>
  <c r="GZ48" i="2"/>
  <c r="GY48" i="2"/>
  <c r="GX48" i="2"/>
  <c r="GW48" i="2"/>
  <c r="GV48" i="2"/>
  <c r="GU48" i="2"/>
  <c r="GT48" i="2"/>
  <c r="GS48" i="2"/>
  <c r="GR48" i="2"/>
  <c r="GQ48" i="2"/>
  <c r="GP48" i="2"/>
  <c r="GO48" i="2"/>
  <c r="GN48" i="2"/>
  <c r="GM48" i="2"/>
  <c r="GL48" i="2"/>
  <c r="GK48" i="2"/>
  <c r="GJ48" i="2"/>
  <c r="GI48" i="2"/>
  <c r="GH48" i="2"/>
  <c r="GG48" i="2"/>
  <c r="GF48" i="2"/>
  <c r="GE48" i="2"/>
  <c r="GD48" i="2"/>
  <c r="GC48" i="2"/>
  <c r="GB48" i="2"/>
  <c r="GA48" i="2"/>
  <c r="FZ48" i="2"/>
  <c r="FY48" i="2"/>
  <c r="FX48" i="2"/>
  <c r="FW48" i="2"/>
  <c r="FV48" i="2"/>
  <c r="FU48" i="2"/>
  <c r="FT48" i="2"/>
  <c r="FS48" i="2"/>
  <c r="FR48" i="2"/>
  <c r="FQ48" i="2"/>
  <c r="FP48" i="2"/>
  <c r="FO48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Z65" i="2"/>
  <c r="FY65" i="2"/>
  <c r="FX65" i="2"/>
  <c r="FW65" i="2"/>
  <c r="FT65" i="2"/>
  <c r="FP65" i="2"/>
  <c r="FU65" i="2"/>
  <c r="FQ65" i="2"/>
  <c r="FV65" i="2"/>
  <c r="FR65" i="2"/>
  <c r="FS65" i="2"/>
  <c r="FO65" i="2"/>
  <c r="FZ59" i="2"/>
  <c r="FX59" i="2"/>
  <c r="FW59" i="2"/>
  <c r="FS59" i="2"/>
  <c r="FO59" i="2"/>
  <c r="IM52" i="2"/>
  <c r="II52" i="2"/>
  <c r="IE52" i="2"/>
  <c r="HZ52" i="2"/>
  <c r="HO52" i="2"/>
  <c r="HC52" i="2"/>
  <c r="GY52" i="2"/>
  <c r="GQ52" i="2"/>
  <c r="HW52" i="2"/>
  <c r="HS52" i="2"/>
  <c r="HK52" i="2"/>
  <c r="HG52" i="2"/>
  <c r="IJ52" i="2"/>
  <c r="IF52" i="2"/>
  <c r="HY52" i="2"/>
  <c r="HX52" i="2"/>
  <c r="HV52" i="2"/>
  <c r="HU52" i="2"/>
  <c r="HT52" i="2"/>
  <c r="HR52" i="2"/>
  <c r="HQ52" i="2"/>
  <c r="HM52" i="2"/>
  <c r="HL52" i="2"/>
  <c r="HJ52" i="2"/>
  <c r="HI52" i="2"/>
  <c r="HH52" i="2"/>
  <c r="HF52" i="2"/>
  <c r="HE52" i="2"/>
  <c r="HD52" i="2"/>
  <c r="HB52" i="2"/>
  <c r="GX52" i="2"/>
  <c r="GT52" i="2"/>
  <c r="GP52" i="2"/>
  <c r="GO52" i="2"/>
  <c r="IM46" i="2"/>
  <c r="IJ46" i="2"/>
  <c r="ID46" i="2"/>
  <c r="HZ46" i="2"/>
  <c r="HY46" i="2"/>
  <c r="HS46" i="2"/>
  <c r="HR46" i="2"/>
  <c r="HM46" i="2"/>
  <c r="HL46" i="2"/>
  <c r="HK46" i="2"/>
  <c r="HJ46" i="2"/>
  <c r="HE46" i="2"/>
  <c r="HC46" i="2"/>
  <c r="GZ46" i="2"/>
  <c r="GW46" i="2"/>
  <c r="FS45" i="2"/>
  <c r="HW46" i="2"/>
  <c r="FU45" i="2"/>
  <c r="FR45" i="2"/>
  <c r="FQ45" i="2"/>
  <c r="FZ45" i="2"/>
  <c r="FV45" i="2"/>
  <c r="FY45" i="2"/>
  <c r="FX45" i="2"/>
  <c r="FT45" i="2"/>
  <c r="FP45" i="2"/>
  <c r="FV44" i="2"/>
  <c r="IA44" i="2"/>
  <c r="HI46" i="2"/>
  <c r="HN44" i="2"/>
  <c r="GY46" i="2"/>
  <c r="GT46" i="2"/>
  <c r="FS44" i="2"/>
  <c r="GP46" i="2"/>
  <c r="FX44" i="2"/>
  <c r="FU44" i="2"/>
  <c r="FT44" i="2"/>
  <c r="FZ44" i="2"/>
  <c r="FY44" i="2"/>
  <c r="FW44" i="2"/>
  <c r="FQ44" i="2"/>
  <c r="HX46" i="2"/>
  <c r="HV46" i="2"/>
  <c r="HU46" i="2"/>
  <c r="HQ46" i="2"/>
  <c r="HG46" i="2"/>
  <c r="HF46" i="2"/>
  <c r="HB46" i="2"/>
  <c r="GX46" i="2"/>
  <c r="HA43" i="2"/>
  <c r="FX43" i="2"/>
  <c r="FZ43" i="2"/>
  <c r="FQ43" i="2"/>
  <c r="FZ38" i="2"/>
  <c r="FY38" i="2"/>
  <c r="FU38" i="2"/>
  <c r="FQ38" i="2"/>
  <c r="FT38" i="2"/>
  <c r="FS38" i="2"/>
  <c r="FP38" i="2"/>
  <c r="FO38" i="2"/>
  <c r="FW37" i="2"/>
  <c r="FS37" i="2"/>
  <c r="FZ37" i="2"/>
  <c r="FY37" i="2"/>
  <c r="FX37" i="2"/>
  <c r="FV37" i="2"/>
  <c r="FU37" i="2"/>
  <c r="FV36" i="2"/>
  <c r="FR36" i="2"/>
  <c r="FX36" i="2"/>
  <c r="FP36" i="2"/>
  <c r="GZ33" i="2"/>
  <c r="GY33" i="2"/>
  <c r="GQ33" i="2"/>
  <c r="FU32" i="2"/>
  <c r="FQ32" i="2"/>
  <c r="FZ32" i="2"/>
  <c r="FS32" i="2"/>
  <c r="FR32" i="2"/>
  <c r="FY32" i="2"/>
  <c r="FX32" i="2"/>
  <c r="FW32" i="2"/>
  <c r="FT32" i="2"/>
  <c r="FP32" i="2"/>
  <c r="FO32" i="2"/>
  <c r="FV31" i="2"/>
  <c r="FW31" i="2"/>
  <c r="FT31" i="2"/>
  <c r="FO31" i="2"/>
  <c r="FZ31" i="2"/>
  <c r="FY31" i="2"/>
  <c r="FX31" i="2"/>
  <c r="FQ31" i="2"/>
  <c r="GX33" i="2"/>
  <c r="GV33" i="2"/>
  <c r="GR33" i="2"/>
  <c r="GP33" i="2"/>
  <c r="GL33" i="2"/>
  <c r="AX46" i="1" s="1"/>
  <c r="AX48" i="1" s="1"/>
  <c r="FZ30" i="2"/>
  <c r="FY30" i="2"/>
  <c r="FY33" i="2"/>
  <c r="AY42" i="1" s="1"/>
  <c r="AY44" i="1" s="1"/>
  <c r="FU30" i="2"/>
  <c r="FX25" i="2"/>
  <c r="FU25" i="2"/>
  <c r="FT25" i="2"/>
  <c r="FQ25" i="2"/>
  <c r="FP25" i="2"/>
  <c r="FZ25" i="2"/>
  <c r="FY25" i="2"/>
  <c r="FW25" i="2"/>
  <c r="FV25" i="2"/>
  <c r="FS25" i="2"/>
  <c r="FR25" i="2"/>
  <c r="FO25" i="2"/>
  <c r="FZ24" i="2"/>
  <c r="FW24" i="2"/>
  <c r="FV24" i="2"/>
  <c r="FR24" i="2"/>
  <c r="FX24" i="2"/>
  <c r="FS24" i="2"/>
  <c r="FP24" i="2"/>
  <c r="FY23" i="2"/>
  <c r="FX23" i="2"/>
  <c r="FU23" i="2"/>
  <c r="FT23" i="2"/>
  <c r="HM20" i="2"/>
  <c r="HL20" i="2"/>
  <c r="GX20" i="2"/>
  <c r="GW20" i="2"/>
  <c r="GR20" i="2"/>
  <c r="GJ20" i="2"/>
  <c r="AV30" i="1" s="1"/>
  <c r="AV32" i="1" s="1"/>
  <c r="FW19" i="2"/>
  <c r="HN19" i="2"/>
  <c r="FR19" i="2"/>
  <c r="GK20" i="2"/>
  <c r="AW30" i="1" s="1"/>
  <c r="FV19" i="2"/>
  <c r="FT19" i="2"/>
  <c r="FS19" i="2"/>
  <c r="FO19" i="2"/>
  <c r="FY19" i="2"/>
  <c r="FU19" i="2"/>
  <c r="FQ19" i="2"/>
  <c r="FP19" i="2"/>
  <c r="HE20" i="2"/>
  <c r="GV20" i="2"/>
  <c r="FT18" i="2"/>
  <c r="FP18" i="2"/>
  <c r="FZ18" i="2"/>
  <c r="FV18" i="2"/>
  <c r="FU18" i="2"/>
  <c r="FQ18" i="2"/>
  <c r="GB20" i="2"/>
  <c r="AN30" i="1" s="1"/>
  <c r="AN32" i="1" s="1"/>
  <c r="FX18" i="2"/>
  <c r="FW18" i="2"/>
  <c r="FS18" i="2"/>
  <c r="FR18" i="2"/>
  <c r="HK20" i="2"/>
  <c r="HI20" i="2"/>
  <c r="HH20" i="2"/>
  <c r="HG20" i="2"/>
  <c r="HD20" i="2"/>
  <c r="HC20" i="2"/>
  <c r="GF20" i="2"/>
  <c r="AR30" i="1" s="1"/>
  <c r="AR32" i="1" s="1"/>
  <c r="FX17" i="2"/>
  <c r="GI20" i="2"/>
  <c r="AU30" i="1" s="1"/>
  <c r="AU32" i="1" s="1"/>
  <c r="FT17" i="2"/>
  <c r="GD20" i="2"/>
  <c r="AP30" i="1" s="1"/>
  <c r="FW17" i="2"/>
  <c r="FU17" i="2"/>
  <c r="FU20" i="2" s="1"/>
  <c r="AT26" i="1" s="1"/>
  <c r="AT28" i="1" s="1"/>
  <c r="FS17" i="2"/>
  <c r="FO17" i="2"/>
  <c r="HM13" i="2"/>
  <c r="HL13" i="2"/>
  <c r="HK13" i="2"/>
  <c r="HJ13" i="2"/>
  <c r="HI13" i="2"/>
  <c r="HF13" i="2"/>
  <c r="HE13" i="2"/>
  <c r="HB13" i="2"/>
  <c r="GY13" i="2"/>
  <c r="GW13" i="2"/>
  <c r="GS13" i="2"/>
  <c r="GO13" i="2"/>
  <c r="HH13" i="2"/>
  <c r="FT12" i="2"/>
  <c r="HD13" i="2"/>
  <c r="HA12" i="2"/>
  <c r="FZ12" i="2"/>
  <c r="FY12" i="2"/>
  <c r="FS12" i="2"/>
  <c r="FR12" i="2"/>
  <c r="FQ12" i="2"/>
  <c r="FX12" i="2"/>
  <c r="HN11" i="2"/>
  <c r="HA11" i="2"/>
  <c r="FY11" i="2"/>
  <c r="FU11" i="2"/>
  <c r="FS11" i="2"/>
  <c r="FR11" i="2"/>
  <c r="FQ11" i="2"/>
  <c r="FZ11" i="2"/>
  <c r="FX11" i="2"/>
  <c r="FW11" i="2"/>
  <c r="FV11" i="2"/>
  <c r="FT11" i="2"/>
  <c r="FP11" i="2"/>
  <c r="FO11" i="2"/>
  <c r="HN10" i="2"/>
  <c r="GZ13" i="2"/>
  <c r="GK13" i="2"/>
  <c r="AW13" i="1" s="1"/>
  <c r="GV13" i="2"/>
  <c r="GU13" i="2"/>
  <c r="FT10" i="2"/>
  <c r="GR13" i="2"/>
  <c r="FY10" i="2"/>
  <c r="FU10" i="2"/>
  <c r="FW10" i="2"/>
  <c r="FV10" i="2"/>
  <c r="HM7" i="2"/>
  <c r="HL7" i="2"/>
  <c r="HJ7" i="2"/>
  <c r="HI7" i="2"/>
  <c r="HE7" i="2"/>
  <c r="GZ7" i="2"/>
  <c r="GY7" i="2"/>
  <c r="GW7" i="2"/>
  <c r="HK7" i="2"/>
  <c r="HH7" i="2"/>
  <c r="FT6" i="2"/>
  <c r="HF7" i="2"/>
  <c r="HD7" i="2"/>
  <c r="FP6" i="2"/>
  <c r="FU6" i="2"/>
  <c r="FQ6" i="2"/>
  <c r="FZ6" i="2"/>
  <c r="FV6" i="2"/>
  <c r="FR6" i="2"/>
  <c r="FY6" i="2"/>
  <c r="FW6" i="2"/>
  <c r="HN5" i="2"/>
  <c r="HA5" i="2"/>
  <c r="FW5" i="2"/>
  <c r="FS5" i="2"/>
  <c r="FO5" i="2"/>
  <c r="FZ5" i="2"/>
  <c r="FZ70" i="2" s="1"/>
  <c r="FY5" i="2"/>
  <c r="FX5" i="2"/>
  <c r="FV5" i="2"/>
  <c r="FU5" i="2"/>
  <c r="FU7" i="2" s="1"/>
  <c r="AT10" i="1" s="1"/>
  <c r="AT12" i="1" s="1"/>
  <c r="FT5" i="2"/>
  <c r="FR5" i="2"/>
  <c r="FQ5" i="2"/>
  <c r="FQ7" i="2" s="1"/>
  <c r="AP10" i="1" s="1"/>
  <c r="AP12" i="1" s="1"/>
  <c r="FP5" i="2"/>
  <c r="HN4" i="2"/>
  <c r="GX7" i="2"/>
  <c r="GV7" i="2"/>
  <c r="GU7" i="2"/>
  <c r="GR7" i="2"/>
  <c r="GQ7" i="2"/>
  <c r="GM7" i="2"/>
  <c r="AY14" i="1" s="1"/>
  <c r="GL7" i="2"/>
  <c r="AX14" i="1" s="1"/>
  <c r="AX16" i="1" s="1"/>
  <c r="GJ7" i="2"/>
  <c r="AV14" i="1" s="1"/>
  <c r="AV16" i="1" s="1"/>
  <c r="FT4" i="2"/>
  <c r="GE7" i="2"/>
  <c r="AQ14" i="1"/>
  <c r="AQ16" i="1" s="1"/>
  <c r="GD7" i="2"/>
  <c r="AP14" i="1" s="1"/>
  <c r="AP16" i="1" s="1"/>
  <c r="FP4" i="2"/>
  <c r="FZ4" i="2"/>
  <c r="FY4" i="2"/>
  <c r="FW4" i="2"/>
  <c r="FV4" i="2"/>
  <c r="FU4" i="2"/>
  <c r="FR4" i="2"/>
  <c r="FQ4" i="2"/>
  <c r="EO43" i="2"/>
  <c r="EP43" i="2"/>
  <c r="EQ43" i="2"/>
  <c r="ER43" i="2"/>
  <c r="ES43" i="2"/>
  <c r="ET43" i="2"/>
  <c r="EU43" i="2"/>
  <c r="EW43" i="2"/>
  <c r="FA43" i="2"/>
  <c r="FM43" i="2" s="1"/>
  <c r="FB43" i="2"/>
  <c r="FC43" i="2"/>
  <c r="FD43" i="2"/>
  <c r="FD46" i="2" s="1"/>
  <c r="FE43" i="2"/>
  <c r="FF43" i="2"/>
  <c r="FG43" i="2"/>
  <c r="FH43" i="2"/>
  <c r="FJ43" i="2"/>
  <c r="FK43" i="2"/>
  <c r="EO44" i="2"/>
  <c r="EP44" i="2"/>
  <c r="EQ44" i="2"/>
  <c r="ER44" i="2"/>
  <c r="ES44" i="2"/>
  <c r="ET44" i="2"/>
  <c r="EU44" i="2"/>
  <c r="EZ44" i="2" s="1"/>
  <c r="EW44" i="2"/>
  <c r="FA44" i="2"/>
  <c r="FB44" i="2"/>
  <c r="FC44" i="2"/>
  <c r="FD44" i="2"/>
  <c r="FE44" i="2"/>
  <c r="FF44" i="2"/>
  <c r="FG44" i="2"/>
  <c r="FG46" i="2" s="1"/>
  <c r="FH44" i="2"/>
  <c r="FJ44" i="2"/>
  <c r="FK44" i="2"/>
  <c r="FM44" i="2"/>
  <c r="EO45" i="2"/>
  <c r="EP45" i="2"/>
  <c r="EQ45" i="2"/>
  <c r="ER45" i="2"/>
  <c r="ES45" i="2"/>
  <c r="ET45" i="2"/>
  <c r="EU45" i="2"/>
  <c r="EV45" i="2"/>
  <c r="EW45" i="2"/>
  <c r="EW46" i="2" s="1"/>
  <c r="FD45" i="2"/>
  <c r="FE45" i="2"/>
  <c r="FE46" i="2"/>
  <c r="FF45" i="2"/>
  <c r="FG45" i="2"/>
  <c r="FH45" i="2"/>
  <c r="FM45" i="2"/>
  <c r="EO46" i="2"/>
  <c r="EP46" i="2"/>
  <c r="EQ46" i="2"/>
  <c r="ER46" i="2"/>
  <c r="ES46" i="2"/>
  <c r="ET46" i="2"/>
  <c r="EU46" i="2"/>
  <c r="EV46" i="2"/>
  <c r="EX46" i="2"/>
  <c r="EY46" i="2"/>
  <c r="FB46" i="2"/>
  <c r="FF46" i="2"/>
  <c r="FH46" i="2"/>
  <c r="FI46" i="2"/>
  <c r="FJ46" i="2"/>
  <c r="FK46" i="2"/>
  <c r="FL46" i="2"/>
  <c r="EO49" i="2"/>
  <c r="EO52" i="2" s="1"/>
  <c r="EP49" i="2"/>
  <c r="EQ49" i="2"/>
  <c r="EQ52" i="2"/>
  <c r="ER49" i="2"/>
  <c r="ER52" i="2" s="1"/>
  <c r="ES49" i="2"/>
  <c r="ET49" i="2"/>
  <c r="EU49" i="2"/>
  <c r="EV49" i="2"/>
  <c r="EW49" i="2"/>
  <c r="EX49" i="2"/>
  <c r="FA49" i="2"/>
  <c r="FB49" i="2"/>
  <c r="FC49" i="2"/>
  <c r="FM49" i="2" s="1"/>
  <c r="FD49" i="2"/>
  <c r="FE49" i="2"/>
  <c r="FF49" i="2"/>
  <c r="FF52" i="2" s="1"/>
  <c r="FG49" i="2"/>
  <c r="FG52" i="2" s="1"/>
  <c r="FH49" i="2"/>
  <c r="FH52" i="2" s="1"/>
  <c r="FI49" i="2"/>
  <c r="FI52" i="2" s="1"/>
  <c r="FJ49" i="2"/>
  <c r="FJ52" i="2" s="1"/>
  <c r="FK49" i="2"/>
  <c r="FL49" i="2"/>
  <c r="EO50" i="2"/>
  <c r="EP50" i="2"/>
  <c r="EQ50" i="2"/>
  <c r="ER50" i="2"/>
  <c r="ES50" i="2"/>
  <c r="ET50" i="2"/>
  <c r="EU50" i="2"/>
  <c r="EV50" i="2"/>
  <c r="EV52" i="2" s="1"/>
  <c r="EW50" i="2"/>
  <c r="EW52" i="2" s="1"/>
  <c r="EX50" i="2"/>
  <c r="FA50" i="2"/>
  <c r="FA52" i="2" s="1"/>
  <c r="FB50" i="2"/>
  <c r="FM50" i="2" s="1"/>
  <c r="FC50" i="2"/>
  <c r="FD50" i="2"/>
  <c r="FE50" i="2"/>
  <c r="FF50" i="2"/>
  <c r="FG50" i="2"/>
  <c r="FH50" i="2"/>
  <c r="FI50" i="2"/>
  <c r="FJ50" i="2"/>
  <c r="FK50" i="2"/>
  <c r="FL50" i="2"/>
  <c r="FL52" i="2" s="1"/>
  <c r="EO51" i="2"/>
  <c r="EP51" i="2"/>
  <c r="EQ51" i="2"/>
  <c r="ER51" i="2"/>
  <c r="ES51" i="2"/>
  <c r="ET51" i="2"/>
  <c r="ET52" i="2" s="1"/>
  <c r="EU51" i="2"/>
  <c r="EU52" i="2" s="1"/>
  <c r="EW51" i="2"/>
  <c r="FA51" i="2"/>
  <c r="FB51" i="2"/>
  <c r="FB52" i="2"/>
  <c r="FC51" i="2"/>
  <c r="FD51" i="2"/>
  <c r="FE51" i="2"/>
  <c r="FF51" i="2"/>
  <c r="FG51" i="2"/>
  <c r="FH51" i="2"/>
  <c r="FI51" i="2"/>
  <c r="FJ51" i="2"/>
  <c r="FK51" i="2"/>
  <c r="FL51" i="2"/>
  <c r="EP52" i="2"/>
  <c r="ES52" i="2"/>
  <c r="EX52" i="2"/>
  <c r="EY52" i="2"/>
  <c r="FC52" i="2"/>
  <c r="FE52" i="2"/>
  <c r="FK52" i="2"/>
  <c r="EN43" i="2"/>
  <c r="EZ43" i="2" s="1"/>
  <c r="EN44" i="2"/>
  <c r="EN45" i="2"/>
  <c r="EZ45" i="2" s="1"/>
  <c r="AO54" i="1"/>
  <c r="AN54" i="1"/>
  <c r="AO52" i="1"/>
  <c r="AN52" i="1"/>
  <c r="AO38" i="1"/>
  <c r="AN38" i="1"/>
  <c r="AO36" i="1"/>
  <c r="AN36" i="1"/>
  <c r="AO22" i="1"/>
  <c r="AN22" i="1"/>
  <c r="AO20" i="1"/>
  <c r="AN20" i="1"/>
  <c r="AZ18" i="1"/>
  <c r="AZ34" i="1" s="1"/>
  <c r="AZ50" i="1" s="1"/>
  <c r="AZ66" i="1" s="1"/>
  <c r="AO6" i="1"/>
  <c r="AN6" i="1"/>
  <c r="AO4" i="1"/>
  <c r="AN4" i="1"/>
  <c r="FY71" i="2"/>
  <c r="FY70" i="2"/>
  <c r="FX70" i="2"/>
  <c r="FW13" i="2"/>
  <c r="AV9" i="1" s="1"/>
  <c r="FW70" i="2"/>
  <c r="FV70" i="2"/>
  <c r="FU71" i="2"/>
  <c r="FT70" i="2"/>
  <c r="FT71" i="2"/>
  <c r="FR33" i="2"/>
  <c r="FS70" i="2"/>
  <c r="FR71" i="2"/>
  <c r="FQ71" i="2"/>
  <c r="HA39" i="2"/>
  <c r="FQ33" i="2"/>
  <c r="AQ42" i="1"/>
  <c r="AQ44" i="1" s="1"/>
  <c r="FQ70" i="2"/>
  <c r="GA50" i="2"/>
  <c r="GA49" i="2"/>
  <c r="AN45" i="1"/>
  <c r="HN26" i="2"/>
  <c r="HA26" i="2"/>
  <c r="GA25" i="2"/>
  <c r="HN52" i="2"/>
  <c r="GN49" i="2"/>
  <c r="FQ46" i="2"/>
  <c r="AP58" i="1" s="1"/>
  <c r="AP60" i="1" s="1"/>
  <c r="FZ33" i="2"/>
  <c r="GI13" i="2"/>
  <c r="AU13" i="1" s="1"/>
  <c r="GN11" i="2"/>
  <c r="GF13" i="2"/>
  <c r="AR13" i="1" s="1"/>
  <c r="FY13" i="2"/>
  <c r="AX9" i="1" s="1"/>
  <c r="FV7" i="2"/>
  <c r="AU10" i="1" s="1"/>
  <c r="AU12" i="1" s="1"/>
  <c r="FZ7" i="2"/>
  <c r="AY10" i="1" s="1"/>
  <c r="AY12" i="1" s="1"/>
  <c r="FY7" i="2"/>
  <c r="AX10" i="1" s="1"/>
  <c r="AX12" i="1" s="1"/>
  <c r="FT7" i="2"/>
  <c r="AS10" i="1" s="1"/>
  <c r="AS12" i="1" s="1"/>
  <c r="GA5" i="2"/>
  <c r="FR38" i="2"/>
  <c r="FP7" i="2"/>
  <c r="AO10" i="1"/>
  <c r="AO12" i="1" s="1"/>
  <c r="FW7" i="2"/>
  <c r="AV10" i="1" s="1"/>
  <c r="FO4" i="2"/>
  <c r="GF7" i="2"/>
  <c r="AR14" i="1" s="1"/>
  <c r="AR16" i="1" s="1"/>
  <c r="FS4" i="2"/>
  <c r="FT13" i="2"/>
  <c r="AS9" i="1" s="1"/>
  <c r="GA11" i="2"/>
  <c r="FO23" i="2"/>
  <c r="FX46" i="2"/>
  <c r="AW58" i="1" s="1"/>
  <c r="FV38" i="2"/>
  <c r="GH7" i="2"/>
  <c r="AT14" i="1" s="1"/>
  <c r="AT16" i="1" s="1"/>
  <c r="GG33" i="2"/>
  <c r="AS46" i="1"/>
  <c r="FT30" i="2"/>
  <c r="FT33" i="2" s="1"/>
  <c r="AT42" i="1" s="1"/>
  <c r="AT44" i="1" s="1"/>
  <c r="FR7" i="2"/>
  <c r="FR8" i="2" s="1"/>
  <c r="GP7" i="2"/>
  <c r="GT7" i="2"/>
  <c r="FQ10" i="2"/>
  <c r="FQ13" i="2" s="1"/>
  <c r="GD13" i="2"/>
  <c r="AP13" i="1" s="1"/>
  <c r="FT20" i="2"/>
  <c r="AS26" i="1" s="1"/>
  <c r="GO46" i="2"/>
  <c r="IL46" i="2"/>
  <c r="GS52" i="2"/>
  <c r="GW52" i="2"/>
  <c r="FS76" i="2"/>
  <c r="FS77" i="2"/>
  <c r="GG7" i="2"/>
  <c r="AS14" i="1" s="1"/>
  <c r="AS16" i="1" s="1"/>
  <c r="HA18" i="2"/>
  <c r="HA4" i="2"/>
  <c r="HN6" i="2"/>
  <c r="HB7" i="2"/>
  <c r="GP13" i="2"/>
  <c r="GE20" i="2"/>
  <c r="AQ30" i="1" s="1"/>
  <c r="HN17" i="2"/>
  <c r="HN18" i="2"/>
  <c r="GS20" i="2"/>
  <c r="FP23" i="2"/>
  <c r="FP26" i="2" s="1"/>
  <c r="AO25" i="1" s="1"/>
  <c r="FW23" i="2"/>
  <c r="FW26" i="2" s="1"/>
  <c r="AV25" i="1" s="1"/>
  <c r="FV76" i="2"/>
  <c r="FX6" i="2"/>
  <c r="FS6" i="2"/>
  <c r="FS71" i="2" s="1"/>
  <c r="HC7" i="2"/>
  <c r="FO10" i="2"/>
  <c r="FX10" i="2"/>
  <c r="FX13" i="2" s="1"/>
  <c r="AW9" i="1" s="1"/>
  <c r="FV12" i="2"/>
  <c r="FV13" i="2"/>
  <c r="AU9" i="1" s="1"/>
  <c r="GG13" i="2"/>
  <c r="AS13" i="1" s="1"/>
  <c r="GL13" i="2"/>
  <c r="AX13" i="1" s="1"/>
  <c r="GQ13" i="2"/>
  <c r="HG13" i="2"/>
  <c r="FQ17" i="2"/>
  <c r="FQ20" i="2" s="1"/>
  <c r="AP26" i="1" s="1"/>
  <c r="AP28" i="1" s="1"/>
  <c r="FV17" i="2"/>
  <c r="FV20" i="2"/>
  <c r="AU26" i="1" s="1"/>
  <c r="AU28" i="1" s="1"/>
  <c r="GP20" i="2"/>
  <c r="GT20" i="2"/>
  <c r="HA17" i="2"/>
  <c r="FO18" i="2"/>
  <c r="GA18" i="2"/>
  <c r="GN18" i="2"/>
  <c r="FX19" i="2"/>
  <c r="GN19" i="2"/>
  <c r="FQ23" i="2"/>
  <c r="FT24" i="2"/>
  <c r="FT76" i="2"/>
  <c r="FU33" i="2"/>
  <c r="AU42" i="1" s="1"/>
  <c r="AU44" i="1" s="1"/>
  <c r="GN31" i="2"/>
  <c r="HA32" i="2"/>
  <c r="GD33" i="2"/>
  <c r="AP46" i="1"/>
  <c r="GT33" i="2"/>
  <c r="FZ36" i="2"/>
  <c r="FZ39" i="2"/>
  <c r="AY41" i="1" s="1"/>
  <c r="FU36" i="2"/>
  <c r="FU39" i="2" s="1"/>
  <c r="AT41" i="1" s="1"/>
  <c r="FY36" i="2"/>
  <c r="FY39" i="2"/>
  <c r="AX41" i="1" s="1"/>
  <c r="GC46" i="2"/>
  <c r="AO62" i="1"/>
  <c r="FP43" i="2"/>
  <c r="GS46" i="2"/>
  <c r="IC46" i="2"/>
  <c r="IN43" i="2"/>
  <c r="IG46" i="2"/>
  <c r="GL46" i="2"/>
  <c r="AX62" i="1" s="1"/>
  <c r="FY43" i="2"/>
  <c r="FO45" i="2"/>
  <c r="GU46" i="2"/>
  <c r="IC52" i="2"/>
  <c r="IG52" i="2"/>
  <c r="IK52" i="2"/>
  <c r="GN4" i="2"/>
  <c r="GN5" i="2"/>
  <c r="GC7" i="2"/>
  <c r="AO14" i="1"/>
  <c r="AO16" i="1" s="1"/>
  <c r="GO7" i="2"/>
  <c r="HN12" i="2"/>
  <c r="GT13" i="2"/>
  <c r="FS20" i="2"/>
  <c r="AR26" i="1" s="1"/>
  <c r="AR28" i="1" s="1"/>
  <c r="GK33" i="2"/>
  <c r="AW46" i="1" s="1"/>
  <c r="AW48" i="1" s="1"/>
  <c r="FX30" i="2"/>
  <c r="GA31" i="2"/>
  <c r="FZ46" i="2"/>
  <c r="AY58" i="1" s="1"/>
  <c r="AY60" i="1" s="1"/>
  <c r="GK46" i="2"/>
  <c r="AW62" i="1" s="1"/>
  <c r="AW64" i="1" s="1"/>
  <c r="GB52" i="2"/>
  <c r="AN61" i="1" s="1"/>
  <c r="FZ17" i="2"/>
  <c r="FX26" i="2"/>
  <c r="AW25" i="1" s="1"/>
  <c r="FO37" i="2"/>
  <c r="HG7" i="2"/>
  <c r="HN7" i="2" s="1"/>
  <c r="FS10" i="2"/>
  <c r="FS13" i="2" s="1"/>
  <c r="AR9" i="1" s="1"/>
  <c r="FP10" i="2"/>
  <c r="FP13" i="2"/>
  <c r="AO9" i="1" s="1"/>
  <c r="FZ10" i="2"/>
  <c r="FZ13" i="2"/>
  <c r="AY9" i="1" s="1"/>
  <c r="GJ13" i="2"/>
  <c r="AV13" i="1" s="1"/>
  <c r="HA10" i="2"/>
  <c r="FU12" i="2"/>
  <c r="FU77" i="2" s="1"/>
  <c r="FU13" i="2"/>
  <c r="AT9" i="1" s="1"/>
  <c r="GX13" i="2"/>
  <c r="HC13" i="2"/>
  <c r="FR17" i="2"/>
  <c r="FR20" i="2" s="1"/>
  <c r="FW20" i="2"/>
  <c r="AV26" i="1" s="1"/>
  <c r="AV28" i="1" s="1"/>
  <c r="GH20" i="2"/>
  <c r="AT30" i="1"/>
  <c r="AT32" i="1" s="1"/>
  <c r="GQ20" i="2"/>
  <c r="GU20" i="2"/>
  <c r="HB20" i="2"/>
  <c r="HF20" i="2"/>
  <c r="HJ20" i="2"/>
  <c r="HN20" i="2" s="1"/>
  <c r="HA19" i="2"/>
  <c r="GG20" i="2"/>
  <c r="AS30" i="1" s="1"/>
  <c r="AS32" i="1" s="1"/>
  <c r="GO20" i="2"/>
  <c r="FO24" i="2"/>
  <c r="GO33" i="2"/>
  <c r="HA30" i="2"/>
  <c r="GS33" i="2"/>
  <c r="HA33" i="2" s="1"/>
  <c r="GW33" i="2"/>
  <c r="HA31" i="2"/>
  <c r="GE33" i="2"/>
  <c r="AQ46" i="1"/>
  <c r="AQ48" i="1" s="1"/>
  <c r="GM33" i="2"/>
  <c r="AY46" i="1" s="1"/>
  <c r="AY48" i="1" s="1"/>
  <c r="GU33" i="2"/>
  <c r="FO36" i="2"/>
  <c r="FV39" i="2"/>
  <c r="AU41" i="1" s="1"/>
  <c r="FY77" i="2"/>
  <c r="GJ46" i="2"/>
  <c r="AV62" i="1" s="1"/>
  <c r="FW43" i="2"/>
  <c r="FR44" i="2"/>
  <c r="FR70" i="2"/>
  <c r="IE46" i="2"/>
  <c r="IN45" i="2"/>
  <c r="GD46" i="2"/>
  <c r="AP62" i="1" s="1"/>
  <c r="AP64" i="1" s="1"/>
  <c r="FW76" i="2"/>
  <c r="GM46" i="2"/>
  <c r="AY62" i="1" s="1"/>
  <c r="AY64" i="1" s="1"/>
  <c r="GQ46" i="2"/>
  <c r="HN43" i="2"/>
  <c r="IH46" i="2"/>
  <c r="FP44" i="2"/>
  <c r="FP70" i="2" s="1"/>
  <c r="FO44" i="2"/>
  <c r="IN44" i="2"/>
  <c r="HA45" i="2"/>
  <c r="HN45" i="2"/>
  <c r="IA45" i="2"/>
  <c r="GR46" i="2"/>
  <c r="HA46" i="2" s="1"/>
  <c r="GV46" i="2"/>
  <c r="HO46" i="2"/>
  <c r="IA43" i="2"/>
  <c r="II46" i="2"/>
  <c r="HA44" i="2"/>
  <c r="FX76" i="2"/>
  <c r="FZ76" i="2"/>
  <c r="FW77" i="2"/>
  <c r="GA57" i="2"/>
  <c r="FY59" i="2"/>
  <c r="HD46" i="2"/>
  <c r="HH46" i="2"/>
  <c r="HP46" i="2"/>
  <c r="HT46" i="2"/>
  <c r="HP52" i="2"/>
  <c r="IA52" i="2"/>
  <c r="ID52" i="2"/>
  <c r="IH52" i="2"/>
  <c r="IL52" i="2"/>
  <c r="FP77" i="2"/>
  <c r="FT77" i="2"/>
  <c r="FQ59" i="2"/>
  <c r="GA59" i="2" s="1"/>
  <c r="FU59" i="2"/>
  <c r="FP59" i="2"/>
  <c r="FQ77" i="2"/>
  <c r="IB46" i="2"/>
  <c r="IN46" i="2" s="1"/>
  <c r="IF46" i="2"/>
  <c r="IK46" i="2"/>
  <c r="GR52" i="2"/>
  <c r="GV52" i="2"/>
  <c r="HA52" i="2" s="1"/>
  <c r="GZ52" i="2"/>
  <c r="FZ77" i="2"/>
  <c r="GU52" i="2"/>
  <c r="FT59" i="2"/>
  <c r="GA65" i="2"/>
  <c r="GA62" i="2"/>
  <c r="FV77" i="2"/>
  <c r="IB52" i="2"/>
  <c r="IN52" i="2" s="1"/>
  <c r="GA63" i="2"/>
  <c r="GA56" i="2"/>
  <c r="GA58" i="2"/>
  <c r="FR59" i="2"/>
  <c r="FV59" i="2"/>
  <c r="GA64" i="2"/>
  <c r="FD52" i="2"/>
  <c r="FM51" i="2"/>
  <c r="FZ69" i="2"/>
  <c r="FX71" i="2"/>
  <c r="AR42" i="1"/>
  <c r="AR44" i="1" s="1"/>
  <c r="FR34" i="2"/>
  <c r="FX33" i="2"/>
  <c r="AX42" i="1"/>
  <c r="AX44" i="1" s="1"/>
  <c r="FT26" i="2"/>
  <c r="AS25" i="1" s="1"/>
  <c r="FR77" i="2"/>
  <c r="FQ69" i="2"/>
  <c r="FQ72" i="2"/>
  <c r="HN46" i="2"/>
  <c r="FX20" i="2"/>
  <c r="AW26" i="1" s="1"/>
  <c r="AW28" i="1" s="1"/>
  <c r="FO20" i="2"/>
  <c r="AN26" i="1"/>
  <c r="HA13" i="2"/>
  <c r="GN12" i="2"/>
  <c r="GH13" i="2"/>
  <c r="AT13" i="1" s="1"/>
  <c r="GI52" i="2"/>
  <c r="AU61" i="1" s="1"/>
  <c r="GA44" i="2"/>
  <c r="GE13" i="2"/>
  <c r="AQ13" i="1" s="1"/>
  <c r="FR10" i="2"/>
  <c r="FR13" i="2"/>
  <c r="FR14" i="2" s="1"/>
  <c r="AQ9" i="1"/>
  <c r="GC52" i="2"/>
  <c r="AO61" i="1"/>
  <c r="GG46" i="2"/>
  <c r="AS62" i="1" s="1"/>
  <c r="AS64" i="1" s="1"/>
  <c r="FT43" i="2"/>
  <c r="FT69" i="2" s="1"/>
  <c r="FT72" i="2" s="1"/>
  <c r="GL20" i="2"/>
  <c r="AX30" i="1" s="1"/>
  <c r="AX32" i="1" s="1"/>
  <c r="FY17" i="2"/>
  <c r="FY20" i="2" s="1"/>
  <c r="AX26" i="1" s="1"/>
  <c r="AX28" i="1" s="1"/>
  <c r="GF52" i="2"/>
  <c r="AR61" i="1" s="1"/>
  <c r="GA12" i="2"/>
  <c r="HA6" i="2"/>
  <c r="GL52" i="2"/>
  <c r="AX61" i="1" s="1"/>
  <c r="GD52" i="2"/>
  <c r="AP61" i="1" s="1"/>
  <c r="GE46" i="2"/>
  <c r="AQ62" i="1"/>
  <c r="AQ64" i="1" s="1"/>
  <c r="FR43" i="2"/>
  <c r="FR46" i="2" s="1"/>
  <c r="GF33" i="2"/>
  <c r="AR46" i="1"/>
  <c r="AR48" i="1" s="1"/>
  <c r="FS30" i="2"/>
  <c r="FS69" i="2" s="1"/>
  <c r="FS72" i="2" s="1"/>
  <c r="GK52" i="2"/>
  <c r="AW61" i="1" s="1"/>
  <c r="GF46" i="2"/>
  <c r="AR62" i="1" s="1"/>
  <c r="AR64" i="1" s="1"/>
  <c r="FS43" i="2"/>
  <c r="FZ23" i="2"/>
  <c r="FZ26" i="2"/>
  <c r="AY25" i="1" s="1"/>
  <c r="FR23" i="2"/>
  <c r="FR26" i="2" s="1"/>
  <c r="GN6" i="2"/>
  <c r="FO6" i="2"/>
  <c r="FO71" i="2"/>
  <c r="IA46" i="2"/>
  <c r="FO39" i="2"/>
  <c r="GN17" i="2"/>
  <c r="FU24" i="2"/>
  <c r="FU76" i="2" s="1"/>
  <c r="FU78" i="2" s="1"/>
  <c r="GM52" i="2"/>
  <c r="AY61" i="1" s="1"/>
  <c r="GE52" i="2"/>
  <c r="AQ61" i="1" s="1"/>
  <c r="GH52" i="2"/>
  <c r="AT61" i="1" s="1"/>
  <c r="GI46" i="2"/>
  <c r="AU62" i="1" s="1"/>
  <c r="AU64" i="1" s="1"/>
  <c r="FV43" i="2"/>
  <c r="GJ33" i="2"/>
  <c r="AV46" i="1" s="1"/>
  <c r="AV48" i="1" s="1"/>
  <c r="FW30" i="2"/>
  <c r="HN13" i="2"/>
  <c r="GG52" i="2"/>
  <c r="AS61" i="1" s="1"/>
  <c r="FY46" i="2"/>
  <c r="AX58" i="1" s="1"/>
  <c r="FP46" i="2"/>
  <c r="AO58" i="1"/>
  <c r="AO60" i="1" s="1"/>
  <c r="FS23" i="2"/>
  <c r="FS26" i="2" s="1"/>
  <c r="AR25" i="1" s="1"/>
  <c r="FV23" i="2"/>
  <c r="FV26" i="2"/>
  <c r="AU25" i="1" s="1"/>
  <c r="GN44" i="2"/>
  <c r="FO75" i="2"/>
  <c r="GH46" i="2"/>
  <c r="AT62" i="1"/>
  <c r="AT64" i="1" s="1"/>
  <c r="FU43" i="2"/>
  <c r="GN30" i="2"/>
  <c r="GB33" i="2"/>
  <c r="FO30" i="2"/>
  <c r="FP17" i="2"/>
  <c r="GC20" i="2"/>
  <c r="GN10" i="2"/>
  <c r="GS7" i="2"/>
  <c r="HA7" i="2"/>
  <c r="FX4" i="2"/>
  <c r="FX7" i="2"/>
  <c r="AW10" i="1" s="1"/>
  <c r="AW12" i="1" s="1"/>
  <c r="GK7" i="2"/>
  <c r="AW14" i="1" s="1"/>
  <c r="AW16" i="1" s="1"/>
  <c r="FQ36" i="2"/>
  <c r="GC33" i="2"/>
  <c r="AO46" i="1" s="1"/>
  <c r="AO48" i="1" s="1"/>
  <c r="FP30" i="2"/>
  <c r="FP33" i="2" s="1"/>
  <c r="AP42" i="1" s="1"/>
  <c r="FY24" i="2"/>
  <c r="FQ24" i="2"/>
  <c r="FQ76" i="2" s="1"/>
  <c r="FO13" i="2"/>
  <c r="AN9" i="1"/>
  <c r="FO76" i="2"/>
  <c r="GJ52" i="2"/>
  <c r="AV61" i="1" s="1"/>
  <c r="FO43" i="2"/>
  <c r="FO69" i="2" s="1"/>
  <c r="GB46" i="2"/>
  <c r="GN46" i="2" s="1"/>
  <c r="AN62" i="1"/>
  <c r="AN64" i="1" s="1"/>
  <c r="GN43" i="2"/>
  <c r="FO26" i="2"/>
  <c r="AN25" i="1"/>
  <c r="FS7" i="2"/>
  <c r="AR10" i="1" s="1"/>
  <c r="AR12" i="1" s="1"/>
  <c r="GB7" i="2"/>
  <c r="AL54" i="1"/>
  <c r="AL52" i="1"/>
  <c r="AL38" i="1"/>
  <c r="AL36" i="1"/>
  <c r="AL22" i="1"/>
  <c r="AL20" i="1"/>
  <c r="AK20" i="1"/>
  <c r="AK22" i="1"/>
  <c r="AL6" i="1"/>
  <c r="AL4" i="1"/>
  <c r="DY51" i="2"/>
  <c r="DY50" i="2"/>
  <c r="DY49" i="2"/>
  <c r="EL51" i="2"/>
  <c r="EL50" i="2"/>
  <c r="EL49" i="2"/>
  <c r="FY69" i="2"/>
  <c r="FY72" i="2" s="1"/>
  <c r="FX69" i="2"/>
  <c r="FX72" i="2" s="1"/>
  <c r="FW33" i="2"/>
  <c r="AW42" i="1" s="1"/>
  <c r="AW44" i="1" s="1"/>
  <c r="FW69" i="2"/>
  <c r="FP69" i="2"/>
  <c r="GN7" i="2"/>
  <c r="AN14" i="1"/>
  <c r="AN16" i="1" s="1"/>
  <c r="GA23" i="2"/>
  <c r="FQ26" i="2"/>
  <c r="AP25" i="1" s="1"/>
  <c r="GA10" i="2"/>
  <c r="GN13" i="2"/>
  <c r="GA4" i="2"/>
  <c r="FT52" i="2"/>
  <c r="AS57" i="1" s="1"/>
  <c r="FW52" i="2"/>
  <c r="AV57" i="1" s="1"/>
  <c r="FU52" i="2"/>
  <c r="AT57" i="1"/>
  <c r="FU75" i="2"/>
  <c r="FT46" i="2"/>
  <c r="AS58" i="1" s="1"/>
  <c r="AS60" i="1" s="1"/>
  <c r="FR52" i="2"/>
  <c r="AQ57" i="1" s="1"/>
  <c r="FY75" i="2"/>
  <c r="FY52" i="2"/>
  <c r="AX57" i="1" s="1"/>
  <c r="FP20" i="2"/>
  <c r="GA17" i="2"/>
  <c r="FZ75" i="2"/>
  <c r="FZ78" i="2"/>
  <c r="FZ52" i="2"/>
  <c r="AY57" i="1" s="1"/>
  <c r="FS46" i="2"/>
  <c r="AR58" i="1" s="1"/>
  <c r="AR60" i="1" s="1"/>
  <c r="FQ52" i="2"/>
  <c r="AP57" i="1" s="1"/>
  <c r="FQ75" i="2"/>
  <c r="FQ78" i="2" s="1"/>
  <c r="GA6" i="2"/>
  <c r="FX75" i="2"/>
  <c r="FX52" i="2"/>
  <c r="AW57" i="1" s="1"/>
  <c r="FS52" i="2"/>
  <c r="AR57" i="1" s="1"/>
  <c r="FY26" i="2"/>
  <c r="AX25" i="1" s="1"/>
  <c r="FY76" i="2"/>
  <c r="FU26" i="2"/>
  <c r="AT25" i="1" s="1"/>
  <c r="FO46" i="2"/>
  <c r="AN58" i="1"/>
  <c r="AN60" i="1" s="1"/>
  <c r="GA24" i="2"/>
  <c r="FV46" i="2"/>
  <c r="AU58" i="1" s="1"/>
  <c r="FO7" i="2"/>
  <c r="FP52" i="2"/>
  <c r="FP75" i="2"/>
  <c r="FV52" i="2"/>
  <c r="AU57" i="1" s="1"/>
  <c r="FV75" i="2"/>
  <c r="FV78" i="2" s="1"/>
  <c r="AO57" i="1"/>
  <c r="GA26" i="2"/>
  <c r="GA7" i="2"/>
  <c r="AN10" i="1"/>
  <c r="AN12" i="1" s="1"/>
  <c r="FY78" i="2"/>
  <c r="DL45" i="2"/>
  <c r="DL43" i="2"/>
  <c r="DY38" i="2"/>
  <c r="DY37" i="2"/>
  <c r="DY36" i="2"/>
  <c r="DL32" i="2"/>
  <c r="DL30" i="2"/>
  <c r="DY25" i="2"/>
  <c r="DY24" i="2"/>
  <c r="DY23" i="2"/>
  <c r="DL23" i="2"/>
  <c r="DL19" i="2"/>
  <c r="DL17" i="2"/>
  <c r="DY10" i="2"/>
  <c r="DL10" i="2" s="1"/>
  <c r="DL6" i="2"/>
  <c r="DL4" i="2"/>
  <c r="DL51" i="2"/>
  <c r="DL50" i="2"/>
  <c r="DL49" i="2"/>
  <c r="DL44" i="2"/>
  <c r="DL38" i="2"/>
  <c r="DL37" i="2"/>
  <c r="DL36" i="2"/>
  <c r="DL31" i="2"/>
  <c r="DL25" i="2"/>
  <c r="DL24" i="2"/>
  <c r="DL18" i="2"/>
  <c r="DL12" i="2"/>
  <c r="DL11" i="2"/>
  <c r="DL5" i="2"/>
  <c r="U28" i="3"/>
  <c r="R28" i="3"/>
  <c r="Y50" i="3"/>
  <c r="Y49" i="3"/>
  <c r="Y48" i="3"/>
  <c r="Y57" i="3"/>
  <c r="Y44" i="3"/>
  <c r="AL53" i="1" s="1"/>
  <c r="Y43" i="3"/>
  <c r="Y35" i="3"/>
  <c r="Y34" i="3"/>
  <c r="Y26" i="3"/>
  <c r="Y25" i="3"/>
  <c r="Y17" i="3"/>
  <c r="AL5" i="1" s="1"/>
  <c r="Y16" i="3"/>
  <c r="AL37" i="1"/>
  <c r="DK12" i="2"/>
  <c r="AK54" i="1"/>
  <c r="AK52" i="1"/>
  <c r="AK38" i="1"/>
  <c r="AK36" i="1"/>
  <c r="AK6" i="1"/>
  <c r="AK4" i="1"/>
  <c r="AJ4" i="1"/>
  <c r="X50" i="3"/>
  <c r="X49" i="3"/>
  <c r="X48" i="3"/>
  <c r="DK45" i="2"/>
  <c r="CX57" i="2"/>
  <c r="EK51" i="2"/>
  <c r="EK50" i="2"/>
  <c r="EK49" i="2"/>
  <c r="DX51" i="2"/>
  <c r="DK51" i="2" s="1"/>
  <c r="CX51" i="2" s="1"/>
  <c r="DX50" i="2"/>
  <c r="DX49" i="2"/>
  <c r="DK49" i="2" s="1"/>
  <c r="DK50" i="2"/>
  <c r="DX44" i="2"/>
  <c r="DX43" i="2"/>
  <c r="DK43" i="2" s="1"/>
  <c r="DK44" i="2"/>
  <c r="CX45" i="2"/>
  <c r="CX44" i="2"/>
  <c r="DX38" i="2"/>
  <c r="DX37" i="2"/>
  <c r="DK37" i="2" s="1"/>
  <c r="CX37" i="2" s="1"/>
  <c r="DX36" i="2"/>
  <c r="DK36" i="2" s="1"/>
  <c r="DK38" i="2"/>
  <c r="DK32" i="2"/>
  <c r="DK31" i="2"/>
  <c r="DK30" i="2"/>
  <c r="DK25" i="2"/>
  <c r="DX25" i="2"/>
  <c r="DX24" i="2"/>
  <c r="DK24" i="2" s="1"/>
  <c r="DX23" i="2"/>
  <c r="DK23" i="2" s="1"/>
  <c r="DX19" i="2"/>
  <c r="DX18" i="2"/>
  <c r="DX17" i="2"/>
  <c r="DK19" i="2"/>
  <c r="DK17" i="2"/>
  <c r="DK18" i="2"/>
  <c r="DX10" i="2"/>
  <c r="DK11" i="2"/>
  <c r="DK10" i="2"/>
  <c r="DK6" i="2"/>
  <c r="DK5" i="2"/>
  <c r="DK4" i="2"/>
  <c r="X57" i="3"/>
  <c r="X44" i="3"/>
  <c r="X43" i="3"/>
  <c r="AC37" i="3"/>
  <c r="X35" i="3"/>
  <c r="X34" i="3"/>
  <c r="X26" i="3"/>
  <c r="AK21" i="1"/>
  <c r="X25" i="3"/>
  <c r="X17" i="3"/>
  <c r="AK5" i="1" s="1"/>
  <c r="X16" i="3"/>
  <c r="X52" i="3" s="1"/>
  <c r="AC46" i="3" s="1"/>
  <c r="BL20" i="1"/>
  <c r="BL19" i="1" s="1"/>
  <c r="AJ54" i="1"/>
  <c r="AJ52" i="1"/>
  <c r="AJ38" i="1"/>
  <c r="AJ36" i="1"/>
  <c r="AJ22" i="1"/>
  <c r="AJ20" i="1"/>
  <c r="AJ6" i="1"/>
  <c r="CW57" i="2"/>
  <c r="EJ51" i="2"/>
  <c r="EJ50" i="2"/>
  <c r="EJ49" i="2"/>
  <c r="DW51" i="2"/>
  <c r="DW50" i="2"/>
  <c r="DJ50" i="2" s="1"/>
  <c r="CW50" i="2" s="1"/>
  <c r="DW49" i="2"/>
  <c r="DJ49" i="2" s="1"/>
  <c r="DJ51" i="2"/>
  <c r="DW43" i="2"/>
  <c r="DJ43" i="2" s="1"/>
  <c r="DJ45" i="2"/>
  <c r="CW45" i="2" s="1"/>
  <c r="DJ44" i="2"/>
  <c r="DW38" i="2"/>
  <c r="DJ38" i="2" s="1"/>
  <c r="DW37" i="2"/>
  <c r="DW36" i="2"/>
  <c r="DJ37" i="2"/>
  <c r="DJ36" i="2"/>
  <c r="DW32" i="2"/>
  <c r="DJ32" i="2" s="1"/>
  <c r="CW32" i="2" s="1"/>
  <c r="DW31" i="2"/>
  <c r="DJ31" i="2" s="1"/>
  <c r="CW31" i="2" s="1"/>
  <c r="DW30" i="2"/>
  <c r="DJ30" i="2" s="1"/>
  <c r="DW25" i="2"/>
  <c r="DJ25" i="2"/>
  <c r="DW24" i="2"/>
  <c r="DW23" i="2"/>
  <c r="DJ24" i="2"/>
  <c r="DJ23" i="2"/>
  <c r="EJ19" i="2"/>
  <c r="EJ18" i="2"/>
  <c r="EJ17" i="2"/>
  <c r="DJ19" i="2"/>
  <c r="DJ18" i="2"/>
  <c r="DJ17" i="2"/>
  <c r="DJ12" i="2"/>
  <c r="DW10" i="2"/>
  <c r="DJ10" i="2" s="1"/>
  <c r="DJ11" i="2"/>
  <c r="EJ6" i="2"/>
  <c r="DJ6" i="2"/>
  <c r="DW6" i="2"/>
  <c r="DW5" i="2"/>
  <c r="DJ5" i="2" s="1"/>
  <c r="DW4" i="2"/>
  <c r="DJ4" i="2" s="1"/>
  <c r="W57" i="3"/>
  <c r="V57" i="3"/>
  <c r="W50" i="3"/>
  <c r="W49" i="3"/>
  <c r="W48" i="3"/>
  <c r="W44" i="3"/>
  <c r="AJ53" i="1"/>
  <c r="W43" i="3"/>
  <c r="V44" i="3"/>
  <c r="V43" i="3"/>
  <c r="W35" i="3"/>
  <c r="AJ37" i="1"/>
  <c r="W34" i="3"/>
  <c r="V35" i="3"/>
  <c r="V34" i="3"/>
  <c r="W26" i="3"/>
  <c r="W25" i="3"/>
  <c r="V26" i="3"/>
  <c r="V25" i="3"/>
  <c r="W17" i="3"/>
  <c r="AJ5" i="1" s="1"/>
  <c r="W16" i="3"/>
  <c r="V17" i="3"/>
  <c r="V53" i="3" s="1"/>
  <c r="V16" i="3"/>
  <c r="W52" i="3"/>
  <c r="DI45" i="2"/>
  <c r="DI43" i="2"/>
  <c r="EI19" i="2"/>
  <c r="DI19" i="2"/>
  <c r="DI17" i="2"/>
  <c r="DI6" i="2"/>
  <c r="DI4" i="2"/>
  <c r="AI54" i="1"/>
  <c r="AI52" i="1"/>
  <c r="AI38" i="1"/>
  <c r="AI36" i="1"/>
  <c r="AI22" i="1"/>
  <c r="AI20" i="1"/>
  <c r="EI51" i="2"/>
  <c r="EI50" i="2"/>
  <c r="EI49" i="2"/>
  <c r="DV51" i="2"/>
  <c r="DI51" i="2" s="1"/>
  <c r="CV51" i="2" s="1"/>
  <c r="DV50" i="2"/>
  <c r="DV49" i="2"/>
  <c r="DI49" i="2" s="1"/>
  <c r="DI50" i="2"/>
  <c r="DI44" i="2"/>
  <c r="DV38" i="2"/>
  <c r="DV37" i="2"/>
  <c r="DI37" i="2"/>
  <c r="DV36" i="2"/>
  <c r="DI36" i="2" s="1"/>
  <c r="DI38" i="2"/>
  <c r="DV32" i="2"/>
  <c r="DI32" i="2" s="1"/>
  <c r="CV32" i="2" s="1"/>
  <c r="DV31" i="2"/>
  <c r="DI31" i="2" s="1"/>
  <c r="CV31" i="2" s="1"/>
  <c r="DV30" i="2"/>
  <c r="DI30" i="2" s="1"/>
  <c r="EI25" i="2"/>
  <c r="EI24" i="2"/>
  <c r="EI23" i="2"/>
  <c r="DV25" i="2"/>
  <c r="DI25" i="2" s="1"/>
  <c r="DV24" i="2"/>
  <c r="DI24" i="2" s="1"/>
  <c r="DV23" i="2"/>
  <c r="DI23" i="2" s="1"/>
  <c r="EI18" i="2"/>
  <c r="EI17" i="2"/>
  <c r="DI18" i="2"/>
  <c r="DI11" i="2"/>
  <c r="DI10" i="2"/>
  <c r="EI12" i="2"/>
  <c r="DI12" i="2" s="1"/>
  <c r="DV10" i="2"/>
  <c r="DI5" i="2"/>
  <c r="AI6" i="1"/>
  <c r="AI4" i="1"/>
  <c r="V50" i="3"/>
  <c r="V49" i="3"/>
  <c r="V48" i="3"/>
  <c r="AI53" i="1"/>
  <c r="AI37" i="1"/>
  <c r="AI21" i="1"/>
  <c r="V52" i="3"/>
  <c r="V58" i="3"/>
  <c r="U10" i="3"/>
  <c r="R10" i="3"/>
  <c r="DU45" i="2"/>
  <c r="DU44" i="2"/>
  <c r="DU43" i="2"/>
  <c r="DU32" i="2"/>
  <c r="DU31" i="2"/>
  <c r="DU30" i="2"/>
  <c r="DU19" i="2"/>
  <c r="DU18" i="2"/>
  <c r="DH18" i="2"/>
  <c r="DU17" i="2"/>
  <c r="DH17" i="2" s="1"/>
  <c r="DU4" i="2"/>
  <c r="DH4" i="2"/>
  <c r="CU64" i="2"/>
  <c r="CU63" i="2"/>
  <c r="CU62" i="2"/>
  <c r="CU56" i="2"/>
  <c r="CU58" i="2"/>
  <c r="CU57" i="2"/>
  <c r="EH51" i="2"/>
  <c r="EH50" i="2"/>
  <c r="EH49" i="2"/>
  <c r="EH45" i="2"/>
  <c r="EH44" i="2"/>
  <c r="EH43" i="2"/>
  <c r="DU51" i="2"/>
  <c r="DH51" i="2"/>
  <c r="DU50" i="2"/>
  <c r="DH50" i="2"/>
  <c r="DU49" i="2"/>
  <c r="DH49" i="2"/>
  <c r="DH45" i="2"/>
  <c r="DH43" i="2"/>
  <c r="DH44" i="2"/>
  <c r="DU38" i="2"/>
  <c r="DU37" i="2"/>
  <c r="DH37" i="2" s="1"/>
  <c r="CU37" i="2" s="1"/>
  <c r="DU36" i="2"/>
  <c r="DH36" i="2" s="1"/>
  <c r="DH38" i="2"/>
  <c r="DH32" i="2"/>
  <c r="DH31" i="2"/>
  <c r="DH30" i="2"/>
  <c r="EH25" i="2"/>
  <c r="EH24" i="2"/>
  <c r="EH23" i="2"/>
  <c r="EH19" i="2"/>
  <c r="EH18" i="2"/>
  <c r="EH17" i="2"/>
  <c r="DU25" i="2"/>
  <c r="DH25" i="2"/>
  <c r="DU24" i="2"/>
  <c r="DH24" i="2"/>
  <c r="DU23" i="2"/>
  <c r="DH23" i="2"/>
  <c r="DH19" i="2"/>
  <c r="EH6" i="2"/>
  <c r="DU6" i="2" s="1"/>
  <c r="DH6" i="2" s="1"/>
  <c r="DH5" i="2"/>
  <c r="EH12" i="2"/>
  <c r="DH12" i="2" s="1"/>
  <c r="DU10" i="2"/>
  <c r="DH11" i="2"/>
  <c r="DH10" i="2"/>
  <c r="AH54" i="1"/>
  <c r="AH52" i="1"/>
  <c r="AH38" i="1"/>
  <c r="AH36" i="1"/>
  <c r="AH22" i="1"/>
  <c r="AH20" i="1"/>
  <c r="AH6" i="1"/>
  <c r="AH4" i="1"/>
  <c r="U57" i="3"/>
  <c r="U50" i="3"/>
  <c r="U49" i="3"/>
  <c r="U48" i="3"/>
  <c r="U44" i="3"/>
  <c r="U43" i="3"/>
  <c r="U35" i="3"/>
  <c r="AH37" i="1" s="1"/>
  <c r="U34" i="3"/>
  <c r="U26" i="3"/>
  <c r="AH21" i="1" s="1"/>
  <c r="U25" i="3"/>
  <c r="U17" i="3"/>
  <c r="U16" i="3"/>
  <c r="AH53" i="1"/>
  <c r="DT45" i="2"/>
  <c r="DT44" i="2"/>
  <c r="DT43" i="2"/>
  <c r="DT19" i="2"/>
  <c r="DT18" i="2"/>
  <c r="DT17" i="2"/>
  <c r="EG6" i="2"/>
  <c r="CT56" i="2"/>
  <c r="CT58" i="2"/>
  <c r="CT57" i="2"/>
  <c r="CT64" i="2"/>
  <c r="CT63" i="2"/>
  <c r="CT62" i="2"/>
  <c r="EG45" i="2"/>
  <c r="EG43" i="2"/>
  <c r="EG44" i="2"/>
  <c r="DG43" i="2"/>
  <c r="DG44" i="2"/>
  <c r="EG51" i="2"/>
  <c r="EG50" i="2"/>
  <c r="EG49" i="2"/>
  <c r="DT51" i="2"/>
  <c r="DG51" i="2" s="1"/>
  <c r="DT50" i="2"/>
  <c r="DT49" i="2"/>
  <c r="DT32" i="2"/>
  <c r="DG32" i="2" s="1"/>
  <c r="DT31" i="2"/>
  <c r="DT30" i="2"/>
  <c r="DG50" i="2"/>
  <c r="DG49" i="2"/>
  <c r="DG45" i="2"/>
  <c r="DG30" i="2"/>
  <c r="DG31" i="2"/>
  <c r="DT38" i="2"/>
  <c r="DG38" i="2" s="1"/>
  <c r="CT38" i="2" s="1"/>
  <c r="DT37" i="2"/>
  <c r="DG37" i="2"/>
  <c r="DT36" i="2"/>
  <c r="DG36" i="2" s="1"/>
  <c r="EG19" i="2"/>
  <c r="EG18" i="2"/>
  <c r="EG17" i="2"/>
  <c r="DG19" i="2"/>
  <c r="DG17" i="2"/>
  <c r="DG18" i="2"/>
  <c r="EG25" i="2"/>
  <c r="EG24" i="2"/>
  <c r="EG23" i="2"/>
  <c r="DT25" i="2"/>
  <c r="DG25" i="2" s="1"/>
  <c r="DT24" i="2"/>
  <c r="DT23" i="2"/>
  <c r="DG23" i="2" s="1"/>
  <c r="DG24" i="2"/>
  <c r="DT6" i="2"/>
  <c r="DG6" i="2"/>
  <c r="DT4" i="2"/>
  <c r="DG4" i="2" s="1"/>
  <c r="DG5" i="2"/>
  <c r="EG12" i="2"/>
  <c r="DG12" i="2" s="1"/>
  <c r="DT10" i="2"/>
  <c r="DG10" i="2" s="1"/>
  <c r="DG11" i="2"/>
  <c r="AG54" i="1"/>
  <c r="AG52" i="1"/>
  <c r="AG38" i="1"/>
  <c r="AG36" i="1"/>
  <c r="AG22" i="1"/>
  <c r="AG20" i="1"/>
  <c r="AG6" i="1"/>
  <c r="AG4" i="1"/>
  <c r="T50" i="3"/>
  <c r="T49" i="3"/>
  <c r="T48" i="3"/>
  <c r="T57" i="3"/>
  <c r="T44" i="3"/>
  <c r="AG53" i="1" s="1"/>
  <c r="T43" i="3"/>
  <c r="T35" i="3"/>
  <c r="AG37" i="1" s="1"/>
  <c r="T34" i="3"/>
  <c r="T26" i="3"/>
  <c r="AG21" i="1" s="1"/>
  <c r="T25" i="3"/>
  <c r="T17" i="3"/>
  <c r="T16" i="3"/>
  <c r="U9" i="3"/>
  <c r="CS64" i="2"/>
  <c r="CS63" i="2"/>
  <c r="CS62" i="2"/>
  <c r="CS58" i="2"/>
  <c r="CS56" i="2"/>
  <c r="CS57" i="2"/>
  <c r="DS45" i="2"/>
  <c r="DS44" i="2"/>
  <c r="DS43" i="2"/>
  <c r="DR43" i="2"/>
  <c r="DQ43" i="2"/>
  <c r="DP43" i="2"/>
  <c r="DO43" i="2"/>
  <c r="DN43" i="2"/>
  <c r="DR44" i="2"/>
  <c r="DQ44" i="2"/>
  <c r="DP44" i="2"/>
  <c r="DO44" i="2"/>
  <c r="DN44" i="2"/>
  <c r="DS51" i="2"/>
  <c r="DS50" i="2"/>
  <c r="DS49" i="2"/>
  <c r="DF45" i="2"/>
  <c r="DF43" i="2"/>
  <c r="EF51" i="2"/>
  <c r="EF50" i="2"/>
  <c r="EF49" i="2"/>
  <c r="EF45" i="2"/>
  <c r="EF44" i="2"/>
  <c r="EF43" i="2"/>
  <c r="DF51" i="2"/>
  <c r="DF50" i="2"/>
  <c r="DF44" i="2"/>
  <c r="DS38" i="2"/>
  <c r="DS37" i="2"/>
  <c r="DF37" i="2" s="1"/>
  <c r="DS36" i="2"/>
  <c r="DF49" i="2"/>
  <c r="DS32" i="2"/>
  <c r="DF32" i="2"/>
  <c r="DS31" i="2"/>
  <c r="DF31" i="2" s="1"/>
  <c r="DS30" i="2"/>
  <c r="DF38" i="2"/>
  <c r="DF36" i="2"/>
  <c r="DF30" i="2"/>
  <c r="EF25" i="2"/>
  <c r="EF24" i="2"/>
  <c r="EF23" i="2"/>
  <c r="EF19" i="2"/>
  <c r="EF17" i="2"/>
  <c r="EF18" i="2"/>
  <c r="DS25" i="2"/>
  <c r="DS24" i="2"/>
  <c r="DS23" i="2"/>
  <c r="DS19" i="2"/>
  <c r="DF19" i="2" s="1"/>
  <c r="DS18" i="2"/>
  <c r="DS17" i="2"/>
  <c r="DF17" i="2" s="1"/>
  <c r="DF25" i="2"/>
  <c r="DF23" i="2"/>
  <c r="DF24" i="2"/>
  <c r="DF18" i="2"/>
  <c r="DS10" i="2"/>
  <c r="EF12" i="2"/>
  <c r="EF6" i="2"/>
  <c r="DS6" i="2" s="1"/>
  <c r="DF6" i="2" s="1"/>
  <c r="DS4" i="2"/>
  <c r="DF12" i="2"/>
  <c r="DF10" i="2"/>
  <c r="DF11" i="2"/>
  <c r="DF5" i="2"/>
  <c r="DF4" i="2"/>
  <c r="AF54" i="1"/>
  <c r="AF52" i="1"/>
  <c r="AF38" i="1"/>
  <c r="AF36" i="1"/>
  <c r="AF22" i="1"/>
  <c r="AF20" i="1"/>
  <c r="AF6" i="1"/>
  <c r="AF4" i="1"/>
  <c r="S50" i="3"/>
  <c r="S49" i="3"/>
  <c r="S48" i="3"/>
  <c r="S57" i="3"/>
  <c r="S44" i="3"/>
  <c r="S43" i="3"/>
  <c r="S35" i="3"/>
  <c r="AF37" i="1" s="1"/>
  <c r="S34" i="3"/>
  <c r="S26" i="3"/>
  <c r="AF21" i="1" s="1"/>
  <c r="S25" i="3"/>
  <c r="S17" i="3"/>
  <c r="V9" i="3" s="1"/>
  <c r="W9" i="3" s="1"/>
  <c r="S16" i="3"/>
  <c r="S53" i="3"/>
  <c r="AF5" i="1"/>
  <c r="U19" i="3"/>
  <c r="R19" i="3"/>
  <c r="S58" i="3"/>
  <c r="AE54" i="1"/>
  <c r="AE52" i="1"/>
  <c r="AE38" i="1"/>
  <c r="AE36" i="1"/>
  <c r="AE22" i="1"/>
  <c r="AE20" i="1"/>
  <c r="AE6" i="1"/>
  <c r="AE4" i="1"/>
  <c r="CR64" i="2"/>
  <c r="CR63" i="2"/>
  <c r="CR62" i="2"/>
  <c r="CR58" i="2"/>
  <c r="CR57" i="2"/>
  <c r="CR56" i="2"/>
  <c r="EE51" i="2"/>
  <c r="EE50" i="2"/>
  <c r="EE49" i="2"/>
  <c r="EE45" i="2"/>
  <c r="EE44" i="2"/>
  <c r="EE43" i="2"/>
  <c r="DR45" i="2"/>
  <c r="DR51" i="2"/>
  <c r="DE51" i="2" s="1"/>
  <c r="CR51" i="2" s="1"/>
  <c r="DR50" i="2"/>
  <c r="DE50" i="2"/>
  <c r="DR49" i="2"/>
  <c r="DE49" i="2" s="1"/>
  <c r="DE45" i="2"/>
  <c r="DE44" i="2"/>
  <c r="DE43" i="2"/>
  <c r="DR38" i="2"/>
  <c r="DE38" i="2"/>
  <c r="DR37" i="2"/>
  <c r="DE37" i="2"/>
  <c r="DR36" i="2"/>
  <c r="DE36" i="2"/>
  <c r="DR32" i="2"/>
  <c r="DR31" i="2"/>
  <c r="DR30" i="2"/>
  <c r="DE30" i="2"/>
  <c r="DE32" i="2"/>
  <c r="DE31" i="2"/>
  <c r="DR25" i="2"/>
  <c r="DE25" i="2" s="1"/>
  <c r="DR24" i="2"/>
  <c r="DE24" i="2" s="1"/>
  <c r="DR23" i="2"/>
  <c r="DE23" i="2"/>
  <c r="EE25" i="2"/>
  <c r="EE24" i="2"/>
  <c r="EE23" i="2"/>
  <c r="EE19" i="2"/>
  <c r="EE18" i="2"/>
  <c r="EE17" i="2"/>
  <c r="DR19" i="2"/>
  <c r="DR18" i="2"/>
  <c r="DR17" i="2"/>
  <c r="DE17" i="2"/>
  <c r="DE19" i="2"/>
  <c r="DE18" i="2"/>
  <c r="EE12" i="2"/>
  <c r="DE12" i="2"/>
  <c r="DR10" i="2"/>
  <c r="DE10" i="2"/>
  <c r="DE11" i="2"/>
  <c r="EE6" i="2"/>
  <c r="DR6" i="2" s="1"/>
  <c r="DE6" i="2" s="1"/>
  <c r="DR4" i="2"/>
  <c r="DE5" i="2"/>
  <c r="DE4" i="2"/>
  <c r="R57" i="3"/>
  <c r="R50" i="3"/>
  <c r="R49" i="3"/>
  <c r="R48" i="3"/>
  <c r="R44" i="3"/>
  <c r="R43" i="3"/>
  <c r="R35" i="3"/>
  <c r="AE37" i="1" s="1"/>
  <c r="R34" i="3"/>
  <c r="R26" i="3"/>
  <c r="AE21" i="1" s="1"/>
  <c r="R25" i="3"/>
  <c r="R17" i="3"/>
  <c r="AE5" i="1" s="1"/>
  <c r="R16" i="3"/>
  <c r="R52" i="3"/>
  <c r="AD54" i="1"/>
  <c r="AD52" i="1"/>
  <c r="AD38" i="1"/>
  <c r="AD36" i="1"/>
  <c r="AD22" i="1"/>
  <c r="AD20" i="1"/>
  <c r="AD6" i="1"/>
  <c r="AD4" i="1"/>
  <c r="CQ62" i="2"/>
  <c r="CQ64" i="2"/>
  <c r="CQ63" i="2"/>
  <c r="CQ56" i="2"/>
  <c r="CQ58" i="2"/>
  <c r="CQ57" i="2"/>
  <c r="DD44" i="2"/>
  <c r="DD43" i="2"/>
  <c r="ED49" i="2"/>
  <c r="ED51" i="2"/>
  <c r="ED50" i="2"/>
  <c r="ED45" i="2"/>
  <c r="ED43" i="2"/>
  <c r="ED44" i="2"/>
  <c r="DQ51" i="2"/>
  <c r="DQ50" i="2"/>
  <c r="DQ49" i="2"/>
  <c r="DD49" i="2"/>
  <c r="DQ45" i="2"/>
  <c r="DD45" i="2"/>
  <c r="DQ32" i="2"/>
  <c r="DD32" i="2"/>
  <c r="DP32" i="2"/>
  <c r="DQ38" i="2"/>
  <c r="DD38" i="2" s="1"/>
  <c r="CQ38" i="2" s="1"/>
  <c r="DQ37" i="2"/>
  <c r="DD37" i="2" s="1"/>
  <c r="CQ37" i="2" s="1"/>
  <c r="DQ36" i="2"/>
  <c r="DD36" i="2" s="1"/>
  <c r="DD51" i="2"/>
  <c r="DD50" i="2"/>
  <c r="ED25" i="2"/>
  <c r="ED24" i="2"/>
  <c r="ED23" i="2"/>
  <c r="ED17" i="2"/>
  <c r="ED19" i="2"/>
  <c r="ED18" i="2"/>
  <c r="DQ25" i="2"/>
  <c r="DD25" i="2" s="1"/>
  <c r="DQ24" i="2"/>
  <c r="DQ23" i="2"/>
  <c r="DD23" i="2"/>
  <c r="DD24" i="2"/>
  <c r="DQ19" i="2"/>
  <c r="DD19" i="2" s="1"/>
  <c r="DQ18" i="2"/>
  <c r="DD18" i="2" s="1"/>
  <c r="DQ17" i="2"/>
  <c r="DD17" i="2" s="1"/>
  <c r="ED12" i="2"/>
  <c r="DD12" i="2" s="1"/>
  <c r="DQ10" i="2"/>
  <c r="DQ4" i="2"/>
  <c r="ED6" i="2"/>
  <c r="DQ6" i="2" s="1"/>
  <c r="DD6" i="2" s="1"/>
  <c r="DD10" i="2"/>
  <c r="DD11" i="2"/>
  <c r="DD5" i="2"/>
  <c r="DD4" i="2"/>
  <c r="Q57" i="3"/>
  <c r="Q50" i="3"/>
  <c r="Q49" i="3"/>
  <c r="Q48" i="3"/>
  <c r="Q44" i="3"/>
  <c r="AD53" i="1"/>
  <c r="Q43" i="3"/>
  <c r="Q35" i="3"/>
  <c r="Q34" i="3"/>
  <c r="Q26" i="3"/>
  <c r="Q25" i="3"/>
  <c r="Q17" i="3"/>
  <c r="AD5" i="1" s="1"/>
  <c r="Q16" i="3"/>
  <c r="Q52" i="3" s="1"/>
  <c r="AD37" i="1"/>
  <c r="DP19" i="2"/>
  <c r="AC54" i="1"/>
  <c r="AC52" i="1"/>
  <c r="AC38" i="1"/>
  <c r="AC36" i="1"/>
  <c r="AC22" i="1"/>
  <c r="AC20" i="1"/>
  <c r="AC6" i="1"/>
  <c r="AC4" i="1"/>
  <c r="CP64" i="2"/>
  <c r="CP63" i="2"/>
  <c r="CP62" i="2"/>
  <c r="EC19" i="2"/>
  <c r="DC32" i="2"/>
  <c r="EC45" i="2"/>
  <c r="DP51" i="2"/>
  <c r="DC51" i="2"/>
  <c r="DP50" i="2"/>
  <c r="DP49" i="2"/>
  <c r="CP56" i="2"/>
  <c r="CP58" i="2"/>
  <c r="CP57" i="2"/>
  <c r="EC51" i="2"/>
  <c r="EC50" i="2"/>
  <c r="EC49" i="2"/>
  <c r="DC44" i="2"/>
  <c r="DC50" i="2"/>
  <c r="EC44" i="2"/>
  <c r="EC43" i="2"/>
  <c r="DP45" i="2"/>
  <c r="DC45" i="2"/>
  <c r="DC43" i="2"/>
  <c r="DP38" i="2"/>
  <c r="DC38" i="2" s="1"/>
  <c r="DP37" i="2"/>
  <c r="DC37" i="2"/>
  <c r="DP36" i="2"/>
  <c r="DC36" i="2"/>
  <c r="DQ31" i="2"/>
  <c r="DD31" i="2"/>
  <c r="DQ30" i="2"/>
  <c r="DD30" i="2"/>
  <c r="DC49" i="2"/>
  <c r="DP31" i="2"/>
  <c r="DC31" i="2" s="1"/>
  <c r="DP30" i="2"/>
  <c r="DC30" i="2" s="1"/>
  <c r="EC25" i="2"/>
  <c r="EC24" i="2"/>
  <c r="EC23" i="2"/>
  <c r="DP25" i="2"/>
  <c r="DC25" i="2" s="1"/>
  <c r="DP24" i="2"/>
  <c r="DP23" i="2"/>
  <c r="DC23" i="2" s="1"/>
  <c r="DC24" i="2"/>
  <c r="EC18" i="2"/>
  <c r="EC17" i="2"/>
  <c r="DC19" i="2"/>
  <c r="DC11" i="2"/>
  <c r="EC12" i="2"/>
  <c r="DC12" i="2" s="1"/>
  <c r="DP18" i="2"/>
  <c r="DC18" i="2" s="1"/>
  <c r="DP17" i="2"/>
  <c r="DC17" i="2"/>
  <c r="DP10" i="2"/>
  <c r="DC10" i="2" s="1"/>
  <c r="EC6" i="2"/>
  <c r="DP6" i="2"/>
  <c r="DC6" i="2" s="1"/>
  <c r="DP4" i="2"/>
  <c r="DC4" i="2" s="1"/>
  <c r="DC5" i="2"/>
  <c r="P57" i="3"/>
  <c r="P50" i="3"/>
  <c r="P49" i="3"/>
  <c r="P48" i="3"/>
  <c r="P44" i="3"/>
  <c r="AC53" i="1"/>
  <c r="P43" i="3"/>
  <c r="P35" i="3"/>
  <c r="AC37" i="1" s="1"/>
  <c r="P34" i="3"/>
  <c r="P26" i="3"/>
  <c r="AC21" i="1" s="1"/>
  <c r="P25" i="3"/>
  <c r="P17" i="3"/>
  <c r="P16" i="3"/>
  <c r="DO45" i="2"/>
  <c r="DN45" i="2"/>
  <c r="DA45" i="2" s="1"/>
  <c r="DO19" i="2"/>
  <c r="DO18" i="2"/>
  <c r="DO17" i="2"/>
  <c r="DN19" i="2"/>
  <c r="DN18" i="2"/>
  <c r="DN17" i="2"/>
  <c r="AB54" i="1"/>
  <c r="AA54" i="1"/>
  <c r="AB52" i="1"/>
  <c r="AA52" i="1"/>
  <c r="AB38" i="1"/>
  <c r="AA38" i="1"/>
  <c r="AB36" i="1"/>
  <c r="AA36" i="1"/>
  <c r="AB22" i="1"/>
  <c r="AA22" i="1"/>
  <c r="AB20" i="1"/>
  <c r="AA20" i="1"/>
  <c r="DB45" i="2"/>
  <c r="DA44" i="2"/>
  <c r="DB44" i="2"/>
  <c r="CO44" i="2" s="1"/>
  <c r="CZ44" i="2" s="1"/>
  <c r="DB43" i="2"/>
  <c r="DA43" i="2"/>
  <c r="CN43" i="2" s="1"/>
  <c r="DZ45" i="2"/>
  <c r="DZ43" i="2"/>
  <c r="DO50" i="2"/>
  <c r="DB50" i="2" s="1"/>
  <c r="DO49" i="2"/>
  <c r="DB49" i="2" s="1"/>
  <c r="DN50" i="2"/>
  <c r="DA50" i="2"/>
  <c r="CN50" i="2" s="1"/>
  <c r="DN49" i="2"/>
  <c r="DA49" i="2"/>
  <c r="DO51" i="2"/>
  <c r="DB51" i="2" s="1"/>
  <c r="DN51" i="2"/>
  <c r="DA51" i="2"/>
  <c r="EB45" i="2"/>
  <c r="EB44" i="2"/>
  <c r="EB43" i="2"/>
  <c r="CO43" i="2" s="1"/>
  <c r="CO46" i="2" s="1"/>
  <c r="AB58" i="1" s="1"/>
  <c r="AB60" i="1" s="1"/>
  <c r="EB51" i="2"/>
  <c r="EB50" i="2"/>
  <c r="EB49" i="2"/>
  <c r="EA51" i="2"/>
  <c r="EA50" i="2"/>
  <c r="EM50" i="2" s="1"/>
  <c r="EA49" i="2"/>
  <c r="EA52" i="2" s="1"/>
  <c r="EM52" i="2" s="1"/>
  <c r="EA45" i="2"/>
  <c r="EA44" i="2"/>
  <c r="EA43" i="2"/>
  <c r="EN51" i="2"/>
  <c r="EZ51" i="2" s="1"/>
  <c r="EN50" i="2"/>
  <c r="EZ50" i="2" s="1"/>
  <c r="EN49" i="2"/>
  <c r="EZ49" i="2" s="1"/>
  <c r="CY51" i="2"/>
  <c r="CW51" i="2"/>
  <c r="CU51" i="2"/>
  <c r="CS51" i="2"/>
  <c r="CQ51" i="2"/>
  <c r="CP51" i="2"/>
  <c r="CY50" i="2"/>
  <c r="CX50" i="2"/>
  <c r="CV50" i="2"/>
  <c r="CU50" i="2"/>
  <c r="CT50" i="2"/>
  <c r="CS50" i="2"/>
  <c r="CR50" i="2"/>
  <c r="CQ50" i="2"/>
  <c r="CP50" i="2"/>
  <c r="CY49" i="2"/>
  <c r="CU49" i="2"/>
  <c r="CU52" i="2" s="1"/>
  <c r="AH57" i="1" s="1"/>
  <c r="CT49" i="2"/>
  <c r="CS49" i="2"/>
  <c r="CQ49" i="2"/>
  <c r="CQ52" i="2" s="1"/>
  <c r="AD57" i="1" s="1"/>
  <c r="AD59" i="1" s="1"/>
  <c r="CP49" i="2"/>
  <c r="CP52" i="2"/>
  <c r="AC57" i="1" s="1"/>
  <c r="AC59" i="1" s="1"/>
  <c r="CY45" i="2"/>
  <c r="CV45" i="2"/>
  <c r="CU45" i="2"/>
  <c r="CT45" i="2"/>
  <c r="CS45" i="2"/>
  <c r="CR45" i="2"/>
  <c r="CQ45" i="2"/>
  <c r="CP45" i="2"/>
  <c r="CY44" i="2"/>
  <c r="CW44" i="2"/>
  <c r="CV44" i="2"/>
  <c r="CU44" i="2"/>
  <c r="CT44" i="2"/>
  <c r="CS44" i="2"/>
  <c r="CR44" i="2"/>
  <c r="CQ44" i="2"/>
  <c r="CP44" i="2"/>
  <c r="CY43" i="2"/>
  <c r="CV43" i="2"/>
  <c r="CU43" i="2"/>
  <c r="CT43" i="2"/>
  <c r="CS43" i="2"/>
  <c r="CR43" i="2"/>
  <c r="CQ43" i="2"/>
  <c r="CP43" i="2"/>
  <c r="EL52" i="2"/>
  <c r="EK52" i="2"/>
  <c r="EJ52" i="2"/>
  <c r="EI52" i="2"/>
  <c r="EH52" i="2"/>
  <c r="EG52" i="2"/>
  <c r="EF52" i="2"/>
  <c r="EE52" i="2"/>
  <c r="ED52" i="2"/>
  <c r="EC52" i="2"/>
  <c r="EM51" i="2"/>
  <c r="EL46" i="2"/>
  <c r="EK46" i="2"/>
  <c r="EJ46" i="2"/>
  <c r="EI46" i="2"/>
  <c r="EH46" i="2"/>
  <c r="EG46" i="2"/>
  <c r="EF46" i="2"/>
  <c r="EE46" i="2"/>
  <c r="ED46" i="2"/>
  <c r="EC46" i="2"/>
  <c r="DY52" i="2"/>
  <c r="DX52" i="2"/>
  <c r="DW52" i="2"/>
  <c r="DV52" i="2"/>
  <c r="DU52" i="2"/>
  <c r="DT52" i="2"/>
  <c r="DS52" i="2"/>
  <c r="DR52" i="2"/>
  <c r="DQ52" i="2"/>
  <c r="DP52" i="2"/>
  <c r="DL52" i="2"/>
  <c r="DH52" i="2"/>
  <c r="DF52" i="2"/>
  <c r="DD52" i="2"/>
  <c r="DC52" i="2"/>
  <c r="DZ49" i="2"/>
  <c r="DY46" i="2"/>
  <c r="DX46" i="2"/>
  <c r="DW46" i="2"/>
  <c r="DV46" i="2"/>
  <c r="DU46" i="2"/>
  <c r="DT46" i="2"/>
  <c r="DS46" i="2"/>
  <c r="DR46" i="2"/>
  <c r="DQ46" i="2"/>
  <c r="DP46" i="2"/>
  <c r="DL46" i="2"/>
  <c r="DI46" i="2"/>
  <c r="DH46" i="2"/>
  <c r="DG46" i="2"/>
  <c r="DF46" i="2"/>
  <c r="DE46" i="2"/>
  <c r="DD46" i="2"/>
  <c r="DC46" i="2"/>
  <c r="DN46" i="2"/>
  <c r="CO58" i="2"/>
  <c r="CO57" i="2"/>
  <c r="CO59" i="2"/>
  <c r="CO56" i="2"/>
  <c r="CO64" i="2"/>
  <c r="CO62" i="2"/>
  <c r="CO65" i="2"/>
  <c r="CO63" i="2"/>
  <c r="CN56" i="2"/>
  <c r="CN57" i="2"/>
  <c r="CN59" i="2"/>
  <c r="CN58" i="2"/>
  <c r="CN64" i="2"/>
  <c r="CN63" i="2"/>
  <c r="CN62" i="2"/>
  <c r="CV65" i="2"/>
  <c r="CR65" i="2"/>
  <c r="CW65" i="2"/>
  <c r="CS65" i="2"/>
  <c r="CZ63" i="2"/>
  <c r="CY65" i="2"/>
  <c r="CX65" i="2"/>
  <c r="CU65" i="2"/>
  <c r="CT65" i="2"/>
  <c r="CQ65" i="2"/>
  <c r="CP65" i="2"/>
  <c r="CZ62" i="2"/>
  <c r="CV59" i="2"/>
  <c r="CR59" i="2"/>
  <c r="CZ58" i="2"/>
  <c r="CW59" i="2"/>
  <c r="CS59" i="2"/>
  <c r="CZ57" i="2"/>
  <c r="CY59" i="2"/>
  <c r="CX59" i="2"/>
  <c r="CU59" i="2"/>
  <c r="CT59" i="2"/>
  <c r="CQ59" i="2"/>
  <c r="CP59" i="2"/>
  <c r="CZ56" i="2"/>
  <c r="DO38" i="2"/>
  <c r="DN38" i="2"/>
  <c r="DO37" i="2"/>
  <c r="DN37" i="2"/>
  <c r="DO36" i="2"/>
  <c r="DN36" i="2"/>
  <c r="DO32" i="2"/>
  <c r="DO31" i="2"/>
  <c r="DO30" i="2"/>
  <c r="DN32" i="2"/>
  <c r="DN31" i="2"/>
  <c r="DN30" i="2"/>
  <c r="AE62" i="1"/>
  <c r="AE64" i="1" s="1"/>
  <c r="AC61" i="1"/>
  <c r="AC63" i="1" s="1"/>
  <c r="AF62" i="1"/>
  <c r="AD61" i="1"/>
  <c r="AD63" i="1" s="1"/>
  <c r="AH61" i="1"/>
  <c r="AL61" i="1"/>
  <c r="AL63" i="1" s="1"/>
  <c r="AC62" i="1"/>
  <c r="AC64" i="1" s="1"/>
  <c r="AI62" i="1"/>
  <c r="AI64" i="1" s="1"/>
  <c r="AG62" i="1"/>
  <c r="AG64" i="1" s="1"/>
  <c r="AD62" i="1"/>
  <c r="AD64" i="1" s="1"/>
  <c r="AH62" i="1"/>
  <c r="AH64" i="1" s="1"/>
  <c r="AL62" i="1"/>
  <c r="AL64" i="1" s="1"/>
  <c r="AF61" i="1"/>
  <c r="CR46" i="2"/>
  <c r="AE58" i="1" s="1"/>
  <c r="AE60" i="1" s="1"/>
  <c r="CY52" i="2"/>
  <c r="AL57" i="1" s="1"/>
  <c r="AL59" i="1" s="1"/>
  <c r="CY46" i="2"/>
  <c r="AL58" i="1" s="1"/>
  <c r="DM44" i="2"/>
  <c r="EM43" i="2"/>
  <c r="CN65" i="2"/>
  <c r="EB52" i="2"/>
  <c r="EA46" i="2"/>
  <c r="EM46" i="2" s="1"/>
  <c r="EM44" i="2"/>
  <c r="EB46" i="2"/>
  <c r="DZ50" i="2"/>
  <c r="CO45" i="2"/>
  <c r="CV46" i="2"/>
  <c r="AI58" i="1"/>
  <c r="EM45" i="2"/>
  <c r="EM49" i="2"/>
  <c r="CU46" i="2"/>
  <c r="AH58" i="1" s="1"/>
  <c r="AH60" i="1" s="1"/>
  <c r="CT46" i="2"/>
  <c r="AG58" i="1" s="1"/>
  <c r="AG60" i="1" s="1"/>
  <c r="CS46" i="2"/>
  <c r="AF58" i="1" s="1"/>
  <c r="AF60" i="1" s="1"/>
  <c r="CS52" i="2"/>
  <c r="AF57" i="1" s="1"/>
  <c r="CQ46" i="2"/>
  <c r="AD58" i="1" s="1"/>
  <c r="AD60" i="1" s="1"/>
  <c r="CP46" i="2"/>
  <c r="AC58" i="1" s="1"/>
  <c r="CN49" i="2"/>
  <c r="DZ44" i="2"/>
  <c r="DN52" i="2"/>
  <c r="DZ51" i="2"/>
  <c r="CN51" i="2"/>
  <c r="CN44" i="2"/>
  <c r="EN52" i="2"/>
  <c r="EZ52" i="2" s="1"/>
  <c r="DO46" i="2"/>
  <c r="DZ46" i="2" s="1"/>
  <c r="DO52" i="2"/>
  <c r="DZ52" i="2" s="1"/>
  <c r="CZ64" i="2"/>
  <c r="CZ65" i="2"/>
  <c r="CZ59" i="2"/>
  <c r="DB32" i="2"/>
  <c r="DB31" i="2"/>
  <c r="DB30" i="2"/>
  <c r="DA32" i="2"/>
  <c r="DA31" i="2"/>
  <c r="DA30" i="2"/>
  <c r="CN30" i="2" s="1"/>
  <c r="DB38" i="2"/>
  <c r="CO38" i="2" s="1"/>
  <c r="DB37" i="2"/>
  <c r="DB36" i="2"/>
  <c r="DA38" i="2"/>
  <c r="DA37" i="2"/>
  <c r="DA36" i="2"/>
  <c r="DY39" i="2"/>
  <c r="DX39" i="2"/>
  <c r="DW39" i="2"/>
  <c r="DV39" i="2"/>
  <c r="DU39" i="2"/>
  <c r="DT39" i="2"/>
  <c r="DS39" i="2"/>
  <c r="DR39" i="2"/>
  <c r="DQ39" i="2"/>
  <c r="DP39" i="2"/>
  <c r="DL39" i="2"/>
  <c r="AL45" i="1" s="1"/>
  <c r="DE39" i="2"/>
  <c r="AE45" i="1"/>
  <c r="CY38" i="2"/>
  <c r="CX38" i="2"/>
  <c r="CV38" i="2"/>
  <c r="CU38" i="2"/>
  <c r="CS38" i="2"/>
  <c r="CR38" i="2"/>
  <c r="DZ37" i="2"/>
  <c r="CN37" i="2"/>
  <c r="CY37" i="2"/>
  <c r="CW37" i="2"/>
  <c r="CV37" i="2"/>
  <c r="CT37" i="2"/>
  <c r="CR37" i="2"/>
  <c r="CP37" i="2"/>
  <c r="DZ36" i="2"/>
  <c r="DN39" i="2"/>
  <c r="CY36" i="2"/>
  <c r="CW36" i="2"/>
  <c r="CS36" i="2"/>
  <c r="CR36" i="2"/>
  <c r="CR39" i="2" s="1"/>
  <c r="AE41" i="1" s="1"/>
  <c r="CP36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L33" i="2"/>
  <c r="AL46" i="1" s="1"/>
  <c r="AL48" i="1" s="1"/>
  <c r="DK33" i="2"/>
  <c r="AK46" i="1" s="1"/>
  <c r="AK48" i="1" s="1"/>
  <c r="DH33" i="2"/>
  <c r="AH46" i="1" s="1"/>
  <c r="AH48" i="1" s="1"/>
  <c r="DE33" i="2"/>
  <c r="AE46" i="1"/>
  <c r="AE48" i="1" s="1"/>
  <c r="DD33" i="2"/>
  <c r="AD46" i="1" s="1"/>
  <c r="DZ32" i="2"/>
  <c r="CY32" i="2"/>
  <c r="CX32" i="2"/>
  <c r="CU32" i="2"/>
  <c r="CS32" i="2"/>
  <c r="CR32" i="2"/>
  <c r="CQ32" i="2"/>
  <c r="CP32" i="2"/>
  <c r="DZ31" i="2"/>
  <c r="CN31" i="2"/>
  <c r="CY31" i="2"/>
  <c r="CX31" i="2"/>
  <c r="CU31" i="2"/>
  <c r="CT31" i="2"/>
  <c r="CR31" i="2"/>
  <c r="CQ31" i="2"/>
  <c r="DZ30" i="2"/>
  <c r="CY30" i="2"/>
  <c r="CX30" i="2"/>
  <c r="CU30" i="2"/>
  <c r="CT30" i="2"/>
  <c r="CS30" i="2"/>
  <c r="CR30" i="2"/>
  <c r="CQ30" i="2"/>
  <c r="DO25" i="2"/>
  <c r="DO24" i="2"/>
  <c r="DO23" i="2"/>
  <c r="DN25" i="2"/>
  <c r="DN24" i="2"/>
  <c r="DN23" i="2"/>
  <c r="CX33" i="2"/>
  <c r="AK42" i="1" s="1"/>
  <c r="AK44" i="1" s="1"/>
  <c r="CO31" i="2"/>
  <c r="CY39" i="2"/>
  <c r="AL41" i="1" s="1"/>
  <c r="AL43" i="1" s="1"/>
  <c r="CY33" i="2"/>
  <c r="AL42" i="1" s="1"/>
  <c r="AL44" i="1" s="1"/>
  <c r="DB33" i="2"/>
  <c r="AB46" i="1" s="1"/>
  <c r="AB48" i="1" s="1"/>
  <c r="CU33" i="2"/>
  <c r="AH42" i="1" s="1"/>
  <c r="CR33" i="2"/>
  <c r="AE42" i="1" s="1"/>
  <c r="AE44" i="1" s="1"/>
  <c r="CQ33" i="2"/>
  <c r="AD42" i="1" s="1"/>
  <c r="DZ33" i="2"/>
  <c r="DA52" i="2"/>
  <c r="DB46" i="2"/>
  <c r="DB39" i="2"/>
  <c r="AB45" i="1"/>
  <c r="DA33" i="2"/>
  <c r="AA46" i="1" s="1"/>
  <c r="AA48" i="1" s="1"/>
  <c r="CN32" i="2"/>
  <c r="CN33" i="2" s="1"/>
  <c r="DM32" i="2"/>
  <c r="DM37" i="2"/>
  <c r="CO37" i="2"/>
  <c r="CN38" i="2"/>
  <c r="DM38" i="2"/>
  <c r="DZ38" i="2"/>
  <c r="DO39" i="2"/>
  <c r="DZ39" i="2" s="1"/>
  <c r="CO32" i="2"/>
  <c r="CO36" i="2"/>
  <c r="CO30" i="2"/>
  <c r="DB19" i="2"/>
  <c r="DB17" i="2"/>
  <c r="DA19" i="2"/>
  <c r="DA17" i="2"/>
  <c r="DB18" i="2"/>
  <c r="DA18" i="2"/>
  <c r="DB25" i="2"/>
  <c r="DB23" i="2"/>
  <c r="DB24" i="2"/>
  <c r="DA25" i="2"/>
  <c r="DA24" i="2"/>
  <c r="DA23" i="2"/>
  <c r="EB19" i="2"/>
  <c r="EB20" i="2"/>
  <c r="EB17" i="2"/>
  <c r="EB18" i="2"/>
  <c r="CO18" i="2" s="1"/>
  <c r="EA19" i="2"/>
  <c r="EA18" i="2"/>
  <c r="EM18" i="2" s="1"/>
  <c r="EA17" i="2"/>
  <c r="EB25" i="2"/>
  <c r="EB24" i="2"/>
  <c r="EB23" i="2"/>
  <c r="EB26" i="2" s="1"/>
  <c r="EM26" i="2" s="1"/>
  <c r="EA25" i="2"/>
  <c r="EA24" i="2"/>
  <c r="EA23" i="2"/>
  <c r="EL26" i="2"/>
  <c r="EK26" i="2"/>
  <c r="EJ26" i="2"/>
  <c r="EI26" i="2"/>
  <c r="EH26" i="2"/>
  <c r="EG26" i="2"/>
  <c r="EF26" i="2"/>
  <c r="EE26" i="2"/>
  <c r="ED26" i="2"/>
  <c r="EC26" i="2"/>
  <c r="EM25" i="2"/>
  <c r="EL20" i="2"/>
  <c r="EK20" i="2"/>
  <c r="EJ20" i="2"/>
  <c r="EI20" i="2"/>
  <c r="EH20" i="2"/>
  <c r="EG20" i="2"/>
  <c r="EF20" i="2"/>
  <c r="EE20" i="2"/>
  <c r="ED20" i="2"/>
  <c r="EC20" i="2"/>
  <c r="EM17" i="2"/>
  <c r="DN20" i="2"/>
  <c r="DZ19" i="2"/>
  <c r="DZ23" i="2"/>
  <c r="DY26" i="2"/>
  <c r="DX26" i="2"/>
  <c r="DW26" i="2"/>
  <c r="DV26" i="2"/>
  <c r="DU26" i="2"/>
  <c r="DT26" i="2"/>
  <c r="DS26" i="2"/>
  <c r="DR26" i="2"/>
  <c r="DQ26" i="2"/>
  <c r="DP26" i="2"/>
  <c r="DL26" i="2"/>
  <c r="AL29" i="1" s="1"/>
  <c r="AL31" i="1" s="1"/>
  <c r="DK26" i="2"/>
  <c r="AK29" i="1" s="1"/>
  <c r="AK31" i="1" s="1"/>
  <c r="DJ26" i="2"/>
  <c r="AJ29" i="1" s="1"/>
  <c r="AJ31" i="1" s="1"/>
  <c r="DI26" i="2"/>
  <c r="AI29" i="1"/>
  <c r="AI31" i="1" s="1"/>
  <c r="DH26" i="2"/>
  <c r="AH29" i="1" s="1"/>
  <c r="AH31" i="1" s="1"/>
  <c r="DG26" i="2"/>
  <c r="AG29" i="1"/>
  <c r="AG31" i="1" s="1"/>
  <c r="DF26" i="2"/>
  <c r="AF29" i="1" s="1"/>
  <c r="DE26" i="2"/>
  <c r="AE29" i="1"/>
  <c r="AE31" i="1" s="1"/>
  <c r="DD26" i="2"/>
  <c r="AD29" i="1" s="1"/>
  <c r="AD31" i="1" s="1"/>
  <c r="DC26" i="2"/>
  <c r="AC29" i="1"/>
  <c r="AC31" i="1" s="1"/>
  <c r="DZ25" i="2"/>
  <c r="CO25" i="2"/>
  <c r="CY25" i="2"/>
  <c r="CX25" i="2"/>
  <c r="CW25" i="2"/>
  <c r="CV25" i="2"/>
  <c r="CU25" i="2"/>
  <c r="CT25" i="2"/>
  <c r="CS25" i="2"/>
  <c r="CR25" i="2"/>
  <c r="CQ25" i="2"/>
  <c r="CP25" i="2"/>
  <c r="DZ24" i="2"/>
  <c r="CN24" i="2"/>
  <c r="CY24" i="2"/>
  <c r="CX24" i="2"/>
  <c r="CW24" i="2"/>
  <c r="CV24" i="2"/>
  <c r="CU24" i="2"/>
  <c r="CT24" i="2"/>
  <c r="CS24" i="2"/>
  <c r="CR24" i="2"/>
  <c r="CQ24" i="2"/>
  <c r="CP24" i="2"/>
  <c r="DN26" i="2"/>
  <c r="CY23" i="2"/>
  <c r="CX23" i="2"/>
  <c r="CW23" i="2"/>
  <c r="CV23" i="2"/>
  <c r="CU23" i="2"/>
  <c r="CT23" i="2"/>
  <c r="CS23" i="2"/>
  <c r="CR23" i="2"/>
  <c r="CQ23" i="2"/>
  <c r="CP23" i="2"/>
  <c r="DY20" i="2"/>
  <c r="DX20" i="2"/>
  <c r="DW20" i="2"/>
  <c r="DV20" i="2"/>
  <c r="DU20" i="2"/>
  <c r="DT20" i="2"/>
  <c r="DS20" i="2"/>
  <c r="DR20" i="2"/>
  <c r="DQ20" i="2"/>
  <c r="DP20" i="2"/>
  <c r="DL20" i="2"/>
  <c r="AL30" i="1" s="1"/>
  <c r="AL32" i="1" s="1"/>
  <c r="DK20" i="2"/>
  <c r="AK30" i="1" s="1"/>
  <c r="AK32" i="1" s="1"/>
  <c r="DJ20" i="2"/>
  <c r="AJ30" i="1" s="1"/>
  <c r="AJ32" i="1" s="1"/>
  <c r="DI20" i="2"/>
  <c r="AI30" i="1"/>
  <c r="AI32" i="1" s="1"/>
  <c r="DH20" i="2"/>
  <c r="AH30" i="1"/>
  <c r="DG20" i="2"/>
  <c r="AG30" i="1"/>
  <c r="AG32" i="1" s="1"/>
  <c r="DF20" i="2"/>
  <c r="AF30" i="1"/>
  <c r="AF32" i="1" s="1"/>
  <c r="DE20" i="2"/>
  <c r="AE30" i="1"/>
  <c r="DD20" i="2"/>
  <c r="AD30" i="1"/>
  <c r="AD32" i="1" s="1"/>
  <c r="DC20" i="2"/>
  <c r="AC30" i="1"/>
  <c r="CY19" i="2"/>
  <c r="CX19" i="2"/>
  <c r="CW19" i="2"/>
  <c r="CV19" i="2"/>
  <c r="CU19" i="2"/>
  <c r="CT19" i="2"/>
  <c r="CS19" i="2"/>
  <c r="CR19" i="2"/>
  <c r="CQ19" i="2"/>
  <c r="CP19" i="2"/>
  <c r="DZ18" i="2"/>
  <c r="CY18" i="2"/>
  <c r="CX18" i="2"/>
  <c r="CW18" i="2"/>
  <c r="CV18" i="2"/>
  <c r="CU18" i="2"/>
  <c r="CT18" i="2"/>
  <c r="CS18" i="2"/>
  <c r="CR18" i="2"/>
  <c r="CQ18" i="2"/>
  <c r="CP18" i="2"/>
  <c r="DO20" i="2"/>
  <c r="CY17" i="2"/>
  <c r="CX17" i="2"/>
  <c r="CW17" i="2"/>
  <c r="CV17" i="2"/>
  <c r="CU17" i="2"/>
  <c r="CT17" i="2"/>
  <c r="CS17" i="2"/>
  <c r="CR17" i="2"/>
  <c r="CQ17" i="2"/>
  <c r="CP17" i="2"/>
  <c r="AB62" i="1"/>
  <c r="AB64" i="1" s="1"/>
  <c r="AA61" i="1"/>
  <c r="CW20" i="2"/>
  <c r="AJ26" i="1" s="1"/>
  <c r="AJ28" i="1" s="1"/>
  <c r="CX26" i="2"/>
  <c r="AK25" i="1" s="1"/>
  <c r="AK27" i="1" s="1"/>
  <c r="CY20" i="2"/>
  <c r="AL26" i="1" s="1"/>
  <c r="AL28" i="1" s="1"/>
  <c r="CV26" i="2"/>
  <c r="AI25" i="1"/>
  <c r="AI27" i="1" s="1"/>
  <c r="CU20" i="2"/>
  <c r="AH26" i="1"/>
  <c r="AH28" i="1" s="1"/>
  <c r="CT26" i="2"/>
  <c r="AG25" i="1"/>
  <c r="AG27" i="1" s="1"/>
  <c r="CS20" i="2"/>
  <c r="AF26" i="1"/>
  <c r="CR26" i="2"/>
  <c r="AE25" i="1"/>
  <c r="AE27" i="1" s="1"/>
  <c r="CQ20" i="2"/>
  <c r="AD26" i="1"/>
  <c r="AD28" i="1" s="1"/>
  <c r="CP26" i="2"/>
  <c r="AC25" i="1"/>
  <c r="AC27" i="1" s="1"/>
  <c r="CN52" i="2"/>
  <c r="CO39" i="2"/>
  <c r="AB41" i="1" s="1"/>
  <c r="CO33" i="2"/>
  <c r="DM36" i="2"/>
  <c r="DA39" i="2"/>
  <c r="CN36" i="2"/>
  <c r="CN19" i="2"/>
  <c r="EM19" i="2"/>
  <c r="EA20" i="2"/>
  <c r="EM20" i="2" s="1"/>
  <c r="EM23" i="2"/>
  <c r="EA26" i="2"/>
  <c r="EM24" i="2"/>
  <c r="CR20" i="2"/>
  <c r="AE26" i="1" s="1"/>
  <c r="CV20" i="2"/>
  <c r="AI26" i="1" s="1"/>
  <c r="AI28" i="1" s="1"/>
  <c r="CQ26" i="2"/>
  <c r="AD25" i="1" s="1"/>
  <c r="AD27" i="1" s="1"/>
  <c r="CU26" i="2"/>
  <c r="AH25" i="1" s="1"/>
  <c r="AH27" i="1" s="1"/>
  <c r="CY26" i="2"/>
  <c r="AL25" i="1" s="1"/>
  <c r="AL27" i="1" s="1"/>
  <c r="CP20" i="2"/>
  <c r="AC26" i="1"/>
  <c r="AC28" i="1" s="1"/>
  <c r="CT20" i="2"/>
  <c r="AG26" i="1"/>
  <c r="AG28" i="1" s="1"/>
  <c r="CX20" i="2"/>
  <c r="AK26" i="1" s="1"/>
  <c r="AK28" i="1" s="1"/>
  <c r="CS26" i="2"/>
  <c r="AF25" i="1" s="1"/>
  <c r="AF27" i="1" s="1"/>
  <c r="CW26" i="2"/>
  <c r="AJ25" i="1" s="1"/>
  <c r="AJ27" i="1" s="1"/>
  <c r="DM25" i="2"/>
  <c r="DA20" i="2"/>
  <c r="AA30" i="1" s="1"/>
  <c r="AA32" i="1" s="1"/>
  <c r="DM18" i="2"/>
  <c r="DM24" i="2"/>
  <c r="CN18" i="2"/>
  <c r="DZ20" i="2"/>
  <c r="CO19" i="2"/>
  <c r="DM19" i="2"/>
  <c r="DZ17" i="2"/>
  <c r="CN23" i="2"/>
  <c r="CO24" i="2"/>
  <c r="CZ24" i="2" s="1"/>
  <c r="CN25" i="2"/>
  <c r="CZ25" i="2" s="1"/>
  <c r="DO26" i="2"/>
  <c r="DZ26" i="2" s="1"/>
  <c r="CN17" i="2"/>
  <c r="CN20" i="2" s="1"/>
  <c r="DA26" i="2"/>
  <c r="AA29" i="1"/>
  <c r="AB42" i="1"/>
  <c r="AB44" i="1" s="1"/>
  <c r="AA45" i="1"/>
  <c r="AA57" i="1"/>
  <c r="CN39" i="2"/>
  <c r="CZ19" i="2"/>
  <c r="DB20" i="2"/>
  <c r="DM17" i="2"/>
  <c r="CO17" i="2"/>
  <c r="DB26" i="2"/>
  <c r="DM26" i="2" s="1"/>
  <c r="CO23" i="2"/>
  <c r="CO26" i="2" s="1"/>
  <c r="DM23" i="2"/>
  <c r="CN26" i="2"/>
  <c r="AA25" i="1"/>
  <c r="AB29" i="1"/>
  <c r="AA41" i="1"/>
  <c r="DM20" i="2"/>
  <c r="AB30" i="1"/>
  <c r="AB32" i="1" s="1"/>
  <c r="CZ17" i="2"/>
  <c r="CZ23" i="2"/>
  <c r="EB12" i="2"/>
  <c r="DB12" i="2" s="1"/>
  <c r="EL13" i="2"/>
  <c r="EK13" i="2"/>
  <c r="EJ13" i="2"/>
  <c r="EI13" i="2"/>
  <c r="EH13" i="2"/>
  <c r="EG13" i="2"/>
  <c r="EF13" i="2"/>
  <c r="EE13" i="2"/>
  <c r="ED13" i="2"/>
  <c r="EC13" i="2"/>
  <c r="DY13" i="2"/>
  <c r="DX13" i="2"/>
  <c r="DW13" i="2"/>
  <c r="DV13" i="2"/>
  <c r="DU13" i="2"/>
  <c r="DT13" i="2"/>
  <c r="DS13" i="2"/>
  <c r="DR13" i="2"/>
  <c r="DQ13" i="2"/>
  <c r="DP13" i="2"/>
  <c r="DL13" i="2"/>
  <c r="AL13" i="1" s="1"/>
  <c r="DK13" i="2"/>
  <c r="AK13" i="1"/>
  <c r="AK15" i="1" s="1"/>
  <c r="DJ13" i="2"/>
  <c r="AJ13" i="1" s="1"/>
  <c r="AJ15" i="1" s="1"/>
  <c r="DI13" i="2"/>
  <c r="AI13" i="1" s="1"/>
  <c r="AI15" i="1" s="1"/>
  <c r="DH13" i="2"/>
  <c r="AH13" i="1" s="1"/>
  <c r="AH15" i="1" s="1"/>
  <c r="DG13" i="2"/>
  <c r="AG13" i="1" s="1"/>
  <c r="AG15" i="1" s="1"/>
  <c r="DF13" i="2"/>
  <c r="AF13" i="1" s="1"/>
  <c r="AF15" i="1" s="1"/>
  <c r="DE13" i="2"/>
  <c r="AE13" i="1" s="1"/>
  <c r="AE15" i="1" s="1"/>
  <c r="DD13" i="2"/>
  <c r="AD13" i="1" s="1"/>
  <c r="AD15" i="1" s="1"/>
  <c r="DC13" i="2"/>
  <c r="AC13" i="1" s="1"/>
  <c r="AC15" i="1" s="1"/>
  <c r="EB13" i="2"/>
  <c r="EA12" i="2"/>
  <c r="EA13" i="2"/>
  <c r="CY12" i="2"/>
  <c r="CY77" i="2"/>
  <c r="CX12" i="2"/>
  <c r="CX77" i="2"/>
  <c r="CW12" i="2"/>
  <c r="CV12" i="2"/>
  <c r="CV77" i="2"/>
  <c r="CU12" i="2"/>
  <c r="CU77" i="2"/>
  <c r="CT12" i="2"/>
  <c r="CS12" i="2"/>
  <c r="CS77" i="2"/>
  <c r="CR12" i="2"/>
  <c r="CR77" i="2"/>
  <c r="CQ12" i="2"/>
  <c r="CQ77" i="2"/>
  <c r="CP12" i="2"/>
  <c r="EM11" i="2"/>
  <c r="DZ11" i="2"/>
  <c r="DB11" i="2"/>
  <c r="DA11" i="2"/>
  <c r="CY11" i="2"/>
  <c r="CY76" i="2"/>
  <c r="CX11" i="2"/>
  <c r="CX76" i="2"/>
  <c r="CW11" i="2"/>
  <c r="CW76" i="2"/>
  <c r="CV11" i="2"/>
  <c r="CV76" i="2"/>
  <c r="CU11" i="2"/>
  <c r="CU76" i="2"/>
  <c r="CT11" i="2"/>
  <c r="CT76" i="2"/>
  <c r="CS11" i="2"/>
  <c r="CR11" i="2"/>
  <c r="CR76" i="2"/>
  <c r="CQ11" i="2"/>
  <c r="CQ76" i="2"/>
  <c r="CP11" i="2"/>
  <c r="CP76" i="2"/>
  <c r="CO11" i="2"/>
  <c r="EM10" i="2"/>
  <c r="DO10" i="2"/>
  <c r="DO13" i="2" s="1"/>
  <c r="DZ13" i="2" s="1"/>
  <c r="DN10" i="2"/>
  <c r="DA10" i="2" s="1"/>
  <c r="CY10" i="2"/>
  <c r="CX10" i="2"/>
  <c r="CW10" i="2"/>
  <c r="CV10" i="2"/>
  <c r="CU10" i="2"/>
  <c r="CT10" i="2"/>
  <c r="CS10" i="2"/>
  <c r="CR10" i="2"/>
  <c r="CQ10" i="2"/>
  <c r="CP10" i="2"/>
  <c r="DB5" i="2"/>
  <c r="DA5" i="2"/>
  <c r="CN5" i="2"/>
  <c r="CN70" i="2" s="1"/>
  <c r="CY6" i="2"/>
  <c r="CY71" i="2" s="1"/>
  <c r="CX6" i="2"/>
  <c r="CX71" i="2" s="1"/>
  <c r="CW6" i="2"/>
  <c r="CW71" i="2" s="1"/>
  <c r="CV6" i="2"/>
  <c r="CV71" i="2" s="1"/>
  <c r="CU6" i="2"/>
  <c r="CU71" i="2" s="1"/>
  <c r="CT6" i="2"/>
  <c r="CS6" i="2"/>
  <c r="CS71" i="2" s="1"/>
  <c r="CR6" i="2"/>
  <c r="CR71" i="2" s="1"/>
  <c r="CQ6" i="2"/>
  <c r="CQ71" i="2" s="1"/>
  <c r="CP6" i="2"/>
  <c r="CP71" i="2" s="1"/>
  <c r="CY5" i="2"/>
  <c r="CY70" i="2" s="1"/>
  <c r="CX5" i="2"/>
  <c r="CX70" i="2" s="1"/>
  <c r="CW5" i="2"/>
  <c r="CW70" i="2" s="1"/>
  <c r="CV5" i="2"/>
  <c r="CV70" i="2" s="1"/>
  <c r="CU5" i="2"/>
  <c r="CU70" i="2" s="1"/>
  <c r="CU72" i="2" s="1"/>
  <c r="CT5" i="2"/>
  <c r="CT70" i="2" s="1"/>
  <c r="CS5" i="2"/>
  <c r="CR5" i="2"/>
  <c r="CR70" i="2" s="1"/>
  <c r="CR72" i="2" s="1"/>
  <c r="CQ5" i="2"/>
  <c r="CQ70" i="2" s="1"/>
  <c r="CQ72" i="2" s="1"/>
  <c r="CP5" i="2"/>
  <c r="CO5" i="2"/>
  <c r="CY4" i="2"/>
  <c r="CY69" i="2" s="1"/>
  <c r="CY72" i="2" s="1"/>
  <c r="CX4" i="2"/>
  <c r="CW4" i="2"/>
  <c r="CV4" i="2"/>
  <c r="CU4" i="2"/>
  <c r="CU69" i="2"/>
  <c r="CT4" i="2"/>
  <c r="CT69" i="2"/>
  <c r="CS4" i="2"/>
  <c r="CS69" i="2"/>
  <c r="CR4" i="2"/>
  <c r="CR69" i="2"/>
  <c r="CQ4" i="2"/>
  <c r="CQ69" i="2"/>
  <c r="CP4" i="2"/>
  <c r="CX13" i="2"/>
  <c r="AK9" i="1"/>
  <c r="AK11" i="1" s="1"/>
  <c r="DM11" i="2"/>
  <c r="CW13" i="2"/>
  <c r="AJ9" i="1" s="1"/>
  <c r="AJ11" i="1" s="1"/>
  <c r="CY13" i="2"/>
  <c r="AL9" i="1" s="1"/>
  <c r="CY75" i="2"/>
  <c r="CY78" i="2"/>
  <c r="EM12" i="2"/>
  <c r="DA12" i="2"/>
  <c r="DB10" i="2"/>
  <c r="CV13" i="2"/>
  <c r="AI9" i="1"/>
  <c r="AI11" i="1" s="1"/>
  <c r="CU13" i="2"/>
  <c r="AH9" i="1"/>
  <c r="AH11" i="1" s="1"/>
  <c r="CT13" i="2"/>
  <c r="AG9" i="1" s="1"/>
  <c r="AG11" i="1" s="1"/>
  <c r="EM13" i="2"/>
  <c r="CS13" i="2"/>
  <c r="AF9" i="1" s="1"/>
  <c r="AF11" i="1" s="1"/>
  <c r="CS75" i="2"/>
  <c r="CR13" i="2"/>
  <c r="AE9" i="1"/>
  <c r="AE11" i="1" s="1"/>
  <c r="CQ13" i="2"/>
  <c r="AD9" i="1"/>
  <c r="AD11" i="1" s="1"/>
  <c r="CP13" i="2"/>
  <c r="AC9" i="1"/>
  <c r="AC11" i="1" s="1"/>
  <c r="CP75" i="2"/>
  <c r="CN11" i="2"/>
  <c r="CZ11" i="2" s="1"/>
  <c r="DZ10" i="2"/>
  <c r="CN76" i="2"/>
  <c r="DZ12" i="2"/>
  <c r="CO10" i="2"/>
  <c r="DN13" i="2"/>
  <c r="EB6" i="2"/>
  <c r="DO6" i="2" s="1"/>
  <c r="EA6" i="2"/>
  <c r="DN6" i="2" s="1"/>
  <c r="CN12" i="2"/>
  <c r="CN77" i="2" s="1"/>
  <c r="DO4" i="2"/>
  <c r="DB4" i="2"/>
  <c r="CO4" i="2" s="1"/>
  <c r="DN4" i="2"/>
  <c r="DA4" i="2"/>
  <c r="CN4" i="2" s="1"/>
  <c r="CY7" i="2"/>
  <c r="AL10" i="1" s="1"/>
  <c r="AL12" i="1" s="1"/>
  <c r="CU7" i="2"/>
  <c r="AH10" i="1" s="1"/>
  <c r="AH12" i="1" s="1"/>
  <c r="CS7" i="2"/>
  <c r="AF10" i="1" s="1"/>
  <c r="AF12" i="1" s="1"/>
  <c r="CQ7" i="2"/>
  <c r="AD10" i="1" s="1"/>
  <c r="AD12" i="1" s="1"/>
  <c r="EL7" i="2"/>
  <c r="EK7" i="2"/>
  <c r="EJ7" i="2"/>
  <c r="EI7" i="2"/>
  <c r="EH7" i="2"/>
  <c r="EG7" i="2"/>
  <c r="EF7" i="2"/>
  <c r="EE7" i="2"/>
  <c r="ED7" i="2"/>
  <c r="EC7" i="2"/>
  <c r="EB7" i="2"/>
  <c r="EA7" i="2"/>
  <c r="EM6" i="2"/>
  <c r="EM5" i="2"/>
  <c r="EM4" i="2"/>
  <c r="DY7" i="2"/>
  <c r="DX7" i="2"/>
  <c r="DW7" i="2"/>
  <c r="DV7" i="2"/>
  <c r="DU7" i="2"/>
  <c r="DT7" i="2"/>
  <c r="DS7" i="2"/>
  <c r="DR7" i="2"/>
  <c r="DQ7" i="2"/>
  <c r="DP7" i="2"/>
  <c r="DZ5" i="2"/>
  <c r="DZ4" i="2"/>
  <c r="DL7" i="2"/>
  <c r="AL14" i="1" s="1"/>
  <c r="AL16" i="1" s="1"/>
  <c r="DK7" i="2"/>
  <c r="AK14" i="1" s="1"/>
  <c r="AK16" i="1" s="1"/>
  <c r="DJ7" i="2"/>
  <c r="AJ14" i="1"/>
  <c r="AJ16" i="1" s="1"/>
  <c r="DI7" i="2"/>
  <c r="AI14" i="1"/>
  <c r="AI16" i="1" s="1"/>
  <c r="DH7" i="2"/>
  <c r="AH14" i="1"/>
  <c r="AH16" i="1" s="1"/>
  <c r="DG7" i="2"/>
  <c r="AG14" i="1"/>
  <c r="AG16" i="1" s="1"/>
  <c r="DF7" i="2"/>
  <c r="AF14" i="1"/>
  <c r="AF16" i="1" s="1"/>
  <c r="DE7" i="2"/>
  <c r="AE14" i="1"/>
  <c r="AE16" i="1" s="1"/>
  <c r="DD7" i="2"/>
  <c r="AD14" i="1"/>
  <c r="AD16" i="1" s="1"/>
  <c r="DC7" i="2"/>
  <c r="AC14" i="1"/>
  <c r="AC16" i="1" s="1"/>
  <c r="DM5" i="2"/>
  <c r="DM4" i="2"/>
  <c r="CX7" i="2"/>
  <c r="AK10" i="1" s="1"/>
  <c r="AK12" i="1" s="1"/>
  <c r="CV7" i="2"/>
  <c r="AI10" i="1"/>
  <c r="AI12" i="1" s="1"/>
  <c r="CT7" i="2"/>
  <c r="AG10" i="1"/>
  <c r="AG12" i="1" s="1"/>
  <c r="CR7" i="2"/>
  <c r="AE10" i="1"/>
  <c r="AE12" i="1" s="1"/>
  <c r="AB6" i="1"/>
  <c r="AA6" i="1"/>
  <c r="AB4" i="1"/>
  <c r="AA4" i="1"/>
  <c r="CP7" i="2"/>
  <c r="AC10" i="1" s="1"/>
  <c r="AC12" i="1" s="1"/>
  <c r="EM7" i="2"/>
  <c r="CZ5" i="2"/>
  <c r="O44" i="3"/>
  <c r="AB53" i="1"/>
  <c r="N44" i="3"/>
  <c r="AA53" i="1" s="1"/>
  <c r="O35" i="3"/>
  <c r="AB37" i="1" s="1"/>
  <c r="N35" i="3"/>
  <c r="V28" i="3" s="1"/>
  <c r="W28" i="3" s="1"/>
  <c r="O26" i="3"/>
  <c r="AB21" i="1"/>
  <c r="N26" i="3"/>
  <c r="AA21" i="1" s="1"/>
  <c r="O17" i="3"/>
  <c r="AB5" i="1" s="1"/>
  <c r="N17" i="3"/>
  <c r="O43" i="3"/>
  <c r="O52" i="3" s="1"/>
  <c r="N43" i="3"/>
  <c r="O34" i="3"/>
  <c r="S28" i="3" s="1"/>
  <c r="T28" i="3" s="1"/>
  <c r="N34" i="3"/>
  <c r="AA5" i="1"/>
  <c r="O25" i="3"/>
  <c r="N25" i="3"/>
  <c r="O16" i="3"/>
  <c r="N16" i="3"/>
  <c r="N57" i="3"/>
  <c r="O50" i="3"/>
  <c r="O49" i="3"/>
  <c r="R46" i="3" s="1"/>
  <c r="O48" i="3"/>
  <c r="O53" i="3"/>
  <c r="O60" i="3" s="1"/>
  <c r="N50" i="3"/>
  <c r="N49" i="3"/>
  <c r="N48" i="3"/>
  <c r="V19" i="3"/>
  <c r="W19" i="3" s="1"/>
  <c r="N52" i="3"/>
  <c r="O57" i="3"/>
  <c r="AM18" i="1"/>
  <c r="AM34" i="1" s="1"/>
  <c r="AM50" i="1" s="1"/>
  <c r="AM66" i="1" s="1"/>
  <c r="O59" i="3"/>
  <c r="O27" i="3" s="1"/>
  <c r="AB19" i="1" s="1"/>
  <c r="N62" i="2"/>
  <c r="N56" i="2"/>
  <c r="N58" i="2"/>
  <c r="AR51" i="2"/>
  <c r="AC51" i="2" s="1"/>
  <c r="AR50" i="2"/>
  <c r="AC50" i="2" s="1"/>
  <c r="AR45" i="2"/>
  <c r="AC45" i="2" s="1"/>
  <c r="N45" i="2" s="1"/>
  <c r="AR44" i="2"/>
  <c r="AC44" i="2"/>
  <c r="N44" i="2" s="1"/>
  <c r="AC43" i="2"/>
  <c r="N43" i="2" s="1"/>
  <c r="AR38" i="2"/>
  <c r="AC38" i="2" s="1"/>
  <c r="AR37" i="2"/>
  <c r="AC37" i="2" s="1"/>
  <c r="AC36" i="2"/>
  <c r="AR32" i="2"/>
  <c r="AC32" i="2"/>
  <c r="N32" i="2" s="1"/>
  <c r="AC31" i="2"/>
  <c r="N31" i="2" s="1"/>
  <c r="AC30" i="2"/>
  <c r="N30" i="2" s="1"/>
  <c r="AB31" i="2"/>
  <c r="BG25" i="2"/>
  <c r="BG24" i="2"/>
  <c r="BG23" i="2"/>
  <c r="AR25" i="2"/>
  <c r="AC25" i="2" s="1"/>
  <c r="AR24" i="2"/>
  <c r="AC24" i="2" s="1"/>
  <c r="AR23" i="2"/>
  <c r="AC23" i="2" s="1"/>
  <c r="AC18" i="2"/>
  <c r="N18" i="2" s="1"/>
  <c r="BG19" i="2"/>
  <c r="BG17" i="2"/>
  <c r="AR19" i="2"/>
  <c r="AR17" i="2"/>
  <c r="AC17" i="2"/>
  <c r="N17" i="2" s="1"/>
  <c r="AC19" i="2"/>
  <c r="N19" i="2" s="1"/>
  <c r="CK12" i="2"/>
  <c r="CK11" i="2"/>
  <c r="CK10" i="2"/>
  <c r="BV12" i="2"/>
  <c r="BV11" i="2"/>
  <c r="BV10" i="2"/>
  <c r="BG12" i="2"/>
  <c r="AC12" i="2" s="1"/>
  <c r="AR12" i="2"/>
  <c r="AR11" i="2"/>
  <c r="AC11" i="2" s="1"/>
  <c r="AR10" i="2"/>
  <c r="AC10" i="2" s="1"/>
  <c r="CK6" i="2"/>
  <c r="CK5" i="2"/>
  <c r="CK4" i="2"/>
  <c r="BV6" i="2"/>
  <c r="BV5" i="2"/>
  <c r="BV4" i="2"/>
  <c r="BG6" i="2"/>
  <c r="AR6" i="2"/>
  <c r="AC6" i="2" s="1"/>
  <c r="N6" i="2" s="1"/>
  <c r="AR5" i="2"/>
  <c r="AC5" i="2"/>
  <c r="AR4" i="2"/>
  <c r="AC4" i="2"/>
  <c r="N4" i="2" s="1"/>
  <c r="N5" i="2"/>
  <c r="Y54" i="1"/>
  <c r="Y52" i="1"/>
  <c r="Y38" i="1"/>
  <c r="Y36" i="1"/>
  <c r="Y22" i="1"/>
  <c r="Y20" i="1"/>
  <c r="Y6" i="1"/>
  <c r="Y4" i="1"/>
  <c r="M17" i="3"/>
  <c r="M16" i="3"/>
  <c r="P10" i="3" s="1"/>
  <c r="M44" i="3"/>
  <c r="M43" i="3"/>
  <c r="M35" i="3"/>
  <c r="Y37" i="1" s="1"/>
  <c r="M34" i="3"/>
  <c r="M26" i="3"/>
  <c r="Y21" i="1" s="1"/>
  <c r="M25" i="3"/>
  <c r="M57" i="3"/>
  <c r="M50" i="3"/>
  <c r="M49" i="3"/>
  <c r="M48" i="3"/>
  <c r="C47" i="1"/>
  <c r="G47" i="1"/>
  <c r="F47" i="1"/>
  <c r="X54" i="1"/>
  <c r="X52" i="1"/>
  <c r="X38" i="1"/>
  <c r="X36" i="1"/>
  <c r="X22" i="1"/>
  <c r="X20" i="1"/>
  <c r="X6" i="1"/>
  <c r="X4" i="1"/>
  <c r="M62" i="2"/>
  <c r="M56" i="2"/>
  <c r="M58" i="2"/>
  <c r="AQ51" i="2"/>
  <c r="AB51" i="2"/>
  <c r="AQ50" i="2"/>
  <c r="AB50" i="2"/>
  <c r="AQ45" i="2"/>
  <c r="AQ44" i="2"/>
  <c r="AB44" i="2" s="1"/>
  <c r="M44" i="2" s="1"/>
  <c r="AB45" i="2"/>
  <c r="M45" i="2"/>
  <c r="AB43" i="2"/>
  <c r="M43" i="2"/>
  <c r="AQ38" i="2"/>
  <c r="AB38" i="2"/>
  <c r="AQ37" i="2"/>
  <c r="AB37" i="2"/>
  <c r="AB36" i="2"/>
  <c r="AQ32" i="2"/>
  <c r="AB32" i="2" s="1"/>
  <c r="M32" i="2" s="1"/>
  <c r="M31" i="2"/>
  <c r="AB30" i="2"/>
  <c r="M30" i="2" s="1"/>
  <c r="BF25" i="2"/>
  <c r="BF24" i="2"/>
  <c r="BF23" i="2"/>
  <c r="AQ25" i="2"/>
  <c r="AB25" i="2"/>
  <c r="AQ24" i="2"/>
  <c r="AB24" i="2"/>
  <c r="AQ23" i="2"/>
  <c r="AB23" i="2"/>
  <c r="BF19" i="2"/>
  <c r="BF17" i="2"/>
  <c r="AQ19" i="2"/>
  <c r="AB19" i="2"/>
  <c r="M19" i="2" s="1"/>
  <c r="AB17" i="2"/>
  <c r="AB18" i="2"/>
  <c r="M18" i="2"/>
  <c r="CJ12" i="2"/>
  <c r="CJ11" i="2"/>
  <c r="CJ10" i="2"/>
  <c r="BU12" i="2"/>
  <c r="BU11" i="2"/>
  <c r="BU10" i="2"/>
  <c r="BF12" i="2"/>
  <c r="AQ12" i="2"/>
  <c r="AB12" i="2" s="1"/>
  <c r="AQ11" i="2"/>
  <c r="AQ10" i="2"/>
  <c r="AB10" i="2" s="1"/>
  <c r="AB11" i="2"/>
  <c r="CJ6" i="2"/>
  <c r="CJ5" i="2"/>
  <c r="CJ4" i="2"/>
  <c r="BU6" i="2"/>
  <c r="BU5" i="2"/>
  <c r="BU4" i="2"/>
  <c r="AQ6" i="2"/>
  <c r="AB6" i="2"/>
  <c r="M6" i="2" s="1"/>
  <c r="AQ5" i="2"/>
  <c r="AB5" i="2"/>
  <c r="M5" i="2" s="1"/>
  <c r="AQ4" i="2"/>
  <c r="AB4" i="2"/>
  <c r="M17" i="2"/>
  <c r="M4" i="2"/>
  <c r="L57" i="3"/>
  <c r="L50" i="3"/>
  <c r="L49" i="3"/>
  <c r="L48" i="3"/>
  <c r="L44" i="3"/>
  <c r="X53" i="1" s="1"/>
  <c r="L43" i="3"/>
  <c r="L35" i="3"/>
  <c r="O28" i="3" s="1"/>
  <c r="L34" i="3"/>
  <c r="L26" i="3"/>
  <c r="O19" i="3" s="1"/>
  <c r="L25" i="3"/>
  <c r="L17" i="3"/>
  <c r="L16" i="3"/>
  <c r="AA31" i="2"/>
  <c r="L62" i="2"/>
  <c r="L58" i="2"/>
  <c r="L56" i="2"/>
  <c r="AP51" i="2"/>
  <c r="AA51" i="2" s="1"/>
  <c r="AP50" i="2"/>
  <c r="AA50" i="2" s="1"/>
  <c r="AP45" i="2"/>
  <c r="AA45" i="2" s="1"/>
  <c r="L45" i="2" s="1"/>
  <c r="AP44" i="2"/>
  <c r="AA44" i="2"/>
  <c r="L44" i="2" s="1"/>
  <c r="AA43" i="2"/>
  <c r="L43" i="2" s="1"/>
  <c r="L69" i="2" s="1"/>
  <c r="AP38" i="2"/>
  <c r="AA38" i="2" s="1"/>
  <c r="AP37" i="2"/>
  <c r="AA37" i="2" s="1"/>
  <c r="AA36" i="2"/>
  <c r="AP32" i="2"/>
  <c r="L31" i="2"/>
  <c r="AA30" i="2"/>
  <c r="L30" i="2"/>
  <c r="BE25" i="2"/>
  <c r="BE24" i="2"/>
  <c r="BE23" i="2"/>
  <c r="AP25" i="2"/>
  <c r="AA25" i="2" s="1"/>
  <c r="AP24" i="2"/>
  <c r="AA24" i="2" s="1"/>
  <c r="AP23" i="2"/>
  <c r="AA23" i="2" s="1"/>
  <c r="BE19" i="2"/>
  <c r="BE17" i="2"/>
  <c r="AP19" i="2"/>
  <c r="AA19" i="2" s="1"/>
  <c r="L19" i="2" s="1"/>
  <c r="AA17" i="2"/>
  <c r="L17" i="2" s="1"/>
  <c r="AA18" i="2"/>
  <c r="L18" i="2"/>
  <c r="CI10" i="2"/>
  <c r="CI12" i="2"/>
  <c r="CI11" i="2"/>
  <c r="BT12" i="2"/>
  <c r="BT11" i="2"/>
  <c r="BT10" i="2"/>
  <c r="BE12" i="2"/>
  <c r="AP12" i="2"/>
  <c r="AP11" i="2"/>
  <c r="AP10" i="2"/>
  <c r="AA10" i="2" s="1"/>
  <c r="AA11" i="2"/>
  <c r="CI6" i="2"/>
  <c r="CI5" i="2"/>
  <c r="CI4" i="2"/>
  <c r="BT6" i="2"/>
  <c r="BT5" i="2"/>
  <c r="BT4" i="2"/>
  <c r="AP6" i="2"/>
  <c r="AA6" i="2"/>
  <c r="AP5" i="2"/>
  <c r="AA5" i="2"/>
  <c r="L5" i="2" s="1"/>
  <c r="AP4" i="2"/>
  <c r="AA4" i="2"/>
  <c r="L4" i="2" s="1"/>
  <c r="AA32" i="2"/>
  <c r="L32" i="2"/>
  <c r="AA12" i="2"/>
  <c r="L6" i="2"/>
  <c r="W54" i="1"/>
  <c r="W52" i="1"/>
  <c r="W38" i="1"/>
  <c r="W36" i="1"/>
  <c r="W22" i="1"/>
  <c r="W20" i="1"/>
  <c r="W6" i="1"/>
  <c r="W4" i="1"/>
  <c r="K50" i="3"/>
  <c r="K49" i="3"/>
  <c r="K48" i="3"/>
  <c r="K44" i="3"/>
  <c r="W53" i="1" s="1"/>
  <c r="K43" i="3"/>
  <c r="K35" i="3"/>
  <c r="W37" i="1" s="1"/>
  <c r="K34" i="3"/>
  <c r="P28" i="3" s="1"/>
  <c r="K26" i="3"/>
  <c r="W21" i="1" s="1"/>
  <c r="K25" i="3"/>
  <c r="K17" i="3"/>
  <c r="W5" i="1" s="1"/>
  <c r="K16" i="3"/>
  <c r="K57" i="3"/>
  <c r="N19" i="3"/>
  <c r="K62" i="2"/>
  <c r="K56" i="2"/>
  <c r="AO6" i="2"/>
  <c r="Z6" i="2" s="1"/>
  <c r="K6" i="2" s="1"/>
  <c r="AO5" i="2"/>
  <c r="Z5" i="2" s="1"/>
  <c r="K5" i="2" s="1"/>
  <c r="AO4" i="2"/>
  <c r="Z4" i="2"/>
  <c r="K58" i="2"/>
  <c r="AO51" i="2"/>
  <c r="Z51" i="2" s="1"/>
  <c r="AO50" i="2"/>
  <c r="Z50" i="2" s="1"/>
  <c r="AO45" i="2"/>
  <c r="Z45" i="2" s="1"/>
  <c r="K45" i="2" s="1"/>
  <c r="AO44" i="2"/>
  <c r="Z44" i="2"/>
  <c r="K44" i="2" s="1"/>
  <c r="Z43" i="2"/>
  <c r="K43" i="2" s="1"/>
  <c r="AO38" i="2"/>
  <c r="Z38" i="2" s="1"/>
  <c r="AO37" i="2"/>
  <c r="Z37" i="2" s="1"/>
  <c r="Z36" i="2"/>
  <c r="AO32" i="2"/>
  <c r="Z32" i="2"/>
  <c r="K32" i="2" s="1"/>
  <c r="Z31" i="2"/>
  <c r="K31" i="2" s="1"/>
  <c r="Z30" i="2"/>
  <c r="K30" i="2" s="1"/>
  <c r="BD25" i="2"/>
  <c r="BD24" i="2"/>
  <c r="BD23" i="2"/>
  <c r="AO25" i="2"/>
  <c r="Z25" i="2"/>
  <c r="AO24" i="2"/>
  <c r="AO23" i="2"/>
  <c r="Z23" i="2" s="1"/>
  <c r="Z24" i="2"/>
  <c r="BD19" i="2"/>
  <c r="BD17" i="2"/>
  <c r="AO19" i="2"/>
  <c r="Z19" i="2"/>
  <c r="K19" i="2" s="1"/>
  <c r="Z18" i="2"/>
  <c r="K18" i="2"/>
  <c r="Z17" i="2"/>
  <c r="BS6" i="2"/>
  <c r="BS4" i="2"/>
  <c r="BS5" i="2"/>
  <c r="CH6" i="2"/>
  <c r="CH5" i="2"/>
  <c r="CH4" i="2"/>
  <c r="CH12" i="2"/>
  <c r="CH11" i="2"/>
  <c r="CH10" i="2"/>
  <c r="BS12" i="2"/>
  <c r="BS11" i="2"/>
  <c r="BS10" i="2"/>
  <c r="BD12" i="2"/>
  <c r="K4" i="2"/>
  <c r="K17" i="2"/>
  <c r="AO12" i="2"/>
  <c r="Z12" i="2" s="1"/>
  <c r="AO11" i="2"/>
  <c r="Z11" i="2" s="1"/>
  <c r="AO10" i="2"/>
  <c r="Z10" i="2"/>
  <c r="V54" i="1"/>
  <c r="V52" i="1"/>
  <c r="V38" i="1"/>
  <c r="V36" i="1"/>
  <c r="V22" i="1"/>
  <c r="V20" i="1"/>
  <c r="V6" i="1"/>
  <c r="V4" i="1"/>
  <c r="J57" i="3"/>
  <c r="I57" i="3"/>
  <c r="J44" i="3"/>
  <c r="V53" i="1" s="1"/>
  <c r="J43" i="3"/>
  <c r="J35" i="3"/>
  <c r="J34" i="3"/>
  <c r="J26" i="3"/>
  <c r="V21" i="1" s="1"/>
  <c r="J25" i="3"/>
  <c r="J17" i="3"/>
  <c r="V5" i="1" s="1"/>
  <c r="J16" i="3"/>
  <c r="O10" i="3" s="1"/>
  <c r="J50" i="3"/>
  <c r="J49" i="3"/>
  <c r="J48" i="3"/>
  <c r="U4" i="1"/>
  <c r="M7" i="3"/>
  <c r="AN19" i="2"/>
  <c r="AN6" i="2"/>
  <c r="AN5" i="2"/>
  <c r="Y5" i="2" s="1"/>
  <c r="J5" i="2" s="1"/>
  <c r="AN4" i="2"/>
  <c r="J58" i="2"/>
  <c r="J56" i="2"/>
  <c r="AN45" i="2"/>
  <c r="Y45" i="2" s="1"/>
  <c r="J45" i="2" s="1"/>
  <c r="J71" i="2" s="1"/>
  <c r="AN44" i="2"/>
  <c r="Y43" i="2"/>
  <c r="J43" i="2" s="1"/>
  <c r="J69" i="2" s="1"/>
  <c r="Y44" i="2"/>
  <c r="J44" i="2" s="1"/>
  <c r="Y31" i="2"/>
  <c r="J31" i="2" s="1"/>
  <c r="Y30" i="2"/>
  <c r="J30" i="2"/>
  <c r="BC19" i="2"/>
  <c r="BC17" i="2"/>
  <c r="Y19" i="2"/>
  <c r="J19" i="2" s="1"/>
  <c r="Y18" i="2"/>
  <c r="J18" i="2" s="1"/>
  <c r="Y17" i="2"/>
  <c r="CG6" i="2"/>
  <c r="CG5" i="2"/>
  <c r="CG4" i="2"/>
  <c r="BR6" i="2"/>
  <c r="BR5" i="2"/>
  <c r="BR4" i="2"/>
  <c r="Y6" i="2"/>
  <c r="J6" i="2"/>
  <c r="Y4" i="2"/>
  <c r="AN32" i="2"/>
  <c r="Y32" i="2"/>
  <c r="J32" i="2" s="1"/>
  <c r="J4" i="2"/>
  <c r="J17" i="2"/>
  <c r="U54" i="1"/>
  <c r="U52" i="1"/>
  <c r="U38" i="1"/>
  <c r="U36" i="1"/>
  <c r="U22" i="1"/>
  <c r="U20" i="1"/>
  <c r="U6" i="1"/>
  <c r="J62" i="2"/>
  <c r="AN51" i="2"/>
  <c r="Y51" i="2"/>
  <c r="AN50" i="2"/>
  <c r="Y50" i="2"/>
  <c r="Y36" i="2"/>
  <c r="AN38" i="2"/>
  <c r="Y38" i="2"/>
  <c r="AN37" i="2"/>
  <c r="Y37" i="2" s="1"/>
  <c r="Y24" i="2"/>
  <c r="BC25" i="2"/>
  <c r="BC24" i="2"/>
  <c r="BC23" i="2"/>
  <c r="AN25" i="2"/>
  <c r="Y25" i="2"/>
  <c r="AN24" i="2"/>
  <c r="AN23" i="2"/>
  <c r="Y23" i="2" s="1"/>
  <c r="CG12" i="2"/>
  <c r="CG11" i="2"/>
  <c r="CG10" i="2"/>
  <c r="BR12" i="2"/>
  <c r="BR11" i="2"/>
  <c r="BR10" i="2"/>
  <c r="BC12" i="2"/>
  <c r="AN12" i="2"/>
  <c r="Y12" i="2" s="1"/>
  <c r="AN11" i="2"/>
  <c r="Y11" i="2" s="1"/>
  <c r="AN10" i="2"/>
  <c r="Y10" i="2" s="1"/>
  <c r="I50" i="3"/>
  <c r="I49" i="3"/>
  <c r="I48" i="3"/>
  <c r="I44" i="3"/>
  <c r="U53" i="1" s="1"/>
  <c r="I35" i="3"/>
  <c r="U37" i="1" s="1"/>
  <c r="I26" i="3"/>
  <c r="U21" i="1" s="1"/>
  <c r="I17" i="3"/>
  <c r="U5" i="1" s="1"/>
  <c r="I43" i="3"/>
  <c r="L9" i="3" s="1"/>
  <c r="I34" i="3"/>
  <c r="I25" i="3"/>
  <c r="I16" i="3"/>
  <c r="T1" i="1"/>
  <c r="S1" i="1"/>
  <c r="R1" i="1"/>
  <c r="T54" i="1"/>
  <c r="T52" i="1"/>
  <c r="T38" i="1"/>
  <c r="T36" i="1"/>
  <c r="T22" i="1"/>
  <c r="T20" i="1"/>
  <c r="T6" i="1"/>
  <c r="T4" i="1"/>
  <c r="I62" i="2"/>
  <c r="I56" i="2"/>
  <c r="I58" i="2"/>
  <c r="X36" i="2"/>
  <c r="AM51" i="2"/>
  <c r="X51" i="2" s="1"/>
  <c r="AM50" i="2"/>
  <c r="X50" i="2" s="1"/>
  <c r="AM45" i="2"/>
  <c r="X45" i="2" s="1"/>
  <c r="I45" i="2" s="1"/>
  <c r="AM44" i="2"/>
  <c r="X44" i="2"/>
  <c r="I44" i="2" s="1"/>
  <c r="X43" i="2"/>
  <c r="I43" i="2" s="1"/>
  <c r="AM38" i="2"/>
  <c r="X38" i="2" s="1"/>
  <c r="AM37" i="2"/>
  <c r="X37" i="2" s="1"/>
  <c r="AM32" i="2"/>
  <c r="X32" i="2" s="1"/>
  <c r="I32" i="2" s="1"/>
  <c r="X31" i="2"/>
  <c r="I31" i="2"/>
  <c r="X30" i="2"/>
  <c r="I30" i="2"/>
  <c r="AM25" i="2"/>
  <c r="X25" i="2" s="1"/>
  <c r="AM24" i="2"/>
  <c r="X24" i="2" s="1"/>
  <c r="AM23" i="2"/>
  <c r="X23" i="2" s="1"/>
  <c r="BB25" i="2"/>
  <c r="BB24" i="2"/>
  <c r="BB23" i="2"/>
  <c r="BB19" i="2"/>
  <c r="BB17" i="2"/>
  <c r="X18" i="2"/>
  <c r="I18" i="2" s="1"/>
  <c r="X17" i="2"/>
  <c r="I17" i="2" s="1"/>
  <c r="X4" i="2"/>
  <c r="I4" i="2" s="1"/>
  <c r="CF6" i="2"/>
  <c r="CF5" i="2"/>
  <c r="CF4" i="2"/>
  <c r="CF12" i="2"/>
  <c r="CF11" i="2"/>
  <c r="CF10" i="2"/>
  <c r="BQ6" i="2"/>
  <c r="BQ5" i="2"/>
  <c r="BQ4" i="2"/>
  <c r="BQ12" i="2"/>
  <c r="BQ11" i="2"/>
  <c r="BQ10" i="2"/>
  <c r="BB12" i="2"/>
  <c r="AM12" i="2"/>
  <c r="X12" i="2" s="1"/>
  <c r="AM11" i="2"/>
  <c r="X11" i="2" s="1"/>
  <c r="AM10" i="2"/>
  <c r="X10" i="2" s="1"/>
  <c r="AM6" i="2"/>
  <c r="X6" i="2" s="1"/>
  <c r="I6" i="2" s="1"/>
  <c r="AM5" i="2"/>
  <c r="X5" i="2"/>
  <c r="I5" i="2" s="1"/>
  <c r="AM19" i="2"/>
  <c r="X19" i="2" s="1"/>
  <c r="I19" i="2" s="1"/>
  <c r="H50" i="3"/>
  <c r="H49" i="3"/>
  <c r="H48" i="3"/>
  <c r="H57" i="3"/>
  <c r="H44" i="3"/>
  <c r="T53" i="1" s="1"/>
  <c r="H43" i="3"/>
  <c r="O37" i="3" s="1"/>
  <c r="H35" i="3"/>
  <c r="T37" i="1"/>
  <c r="H34" i="3"/>
  <c r="H26" i="3"/>
  <c r="T21" i="1" s="1"/>
  <c r="H25" i="3"/>
  <c r="H17" i="3"/>
  <c r="T5" i="1" s="1"/>
  <c r="H16" i="3"/>
  <c r="I1" i="2"/>
  <c r="S54" i="1"/>
  <c r="S52" i="1"/>
  <c r="S38" i="1"/>
  <c r="S36" i="1"/>
  <c r="S22" i="1"/>
  <c r="S20" i="1"/>
  <c r="S6" i="1"/>
  <c r="S4" i="1"/>
  <c r="H62" i="2"/>
  <c r="H56" i="2"/>
  <c r="H58" i="2"/>
  <c r="AL51" i="2"/>
  <c r="W51" i="2" s="1"/>
  <c r="AL50" i="2"/>
  <c r="W50" i="2" s="1"/>
  <c r="AL45" i="2"/>
  <c r="W45" i="2" s="1"/>
  <c r="H45" i="2" s="1"/>
  <c r="AL44" i="2"/>
  <c r="W44" i="2"/>
  <c r="H44" i="2" s="1"/>
  <c r="W43" i="2"/>
  <c r="H43" i="2" s="1"/>
  <c r="AL38" i="2"/>
  <c r="W38" i="2" s="1"/>
  <c r="AL37" i="2"/>
  <c r="W37" i="2" s="1"/>
  <c r="W36" i="2"/>
  <c r="AL32" i="2"/>
  <c r="W32" i="2"/>
  <c r="H32" i="2" s="1"/>
  <c r="V30" i="2"/>
  <c r="W30" i="2"/>
  <c r="H30" i="2"/>
  <c r="W31" i="2"/>
  <c r="H31" i="2"/>
  <c r="BA25" i="2"/>
  <c r="BA24" i="2"/>
  <c r="BA23" i="2"/>
  <c r="AL25" i="2"/>
  <c r="W25" i="2" s="1"/>
  <c r="AL24" i="2"/>
  <c r="W24" i="2" s="1"/>
  <c r="AL23" i="2"/>
  <c r="W23" i="2" s="1"/>
  <c r="BA19" i="2"/>
  <c r="BA17" i="2"/>
  <c r="AL19" i="2"/>
  <c r="W19" i="2" s="1"/>
  <c r="H19" i="2" s="1"/>
  <c r="W18" i="2"/>
  <c r="H18" i="2" s="1"/>
  <c r="W17" i="2"/>
  <c r="H17" i="2" s="1"/>
  <c r="CE12" i="2"/>
  <c r="CE11" i="2"/>
  <c r="CE10" i="2"/>
  <c r="BP12" i="2"/>
  <c r="BP11" i="2"/>
  <c r="BP10" i="2"/>
  <c r="BA12" i="2"/>
  <c r="AL12" i="2"/>
  <c r="W12" i="2"/>
  <c r="AL11" i="2"/>
  <c r="W11" i="2"/>
  <c r="AL10" i="2"/>
  <c r="W10" i="2"/>
  <c r="CE6" i="2"/>
  <c r="CE5" i="2"/>
  <c r="CE4" i="2"/>
  <c r="BP6" i="2"/>
  <c r="BP5" i="2"/>
  <c r="BP4" i="2"/>
  <c r="H4" i="2" s="1"/>
  <c r="BA6" i="2"/>
  <c r="AL6" i="2"/>
  <c r="W6" i="2" s="1"/>
  <c r="H6" i="2" s="1"/>
  <c r="AL5" i="2"/>
  <c r="W5" i="2"/>
  <c r="W4" i="2"/>
  <c r="H5" i="2"/>
  <c r="G44" i="3"/>
  <c r="S53" i="1" s="1"/>
  <c r="G43" i="3"/>
  <c r="G35" i="3"/>
  <c r="S37" i="1"/>
  <c r="G34" i="3"/>
  <c r="G26" i="3"/>
  <c r="S21" i="1" s="1"/>
  <c r="G25" i="3"/>
  <c r="G57" i="3"/>
  <c r="G17" i="3"/>
  <c r="S5" i="1" s="1"/>
  <c r="G16" i="3"/>
  <c r="G50" i="3"/>
  <c r="G49" i="3"/>
  <c r="G48" i="3"/>
  <c r="AK6" i="2"/>
  <c r="R54" i="1"/>
  <c r="Q54" i="1"/>
  <c r="P54" i="1"/>
  <c r="O54" i="1"/>
  <c r="N54" i="1"/>
  <c r="R52" i="1"/>
  <c r="Q52" i="1"/>
  <c r="P52" i="1"/>
  <c r="O52" i="1"/>
  <c r="N52" i="1"/>
  <c r="R38" i="1"/>
  <c r="Q38" i="1"/>
  <c r="P38" i="1"/>
  <c r="O38" i="1"/>
  <c r="N38" i="1"/>
  <c r="R36" i="1"/>
  <c r="Q36" i="1"/>
  <c r="P36" i="1"/>
  <c r="O36" i="1"/>
  <c r="N36" i="1"/>
  <c r="F25" i="3"/>
  <c r="E25" i="3"/>
  <c r="D25" i="3"/>
  <c r="C25" i="3"/>
  <c r="B25" i="3"/>
  <c r="R22" i="1"/>
  <c r="Q22" i="1"/>
  <c r="P22" i="1"/>
  <c r="O22" i="1"/>
  <c r="N22" i="1"/>
  <c r="R20" i="1"/>
  <c r="Q20" i="1"/>
  <c r="P20" i="1"/>
  <c r="O20" i="1"/>
  <c r="N20" i="1"/>
  <c r="R6" i="1"/>
  <c r="Q6" i="1"/>
  <c r="P6" i="1"/>
  <c r="O6" i="1"/>
  <c r="N6" i="1"/>
  <c r="R4" i="1"/>
  <c r="Q4" i="1"/>
  <c r="P4" i="1"/>
  <c r="O4" i="1"/>
  <c r="N4" i="1"/>
  <c r="K15" i="1"/>
  <c r="K13" i="1"/>
  <c r="K11" i="1"/>
  <c r="K9" i="1"/>
  <c r="K7" i="1"/>
  <c r="K5" i="1"/>
  <c r="F57" i="3"/>
  <c r="E57" i="3"/>
  <c r="D57" i="3"/>
  <c r="C57" i="3"/>
  <c r="B57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4" i="3"/>
  <c r="R53" i="1" s="1"/>
  <c r="E44" i="3"/>
  <c r="Q53" i="1" s="1"/>
  <c r="D44" i="3"/>
  <c r="C44" i="3"/>
  <c r="O53" i="1" s="1"/>
  <c r="B44" i="3"/>
  <c r="N53" i="1" s="1"/>
  <c r="F35" i="3"/>
  <c r="R37" i="1" s="1"/>
  <c r="E35" i="3"/>
  <c r="Q37" i="1" s="1"/>
  <c r="D35" i="3"/>
  <c r="C35" i="3"/>
  <c r="O37" i="1" s="1"/>
  <c r="B35" i="3"/>
  <c r="N37" i="1" s="1"/>
  <c r="F26" i="3"/>
  <c r="F59" i="3" s="1"/>
  <c r="F27" i="3" s="1"/>
  <c r="R19" i="1" s="1"/>
  <c r="E26" i="3"/>
  <c r="Q21" i="1" s="1"/>
  <c r="D26" i="3"/>
  <c r="P21" i="1" s="1"/>
  <c r="C26" i="3"/>
  <c r="O21" i="1" s="1"/>
  <c r="B26" i="3"/>
  <c r="N21" i="1" s="1"/>
  <c r="F17" i="3"/>
  <c r="E17" i="3"/>
  <c r="Q5" i="1" s="1"/>
  <c r="D17" i="3"/>
  <c r="P5" i="1" s="1"/>
  <c r="C17" i="3"/>
  <c r="O5" i="1" s="1"/>
  <c r="B17" i="3"/>
  <c r="F43" i="3"/>
  <c r="E43" i="3"/>
  <c r="E52" i="3" s="1"/>
  <c r="D43" i="3"/>
  <c r="C43" i="3"/>
  <c r="B43" i="3"/>
  <c r="F34" i="3"/>
  <c r="F52" i="3" s="1"/>
  <c r="E34" i="3"/>
  <c r="D34" i="3"/>
  <c r="C34" i="3"/>
  <c r="B34" i="3"/>
  <c r="B52" i="3" s="1"/>
  <c r="F16" i="3"/>
  <c r="E16" i="3"/>
  <c r="D16" i="3"/>
  <c r="C16" i="3"/>
  <c r="C52" i="3" s="1"/>
  <c r="B16" i="3"/>
  <c r="F53" i="3"/>
  <c r="F60" i="3" s="1"/>
  <c r="F36" i="3" s="1"/>
  <c r="R35" i="1" s="1"/>
  <c r="N5" i="1"/>
  <c r="R5" i="1"/>
  <c r="P37" i="1"/>
  <c r="D52" i="3"/>
  <c r="P53" i="1"/>
  <c r="D53" i="3"/>
  <c r="R21" i="1"/>
  <c r="H31" i="1"/>
  <c r="H32" i="1" s="1"/>
  <c r="H22" i="1"/>
  <c r="H13" i="1"/>
  <c r="H14" i="1" s="1"/>
  <c r="H4" i="1"/>
  <c r="H5" i="1" s="1"/>
  <c r="B7" i="3"/>
  <c r="C7" i="3"/>
  <c r="V32" i="2"/>
  <c r="G32" i="2" s="1"/>
  <c r="G43" i="2"/>
  <c r="F43" i="2"/>
  <c r="E43" i="2"/>
  <c r="C43" i="2"/>
  <c r="G30" i="2"/>
  <c r="F30" i="2"/>
  <c r="E30" i="2"/>
  <c r="D30" i="2"/>
  <c r="AK12" i="2"/>
  <c r="V12" i="2" s="1"/>
  <c r="AJ12" i="2"/>
  <c r="AI12" i="2"/>
  <c r="AH12" i="2"/>
  <c r="AK11" i="2"/>
  <c r="AJ11" i="2"/>
  <c r="U11" i="2"/>
  <c r="AI11" i="2"/>
  <c r="T11" i="2"/>
  <c r="AH11" i="2"/>
  <c r="S11" i="2"/>
  <c r="AK10" i="2"/>
  <c r="AJ10" i="2"/>
  <c r="U10" i="2" s="1"/>
  <c r="AI10" i="2"/>
  <c r="T10" i="2" s="1"/>
  <c r="AH10" i="2"/>
  <c r="S10" i="2" s="1"/>
  <c r="AG12" i="2"/>
  <c r="AG11" i="2"/>
  <c r="R11" i="2"/>
  <c r="AG10" i="2"/>
  <c r="R10" i="2"/>
  <c r="V11" i="2"/>
  <c r="V10" i="2"/>
  <c r="V6" i="2"/>
  <c r="U6" i="2"/>
  <c r="T6" i="2"/>
  <c r="S6" i="2"/>
  <c r="V5" i="2"/>
  <c r="U5" i="2"/>
  <c r="T5" i="2"/>
  <c r="S5" i="2"/>
  <c r="R5" i="2"/>
  <c r="V4" i="2"/>
  <c r="U4" i="2"/>
  <c r="T4" i="2"/>
  <c r="S4" i="2"/>
  <c r="R4" i="2"/>
  <c r="CD6" i="2"/>
  <c r="CD5" i="2"/>
  <c r="CD4" i="2"/>
  <c r="CC6" i="2"/>
  <c r="CC5" i="2"/>
  <c r="CC4" i="2"/>
  <c r="CB6" i="2"/>
  <c r="CB5" i="2"/>
  <c r="CB4" i="2"/>
  <c r="CA6" i="2"/>
  <c r="CA5" i="2"/>
  <c r="CA4" i="2"/>
  <c r="BZ6" i="2"/>
  <c r="BZ5" i="2"/>
  <c r="BZ4" i="2"/>
  <c r="CD12" i="2"/>
  <c r="CD11" i="2"/>
  <c r="CD10" i="2"/>
  <c r="CC12" i="2"/>
  <c r="CC11" i="2"/>
  <c r="CC10" i="2"/>
  <c r="CB12" i="2"/>
  <c r="CA12" i="2"/>
  <c r="CB11" i="2"/>
  <c r="CA11" i="2"/>
  <c r="CB10" i="2"/>
  <c r="CA10" i="2"/>
  <c r="BZ12" i="2"/>
  <c r="BZ11" i="2"/>
  <c r="BZ10" i="2"/>
  <c r="BO6" i="2"/>
  <c r="BO5" i="2"/>
  <c r="BO4" i="2"/>
  <c r="BN6" i="2"/>
  <c r="BN5" i="2"/>
  <c r="BN4" i="2"/>
  <c r="BM6" i="2"/>
  <c r="BM5" i="2"/>
  <c r="BM4" i="2"/>
  <c r="BL6" i="2"/>
  <c r="BL5" i="2"/>
  <c r="BL4" i="2"/>
  <c r="BK6" i="2"/>
  <c r="BK5" i="2"/>
  <c r="BK4" i="2"/>
  <c r="BW4" i="2" s="1"/>
  <c r="BO12" i="2"/>
  <c r="BO11" i="2"/>
  <c r="BO13" i="2"/>
  <c r="BO10" i="2"/>
  <c r="BN12" i="2"/>
  <c r="BN11" i="2"/>
  <c r="BN10" i="2"/>
  <c r="BM12" i="2"/>
  <c r="BM11" i="2"/>
  <c r="BM10" i="2"/>
  <c r="BL12" i="2"/>
  <c r="BL11" i="2"/>
  <c r="BL10" i="2"/>
  <c r="BK12" i="2"/>
  <c r="BK11" i="2"/>
  <c r="BK10" i="2"/>
  <c r="AV6" i="2"/>
  <c r="R6" i="2" s="1"/>
  <c r="C6" i="2" s="1"/>
  <c r="AZ12" i="2"/>
  <c r="AY12" i="2"/>
  <c r="AX12" i="2"/>
  <c r="AW12" i="2"/>
  <c r="AV12" i="2"/>
  <c r="R12" i="2"/>
  <c r="AZ19" i="2"/>
  <c r="AZ17" i="2"/>
  <c r="AZ25" i="2"/>
  <c r="AZ24" i="2"/>
  <c r="AZ23" i="2"/>
  <c r="AY25" i="2"/>
  <c r="AY24" i="2"/>
  <c r="AY23" i="2"/>
  <c r="AY19" i="2"/>
  <c r="AY17" i="2"/>
  <c r="AX19" i="2"/>
  <c r="AX18" i="2"/>
  <c r="AX17" i="2"/>
  <c r="AX25" i="2"/>
  <c r="AX24" i="2"/>
  <c r="AX23" i="2"/>
  <c r="AW19" i="2"/>
  <c r="AW18" i="2"/>
  <c r="AW17" i="2"/>
  <c r="AW25" i="2"/>
  <c r="AW24" i="2"/>
  <c r="AW23" i="2"/>
  <c r="AV19" i="2"/>
  <c r="AV18" i="2"/>
  <c r="AV17" i="2"/>
  <c r="AV25" i="2"/>
  <c r="AV24" i="2"/>
  <c r="AV23" i="2"/>
  <c r="AK38" i="2"/>
  <c r="V38" i="2"/>
  <c r="AJ38" i="2"/>
  <c r="AI38" i="2"/>
  <c r="T38" i="2" s="1"/>
  <c r="AH38" i="2"/>
  <c r="S38" i="2" s="1"/>
  <c r="AK37" i="2"/>
  <c r="V37" i="2" s="1"/>
  <c r="AJ37" i="2"/>
  <c r="U37" i="2" s="1"/>
  <c r="AI37" i="2"/>
  <c r="T37" i="2"/>
  <c r="AH37" i="2"/>
  <c r="S37" i="2"/>
  <c r="AG38" i="2"/>
  <c r="R38" i="2"/>
  <c r="AG37" i="2"/>
  <c r="R37" i="2"/>
  <c r="U32" i="2"/>
  <c r="F32" i="2"/>
  <c r="T32" i="2"/>
  <c r="E32" i="2" s="1"/>
  <c r="S32" i="2"/>
  <c r="D32" i="2" s="1"/>
  <c r="R32" i="2"/>
  <c r="C32" i="2" s="1"/>
  <c r="V31" i="2"/>
  <c r="G31" i="2" s="1"/>
  <c r="U31" i="2"/>
  <c r="F31" i="2" s="1"/>
  <c r="T31" i="2"/>
  <c r="E31" i="2" s="1"/>
  <c r="S31" i="2"/>
  <c r="D31" i="2" s="1"/>
  <c r="R31" i="2"/>
  <c r="C31" i="2" s="1"/>
  <c r="V19" i="2"/>
  <c r="G19" i="2" s="1"/>
  <c r="U19" i="2"/>
  <c r="F19" i="2"/>
  <c r="T19" i="2"/>
  <c r="S19" i="2"/>
  <c r="D19" i="2" s="1"/>
  <c r="R19" i="2"/>
  <c r="V18" i="2"/>
  <c r="G18" i="2"/>
  <c r="U18" i="2"/>
  <c r="F18" i="2"/>
  <c r="T18" i="2"/>
  <c r="E18" i="2"/>
  <c r="S18" i="2"/>
  <c r="D18" i="2"/>
  <c r="R18" i="2"/>
  <c r="C18" i="2"/>
  <c r="V17" i="2"/>
  <c r="G17" i="2"/>
  <c r="U17" i="2"/>
  <c r="F17" i="2"/>
  <c r="T17" i="2"/>
  <c r="E17" i="2"/>
  <c r="S17" i="2"/>
  <c r="R17" i="2"/>
  <c r="C17" i="2" s="1"/>
  <c r="S24" i="2"/>
  <c r="AK25" i="2"/>
  <c r="V25" i="2"/>
  <c r="AJ25" i="2"/>
  <c r="U25" i="2"/>
  <c r="AI25" i="2"/>
  <c r="T25" i="2"/>
  <c r="AH25" i="2"/>
  <c r="S25" i="2"/>
  <c r="AK24" i="2"/>
  <c r="V24" i="2"/>
  <c r="AJ24" i="2"/>
  <c r="U24" i="2"/>
  <c r="AI24" i="2"/>
  <c r="T24" i="2"/>
  <c r="AH24" i="2"/>
  <c r="AK23" i="2"/>
  <c r="V23" i="2" s="1"/>
  <c r="AJ23" i="2"/>
  <c r="U23" i="2" s="1"/>
  <c r="AI23" i="2"/>
  <c r="T23" i="2" s="1"/>
  <c r="AH23" i="2"/>
  <c r="S23" i="2" s="1"/>
  <c r="AG25" i="2"/>
  <c r="R25" i="2" s="1"/>
  <c r="AG24" i="2"/>
  <c r="R24" i="2" s="1"/>
  <c r="AG23" i="2"/>
  <c r="R23" i="2" s="1"/>
  <c r="V36" i="2"/>
  <c r="U36" i="2"/>
  <c r="T36" i="2"/>
  <c r="S36" i="2"/>
  <c r="R36" i="2"/>
  <c r="U38" i="2"/>
  <c r="R30" i="2"/>
  <c r="C30" i="2" s="1"/>
  <c r="AK51" i="2"/>
  <c r="V51" i="2" s="1"/>
  <c r="AJ51" i="2"/>
  <c r="U51" i="2" s="1"/>
  <c r="AI51" i="2"/>
  <c r="T51" i="2" s="1"/>
  <c r="AH51" i="2"/>
  <c r="S51" i="2" s="1"/>
  <c r="AK50" i="2"/>
  <c r="V50" i="2" s="1"/>
  <c r="AJ50" i="2"/>
  <c r="U50" i="2"/>
  <c r="AI50" i="2"/>
  <c r="T50" i="2"/>
  <c r="AH50" i="2"/>
  <c r="S50" i="2"/>
  <c r="AG50" i="2"/>
  <c r="R50" i="2" s="1"/>
  <c r="AG51" i="2"/>
  <c r="R51" i="2" s="1"/>
  <c r="E19" i="2"/>
  <c r="F6" i="2"/>
  <c r="T12" i="2"/>
  <c r="D17" i="2"/>
  <c r="C19" i="2"/>
  <c r="D6" i="2"/>
  <c r="C4" i="2"/>
  <c r="S12" i="2"/>
  <c r="D12" i="2" s="1"/>
  <c r="E4" i="2"/>
  <c r="D5" i="2"/>
  <c r="U12" i="2"/>
  <c r="F4" i="2"/>
  <c r="F7" i="2" s="1"/>
  <c r="Q10" i="1" s="1"/>
  <c r="Q12" i="1" s="1"/>
  <c r="E5" i="2"/>
  <c r="E6" i="2"/>
  <c r="G4" i="2"/>
  <c r="F5" i="2"/>
  <c r="O5" i="2" s="1"/>
  <c r="BW5" i="2"/>
  <c r="D4" i="2"/>
  <c r="C5" i="2"/>
  <c r="G5" i="2"/>
  <c r="G6" i="2"/>
  <c r="F61" i="3"/>
  <c r="F45" i="3" s="1"/>
  <c r="F58" i="3"/>
  <c r="F18" i="3" s="1"/>
  <c r="R3" i="1" s="1"/>
  <c r="D58" i="3"/>
  <c r="D18" i="3" s="1"/>
  <c r="P3" i="1" s="1"/>
  <c r="AG45" i="2"/>
  <c r="R45" i="2"/>
  <c r="C45" i="2" s="1"/>
  <c r="AH45" i="2"/>
  <c r="S45" i="2" s="1"/>
  <c r="D45" i="2"/>
  <c r="D71" i="2" s="1"/>
  <c r="AI45" i="2"/>
  <c r="T45" i="2"/>
  <c r="E45" i="2" s="1"/>
  <c r="AJ45" i="2"/>
  <c r="U45" i="2" s="1"/>
  <c r="F45" i="2"/>
  <c r="F46" i="2" s="1"/>
  <c r="Q58" i="1" s="1"/>
  <c r="Q60" i="1" s="1"/>
  <c r="AK45" i="2"/>
  <c r="V45" i="2"/>
  <c r="G45" i="2" s="1"/>
  <c r="AK44" i="2"/>
  <c r="V44" i="2" s="1"/>
  <c r="G44" i="2"/>
  <c r="G46" i="2" s="1"/>
  <c r="R58" i="1" s="1"/>
  <c r="R60" i="1" s="1"/>
  <c r="AJ44" i="2"/>
  <c r="U44" i="2"/>
  <c r="F44" i="2" s="1"/>
  <c r="AI44" i="2"/>
  <c r="T44" i="2" s="1"/>
  <c r="E44" i="2"/>
  <c r="E46" i="2" s="1"/>
  <c r="P58" i="1" s="1"/>
  <c r="P60" i="1" s="1"/>
  <c r="AH44" i="2"/>
  <c r="S44" i="2"/>
  <c r="D44" i="2" s="1"/>
  <c r="AG44" i="2"/>
  <c r="R44" i="2" s="1"/>
  <c r="C44" i="2"/>
  <c r="C46" i="2" s="1"/>
  <c r="T49" i="2"/>
  <c r="S49" i="2"/>
  <c r="S43" i="2"/>
  <c r="D43" i="2"/>
  <c r="D46" i="2" s="1"/>
  <c r="O58" i="1" s="1"/>
  <c r="O60" i="1" s="1"/>
  <c r="G56" i="2"/>
  <c r="G69" i="2"/>
  <c r="G62" i="2"/>
  <c r="F56" i="2"/>
  <c r="F69" i="2" s="1"/>
  <c r="F62" i="2"/>
  <c r="G58" i="2"/>
  <c r="F58" i="2"/>
  <c r="E58" i="2"/>
  <c r="O58" i="2" s="1"/>
  <c r="D58" i="2"/>
  <c r="E56" i="2"/>
  <c r="E69" i="2" s="1"/>
  <c r="E62" i="2"/>
  <c r="D56" i="2"/>
  <c r="D59" i="2" s="1"/>
  <c r="D62" i="2"/>
  <c r="C58" i="2"/>
  <c r="C57" i="2"/>
  <c r="D57" i="2"/>
  <c r="E57" i="2" s="1"/>
  <c r="E70" i="2" s="1"/>
  <c r="C56" i="2"/>
  <c r="C69" i="2" s="1"/>
  <c r="C64" i="2"/>
  <c r="D64" i="2" s="1"/>
  <c r="E64" i="2"/>
  <c r="F64" i="2" s="1"/>
  <c r="G64" i="2" s="1"/>
  <c r="C63" i="2"/>
  <c r="D63" i="2" s="1"/>
  <c r="E63" i="2" s="1"/>
  <c r="D69" i="2"/>
  <c r="F57" i="2"/>
  <c r="G71" i="2"/>
  <c r="C71" i="2"/>
  <c r="Q6" i="2"/>
  <c r="AF6" i="2"/>
  <c r="BJ4" i="2"/>
  <c r="BJ7" i="2" s="1"/>
  <c r="B78" i="2"/>
  <c r="B58" i="2"/>
  <c r="B57" i="2"/>
  <c r="B59" i="2" s="1"/>
  <c r="B9" i="3" s="1"/>
  <c r="B56" i="2"/>
  <c r="Q45" i="2"/>
  <c r="B45" i="2" s="1"/>
  <c r="B71" i="2" s="1"/>
  <c r="Q44" i="2"/>
  <c r="Q43" i="2"/>
  <c r="B43" i="2"/>
  <c r="Q32" i="2"/>
  <c r="B32" i="2"/>
  <c r="Q31" i="2"/>
  <c r="Q30" i="2"/>
  <c r="Q17" i="2"/>
  <c r="Q18" i="2"/>
  <c r="B18" i="2" s="1"/>
  <c r="Q19" i="2"/>
  <c r="B19" i="2"/>
  <c r="C65" i="2"/>
  <c r="B65" i="2"/>
  <c r="D65" i="2"/>
  <c r="O62" i="2"/>
  <c r="E59" i="2"/>
  <c r="C59" i="2"/>
  <c r="O56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C52" i="2"/>
  <c r="Y61" i="1" s="1"/>
  <c r="AB52" i="2"/>
  <c r="X61" i="1" s="1"/>
  <c r="AA52" i="2"/>
  <c r="W61" i="1" s="1"/>
  <c r="Z52" i="2"/>
  <c r="V61" i="1" s="1"/>
  <c r="Y52" i="2"/>
  <c r="U61" i="1" s="1"/>
  <c r="X52" i="2"/>
  <c r="T61" i="1" s="1"/>
  <c r="T63" i="1" s="1"/>
  <c r="W52" i="2"/>
  <c r="S61" i="1" s="1"/>
  <c r="S63" i="1" s="1"/>
  <c r="V52" i="2"/>
  <c r="R61" i="1" s="1"/>
  <c r="R63" i="1" s="1"/>
  <c r="U52" i="2"/>
  <c r="Q61" i="1" s="1"/>
  <c r="T52" i="2"/>
  <c r="P61" i="1" s="1"/>
  <c r="S52" i="2"/>
  <c r="O61" i="1" s="1"/>
  <c r="O63" i="1" s="1"/>
  <c r="R52" i="2"/>
  <c r="N61" i="1" s="1"/>
  <c r="N63" i="1" s="1"/>
  <c r="Q52" i="2"/>
  <c r="AS51" i="2"/>
  <c r="AD51" i="2"/>
  <c r="N51" i="2"/>
  <c r="M51" i="2"/>
  <c r="L51" i="2"/>
  <c r="K51" i="2"/>
  <c r="J51" i="2"/>
  <c r="I51" i="2"/>
  <c r="H51" i="2"/>
  <c r="G51" i="2"/>
  <c r="F51" i="2"/>
  <c r="E51" i="2"/>
  <c r="D51" i="2"/>
  <c r="C51" i="2"/>
  <c r="O51" i="2" s="1"/>
  <c r="AS50" i="2"/>
  <c r="AD50" i="2"/>
  <c r="N50" i="2"/>
  <c r="M50" i="2"/>
  <c r="M52" i="2" s="1"/>
  <c r="X57" i="1" s="1"/>
  <c r="L50" i="2"/>
  <c r="K50" i="2"/>
  <c r="J50" i="2"/>
  <c r="I50" i="2"/>
  <c r="H50" i="2"/>
  <c r="G50" i="2"/>
  <c r="F50" i="2"/>
  <c r="E50" i="2"/>
  <c r="D50" i="2"/>
  <c r="C50" i="2"/>
  <c r="AS49" i="2"/>
  <c r="AD49" i="2"/>
  <c r="N49" i="2"/>
  <c r="M49" i="2"/>
  <c r="L49" i="2"/>
  <c r="K49" i="2"/>
  <c r="K75" i="2" s="1"/>
  <c r="J49" i="2"/>
  <c r="I49" i="2"/>
  <c r="H49" i="2"/>
  <c r="G49" i="2"/>
  <c r="G52" i="2" s="1"/>
  <c r="R57" i="1" s="1"/>
  <c r="R59" i="1" s="1"/>
  <c r="F49" i="2"/>
  <c r="E49" i="2"/>
  <c r="D49" i="2"/>
  <c r="C49" i="2"/>
  <c r="O49" i="2" s="1"/>
  <c r="B52" i="2"/>
  <c r="AE47" i="2"/>
  <c r="P47" i="2"/>
  <c r="AR46" i="2"/>
  <c r="AQ46" i="2"/>
  <c r="AP46" i="2"/>
  <c r="AO46" i="2"/>
  <c r="AN46" i="2"/>
  <c r="AM46" i="2"/>
  <c r="AL46" i="2"/>
  <c r="AK46" i="2"/>
  <c r="AJ46" i="2"/>
  <c r="AS46" i="2" s="1"/>
  <c r="AI46" i="2"/>
  <c r="AH46" i="2"/>
  <c r="AG46" i="2"/>
  <c r="AF46" i="2"/>
  <c r="AC46" i="2"/>
  <c r="Y62" i="1"/>
  <c r="Y64" i="1" s="1"/>
  <c r="AB46" i="2"/>
  <c r="X62" i="1"/>
  <c r="X64" i="1" s="1"/>
  <c r="BB64" i="1" s="1"/>
  <c r="AA46" i="2"/>
  <c r="W62" i="1"/>
  <c r="W64" i="1" s="1"/>
  <c r="Z46" i="2"/>
  <c r="V62" i="1"/>
  <c r="V64" i="1" s="1"/>
  <c r="Y46" i="2"/>
  <c r="U62" i="1"/>
  <c r="U64" i="1" s="1"/>
  <c r="X46" i="2"/>
  <c r="T62" i="1"/>
  <c r="T64" i="1" s="1"/>
  <c r="W46" i="2"/>
  <c r="S62" i="1"/>
  <c r="S64" i="1" s="1"/>
  <c r="V46" i="2"/>
  <c r="R62" i="1"/>
  <c r="R64" i="1" s="1"/>
  <c r="U46" i="2"/>
  <c r="Q62" i="1"/>
  <c r="Q64" i="1" s="1"/>
  <c r="T46" i="2"/>
  <c r="P62" i="1"/>
  <c r="P64" i="1" s="1"/>
  <c r="S46" i="2"/>
  <c r="O62" i="1"/>
  <c r="O64" i="1" s="1"/>
  <c r="R46" i="2"/>
  <c r="N62" i="1"/>
  <c r="N64" i="1" s="1"/>
  <c r="N46" i="2"/>
  <c r="Y58" i="1"/>
  <c r="Y60" i="1" s="1"/>
  <c r="M46" i="2"/>
  <c r="X58" i="1"/>
  <c r="X60" i="1" s="1"/>
  <c r="L46" i="2"/>
  <c r="W58" i="1"/>
  <c r="W60" i="1" s="1"/>
  <c r="K46" i="2"/>
  <c r="V58" i="1"/>
  <c r="V60" i="1" s="1"/>
  <c r="J46" i="2"/>
  <c r="U58" i="1"/>
  <c r="U60" i="1" s="1"/>
  <c r="I46" i="2"/>
  <c r="T58" i="1"/>
  <c r="T60" i="1" s="1"/>
  <c r="H46" i="2"/>
  <c r="S58" i="1"/>
  <c r="S60" i="1" s="1"/>
  <c r="AS45" i="2"/>
  <c r="AD45" i="2"/>
  <c r="AS44" i="2"/>
  <c r="AD44" i="2"/>
  <c r="AS43" i="2"/>
  <c r="AD43" i="2"/>
  <c r="AE34" i="2"/>
  <c r="P34" i="2"/>
  <c r="AR39" i="2"/>
  <c r="AQ39" i="2"/>
  <c r="AP39" i="2"/>
  <c r="AO39" i="2"/>
  <c r="AN39" i="2"/>
  <c r="AM39" i="2"/>
  <c r="AL39" i="2"/>
  <c r="AK39" i="2"/>
  <c r="AJ39" i="2"/>
  <c r="AS39" i="2" s="1"/>
  <c r="AI39" i="2"/>
  <c r="AH39" i="2"/>
  <c r="AG39" i="2"/>
  <c r="AF39" i="2"/>
  <c r="AC39" i="2"/>
  <c r="Y45" i="1"/>
  <c r="AB39" i="2"/>
  <c r="X45" i="1"/>
  <c r="AA39" i="2"/>
  <c r="W45" i="1"/>
  <c r="Z39" i="2"/>
  <c r="V45" i="1"/>
  <c r="Y39" i="2"/>
  <c r="U45" i="1"/>
  <c r="X39" i="2"/>
  <c r="T45" i="1"/>
  <c r="W39" i="2"/>
  <c r="S45" i="1"/>
  <c r="S47" i="1" s="1"/>
  <c r="V39" i="2"/>
  <c r="R45" i="1"/>
  <c r="R47" i="1" s="1"/>
  <c r="U39" i="2"/>
  <c r="Q45" i="1"/>
  <c r="T39" i="2"/>
  <c r="P45" i="1"/>
  <c r="P47" i="1" s="1"/>
  <c r="S39" i="2"/>
  <c r="O45" i="1"/>
  <c r="O47" i="1" s="1"/>
  <c r="R39" i="2"/>
  <c r="N45" i="1"/>
  <c r="Q39" i="2"/>
  <c r="AS38" i="2"/>
  <c r="AD38" i="2"/>
  <c r="N38" i="2"/>
  <c r="N39" i="2" s="1"/>
  <c r="Y41" i="1" s="1"/>
  <c r="M38" i="2"/>
  <c r="L38" i="2"/>
  <c r="K38" i="2"/>
  <c r="J38" i="2"/>
  <c r="I38" i="2"/>
  <c r="H38" i="2"/>
  <c r="G38" i="2"/>
  <c r="F38" i="2"/>
  <c r="O38" i="2" s="1"/>
  <c r="E38" i="2"/>
  <c r="D38" i="2"/>
  <c r="C38" i="2"/>
  <c r="B38" i="2"/>
  <c r="B39" i="2" s="1"/>
  <c r="AS37" i="2"/>
  <c r="AD37" i="2"/>
  <c r="N37" i="2"/>
  <c r="M37" i="2"/>
  <c r="L37" i="2"/>
  <c r="K37" i="2"/>
  <c r="J37" i="2"/>
  <c r="I37" i="2"/>
  <c r="I39" i="2" s="1"/>
  <c r="T41" i="1" s="1"/>
  <c r="H37" i="2"/>
  <c r="G37" i="2"/>
  <c r="F37" i="2"/>
  <c r="E37" i="2"/>
  <c r="E39" i="2" s="1"/>
  <c r="P41" i="1" s="1"/>
  <c r="P43" i="1" s="1"/>
  <c r="D37" i="2"/>
  <c r="C37" i="2"/>
  <c r="B37" i="2"/>
  <c r="AS36" i="2"/>
  <c r="AD36" i="2"/>
  <c r="N36" i="2"/>
  <c r="M36" i="2"/>
  <c r="L36" i="2"/>
  <c r="L75" i="2" s="1"/>
  <c r="K36" i="2"/>
  <c r="J36" i="2"/>
  <c r="I36" i="2"/>
  <c r="H36" i="2"/>
  <c r="H39" i="2" s="1"/>
  <c r="S41" i="1" s="1"/>
  <c r="S43" i="1" s="1"/>
  <c r="G36" i="2"/>
  <c r="F36" i="2"/>
  <c r="E36" i="2"/>
  <c r="D36" i="2"/>
  <c r="O36" i="2" s="1"/>
  <c r="C36" i="2"/>
  <c r="B36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C33" i="2"/>
  <c r="Y46" i="1" s="1"/>
  <c r="AB33" i="2"/>
  <c r="X46" i="1" s="1"/>
  <c r="X48" i="1" s="1"/>
  <c r="AA33" i="2"/>
  <c r="W46" i="1" s="1"/>
  <c r="W48" i="1" s="1"/>
  <c r="Z33" i="2"/>
  <c r="V46" i="1" s="1"/>
  <c r="V48" i="1" s="1"/>
  <c r="Y33" i="2"/>
  <c r="U46" i="1" s="1"/>
  <c r="U48" i="1" s="1"/>
  <c r="X33" i="2"/>
  <c r="T46" i="1" s="1"/>
  <c r="T48" i="1" s="1"/>
  <c r="W33" i="2"/>
  <c r="S46" i="1" s="1"/>
  <c r="S48" i="1" s="1"/>
  <c r="V33" i="2"/>
  <c r="R46" i="1" s="1"/>
  <c r="R48" i="1" s="1"/>
  <c r="U33" i="2"/>
  <c r="Q46" i="1" s="1"/>
  <c r="Q48" i="1" s="1"/>
  <c r="T33" i="2"/>
  <c r="P46" i="1" s="1"/>
  <c r="P48" i="1" s="1"/>
  <c r="S33" i="2"/>
  <c r="O46" i="1" s="1"/>
  <c r="R33" i="2"/>
  <c r="N46" i="1" s="1"/>
  <c r="N48" i="1" s="1"/>
  <c r="N33" i="2"/>
  <c r="Y42" i="1" s="1"/>
  <c r="Y44" i="1" s="1"/>
  <c r="M33" i="2"/>
  <c r="X42" i="1" s="1"/>
  <c r="X44" i="1" s="1"/>
  <c r="L33" i="2"/>
  <c r="W42" i="1" s="1"/>
  <c r="W44" i="1" s="1"/>
  <c r="K33" i="2"/>
  <c r="V42" i="1" s="1"/>
  <c r="V44" i="1" s="1"/>
  <c r="J33" i="2"/>
  <c r="U42" i="1" s="1"/>
  <c r="U44" i="1" s="1"/>
  <c r="I33" i="2"/>
  <c r="T42" i="1" s="1"/>
  <c r="T44" i="1" s="1"/>
  <c r="H33" i="2"/>
  <c r="S42" i="1" s="1"/>
  <c r="S44" i="1" s="1"/>
  <c r="G33" i="2"/>
  <c r="R42" i="1" s="1"/>
  <c r="R44" i="1" s="1"/>
  <c r="F33" i="2"/>
  <c r="Q42" i="1" s="1"/>
  <c r="Q44" i="1" s="1"/>
  <c r="E33" i="2"/>
  <c r="P42" i="1" s="1"/>
  <c r="P44" i="1" s="1"/>
  <c r="D33" i="2"/>
  <c r="O42" i="1" s="1"/>
  <c r="O44" i="1" s="1"/>
  <c r="C33" i="2"/>
  <c r="N42" i="1" s="1"/>
  <c r="N44" i="1" s="1"/>
  <c r="AS32" i="2"/>
  <c r="AD32" i="2"/>
  <c r="O32" i="2"/>
  <c r="AS31" i="2"/>
  <c r="AD31" i="2"/>
  <c r="O31" i="2"/>
  <c r="AS30" i="2"/>
  <c r="AD30" i="2"/>
  <c r="O30" i="2"/>
  <c r="B30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C26" i="2"/>
  <c r="Y29" i="1" s="1"/>
  <c r="AB26" i="2"/>
  <c r="X29" i="1" s="1"/>
  <c r="AA26" i="2"/>
  <c r="W29" i="1" s="1"/>
  <c r="Z26" i="2"/>
  <c r="V29" i="1" s="1"/>
  <c r="Y26" i="2"/>
  <c r="U29" i="1" s="1"/>
  <c r="X26" i="2"/>
  <c r="T29" i="1" s="1"/>
  <c r="T31" i="1" s="1"/>
  <c r="W26" i="2"/>
  <c r="S29" i="1" s="1"/>
  <c r="V26" i="2"/>
  <c r="R29" i="1" s="1"/>
  <c r="U26" i="2"/>
  <c r="Q29" i="1" s="1"/>
  <c r="Q31" i="1" s="1"/>
  <c r="T26" i="2"/>
  <c r="P29" i="1" s="1"/>
  <c r="P31" i="1" s="1"/>
  <c r="S26" i="2"/>
  <c r="AD26" i="2" s="1"/>
  <c r="R26" i="2"/>
  <c r="N29" i="1" s="1"/>
  <c r="Q26" i="2"/>
  <c r="BH25" i="2"/>
  <c r="AS25" i="2"/>
  <c r="AD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BH24" i="2"/>
  <c r="AS24" i="2"/>
  <c r="AD24" i="2"/>
  <c r="N24" i="2"/>
  <c r="M24" i="2"/>
  <c r="L24" i="2"/>
  <c r="K24" i="2"/>
  <c r="J24" i="2"/>
  <c r="I24" i="2"/>
  <c r="H24" i="2"/>
  <c r="G24" i="2"/>
  <c r="F24" i="2"/>
  <c r="O24" i="2" s="1"/>
  <c r="E24" i="2"/>
  <c r="D24" i="2"/>
  <c r="C24" i="2"/>
  <c r="B24" i="2"/>
  <c r="BH23" i="2"/>
  <c r="AS23" i="2"/>
  <c r="AD23" i="2"/>
  <c r="N23" i="2"/>
  <c r="N26" i="2" s="1"/>
  <c r="Y25" i="1" s="1"/>
  <c r="M23" i="2"/>
  <c r="M26" i="2" s="1"/>
  <c r="X25" i="1" s="1"/>
  <c r="L23" i="2"/>
  <c r="K23" i="2"/>
  <c r="J23" i="2"/>
  <c r="J75" i="2" s="1"/>
  <c r="I23" i="2"/>
  <c r="H23" i="2"/>
  <c r="H26" i="2" s="1"/>
  <c r="S25" i="1" s="1"/>
  <c r="G23" i="2"/>
  <c r="G26" i="2" s="1"/>
  <c r="R25" i="1" s="1"/>
  <c r="F23" i="2"/>
  <c r="O23" i="2" s="1"/>
  <c r="E23" i="2"/>
  <c r="D23" i="2"/>
  <c r="C23" i="2"/>
  <c r="B23" i="2"/>
  <c r="B26" i="2" s="1"/>
  <c r="BG20" i="2"/>
  <c r="BF20" i="2"/>
  <c r="BE20" i="2"/>
  <c r="BD20" i="2"/>
  <c r="BC20" i="2"/>
  <c r="BB20" i="2"/>
  <c r="BA20" i="2"/>
  <c r="AZ20" i="2"/>
  <c r="AY20" i="2"/>
  <c r="AX20" i="2"/>
  <c r="AW20" i="2"/>
  <c r="AV20" i="2"/>
  <c r="BH20" i="2" s="1"/>
  <c r="AU20" i="2"/>
  <c r="AR20" i="2"/>
  <c r="AQ20" i="2"/>
  <c r="AP20" i="2"/>
  <c r="AO20" i="2"/>
  <c r="AN20" i="2"/>
  <c r="AM20" i="2"/>
  <c r="AL20" i="2"/>
  <c r="AK20" i="2"/>
  <c r="AJ20" i="2"/>
  <c r="AI20" i="2"/>
  <c r="AH20" i="2"/>
  <c r="AS20" i="2" s="1"/>
  <c r="AG20" i="2"/>
  <c r="AF20" i="2"/>
  <c r="AC20" i="2"/>
  <c r="Y30" i="1"/>
  <c r="Y32" i="1" s="1"/>
  <c r="AB20" i="2"/>
  <c r="X30" i="1" s="1"/>
  <c r="X32" i="1" s="1"/>
  <c r="AA20" i="2"/>
  <c r="W30" i="1"/>
  <c r="W32" i="1" s="1"/>
  <c r="Z20" i="2"/>
  <c r="V30" i="1" s="1"/>
  <c r="V32" i="1" s="1"/>
  <c r="Y20" i="2"/>
  <c r="U30" i="1"/>
  <c r="U32" i="1" s="1"/>
  <c r="X20" i="2"/>
  <c r="T30" i="1" s="1"/>
  <c r="T32" i="1" s="1"/>
  <c r="W20" i="2"/>
  <c r="S30" i="1"/>
  <c r="S32" i="1" s="1"/>
  <c r="V20" i="2"/>
  <c r="R30" i="1" s="1"/>
  <c r="R32" i="1" s="1"/>
  <c r="U20" i="2"/>
  <c r="Q30" i="1"/>
  <c r="Q32" i="1" s="1"/>
  <c r="T20" i="2"/>
  <c r="P30" i="1" s="1"/>
  <c r="P32" i="1" s="1"/>
  <c r="S20" i="2"/>
  <c r="O30" i="1"/>
  <c r="O32" i="1" s="1"/>
  <c r="R20" i="2"/>
  <c r="N30" i="1" s="1"/>
  <c r="N32" i="1" s="1"/>
  <c r="N20" i="2"/>
  <c r="Y26" i="1"/>
  <c r="Y28" i="1" s="1"/>
  <c r="M20" i="2"/>
  <c r="X26" i="1" s="1"/>
  <c r="X28" i="1" s="1"/>
  <c r="L20" i="2"/>
  <c r="W26" i="1"/>
  <c r="W28" i="1" s="1"/>
  <c r="K20" i="2"/>
  <c r="V26" i="1" s="1"/>
  <c r="V28" i="1" s="1"/>
  <c r="J20" i="2"/>
  <c r="U26" i="1"/>
  <c r="U28" i="1" s="1"/>
  <c r="I20" i="2"/>
  <c r="T26" i="1" s="1"/>
  <c r="T28" i="1" s="1"/>
  <c r="H20" i="2"/>
  <c r="S26" i="1"/>
  <c r="S28" i="1" s="1"/>
  <c r="G20" i="2"/>
  <c r="R26" i="1" s="1"/>
  <c r="R28" i="1" s="1"/>
  <c r="F20" i="2"/>
  <c r="Q26" i="1"/>
  <c r="E20" i="2"/>
  <c r="P26" i="1" s="1"/>
  <c r="P28" i="1" s="1"/>
  <c r="D20" i="2"/>
  <c r="O26" i="1"/>
  <c r="O28" i="1" s="1"/>
  <c r="C20" i="2"/>
  <c r="N26" i="1" s="1"/>
  <c r="N28" i="1" s="1"/>
  <c r="BH19" i="2"/>
  <c r="AS19" i="2"/>
  <c r="AD19" i="2"/>
  <c r="O19" i="2"/>
  <c r="BH18" i="2"/>
  <c r="AS18" i="2"/>
  <c r="AD18" i="2"/>
  <c r="O18" i="2"/>
  <c r="BH17" i="2"/>
  <c r="AS17" i="2"/>
  <c r="AD17" i="2"/>
  <c r="O17" i="2"/>
  <c r="M39" i="2"/>
  <c r="X41" i="1" s="1"/>
  <c r="K26" i="2"/>
  <c r="V25" i="1" s="1"/>
  <c r="K39" i="2"/>
  <c r="V41" i="1" s="1"/>
  <c r="L26" i="2"/>
  <c r="W25" i="1" s="1"/>
  <c r="J52" i="2"/>
  <c r="U57" i="1"/>
  <c r="N52" i="2"/>
  <c r="Y57" i="1" s="1"/>
  <c r="J39" i="2"/>
  <c r="U41" i="1" s="1"/>
  <c r="G57" i="2"/>
  <c r="I26" i="2"/>
  <c r="T25" i="1" s="1"/>
  <c r="T27" i="1" s="1"/>
  <c r="O20" i="2"/>
  <c r="BH26" i="2"/>
  <c r="AS33" i="2"/>
  <c r="AD20" i="2"/>
  <c r="H52" i="2"/>
  <c r="S57" i="1" s="1"/>
  <c r="S59" i="1" s="1"/>
  <c r="L52" i="2"/>
  <c r="W57" i="1" s="1"/>
  <c r="I52" i="2"/>
  <c r="T57" i="1" s="1"/>
  <c r="T59" i="1" s="1"/>
  <c r="AS26" i="2"/>
  <c r="O25" i="2"/>
  <c r="E26" i="2"/>
  <c r="P25" i="1" s="1"/>
  <c r="P27" i="1" s="1"/>
  <c r="D26" i="2"/>
  <c r="C26" i="2"/>
  <c r="N25" i="1" s="1"/>
  <c r="N27" i="1" s="1"/>
  <c r="AD39" i="2"/>
  <c r="G39" i="2"/>
  <c r="R41" i="1" s="1"/>
  <c r="R43" i="1" s="1"/>
  <c r="F39" i="2"/>
  <c r="Q41" i="1" s="1"/>
  <c r="C39" i="2"/>
  <c r="N41" i="1" s="1"/>
  <c r="N43" i="1" s="1"/>
  <c r="AS52" i="2"/>
  <c r="F52" i="2"/>
  <c r="Q57" i="1" s="1"/>
  <c r="Q59" i="1" s="1"/>
  <c r="AD52" i="2"/>
  <c r="E52" i="2"/>
  <c r="P57" i="1" s="1"/>
  <c r="P59" i="1" s="1"/>
  <c r="D52" i="2"/>
  <c r="O57" i="1" s="1"/>
  <c r="O50" i="2"/>
  <c r="AD46" i="2"/>
  <c r="Q46" i="2"/>
  <c r="F6" i="3" s="1"/>
  <c r="Q33" i="2"/>
  <c r="F5" i="3" s="1"/>
  <c r="B44" i="2"/>
  <c r="B46" i="2" s="1"/>
  <c r="E6" i="3" s="1"/>
  <c r="B31" i="2"/>
  <c r="B33" i="2" s="1"/>
  <c r="E5" i="3" s="1"/>
  <c r="B17" i="2"/>
  <c r="B20" i="2" s="1"/>
  <c r="E4" i="3" s="1"/>
  <c r="N12" i="2"/>
  <c r="M12" i="2"/>
  <c r="L12" i="2"/>
  <c r="K12" i="2"/>
  <c r="J12" i="2"/>
  <c r="I12" i="2"/>
  <c r="H12" i="2"/>
  <c r="G12" i="2"/>
  <c r="F12" i="2"/>
  <c r="F77" i="2"/>
  <c r="E12" i="2"/>
  <c r="C12" i="2"/>
  <c r="N11" i="2"/>
  <c r="M11" i="2"/>
  <c r="L11" i="2"/>
  <c r="K11" i="2"/>
  <c r="J11" i="2"/>
  <c r="I11" i="2"/>
  <c r="H11" i="2"/>
  <c r="G11" i="2"/>
  <c r="F11" i="2"/>
  <c r="E11" i="2"/>
  <c r="D11" i="2"/>
  <c r="D76" i="2" s="1"/>
  <c r="C11" i="2"/>
  <c r="C76" i="2" s="1"/>
  <c r="N10" i="2"/>
  <c r="M10" i="2"/>
  <c r="M75" i="2" s="1"/>
  <c r="L10" i="2"/>
  <c r="K10" i="2"/>
  <c r="K13" i="2" s="1"/>
  <c r="V9" i="1" s="1"/>
  <c r="J10" i="2"/>
  <c r="J13" i="2"/>
  <c r="U9" i="1" s="1"/>
  <c r="I10" i="2"/>
  <c r="I75" i="2" s="1"/>
  <c r="H10" i="2"/>
  <c r="H13" i="2" s="1"/>
  <c r="S9" i="1" s="1"/>
  <c r="G10" i="2"/>
  <c r="G13" i="2"/>
  <c r="R9" i="1" s="1"/>
  <c r="F10" i="2"/>
  <c r="E10" i="2"/>
  <c r="E13" i="2" s="1"/>
  <c r="P9" i="1" s="1"/>
  <c r="P11" i="1" s="1"/>
  <c r="D10" i="2"/>
  <c r="C10" i="2"/>
  <c r="O10" i="2" s="1"/>
  <c r="CL12" i="2"/>
  <c r="CL11" i="2"/>
  <c r="CL10" i="2"/>
  <c r="BW12" i="2"/>
  <c r="BW11" i="2"/>
  <c r="BW10" i="2"/>
  <c r="BH12" i="2"/>
  <c r="BH11" i="2"/>
  <c r="BH10" i="2"/>
  <c r="AS12" i="2"/>
  <c r="AS11" i="2"/>
  <c r="AS10" i="2"/>
  <c r="B12" i="2"/>
  <c r="B11" i="2"/>
  <c r="AD11" i="2"/>
  <c r="AD10" i="2"/>
  <c r="CK13" i="2"/>
  <c r="CJ13" i="2"/>
  <c r="CI13" i="2"/>
  <c r="CH13" i="2"/>
  <c r="CG13" i="2"/>
  <c r="CF13" i="2"/>
  <c r="CE13" i="2"/>
  <c r="CD13" i="2"/>
  <c r="CC13" i="2"/>
  <c r="CL13" i="2" s="1"/>
  <c r="CB13" i="2"/>
  <c r="CA13" i="2"/>
  <c r="BZ13" i="2"/>
  <c r="BY13" i="2"/>
  <c r="BV13" i="2"/>
  <c r="BU13" i="2"/>
  <c r="BT13" i="2"/>
  <c r="BS13" i="2"/>
  <c r="BR13" i="2"/>
  <c r="BQ13" i="2"/>
  <c r="BP13" i="2"/>
  <c r="BN13" i="2"/>
  <c r="BW13" i="2" s="1"/>
  <c r="BM13" i="2"/>
  <c r="BL13" i="2"/>
  <c r="BK13" i="2"/>
  <c r="BJ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BH13" i="2" s="1"/>
  <c r="AU13" i="2"/>
  <c r="AR13" i="2"/>
  <c r="AQ13" i="2"/>
  <c r="AP13" i="2"/>
  <c r="AO13" i="2"/>
  <c r="AN13" i="2"/>
  <c r="AM13" i="2"/>
  <c r="AL13" i="2"/>
  <c r="AK13" i="2"/>
  <c r="AJ13" i="2"/>
  <c r="AI13" i="2"/>
  <c r="AH13" i="2"/>
  <c r="AS13" i="2" s="1"/>
  <c r="AG13" i="2"/>
  <c r="AF13" i="2"/>
  <c r="AC13" i="2"/>
  <c r="Y13" i="1"/>
  <c r="AB13" i="2"/>
  <c r="X13" i="1" s="1"/>
  <c r="AA13" i="2"/>
  <c r="W13" i="1"/>
  <c r="Z13" i="2"/>
  <c r="V13" i="1" s="1"/>
  <c r="Y13" i="2"/>
  <c r="U13" i="1"/>
  <c r="X13" i="2"/>
  <c r="T13" i="1" s="1"/>
  <c r="T15" i="1" s="1"/>
  <c r="W13" i="2"/>
  <c r="S13" i="1"/>
  <c r="V13" i="2"/>
  <c r="R13" i="1" s="1"/>
  <c r="U13" i="2"/>
  <c r="Q13" i="1"/>
  <c r="Q15" i="1" s="1"/>
  <c r="T13" i="2"/>
  <c r="P13" i="1" s="1"/>
  <c r="P15" i="1" s="1"/>
  <c r="R13" i="2"/>
  <c r="N13" i="1" s="1"/>
  <c r="Q13" i="2"/>
  <c r="N13" i="2"/>
  <c r="Y9" i="1" s="1"/>
  <c r="L13" i="2"/>
  <c r="W9" i="1" s="1"/>
  <c r="B10" i="2"/>
  <c r="Q4" i="2"/>
  <c r="B4" i="2" s="1"/>
  <c r="Q5" i="2"/>
  <c r="B5" i="2" s="1"/>
  <c r="B6" i="2"/>
  <c r="AC7" i="2"/>
  <c r="Y14" i="1"/>
  <c r="Y16" i="1" s="1"/>
  <c r="AB7" i="2"/>
  <c r="X14" i="1" s="1"/>
  <c r="X16" i="1" s="1"/>
  <c r="AA7" i="2"/>
  <c r="W14" i="1"/>
  <c r="W16" i="1" s="1"/>
  <c r="Z7" i="2"/>
  <c r="V14" i="1" s="1"/>
  <c r="V16" i="1" s="1"/>
  <c r="Y7" i="2"/>
  <c r="U14" i="1"/>
  <c r="U16" i="1" s="1"/>
  <c r="X7" i="2"/>
  <c r="T14" i="1" s="1"/>
  <c r="T16" i="1" s="1"/>
  <c r="W7" i="2"/>
  <c r="S14" i="1"/>
  <c r="S16" i="1" s="1"/>
  <c r="V7" i="2"/>
  <c r="R14" i="1" s="1"/>
  <c r="R16" i="1" s="1"/>
  <c r="U7" i="2"/>
  <c r="Q14" i="1"/>
  <c r="Q16" i="1" s="1"/>
  <c r="T7" i="2"/>
  <c r="P14" i="1" s="1"/>
  <c r="P16" i="1" s="1"/>
  <c r="S7" i="2"/>
  <c r="O14" i="1"/>
  <c r="O16" i="1" s="1"/>
  <c r="R7" i="2"/>
  <c r="N14" i="1" s="1"/>
  <c r="N16" i="1" s="1"/>
  <c r="AD6" i="2"/>
  <c r="AD5" i="2"/>
  <c r="AD4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CL6" i="2"/>
  <c r="CL5" i="2"/>
  <c r="CL4" i="2"/>
  <c r="BV7" i="2"/>
  <c r="BU7" i="2"/>
  <c r="BT7" i="2"/>
  <c r="BS7" i="2"/>
  <c r="BR7" i="2"/>
  <c r="BQ7" i="2"/>
  <c r="BP7" i="2"/>
  <c r="BO7" i="2"/>
  <c r="BN7" i="2"/>
  <c r="BM7" i="2"/>
  <c r="BL7" i="2"/>
  <c r="BK7" i="2"/>
  <c r="BW6" i="2"/>
  <c r="BG7" i="2"/>
  <c r="BF7" i="2"/>
  <c r="BE7" i="2"/>
  <c r="BD7" i="2"/>
  <c r="BC7" i="2"/>
  <c r="BB7" i="2"/>
  <c r="BA7" i="2"/>
  <c r="AZ7" i="2"/>
  <c r="AY7" i="2"/>
  <c r="BH7" i="2" s="1"/>
  <c r="AX7" i="2"/>
  <c r="AW7" i="2"/>
  <c r="AV7" i="2"/>
  <c r="AU7" i="2"/>
  <c r="BH6" i="2"/>
  <c r="BH5" i="2"/>
  <c r="BH4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S6" i="2"/>
  <c r="AS5" i="2"/>
  <c r="AS4" i="2"/>
  <c r="M7" i="2"/>
  <c r="X10" i="1" s="1"/>
  <c r="X12" i="1" s="1"/>
  <c r="L7" i="2"/>
  <c r="W10" i="1" s="1"/>
  <c r="W12" i="1" s="1"/>
  <c r="K7" i="2"/>
  <c r="V10" i="1" s="1"/>
  <c r="V12" i="1" s="1"/>
  <c r="J7" i="2"/>
  <c r="U10" i="1" s="1"/>
  <c r="U12" i="1" s="1"/>
  <c r="I7" i="2"/>
  <c r="T10" i="1" s="1"/>
  <c r="T12" i="1" s="1"/>
  <c r="H7" i="2"/>
  <c r="S10" i="1" s="1"/>
  <c r="H1" i="2" s="1"/>
  <c r="J1" i="2" s="1"/>
  <c r="G7" i="2"/>
  <c r="R10" i="1" s="1"/>
  <c r="R12" i="1" s="1"/>
  <c r="E7" i="2"/>
  <c r="P10" i="1" s="1"/>
  <c r="P12" i="1" s="1"/>
  <c r="D7" i="2"/>
  <c r="O10" i="1" s="1"/>
  <c r="N7" i="2"/>
  <c r="Y10" i="1" s="1"/>
  <c r="Y12" i="1" s="1"/>
  <c r="O6" i="2"/>
  <c r="O4" i="2"/>
  <c r="C7" i="2"/>
  <c r="N10" i="1" s="1"/>
  <c r="N12" i="1" s="1"/>
  <c r="I39" i="1"/>
  <c r="G75" i="2"/>
  <c r="CL7" i="2"/>
  <c r="H57" i="2"/>
  <c r="G59" i="2"/>
  <c r="I13" i="2"/>
  <c r="T9" i="1" s="1"/>
  <c r="T11" i="1" s="1"/>
  <c r="AS7" i="2"/>
  <c r="BW7" i="2"/>
  <c r="O11" i="2"/>
  <c r="F13" i="2"/>
  <c r="Q9" i="1" s="1"/>
  <c r="Q11" i="1" s="1"/>
  <c r="AD7" i="2"/>
  <c r="B13" i="2"/>
  <c r="Q7" i="2"/>
  <c r="F3" i="3" s="1"/>
  <c r="I57" i="2"/>
  <c r="J57" i="2" s="1"/>
  <c r="H70" i="2"/>
  <c r="H59" i="2"/>
  <c r="C40" i="1"/>
  <c r="D40" i="1"/>
  <c r="E40" i="1"/>
  <c r="F40" i="1"/>
  <c r="G40" i="1"/>
  <c r="I40" i="1"/>
  <c r="H39" i="1"/>
  <c r="G39" i="1"/>
  <c r="F39" i="1"/>
  <c r="E39" i="1"/>
  <c r="D39" i="1"/>
  <c r="C39" i="1"/>
  <c r="I32" i="1"/>
  <c r="G32" i="1"/>
  <c r="F32" i="1"/>
  <c r="E32" i="1"/>
  <c r="D32" i="1"/>
  <c r="I23" i="1"/>
  <c r="G23" i="1"/>
  <c r="F23" i="1"/>
  <c r="E23" i="1"/>
  <c r="D23" i="1"/>
  <c r="C23" i="1"/>
  <c r="I14" i="1"/>
  <c r="G14" i="1"/>
  <c r="F14" i="1"/>
  <c r="E14" i="1"/>
  <c r="D14" i="1"/>
  <c r="C14" i="1"/>
  <c r="I5" i="1"/>
  <c r="G5" i="1"/>
  <c r="F5" i="1"/>
  <c r="E5" i="1"/>
  <c r="D5" i="1"/>
  <c r="C5" i="1"/>
  <c r="I70" i="2"/>
  <c r="I59" i="2"/>
  <c r="O36" i="3"/>
  <c r="AB35" i="1" s="1"/>
  <c r="B9" i="5"/>
  <c r="C9" i="5"/>
  <c r="D9" i="5"/>
  <c r="E9" i="5"/>
  <c r="F9" i="5"/>
  <c r="G9" i="5"/>
  <c r="H9" i="5"/>
  <c r="I9" i="5"/>
  <c r="J9" i="5"/>
  <c r="K9" i="5"/>
  <c r="L9" i="5"/>
  <c r="M9" i="5"/>
  <c r="B10" i="5"/>
  <c r="C10" i="5"/>
  <c r="D10" i="5"/>
  <c r="E10" i="5"/>
  <c r="F10" i="5"/>
  <c r="G10" i="5"/>
  <c r="H10" i="5"/>
  <c r="I10" i="5"/>
  <c r="J10" i="5"/>
  <c r="K10" i="5"/>
  <c r="L10" i="5"/>
  <c r="M10" i="5"/>
  <c r="B11" i="5"/>
  <c r="C11" i="5"/>
  <c r="D11" i="5"/>
  <c r="E11" i="5"/>
  <c r="F11" i="5"/>
  <c r="G11" i="5"/>
  <c r="H11" i="5"/>
  <c r="I11" i="5"/>
  <c r="J11" i="5"/>
  <c r="K11" i="5"/>
  <c r="L11" i="5"/>
  <c r="M11" i="5"/>
  <c r="B12" i="5"/>
  <c r="C12" i="5"/>
  <c r="D12" i="5"/>
  <c r="E12" i="5"/>
  <c r="F12" i="5"/>
  <c r="G12" i="5"/>
  <c r="H12" i="5"/>
  <c r="I12" i="5"/>
  <c r="J12" i="5"/>
  <c r="K12" i="5"/>
  <c r="L12" i="5"/>
  <c r="M12" i="5"/>
  <c r="B30" i="5"/>
  <c r="J59" i="2" l="1"/>
  <c r="J70" i="2"/>
  <c r="J72" i="2" s="1"/>
  <c r="K57" i="2"/>
  <c r="H26" i="1"/>
  <c r="I5" i="3"/>
  <c r="H27" i="1" s="1"/>
  <c r="G4" i="3"/>
  <c r="G3" i="3"/>
  <c r="H15" i="1"/>
  <c r="H4" i="3"/>
  <c r="H16" i="1" s="1"/>
  <c r="I6" i="3"/>
  <c r="H36" i="1" s="1"/>
  <c r="H35" i="1"/>
  <c r="H5" i="3"/>
  <c r="H25" i="1" s="1"/>
  <c r="H24" i="1"/>
  <c r="F63" i="2"/>
  <c r="E76" i="2"/>
  <c r="E65" i="2"/>
  <c r="N58" i="1"/>
  <c r="N60" i="1" s="1"/>
  <c r="Z60" i="1" s="1"/>
  <c r="O46" i="2"/>
  <c r="O12" i="2"/>
  <c r="D77" i="2"/>
  <c r="D13" i="2"/>
  <c r="O9" i="1" s="1"/>
  <c r="O11" i="1" s="1"/>
  <c r="H8" i="1"/>
  <c r="I3" i="3"/>
  <c r="H9" i="1" s="1"/>
  <c r="B7" i="2"/>
  <c r="E3" i="3" s="1"/>
  <c r="H6" i="3"/>
  <c r="H34" i="1" s="1"/>
  <c r="H33" i="1"/>
  <c r="H64" i="2"/>
  <c r="G77" i="2"/>
  <c r="O7" i="2"/>
  <c r="B70" i="2"/>
  <c r="M13" i="2"/>
  <c r="X9" i="1" s="1"/>
  <c r="C75" i="2"/>
  <c r="C77" i="2"/>
  <c r="E77" i="2"/>
  <c r="C52" i="2"/>
  <c r="O37" i="2"/>
  <c r="F26" i="2"/>
  <c r="Q25" i="1" s="1"/>
  <c r="O33" i="2"/>
  <c r="F70" i="2"/>
  <c r="F72" i="2" s="1"/>
  <c r="D75" i="2"/>
  <c r="K52" i="2"/>
  <c r="V57" i="1" s="1"/>
  <c r="O44" i="2"/>
  <c r="I69" i="2"/>
  <c r="K71" i="2"/>
  <c r="L71" i="2"/>
  <c r="M69" i="2"/>
  <c r="N69" i="2"/>
  <c r="CO69" i="2"/>
  <c r="DB6" i="2"/>
  <c r="DO7" i="2"/>
  <c r="AA42" i="1"/>
  <c r="AA44" i="1" s="1"/>
  <c r="E75" i="2"/>
  <c r="E78" i="2" s="1"/>
  <c r="B69" i="2"/>
  <c r="B72" i="2" s="1"/>
  <c r="AD12" i="2"/>
  <c r="C13" i="2"/>
  <c r="H75" i="2"/>
  <c r="AD33" i="2"/>
  <c r="O25" i="1"/>
  <c r="O27" i="1" s="1"/>
  <c r="D39" i="2"/>
  <c r="L39" i="2"/>
  <c r="W41" i="1" s="1"/>
  <c r="Q20" i="2"/>
  <c r="F4" i="3" s="1"/>
  <c r="I4" i="3" s="1"/>
  <c r="H18" i="1" s="1"/>
  <c r="J26" i="2"/>
  <c r="U25" i="1" s="1"/>
  <c r="O29" i="1"/>
  <c r="O31" i="1" s="1"/>
  <c r="O43" i="2"/>
  <c r="C70" i="2"/>
  <c r="E71" i="2"/>
  <c r="E72" i="2" s="1"/>
  <c r="K69" i="2"/>
  <c r="DM10" i="2"/>
  <c r="CN10" i="2"/>
  <c r="DA13" i="2"/>
  <c r="AB25" i="1"/>
  <c r="AB27" i="1" s="1"/>
  <c r="AM27" i="1" s="1"/>
  <c r="CZ26" i="2"/>
  <c r="AA26" i="1"/>
  <c r="AA28" i="1" s="1"/>
  <c r="H71" i="2"/>
  <c r="M71" i="2"/>
  <c r="CN69" i="2"/>
  <c r="CO70" i="2"/>
  <c r="CZ18" i="2"/>
  <c r="CO20" i="2"/>
  <c r="AB26" i="1" s="1"/>
  <c r="AB28" i="1" s="1"/>
  <c r="G70" i="2"/>
  <c r="G72" i="2" s="1"/>
  <c r="S13" i="2"/>
  <c r="F75" i="2"/>
  <c r="N75" i="2"/>
  <c r="O45" i="2"/>
  <c r="F59" i="2"/>
  <c r="D70" i="2"/>
  <c r="D72" i="2" s="1"/>
  <c r="F71" i="2"/>
  <c r="H69" i="2"/>
  <c r="I71" i="2"/>
  <c r="N71" i="2"/>
  <c r="DN7" i="2"/>
  <c r="DA6" i="2"/>
  <c r="DZ6" i="2"/>
  <c r="DM12" i="2"/>
  <c r="CO12" i="2"/>
  <c r="CO13" i="2" s="1"/>
  <c r="AB9" i="1" s="1"/>
  <c r="DB13" i="2"/>
  <c r="AB13" i="1" s="1"/>
  <c r="AB15" i="1" s="1"/>
  <c r="G52" i="3"/>
  <c r="DZ7" i="2"/>
  <c r="AB31" i="1"/>
  <c r="AA27" i="1"/>
  <c r="CT33" i="2"/>
  <c r="AG42" i="1" s="1"/>
  <c r="AG44" i="1" s="1"/>
  <c r="CO51" i="2"/>
  <c r="DM51" i="2"/>
  <c r="DM45" i="2"/>
  <c r="DA46" i="2"/>
  <c r="CN45" i="2"/>
  <c r="DM31" i="2"/>
  <c r="CP31" i="2"/>
  <c r="CP70" i="2" s="1"/>
  <c r="CR49" i="2"/>
  <c r="DE52" i="2"/>
  <c r="AE61" i="1" s="1"/>
  <c r="AE63" i="1" s="1"/>
  <c r="DF39" i="2"/>
  <c r="AF45" i="1" s="1"/>
  <c r="AF47" i="1" s="1"/>
  <c r="CS37" i="2"/>
  <c r="DG39" i="2"/>
  <c r="AG45" i="1" s="1"/>
  <c r="AG47" i="1" s="1"/>
  <c r="CT36" i="2"/>
  <c r="DH39" i="2"/>
  <c r="AH45" i="1" s="1"/>
  <c r="CU36" i="2"/>
  <c r="CV49" i="2"/>
  <c r="DI52" i="2"/>
  <c r="AI61" i="1" s="1"/>
  <c r="N53" i="3"/>
  <c r="N61" i="3" s="1"/>
  <c r="N45" i="3" s="1"/>
  <c r="CZ12" i="2"/>
  <c r="CO49" i="2"/>
  <c r="DM49" i="2"/>
  <c r="DB52" i="2"/>
  <c r="CQ36" i="2"/>
  <c r="DD39" i="2"/>
  <c r="AD45" i="1" s="1"/>
  <c r="AD47" i="1" s="1"/>
  <c r="CW43" i="2"/>
  <c r="DM43" i="2"/>
  <c r="DJ46" i="2"/>
  <c r="AJ62" i="1" s="1"/>
  <c r="AJ64" i="1" s="1"/>
  <c r="DK39" i="2"/>
  <c r="AK45" i="1" s="1"/>
  <c r="AK47" i="1" s="1"/>
  <c r="CX36" i="2"/>
  <c r="CX39" i="2" s="1"/>
  <c r="AK41" i="1" s="1"/>
  <c r="D59" i="3"/>
  <c r="D27" i="3" s="1"/>
  <c r="P19" i="1" s="1"/>
  <c r="P23" i="1" s="1"/>
  <c r="O58" i="3"/>
  <c r="AA47" i="1"/>
  <c r="AB47" i="1"/>
  <c r="CO50" i="2"/>
  <c r="CO76" i="2" s="1"/>
  <c r="DM50" i="2"/>
  <c r="CP38" i="2"/>
  <c r="DC39" i="2"/>
  <c r="DG52" i="2"/>
  <c r="AG61" i="1" s="1"/>
  <c r="CT51" i="2"/>
  <c r="DI33" i="2"/>
  <c r="AI46" i="1" s="1"/>
  <c r="AI48" i="1" s="1"/>
  <c r="CV30" i="2"/>
  <c r="DI39" i="2"/>
  <c r="AI45" i="1" s="1"/>
  <c r="AI47" i="1" s="1"/>
  <c r="CV36" i="2"/>
  <c r="CV39" i="2" s="1"/>
  <c r="AI41" i="1" s="1"/>
  <c r="AI43" i="1" s="1"/>
  <c r="DJ39" i="2"/>
  <c r="AJ45" i="1" s="1"/>
  <c r="AJ47" i="1" s="1"/>
  <c r="CW38" i="2"/>
  <c r="DK52" i="2"/>
  <c r="AK61" i="1" s="1"/>
  <c r="AK63" i="1" s="1"/>
  <c r="CX49" i="2"/>
  <c r="AA37" i="1"/>
  <c r="AA63" i="1"/>
  <c r="CZ50" i="2"/>
  <c r="DC33" i="2"/>
  <c r="DM30" i="2"/>
  <c r="CP30" i="2"/>
  <c r="DF33" i="2"/>
  <c r="AF46" i="1" s="1"/>
  <c r="AF48" i="1" s="1"/>
  <c r="CS31" i="2"/>
  <c r="DG33" i="2"/>
  <c r="AG46" i="1" s="1"/>
  <c r="AG48" i="1" s="1"/>
  <c r="CT32" i="2"/>
  <c r="DJ33" i="2"/>
  <c r="AJ46" i="1" s="1"/>
  <c r="AJ48" i="1" s="1"/>
  <c r="CW30" i="2"/>
  <c r="CW33" i="2" s="1"/>
  <c r="AJ42" i="1" s="1"/>
  <c r="AJ44" i="1" s="1"/>
  <c r="CW49" i="2"/>
  <c r="DJ52" i="2"/>
  <c r="AJ61" i="1" s="1"/>
  <c r="AJ63" i="1" s="1"/>
  <c r="CX43" i="2"/>
  <c r="DK46" i="2"/>
  <c r="AK62" i="1" s="1"/>
  <c r="AK64" i="1" s="1"/>
  <c r="FQ39" i="2"/>
  <c r="AP41" i="1" s="1"/>
  <c r="FU69" i="2"/>
  <c r="FU46" i="2"/>
  <c r="AQ58" i="1"/>
  <c r="AQ60" i="1" s="1"/>
  <c r="FR47" i="2"/>
  <c r="AO26" i="1"/>
  <c r="AO28" i="1" s="1"/>
  <c r="FO33" i="2"/>
  <c r="AN46" i="1"/>
  <c r="AN48" i="1" s="1"/>
  <c r="AN41" i="1"/>
  <c r="AQ26" i="1"/>
  <c r="AQ28" i="1" s="1"/>
  <c r="FR21" i="2"/>
  <c r="FM52" i="2"/>
  <c r="FO72" i="2"/>
  <c r="AO30" i="1"/>
  <c r="AO32" i="1" s="1"/>
  <c r="FR27" i="2"/>
  <c r="AQ25" i="1"/>
  <c r="AP9" i="1"/>
  <c r="GA13" i="2"/>
  <c r="GA43" i="2"/>
  <c r="FR75" i="2"/>
  <c r="GN52" i="2"/>
  <c r="FS33" i="2"/>
  <c r="AS42" i="1" s="1"/>
  <c r="AS44" i="1" s="1"/>
  <c r="FR69" i="2"/>
  <c r="AQ10" i="1"/>
  <c r="AQ12" i="1" s="1"/>
  <c r="FP37" i="2"/>
  <c r="GN37" i="2"/>
  <c r="GD39" i="2"/>
  <c r="GH33" i="2"/>
  <c r="AT46" i="1" s="1"/>
  <c r="AT48" i="1" s="1"/>
  <c r="FW45" i="2"/>
  <c r="GN45" i="2"/>
  <c r="FW36" i="2"/>
  <c r="GJ39" i="2"/>
  <c r="AV45" i="1" s="1"/>
  <c r="FX38" i="2"/>
  <c r="GK39" i="2"/>
  <c r="AW45" i="1" s="1"/>
  <c r="AW77" i="1" s="1"/>
  <c r="GM20" i="2"/>
  <c r="AY30" i="1" s="1"/>
  <c r="AY32" i="1" s="1"/>
  <c r="FZ19" i="2"/>
  <c r="IT18" i="2"/>
  <c r="IF18" i="2"/>
  <c r="HS18" i="2" s="1"/>
  <c r="FT36" i="2"/>
  <c r="GG39" i="2"/>
  <c r="AS45" i="1" s="1"/>
  <c r="AS77" i="1" s="1"/>
  <c r="FU70" i="2"/>
  <c r="GN32" i="2"/>
  <c r="FV32" i="2"/>
  <c r="EN46" i="2"/>
  <c r="EZ46" i="2" s="1"/>
  <c r="FA46" i="2"/>
  <c r="FM46" i="2" s="1"/>
  <c r="FO70" i="2"/>
  <c r="FC46" i="2"/>
  <c r="FP71" i="2"/>
  <c r="FR37" i="2"/>
  <c r="GE39" i="2"/>
  <c r="AQ45" i="1" s="1"/>
  <c r="GI33" i="2"/>
  <c r="AU46" i="1" s="1"/>
  <c r="AU48" i="1" s="1"/>
  <c r="FV30" i="2"/>
  <c r="FV33" i="2" s="1"/>
  <c r="AV42" i="1" s="1"/>
  <c r="GF36" i="2"/>
  <c r="JD50" i="2"/>
  <c r="JQ52" i="2"/>
  <c r="JH50" i="2"/>
  <c r="JU52" i="2"/>
  <c r="JL50" i="2"/>
  <c r="JY52" i="2"/>
  <c r="IE19" i="2"/>
  <c r="IS19" i="2"/>
  <c r="BA21" i="3"/>
  <c r="AO57" i="3"/>
  <c r="GD26" i="2"/>
  <c r="GN36" i="2"/>
  <c r="FO51" i="2"/>
  <c r="HN30" i="2"/>
  <c r="HC39" i="2"/>
  <c r="HN39" i="2" s="1"/>
  <c r="IR20" i="2"/>
  <c r="JR52" i="2"/>
  <c r="JB25" i="2"/>
  <c r="JB26" i="2" s="1"/>
  <c r="IE25" i="2"/>
  <c r="IE23" i="2"/>
  <c r="IR26" i="2"/>
  <c r="II23" i="2"/>
  <c r="HV23" i="2" s="1"/>
  <c r="IV26" i="2"/>
  <c r="IM23" i="2"/>
  <c r="HZ23" i="2" s="1"/>
  <c r="IZ26" i="2"/>
  <c r="IE24" i="2"/>
  <c r="HR24" i="2" s="1"/>
  <c r="HU38" i="2"/>
  <c r="IU32" i="2"/>
  <c r="IG32" i="2"/>
  <c r="HT32" i="2" s="1"/>
  <c r="IE4" i="2"/>
  <c r="HR4" i="2" s="1"/>
  <c r="IR7" i="2"/>
  <c r="JT44" i="2"/>
  <c r="JF44" i="2"/>
  <c r="HN36" i="2"/>
  <c r="GY20" i="2"/>
  <c r="HA20" i="2" s="1"/>
  <c r="IQ39" i="2"/>
  <c r="IU39" i="2"/>
  <c r="IY39" i="2"/>
  <c r="KB50" i="2"/>
  <c r="JB58" i="2"/>
  <c r="IS26" i="2"/>
  <c r="IF23" i="2"/>
  <c r="IJ23" i="2"/>
  <c r="IW26" i="2"/>
  <c r="IN23" i="2"/>
  <c r="JA26" i="2"/>
  <c r="JQ46" i="2"/>
  <c r="IE31" i="2"/>
  <c r="HR31" i="2" s="1"/>
  <c r="AM48" i="3"/>
  <c r="AN48" i="3" s="1"/>
  <c r="KB51" i="2"/>
  <c r="JZ52" i="2"/>
  <c r="JB57" i="2"/>
  <c r="IC38" i="2"/>
  <c r="JB32" i="2"/>
  <c r="JB6" i="2"/>
  <c r="ID5" i="2"/>
  <c r="HQ5" i="2" s="1"/>
  <c r="JB5" i="2"/>
  <c r="IQ7" i="2"/>
  <c r="IC18" i="2"/>
  <c r="IP20" i="2"/>
  <c r="IS17" i="2"/>
  <c r="IE17" i="2"/>
  <c r="JB17" i="2"/>
  <c r="IT31" i="2"/>
  <c r="IF31" i="2"/>
  <c r="HS31" i="2" s="1"/>
  <c r="JD45" i="2"/>
  <c r="KB45" i="2"/>
  <c r="BX4" i="1"/>
  <c r="BX8" i="1" s="1"/>
  <c r="BA14" i="3"/>
  <c r="JB37" i="2"/>
  <c r="JB39" i="2" s="1"/>
  <c r="IC37" i="2"/>
  <c r="BA48" i="3"/>
  <c r="IP33" i="2"/>
  <c r="IF32" i="2"/>
  <c r="BX20" i="1"/>
  <c r="BA23" i="3"/>
  <c r="ID36" i="2"/>
  <c r="IS30" i="2"/>
  <c r="IQ33" i="2"/>
  <c r="IX59" i="2"/>
  <c r="CF89" i="1" s="1"/>
  <c r="IC12" i="2"/>
  <c r="HP12" i="2" s="1"/>
  <c r="BA32" i="3"/>
  <c r="IE30" i="2"/>
  <c r="IR33" i="2"/>
  <c r="IU59" i="2"/>
  <c r="CC89" i="1" s="1"/>
  <c r="IY59" i="2"/>
  <c r="CG89" i="1" s="1"/>
  <c r="ID12" i="2"/>
  <c r="BA12" i="3"/>
  <c r="BA30" i="3"/>
  <c r="BA39" i="3"/>
  <c r="BA49" i="3"/>
  <c r="BX86" i="1"/>
  <c r="CJ86" i="1" s="1"/>
  <c r="BA50" i="3"/>
  <c r="BX52" i="1"/>
  <c r="BA41" i="3"/>
  <c r="IC36" i="2"/>
  <c r="IE32" i="2"/>
  <c r="CJ4" i="1"/>
  <c r="DA17" i="1" s="1"/>
  <c r="CJ6" i="1"/>
  <c r="CJ5" i="1"/>
  <c r="CJ22" i="1"/>
  <c r="CJ52" i="1"/>
  <c r="E41" i="1"/>
  <c r="CX7" i="1"/>
  <c r="C41" i="1"/>
  <c r="F7" i="3"/>
  <c r="G6" i="3"/>
  <c r="H17" i="1"/>
  <c r="AY15" i="1"/>
  <c r="G5" i="3"/>
  <c r="AV63" i="1"/>
  <c r="AX24" i="1"/>
  <c r="AY56" i="1"/>
  <c r="BZ56" i="1"/>
  <c r="G41" i="1"/>
  <c r="F41" i="1"/>
  <c r="D41" i="1"/>
  <c r="T24" i="1"/>
  <c r="X24" i="1"/>
  <c r="IR56" i="2"/>
  <c r="IR59" i="2" s="1"/>
  <c r="BZ89" i="1" s="1"/>
  <c r="I41" i="1"/>
  <c r="N78" i="1"/>
  <c r="N80" i="1" s="1"/>
  <c r="U70" i="1"/>
  <c r="AE70" i="1"/>
  <c r="W56" i="1"/>
  <c r="BA37" i="1"/>
  <c r="JE59" i="2"/>
  <c r="O8" i="1"/>
  <c r="Q24" i="1"/>
  <c r="N40" i="1"/>
  <c r="S68" i="1"/>
  <c r="AH56" i="1"/>
  <c r="Q40" i="1"/>
  <c r="T40" i="1"/>
  <c r="AE24" i="1"/>
  <c r="AV56" i="1"/>
  <c r="Y24" i="1"/>
  <c r="U68" i="1"/>
  <c r="AH40" i="1"/>
  <c r="AI8" i="1"/>
  <c r="AP74" i="1"/>
  <c r="AP76" i="1" s="1"/>
  <c r="AS78" i="1"/>
  <c r="AS80" i="1" s="1"/>
  <c r="AS56" i="1"/>
  <c r="AV70" i="1"/>
  <c r="AW68" i="1"/>
  <c r="AX40" i="1"/>
  <c r="Q77" i="1"/>
  <c r="P8" i="1"/>
  <c r="R24" i="1"/>
  <c r="Q56" i="1"/>
  <c r="AA31" i="1"/>
  <c r="AB68" i="1"/>
  <c r="AB24" i="1"/>
  <c r="AB40" i="1"/>
  <c r="AB56" i="1"/>
  <c r="AH24" i="1"/>
  <c r="AK24" i="1"/>
  <c r="BY24" i="1"/>
  <c r="Y68" i="1"/>
  <c r="AQ40" i="1"/>
  <c r="AT8" i="1"/>
  <c r="BA58" i="1"/>
  <c r="X77" i="1"/>
  <c r="AO40" i="1"/>
  <c r="AO56" i="1"/>
  <c r="S24" i="1"/>
  <c r="T56" i="1"/>
  <c r="V24" i="1"/>
  <c r="V68" i="1"/>
  <c r="AC24" i="1"/>
  <c r="AF56" i="1"/>
  <c r="AI40" i="1"/>
  <c r="AI68" i="1"/>
  <c r="AN8" i="1"/>
  <c r="AQ11" i="1"/>
  <c r="AQ68" i="1"/>
  <c r="AV8" i="1"/>
  <c r="AV24" i="1"/>
  <c r="AV77" i="1"/>
  <c r="AW24" i="1"/>
  <c r="V11" i="1"/>
  <c r="V47" i="1"/>
  <c r="AZ20" i="1"/>
  <c r="S8" i="1"/>
  <c r="AL24" i="1"/>
  <c r="AS48" i="1"/>
  <c r="AQ31" i="1"/>
  <c r="AQ56" i="1"/>
  <c r="S78" i="1"/>
  <c r="S80" i="1" s="1"/>
  <c r="U24" i="1"/>
  <c r="Y8" i="1"/>
  <c r="Y40" i="1"/>
  <c r="AA43" i="1"/>
  <c r="AA24" i="1"/>
  <c r="AA40" i="1"/>
  <c r="AG56" i="1"/>
  <c r="AJ40" i="1"/>
  <c r="AO8" i="1"/>
  <c r="AU68" i="1"/>
  <c r="AY24" i="1"/>
  <c r="U77" i="1"/>
  <c r="S40" i="1"/>
  <c r="Z25" i="1"/>
  <c r="R39" i="1"/>
  <c r="AL74" i="1"/>
  <c r="AL76" i="1" s="1"/>
  <c r="AG8" i="1"/>
  <c r="AG40" i="1"/>
  <c r="AK8" i="1"/>
  <c r="AK40" i="1"/>
  <c r="AN56" i="1"/>
  <c r="AQ77" i="1"/>
  <c r="AW31" i="1"/>
  <c r="AS59" i="1"/>
  <c r="AW59" i="1"/>
  <c r="AQ8" i="1"/>
  <c r="S77" i="1"/>
  <c r="S79" i="1" s="1"/>
  <c r="Z61" i="1"/>
  <c r="Z22" i="1"/>
  <c r="P70" i="1"/>
  <c r="AB69" i="1"/>
  <c r="AM38" i="1"/>
  <c r="AD24" i="1"/>
  <c r="AD56" i="1"/>
  <c r="AJ56" i="1"/>
  <c r="AZ46" i="1"/>
  <c r="AL8" i="1"/>
  <c r="BB27" i="1"/>
  <c r="BK27" i="1" s="1"/>
  <c r="AZ4" i="1"/>
  <c r="AP8" i="1"/>
  <c r="AP68" i="1"/>
  <c r="AV68" i="1"/>
  <c r="AW8" i="1"/>
  <c r="AZ13" i="1"/>
  <c r="AB39" i="1"/>
  <c r="Z14" i="1"/>
  <c r="T77" i="1"/>
  <c r="Z58" i="1"/>
  <c r="O69" i="1"/>
  <c r="T68" i="1"/>
  <c r="AD70" i="1"/>
  <c r="AG70" i="1"/>
  <c r="AH70" i="1"/>
  <c r="AN28" i="1"/>
  <c r="AP44" i="1"/>
  <c r="BA22" i="1"/>
  <c r="AU43" i="1"/>
  <c r="AS8" i="1"/>
  <c r="AU8" i="1"/>
  <c r="AW40" i="1"/>
  <c r="AY73" i="1"/>
  <c r="V78" i="1"/>
  <c r="V80" i="1" s="1"/>
  <c r="P69" i="1"/>
  <c r="V8" i="1"/>
  <c r="AG24" i="1"/>
  <c r="AH8" i="1"/>
  <c r="AZ9" i="1"/>
  <c r="AP24" i="1"/>
  <c r="JC33" i="2"/>
  <c r="JD33" i="2"/>
  <c r="IP45" i="2"/>
  <c r="HQ32" i="2"/>
  <c r="HP32" i="2"/>
  <c r="HR32" i="2"/>
  <c r="JE33" i="2"/>
  <c r="JD59" i="2"/>
  <c r="HP19" i="2"/>
  <c r="KP46" i="2"/>
  <c r="HQ31" i="2"/>
  <c r="HP31" i="2"/>
  <c r="HQ17" i="2"/>
  <c r="G13" i="5"/>
  <c r="IQ56" i="2"/>
  <c r="IQ59" i="2" s="1"/>
  <c r="BY89" i="1" s="1"/>
  <c r="HQ19" i="2"/>
  <c r="IC20" i="2"/>
  <c r="BX30" i="1" s="1"/>
  <c r="HR19" i="2"/>
  <c r="IR43" i="2"/>
  <c r="HR18" i="2"/>
  <c r="KR46" i="2"/>
  <c r="IR44" i="2"/>
  <c r="U63" i="1"/>
  <c r="JE39" i="2"/>
  <c r="JC39" i="2"/>
  <c r="W40" i="1"/>
  <c r="W68" i="1"/>
  <c r="U74" i="1"/>
  <c r="U76" i="1" s="1"/>
  <c r="P78" i="1"/>
  <c r="P80" i="1" s="1"/>
  <c r="Z26" i="1"/>
  <c r="Q74" i="1"/>
  <c r="Q76" i="1" s="1"/>
  <c r="Z44" i="1"/>
  <c r="Z46" i="1"/>
  <c r="Y78" i="1"/>
  <c r="Y80" i="1" s="1"/>
  <c r="P77" i="1"/>
  <c r="P79" i="1" s="1"/>
  <c r="V77" i="1"/>
  <c r="P7" i="1"/>
  <c r="N8" i="1"/>
  <c r="R8" i="1"/>
  <c r="Q68" i="1"/>
  <c r="P24" i="1"/>
  <c r="Z36" i="1"/>
  <c r="R40" i="1"/>
  <c r="P56" i="1"/>
  <c r="Z54" i="1"/>
  <c r="U8" i="1"/>
  <c r="Y70" i="1"/>
  <c r="Y72" i="1" s="1"/>
  <c r="Y56" i="1"/>
  <c r="AE28" i="1"/>
  <c r="AE74" i="1"/>
  <c r="AE76" i="1" s="1"/>
  <c r="AB43" i="1"/>
  <c r="AH32" i="1"/>
  <c r="AH78" i="1"/>
  <c r="AH80" i="1" s="1"/>
  <c r="AK43" i="1"/>
  <c r="AL78" i="1"/>
  <c r="AL80" i="1" s="1"/>
  <c r="AF64" i="1"/>
  <c r="AM52" i="1"/>
  <c r="AA56" i="1"/>
  <c r="AK70" i="1"/>
  <c r="AR78" i="1"/>
  <c r="AR80" i="1" s="1"/>
  <c r="AN70" i="1"/>
  <c r="AQ24" i="1"/>
  <c r="AQ70" i="1"/>
  <c r="AX77" i="1"/>
  <c r="BA14" i="1"/>
  <c r="AX74" i="1"/>
  <c r="AX76" i="1" s="1"/>
  <c r="AX60" i="1"/>
  <c r="AD44" i="1"/>
  <c r="AD74" i="1"/>
  <c r="AD76" i="1" s="1"/>
  <c r="AD48" i="1"/>
  <c r="AD78" i="1"/>
  <c r="AD80" i="1" s="1"/>
  <c r="T74" i="1"/>
  <c r="T76" i="1" s="1"/>
  <c r="O59" i="1"/>
  <c r="P73" i="1"/>
  <c r="P75" i="1" s="1"/>
  <c r="Z64" i="1"/>
  <c r="Y77" i="1"/>
  <c r="S70" i="1"/>
  <c r="S72" i="1" s="1"/>
  <c r="T47" i="1"/>
  <c r="T8" i="1"/>
  <c r="T70" i="1"/>
  <c r="X40" i="1"/>
  <c r="X68" i="1"/>
  <c r="AB70" i="1"/>
  <c r="AB8" i="1"/>
  <c r="AE32" i="1"/>
  <c r="AE78" i="1"/>
  <c r="AE80" i="1" s="1"/>
  <c r="AC60" i="1"/>
  <c r="AE68" i="1"/>
  <c r="AE72" i="1" s="1"/>
  <c r="AO64" i="1"/>
  <c r="AO78" i="1"/>
  <c r="AO80" i="1" s="1"/>
  <c r="AR24" i="1"/>
  <c r="AU74" i="1"/>
  <c r="AU76" i="1" s="1"/>
  <c r="AX56" i="1"/>
  <c r="AZ52" i="1"/>
  <c r="AF28" i="1"/>
  <c r="AI60" i="1"/>
  <c r="R78" i="1"/>
  <c r="R80" i="1" s="1"/>
  <c r="Z10" i="1"/>
  <c r="Z29" i="1"/>
  <c r="W77" i="1"/>
  <c r="H40" i="1"/>
  <c r="H41" i="1" s="1"/>
  <c r="Q8" i="1"/>
  <c r="Z6" i="1"/>
  <c r="O68" i="1"/>
  <c r="N70" i="1"/>
  <c r="R70" i="1"/>
  <c r="P40" i="1"/>
  <c r="O40" i="1"/>
  <c r="N56" i="1"/>
  <c r="R68" i="1"/>
  <c r="R72" i="1" s="1"/>
  <c r="Q70" i="1"/>
  <c r="AH44" i="1"/>
  <c r="AH74" i="1"/>
  <c r="AH76" i="1" s="1"/>
  <c r="AC70" i="1"/>
  <c r="AJ70" i="1"/>
  <c r="AJ24" i="1"/>
  <c r="AN78" i="1"/>
  <c r="AN80" i="1" s="1"/>
  <c r="AL68" i="1"/>
  <c r="AW32" i="1"/>
  <c r="AW78" i="1"/>
  <c r="AW80" i="1" s="1"/>
  <c r="U40" i="1"/>
  <c r="V56" i="1"/>
  <c r="W8" i="1"/>
  <c r="W70" i="1"/>
  <c r="X8" i="1"/>
  <c r="AB11" i="1"/>
  <c r="AA69" i="1"/>
  <c r="AA68" i="1"/>
  <c r="AG78" i="1"/>
  <c r="AG80" i="1" s="1"/>
  <c r="AC8" i="1"/>
  <c r="AC68" i="1"/>
  <c r="AD8" i="1"/>
  <c r="AD40" i="1"/>
  <c r="AE8" i="1"/>
  <c r="AE40" i="1"/>
  <c r="AI24" i="1"/>
  <c r="AJ8" i="1"/>
  <c r="AK68" i="1"/>
  <c r="AT73" i="1"/>
  <c r="AT78" i="1"/>
  <c r="AT80" i="1" s="1"/>
  <c r="AZ25" i="1"/>
  <c r="AP40" i="1"/>
  <c r="AU56" i="1"/>
  <c r="AV40" i="1"/>
  <c r="AY40" i="1"/>
  <c r="AP78" i="1"/>
  <c r="AP80" i="1" s="1"/>
  <c r="AN24" i="1"/>
  <c r="AZ54" i="1"/>
  <c r="AZ56" i="1" s="1"/>
  <c r="AS15" i="1"/>
  <c r="AO63" i="1"/>
  <c r="AR56" i="1"/>
  <c r="AW74" i="1"/>
  <c r="AW76" i="1" s="1"/>
  <c r="AX73" i="1"/>
  <c r="U56" i="1"/>
  <c r="V40" i="1"/>
  <c r="W24" i="1"/>
  <c r="X56" i="1"/>
  <c r="AB23" i="1"/>
  <c r="AA59" i="1"/>
  <c r="AM6" i="1"/>
  <c r="AL73" i="1"/>
  <c r="AC56" i="1"/>
  <c r="AD68" i="1"/>
  <c r="AE56" i="1"/>
  <c r="AF8" i="1"/>
  <c r="AK56" i="1"/>
  <c r="AL40" i="1"/>
  <c r="AP48" i="1"/>
  <c r="AP56" i="1"/>
  <c r="AR8" i="1"/>
  <c r="AT56" i="1"/>
  <c r="AU73" i="1"/>
  <c r="AW56" i="1"/>
  <c r="AX68" i="1"/>
  <c r="AY8" i="1"/>
  <c r="IQ45" i="2"/>
  <c r="IQ43" i="2"/>
  <c r="HQ30" i="2"/>
  <c r="IR72" i="2"/>
  <c r="BZ93" i="1" s="1"/>
  <c r="JF56" i="2"/>
  <c r="HR30" i="2"/>
  <c r="K13" i="5"/>
  <c r="F13" i="5"/>
  <c r="I13" i="5"/>
  <c r="J13" i="5"/>
  <c r="B13" i="5"/>
  <c r="M13" i="5"/>
  <c r="E13" i="5"/>
  <c r="N10" i="5"/>
  <c r="L13" i="5"/>
  <c r="H13" i="5"/>
  <c r="D13" i="5"/>
  <c r="N12" i="5"/>
  <c r="N11" i="5"/>
  <c r="C13" i="5"/>
  <c r="JD39" i="2"/>
  <c r="HS24" i="2"/>
  <c r="Z16" i="1"/>
  <c r="Z32" i="1"/>
  <c r="Q27" i="1"/>
  <c r="AG63" i="1"/>
  <c r="AG77" i="1"/>
  <c r="AV12" i="1"/>
  <c r="AZ12" i="1" s="1"/>
  <c r="AZ10" i="1"/>
  <c r="AV44" i="1"/>
  <c r="H23" i="1"/>
  <c r="P74" i="1"/>
  <c r="P76" i="1" s="1"/>
  <c r="O12" i="1"/>
  <c r="O78" i="1"/>
  <c r="O80" i="1" s="1"/>
  <c r="R77" i="1"/>
  <c r="R79" i="1" s="1"/>
  <c r="T78" i="1"/>
  <c r="T80" i="1" s="1"/>
  <c r="U78" i="1"/>
  <c r="U80" i="1" s="1"/>
  <c r="N77" i="1"/>
  <c r="N79" i="1" s="1"/>
  <c r="Z42" i="1"/>
  <c r="P63" i="1"/>
  <c r="Z62" i="1"/>
  <c r="Z45" i="1"/>
  <c r="Q28" i="1"/>
  <c r="Z28" i="1" s="1"/>
  <c r="O48" i="1"/>
  <c r="Y48" i="1"/>
  <c r="R23" i="1"/>
  <c r="R56" i="1"/>
  <c r="O70" i="1"/>
  <c r="P68" i="1"/>
  <c r="N24" i="1"/>
  <c r="Z20" i="1"/>
  <c r="Z52" i="1"/>
  <c r="N69" i="1"/>
  <c r="R31" i="1"/>
  <c r="S69" i="1"/>
  <c r="S56" i="1"/>
  <c r="U31" i="1"/>
  <c r="BB23" i="1"/>
  <c r="V70" i="1"/>
  <c r="V31" i="1"/>
  <c r="V59" i="1"/>
  <c r="X70" i="1"/>
  <c r="Y27" i="1"/>
  <c r="Y59" i="1"/>
  <c r="AM22" i="1"/>
  <c r="AE77" i="1"/>
  <c r="AE79" i="1" s="1"/>
  <c r="AF59" i="1"/>
  <c r="AI77" i="1"/>
  <c r="AI79" i="1" s="1"/>
  <c r="AA70" i="1"/>
  <c r="AM54" i="1"/>
  <c r="AF40" i="1"/>
  <c r="AF70" i="1"/>
  <c r="AH68" i="1"/>
  <c r="AW70" i="1"/>
  <c r="AQ32" i="1"/>
  <c r="AQ78" i="1"/>
  <c r="AQ80" i="1" s="1"/>
  <c r="AS28" i="1"/>
  <c r="AS70" i="1"/>
  <c r="AZ38" i="1"/>
  <c r="AU24" i="1"/>
  <c r="AZ22" i="1"/>
  <c r="X31" i="1"/>
  <c r="Z30" i="1"/>
  <c r="N31" i="1"/>
  <c r="Z4" i="1"/>
  <c r="N68" i="1"/>
  <c r="Z38" i="1"/>
  <c r="O24" i="1"/>
  <c r="S15" i="1"/>
  <c r="U43" i="1"/>
  <c r="W31" i="1"/>
  <c r="W59" i="1"/>
  <c r="AM25" i="1"/>
  <c r="BB25" i="1" s="1"/>
  <c r="BK25" i="1" s="1"/>
  <c r="AD77" i="1"/>
  <c r="AD79" i="1" s="1"/>
  <c r="AL60" i="1"/>
  <c r="AH77" i="1"/>
  <c r="AC40" i="1"/>
  <c r="AM36" i="1"/>
  <c r="AF24" i="1"/>
  <c r="AM20" i="1"/>
  <c r="AI70" i="1"/>
  <c r="AI56" i="1"/>
  <c r="AL47" i="1"/>
  <c r="AL77" i="1"/>
  <c r="AY16" i="1"/>
  <c r="AZ16" i="1" s="1"/>
  <c r="AY78" i="1"/>
  <c r="AY80" i="1" s="1"/>
  <c r="U11" i="1"/>
  <c r="W15" i="1"/>
  <c r="X63" i="1"/>
  <c r="BB63" i="1" s="1"/>
  <c r="AC32" i="1"/>
  <c r="AM30" i="1"/>
  <c r="S12" i="1"/>
  <c r="R74" i="1"/>
  <c r="R76" i="1" s="1"/>
  <c r="S74" i="1"/>
  <c r="S76" i="1" s="1"/>
  <c r="Q78" i="1"/>
  <c r="Q80" i="1" s="1"/>
  <c r="O74" i="1"/>
  <c r="O76" i="1" s="1"/>
  <c r="W78" i="1"/>
  <c r="W80" i="1" s="1"/>
  <c r="BB26" i="1"/>
  <c r="X78" i="1"/>
  <c r="X80" i="1" s="1"/>
  <c r="R69" i="1"/>
  <c r="O56" i="1"/>
  <c r="N15" i="1"/>
  <c r="R11" i="1"/>
  <c r="Q43" i="1"/>
  <c r="V43" i="1"/>
  <c r="AA8" i="1"/>
  <c r="AI78" i="1"/>
  <c r="AI80" i="1" s="1"/>
  <c r="AM4" i="1"/>
  <c r="AM29" i="1"/>
  <c r="AK78" i="1"/>
  <c r="AK80" i="1" s="1"/>
  <c r="AF63" i="1"/>
  <c r="AF77" i="1"/>
  <c r="AK77" i="1"/>
  <c r="AK79" i="1" s="1"/>
  <c r="AG68" i="1"/>
  <c r="AZ61" i="1"/>
  <c r="AN77" i="1"/>
  <c r="AX64" i="1"/>
  <c r="AX78" i="1"/>
  <c r="AJ77" i="1"/>
  <c r="AJ79" i="1" s="1"/>
  <c r="AI63" i="1"/>
  <c r="AF68" i="1"/>
  <c r="AT77" i="1"/>
  <c r="AZ6" i="1"/>
  <c r="AO70" i="1"/>
  <c r="AR40" i="1"/>
  <c r="AR68" i="1"/>
  <c r="AT70" i="1"/>
  <c r="AT40" i="1"/>
  <c r="AY11" i="1"/>
  <c r="BA10" i="1"/>
  <c r="AF31" i="1"/>
  <c r="AM31" i="1" s="1"/>
  <c r="AN40" i="1"/>
  <c r="AN68" i="1"/>
  <c r="AZ36" i="1"/>
  <c r="AO15" i="1"/>
  <c r="AW15" i="1"/>
  <c r="AO77" i="1"/>
  <c r="AP32" i="1"/>
  <c r="AZ30" i="1"/>
  <c r="AS68" i="1"/>
  <c r="AS72" i="1" s="1"/>
  <c r="AS24" i="1"/>
  <c r="AS40" i="1"/>
  <c r="AT24" i="1"/>
  <c r="AT68" i="1"/>
  <c r="AX70" i="1"/>
  <c r="AX8" i="1"/>
  <c r="AR74" i="1"/>
  <c r="AJ68" i="1"/>
  <c r="AL70" i="1"/>
  <c r="AL56" i="1"/>
  <c r="AO24" i="1"/>
  <c r="AO68" i="1"/>
  <c r="AP70" i="1"/>
  <c r="AP73" i="1"/>
  <c r="AR70" i="1"/>
  <c r="AU40" i="1"/>
  <c r="AU70" i="1"/>
  <c r="AU77" i="1"/>
  <c r="AV64" i="1"/>
  <c r="AZ62" i="1"/>
  <c r="AV78" i="1"/>
  <c r="AV80" i="1" s="1"/>
  <c r="AY70" i="1"/>
  <c r="AY77" i="1"/>
  <c r="AZ14" i="1"/>
  <c r="AX15" i="1"/>
  <c r="BA15" i="1" s="1"/>
  <c r="BA5" i="1"/>
  <c r="AT31" i="1"/>
  <c r="AT43" i="1"/>
  <c r="AP63" i="1"/>
  <c r="AT63" i="1"/>
  <c r="AU60" i="1"/>
  <c r="AW60" i="1"/>
  <c r="AY68" i="1"/>
  <c r="AY72" i="1" s="1"/>
  <c r="AU15" i="1"/>
  <c r="AY27" i="1"/>
  <c r="AY47" i="1"/>
  <c r="AQ63" i="1"/>
  <c r="AU59" i="1"/>
  <c r="AM74" i="1"/>
  <c r="AN15" i="1"/>
  <c r="AR15" i="1"/>
  <c r="AV15" i="1"/>
  <c r="Y15" i="1"/>
  <c r="AX11" i="1"/>
  <c r="BA11" i="1" s="1"/>
  <c r="V27" i="1"/>
  <c r="AW11" i="1"/>
  <c r="AK10" i="3"/>
  <c r="AL10" i="3" s="1"/>
  <c r="HR38" i="2"/>
  <c r="HP38" i="2"/>
  <c r="HS25" i="2"/>
  <c r="R51" i="1"/>
  <c r="F54" i="3"/>
  <c r="BC3" i="1"/>
  <c r="R7" i="1"/>
  <c r="Q79" i="1"/>
  <c r="C58" i="3"/>
  <c r="Q69" i="1"/>
  <c r="T69" i="1"/>
  <c r="O18" i="3"/>
  <c r="AB3" i="1" s="1"/>
  <c r="AB7" i="1" s="1"/>
  <c r="D61" i="3"/>
  <c r="D45" i="3" s="1"/>
  <c r="D60" i="3"/>
  <c r="D36" i="3" s="1"/>
  <c r="P35" i="1" s="1"/>
  <c r="P39" i="1" s="1"/>
  <c r="H53" i="3"/>
  <c r="H61" i="3" s="1"/>
  <c r="H45" i="3" s="1"/>
  <c r="N58" i="3"/>
  <c r="P52" i="3"/>
  <c r="HR7" i="2"/>
  <c r="BZ10" i="1" s="1"/>
  <c r="BZ12" i="1" s="1"/>
  <c r="AD21" i="1"/>
  <c r="AD69" i="1" s="1"/>
  <c r="Q53" i="3"/>
  <c r="Q59" i="3"/>
  <c r="Q27" i="3" s="1"/>
  <c r="AD19" i="1" s="1"/>
  <c r="AG5" i="1"/>
  <c r="AG69" i="1" s="1"/>
  <c r="AK53" i="1"/>
  <c r="X53" i="3"/>
  <c r="X61" i="3"/>
  <c r="X45" i="3" s="1"/>
  <c r="Y53" i="3"/>
  <c r="Y59" i="3" s="1"/>
  <c r="Y27" i="3" s="1"/>
  <c r="AL19" i="1" s="1"/>
  <c r="AL21" i="1"/>
  <c r="AL69" i="1" s="1"/>
  <c r="AV27" i="1"/>
  <c r="AV31" i="1"/>
  <c r="JF33" i="2"/>
  <c r="S11" i="1"/>
  <c r="R15" i="1"/>
  <c r="S27" i="1"/>
  <c r="T43" i="1"/>
  <c r="S31" i="1"/>
  <c r="Q47" i="1"/>
  <c r="F62" i="3"/>
  <c r="B61" i="3"/>
  <c r="B45" i="3" s="1"/>
  <c r="E53" i="3"/>
  <c r="E61" i="3" s="1"/>
  <c r="E45" i="3" s="1"/>
  <c r="C53" i="3"/>
  <c r="B53" i="3"/>
  <c r="H52" i="3"/>
  <c r="X37" i="1"/>
  <c r="O61" i="3"/>
  <c r="O45" i="3" s="1"/>
  <c r="S10" i="3"/>
  <c r="T10" i="3" s="1"/>
  <c r="S19" i="3"/>
  <c r="T19" i="3" s="1"/>
  <c r="V10" i="3"/>
  <c r="W10" i="3" s="1"/>
  <c r="AH47" i="1"/>
  <c r="AC5" i="1"/>
  <c r="R53" i="3"/>
  <c r="R60" i="3" s="1"/>
  <c r="R36" i="3" s="1"/>
  <c r="AE35" i="1" s="1"/>
  <c r="AE39" i="1" s="1"/>
  <c r="AE53" i="1"/>
  <c r="AE69" i="1" s="1"/>
  <c r="S59" i="3"/>
  <c r="S27" i="3" s="1"/>
  <c r="AF19" i="1" s="1"/>
  <c r="AF23" i="1" s="1"/>
  <c r="S60" i="3"/>
  <c r="S36" i="3" s="1"/>
  <c r="AF35" i="1" s="1"/>
  <c r="AF39" i="1" s="1"/>
  <c r="S52" i="3"/>
  <c r="AF53" i="1"/>
  <c r="AF69" i="1" s="1"/>
  <c r="S61" i="3"/>
  <c r="S45" i="3" s="1"/>
  <c r="AH5" i="1"/>
  <c r="AH69" i="1" s="1"/>
  <c r="JC20" i="2"/>
  <c r="HP17" i="2"/>
  <c r="IP56" i="2"/>
  <c r="IP59" i="2" s="1"/>
  <c r="BX89" i="1" s="1"/>
  <c r="JC59" i="2"/>
  <c r="KC46" i="2"/>
  <c r="IP43" i="2"/>
  <c r="HQ18" i="2"/>
  <c r="ID20" i="2"/>
  <c r="BY30" i="1" s="1"/>
  <c r="BY32" i="1" s="1"/>
  <c r="IQ44" i="2"/>
  <c r="JD46" i="2"/>
  <c r="BY62" i="1" s="1"/>
  <c r="BY64" i="1" s="1"/>
  <c r="IP72" i="2"/>
  <c r="BX93" i="1" s="1"/>
  <c r="BZ8" i="1"/>
  <c r="AA51" i="1"/>
  <c r="CW69" i="2"/>
  <c r="CZ4" i="2"/>
  <c r="CW7" i="2"/>
  <c r="S18" i="3"/>
  <c r="AF3" i="1" s="1"/>
  <c r="AF7" i="1" s="1"/>
  <c r="AB37" i="3"/>
  <c r="AH63" i="1"/>
  <c r="AH59" i="1"/>
  <c r="V59" i="3"/>
  <c r="V27" i="3" s="1"/>
  <c r="AI19" i="1" s="1"/>
  <c r="AI23" i="1" s="1"/>
  <c r="V61" i="3"/>
  <c r="V45" i="3" s="1"/>
  <c r="V60" i="3"/>
  <c r="V36" i="3" s="1"/>
  <c r="AI35" i="1" s="1"/>
  <c r="AI39" i="1" s="1"/>
  <c r="Y52" i="3"/>
  <c r="AL15" i="1"/>
  <c r="AL11" i="1"/>
  <c r="AN31" i="1"/>
  <c r="AN27" i="1"/>
  <c r="AN63" i="1"/>
  <c r="BY8" i="1"/>
  <c r="BY68" i="1"/>
  <c r="BX54" i="1"/>
  <c r="CJ54" i="1" s="1"/>
  <c r="AO58" i="3"/>
  <c r="N9" i="5"/>
  <c r="Q63" i="1"/>
  <c r="N47" i="1"/>
  <c r="R27" i="1"/>
  <c r="G53" i="3"/>
  <c r="N59" i="3"/>
  <c r="N27" i="3" s="1"/>
  <c r="AA19" i="1" s="1"/>
  <c r="N60" i="3"/>
  <c r="N36" i="3" s="1"/>
  <c r="AA35" i="1" s="1"/>
  <c r="R58" i="3"/>
  <c r="AE47" i="1"/>
  <c r="AE43" i="1"/>
  <c r="T52" i="3"/>
  <c r="U52" i="3"/>
  <c r="V18" i="3"/>
  <c r="AI3" i="1" s="1"/>
  <c r="R59" i="3"/>
  <c r="R27" i="3" s="1"/>
  <c r="AE19" i="1" s="1"/>
  <c r="AE23" i="1" s="1"/>
  <c r="AI5" i="1"/>
  <c r="AI69" i="1" s="1"/>
  <c r="AJ21" i="1"/>
  <c r="W53" i="3"/>
  <c r="W59" i="3" s="1"/>
  <c r="W27" i="3" s="1"/>
  <c r="AJ19" i="1" s="1"/>
  <c r="AK37" i="1"/>
  <c r="AM37" i="1" s="1"/>
  <c r="X60" i="3"/>
  <c r="X36" i="3" s="1"/>
  <c r="AK35" i="1" s="1"/>
  <c r="HP4" i="2"/>
  <c r="BY56" i="1"/>
  <c r="JE12" i="2"/>
  <c r="JD13" i="2"/>
  <c r="ID11" i="2"/>
  <c r="HQ11" i="2" s="1"/>
  <c r="IR11" i="2"/>
  <c r="P53" i="3"/>
  <c r="T59" i="3"/>
  <c r="T27" i="3" s="1"/>
  <c r="AG19" i="1" s="1"/>
  <c r="AG23" i="1" s="1"/>
  <c r="T53" i="3"/>
  <c r="U53" i="3"/>
  <c r="U58" i="3" s="1"/>
  <c r="IC6" i="2"/>
  <c r="HP6" i="2" s="1"/>
  <c r="JC7" i="2"/>
  <c r="JO6" i="2"/>
  <c r="JO7" i="2" s="1"/>
  <c r="BX24" i="1"/>
  <c r="BZ20" i="1"/>
  <c r="CJ20" i="1" s="1"/>
  <c r="AQ59" i="3"/>
  <c r="AQ57" i="3"/>
  <c r="IC33" i="2"/>
  <c r="BX46" i="1" s="1"/>
  <c r="IE6" i="2"/>
  <c r="HR6" i="2" s="1"/>
  <c r="IE12" i="2"/>
  <c r="HR12" i="2" s="1"/>
  <c r="HQ4" i="2"/>
  <c r="BY70" i="1"/>
  <c r="BX36" i="1"/>
  <c r="CJ36" i="1" s="1"/>
  <c r="CJ40" i="1" s="1"/>
  <c r="AO59" i="3"/>
  <c r="BA59" i="3" s="1"/>
  <c r="BZ70" i="1"/>
  <c r="BZ40" i="1"/>
  <c r="HR17" i="2"/>
  <c r="JE20" i="2"/>
  <c r="IQ10" i="2"/>
  <c r="IC10" i="2"/>
  <c r="HP10" i="2" s="1"/>
  <c r="IP13" i="2"/>
  <c r="IQ78" i="2"/>
  <c r="BY92" i="1" s="1"/>
  <c r="HP36" i="2"/>
  <c r="HP30" i="2"/>
  <c r="IR45" i="2"/>
  <c r="JD20" i="2"/>
  <c r="HP18" i="2"/>
  <c r="IP44" i="2"/>
  <c r="AQ1" i="3"/>
  <c r="AR28" i="3"/>
  <c r="JB4" i="2"/>
  <c r="JB7" i="2" s="1"/>
  <c r="KF46" i="2"/>
  <c r="IS45" i="2"/>
  <c r="IS43" i="2"/>
  <c r="JF20" i="2"/>
  <c r="IS7" i="2"/>
  <c r="IF6" i="2"/>
  <c r="HS6" i="2" s="1"/>
  <c r="HT7" i="2"/>
  <c r="CB10" i="1" s="1"/>
  <c r="CB12" i="1" s="1"/>
  <c r="IQ72" i="2"/>
  <c r="BY93" i="1" s="1"/>
  <c r="IE20" i="2"/>
  <c r="BZ30" i="1" s="1"/>
  <c r="BZ32" i="1" s="1"/>
  <c r="JE46" i="2"/>
  <c r="BZ62" i="1" s="1"/>
  <c r="JC46" i="2"/>
  <c r="BX62" i="1" s="1"/>
  <c r="KD46" i="2"/>
  <c r="ID33" i="2"/>
  <c r="BY46" i="1" s="1"/>
  <c r="BY48" i="1" s="1"/>
  <c r="KE46" i="2"/>
  <c r="KQ46" i="2"/>
  <c r="IE33" i="2"/>
  <c r="BZ46" i="1" s="1"/>
  <c r="BZ48" i="1" s="1"/>
  <c r="JF46" i="2"/>
  <c r="CA62" i="1" s="1"/>
  <c r="IS44" i="2"/>
  <c r="IS83" i="2" s="1"/>
  <c r="HS32" i="2"/>
  <c r="CA68" i="1"/>
  <c r="CA24" i="1"/>
  <c r="AR59" i="3"/>
  <c r="HS4" i="2"/>
  <c r="AO11" i="1"/>
  <c r="AQ59" i="1"/>
  <c r="K2" i="5"/>
  <c r="W27" i="1"/>
  <c r="M4" i="5"/>
  <c r="IJ26" i="2"/>
  <c r="CE29" i="1" s="1"/>
  <c r="CE31" i="1" s="1"/>
  <c r="AF52" i="3"/>
  <c r="AF51" i="3" s="1"/>
  <c r="AS11" i="1"/>
  <c r="AT27" i="1"/>
  <c r="AN11" i="1"/>
  <c r="AP43" i="1"/>
  <c r="AX27" i="1"/>
  <c r="JM65" i="2"/>
  <c r="IY49" i="2"/>
  <c r="IU65" i="2"/>
  <c r="CC88" i="1" s="1"/>
  <c r="U15" i="1"/>
  <c r="AV11" i="1"/>
  <c r="AQ27" i="1"/>
  <c r="AU63" i="1"/>
  <c r="IV63" i="2"/>
  <c r="IV65" i="2" s="1"/>
  <c r="CD88" i="1" s="1"/>
  <c r="HP23" i="2"/>
  <c r="HU24" i="2"/>
  <c r="HY24" i="2"/>
  <c r="HR25" i="2"/>
  <c r="HW25" i="2"/>
  <c r="IA25" i="2"/>
  <c r="HQ23" i="2"/>
  <c r="HS37" i="2"/>
  <c r="IS78" i="2"/>
  <c r="CA92" i="1" s="1"/>
  <c r="HU36" i="2"/>
  <c r="HU39" i="2" s="1"/>
  <c r="CC41" i="1" s="1"/>
  <c r="CC43" i="1" s="1"/>
  <c r="HS23" i="2"/>
  <c r="AQ47" i="1"/>
  <c r="AS31" i="1"/>
  <c r="AW27" i="1"/>
  <c r="AY43" i="1"/>
  <c r="CA69" i="1"/>
  <c r="IT96" i="2"/>
  <c r="U69" i="1"/>
  <c r="AT59" i="1"/>
  <c r="AS27" i="1"/>
  <c r="AU47" i="1"/>
  <c r="AX59" i="1"/>
  <c r="IX78" i="2"/>
  <c r="CF92" i="1" s="1"/>
  <c r="JN26" i="2"/>
  <c r="JH26" i="2"/>
  <c r="IG26" i="2"/>
  <c r="CB29" i="1" s="1"/>
  <c r="CB31" i="1" s="1"/>
  <c r="IK26" i="2"/>
  <c r="IM26" i="2"/>
  <c r="CH29" i="1" s="1"/>
  <c r="KE52" i="2"/>
  <c r="KJ52" i="2"/>
  <c r="KH52" i="2"/>
  <c r="KL52" i="2"/>
  <c r="KQ52" i="2"/>
  <c r="KV52" i="2"/>
  <c r="KZ52" i="2"/>
  <c r="KT52" i="2"/>
  <c r="KX52" i="2"/>
  <c r="LH52" i="2"/>
  <c r="LL52" i="2"/>
  <c r="LE52" i="2"/>
  <c r="LJ52" i="2"/>
  <c r="LN52" i="2"/>
  <c r="JC52" i="2"/>
  <c r="BX61" i="1" s="1"/>
  <c r="JL52" i="2"/>
  <c r="CG61" i="1" s="1"/>
  <c r="CG63" i="1" s="1"/>
  <c r="IZ65" i="2"/>
  <c r="CH88" i="1" s="1"/>
  <c r="IP96" i="2"/>
  <c r="IR96" i="2"/>
  <c r="HZ37" i="2"/>
  <c r="HZ39" i="2" s="1"/>
  <c r="CH41" i="1" s="1"/>
  <c r="IR78" i="2"/>
  <c r="BZ92" i="1" s="1"/>
  <c r="KS52" i="2"/>
  <c r="W69" i="1"/>
  <c r="AP27" i="1"/>
  <c r="AK52" i="3"/>
  <c r="JF26" i="2"/>
  <c r="IW78" i="2"/>
  <c r="CE92" i="1" s="1"/>
  <c r="HT24" i="2"/>
  <c r="HX24" i="2"/>
  <c r="JD26" i="2"/>
  <c r="LA52" i="2"/>
  <c r="LI52" i="2"/>
  <c r="LM52" i="2"/>
  <c r="LK52" i="2"/>
  <c r="CA8" i="1"/>
  <c r="CA56" i="1"/>
  <c r="CA70" i="1"/>
  <c r="CA40" i="1"/>
  <c r="AR19" i="3"/>
  <c r="AR58" i="3"/>
  <c r="AR57" i="3"/>
  <c r="HY39" i="2"/>
  <c r="CG41" i="1" s="1"/>
  <c r="CG43" i="1" s="1"/>
  <c r="AY69" i="1"/>
  <c r="AT47" i="1"/>
  <c r="M2" i="5"/>
  <c r="AX31" i="1"/>
  <c r="AP59" i="1"/>
  <c r="AL53" i="3"/>
  <c r="AL60" i="3" s="1"/>
  <c r="AL36" i="3" s="1"/>
  <c r="AY35" i="1" s="1"/>
  <c r="AY39" i="1" s="1"/>
  <c r="HQ25" i="2"/>
  <c r="HV39" i="2"/>
  <c r="IL39" i="2"/>
  <c r="CG45" i="1" s="1"/>
  <c r="CG47" i="1" s="1"/>
  <c r="IW65" i="2"/>
  <c r="CE88" i="1" s="1"/>
  <c r="IZ78" i="2"/>
  <c r="CH92" i="1" s="1"/>
  <c r="KF52" i="2"/>
  <c r="LF52" i="2"/>
  <c r="Y11" i="1"/>
  <c r="X27" i="1"/>
  <c r="AG53" i="3"/>
  <c r="AG59" i="3" s="1"/>
  <c r="AG27" i="3" s="1"/>
  <c r="AT19" i="1" s="1"/>
  <c r="JO36" i="2"/>
  <c r="IM39" i="2"/>
  <c r="CH45" i="1" s="1"/>
  <c r="JA65" i="2"/>
  <c r="CI88" i="1" s="1"/>
  <c r="JA78" i="2"/>
  <c r="CI92" i="1" s="1"/>
  <c r="JB77" i="2"/>
  <c r="IY78" i="2"/>
  <c r="CG92" i="1" s="1"/>
  <c r="JH65" i="2"/>
  <c r="JL65" i="2"/>
  <c r="JJ65" i="2"/>
  <c r="JN65" i="2"/>
  <c r="JO37" i="2"/>
  <c r="AV62" i="3"/>
  <c r="AV67" i="3" s="1"/>
  <c r="AV18" i="3" s="1"/>
  <c r="CE3" i="1" s="1"/>
  <c r="CR8" i="1" s="1"/>
  <c r="AZ62" i="3"/>
  <c r="AZ71" i="3" s="1"/>
  <c r="AZ54" i="3" s="1"/>
  <c r="CI85" i="1" s="1"/>
  <c r="BA74" i="3"/>
  <c r="AX61" i="3"/>
  <c r="JO38" i="2"/>
  <c r="X59" i="1"/>
  <c r="AV59" i="1"/>
  <c r="JO23" i="2"/>
  <c r="HV24" i="2"/>
  <c r="HT25" i="2"/>
  <c r="HX25" i="2"/>
  <c r="KO49" i="2"/>
  <c r="LC52" i="2"/>
  <c r="IY51" i="2"/>
  <c r="IS50" i="2"/>
  <c r="IF26" i="2"/>
  <c r="CA29" i="1" s="1"/>
  <c r="CA31" i="1" s="1"/>
  <c r="HQ24" i="2"/>
  <c r="ID26" i="2"/>
  <c r="BY29" i="1" s="1"/>
  <c r="BY31" i="1" s="1"/>
  <c r="KN52" i="2"/>
  <c r="JA49" i="2"/>
  <c r="IR62" i="2"/>
  <c r="IR65" i="2" s="1"/>
  <c r="BZ88" i="1" s="1"/>
  <c r="JO62" i="2"/>
  <c r="Y63" i="1"/>
  <c r="M53" i="3"/>
  <c r="M60" i="3" s="1"/>
  <c r="M36" i="3" s="1"/>
  <c r="Y35" i="1" s="1"/>
  <c r="Y39" i="1" s="1"/>
  <c r="AD52" i="3"/>
  <c r="AQ15" i="1"/>
  <c r="K5" i="5"/>
  <c r="AW63" i="1"/>
  <c r="IX50" i="2"/>
  <c r="JB12" i="2"/>
  <c r="HS38" i="2"/>
  <c r="IS62" i="2"/>
  <c r="IS65" i="2" s="1"/>
  <c r="CA88" i="1" s="1"/>
  <c r="JF65" i="2"/>
  <c r="U59" i="1"/>
  <c r="P37" i="3"/>
  <c r="L53" i="3"/>
  <c r="L60" i="3" s="1"/>
  <c r="L36" i="3" s="1"/>
  <c r="X35" i="1" s="1"/>
  <c r="AX47" i="1"/>
  <c r="AX43" i="1"/>
  <c r="IA23" i="2"/>
  <c r="JE26" i="2"/>
  <c r="JB64" i="2"/>
  <c r="IQ65" i="2"/>
  <c r="BY88" i="1" s="1"/>
  <c r="AQ61" i="3"/>
  <c r="AV61" i="3"/>
  <c r="AZ61" i="3"/>
  <c r="IG39" i="2"/>
  <c r="CB45" i="1" s="1"/>
  <c r="CB47" i="1" s="1"/>
  <c r="HT37" i="2"/>
  <c r="IK39" i="2"/>
  <c r="CF45" i="1" s="1"/>
  <c r="CF47" i="1" s="1"/>
  <c r="HX37" i="2"/>
  <c r="HX39" i="2" s="1"/>
  <c r="CF41" i="1" s="1"/>
  <c r="CF43" i="1" s="1"/>
  <c r="HQ36" i="2"/>
  <c r="IO37" i="2"/>
  <c r="BZ37" i="1"/>
  <c r="AQ62" i="3"/>
  <c r="AQ70" i="3" s="1"/>
  <c r="AQ45" i="3" s="1"/>
  <c r="JF39" i="2"/>
  <c r="JF52" i="2"/>
  <c r="CA61" i="1" s="1"/>
  <c r="JJ26" i="2"/>
  <c r="HW23" i="2"/>
  <c r="W43" i="1"/>
  <c r="W47" i="1"/>
  <c r="AS63" i="1"/>
  <c r="AO27" i="1"/>
  <c r="AO31" i="1"/>
  <c r="AR27" i="1"/>
  <c r="AR31" i="1"/>
  <c r="HR23" i="2"/>
  <c r="HZ24" i="2"/>
  <c r="IP65" i="2"/>
  <c r="BX88" i="1" s="1"/>
  <c r="JE65" i="2"/>
  <c r="IP51" i="2"/>
  <c r="IU49" i="2"/>
  <c r="JH52" i="2"/>
  <c r="CC61" i="1" s="1"/>
  <c r="IR50" i="2"/>
  <c r="JE52" i="2"/>
  <c r="BZ61" i="1" s="1"/>
  <c r="BZ63" i="1" s="1"/>
  <c r="IW50" i="2"/>
  <c r="JJ52" i="2"/>
  <c r="JA50" i="2"/>
  <c r="JN52" i="2"/>
  <c r="CI61" i="1" s="1"/>
  <c r="IU51" i="2"/>
  <c r="JC65" i="2"/>
  <c r="JO63" i="2"/>
  <c r="JG65" i="2"/>
  <c r="IT63" i="2"/>
  <c r="IT65" i="2" s="1"/>
  <c r="CB88" i="1" s="1"/>
  <c r="JK65" i="2"/>
  <c r="IX63" i="2"/>
  <c r="IX65" i="2" s="1"/>
  <c r="CF88" i="1" s="1"/>
  <c r="JD65" i="2"/>
  <c r="JO64" i="2"/>
  <c r="IJ39" i="2"/>
  <c r="CE45" i="1" s="1"/>
  <c r="CE47" i="1" s="1"/>
  <c r="HW36" i="2"/>
  <c r="HW39" i="2" s="1"/>
  <c r="CE41" i="1" s="1"/>
  <c r="IN39" i="2"/>
  <c r="CI45" i="1" s="1"/>
  <c r="CI47" i="1" s="1"/>
  <c r="IA36" i="2"/>
  <c r="IA39" i="2" s="1"/>
  <c r="CI41" i="1" s="1"/>
  <c r="CI43" i="1" s="1"/>
  <c r="BA16" i="3"/>
  <c r="AW61" i="3"/>
  <c r="HW24" i="2"/>
  <c r="HU25" i="2"/>
  <c r="HY25" i="2"/>
  <c r="IX51" i="2"/>
  <c r="IW51" i="2"/>
  <c r="JA51" i="2"/>
  <c r="LO51" i="2"/>
  <c r="IV51" i="2"/>
  <c r="IZ51" i="2"/>
  <c r="JK52" i="2"/>
  <c r="AY62" i="3"/>
  <c r="AY67" i="3" s="1"/>
  <c r="AY18" i="3" s="1"/>
  <c r="CH3" i="1" s="1"/>
  <c r="AS61" i="3"/>
  <c r="IS49" i="2"/>
  <c r="AR11" i="1"/>
  <c r="L2" i="5"/>
  <c r="AL52" i="3"/>
  <c r="IY65" i="2"/>
  <c r="CG88" i="1" s="1"/>
  <c r="BA17" i="3"/>
  <c r="BA25" i="3"/>
  <c r="AS28" i="3"/>
  <c r="AT62" i="3"/>
  <c r="AT70" i="3" s="1"/>
  <c r="AT45" i="3" s="1"/>
  <c r="CC51" i="1" s="1"/>
  <c r="AX62" i="3"/>
  <c r="AX68" i="3" s="1"/>
  <c r="AX27" i="3" s="1"/>
  <c r="CG19" i="1" s="1"/>
  <c r="CG23" i="1" s="1"/>
  <c r="AS19" i="3"/>
  <c r="K3" i="5"/>
  <c r="AJ53" i="3"/>
  <c r="AJ60" i="3" s="1"/>
  <c r="AJ36" i="3" s="1"/>
  <c r="AW35" i="1" s="1"/>
  <c r="AW39" i="1" s="1"/>
  <c r="AH53" i="3"/>
  <c r="AH59" i="3" s="1"/>
  <c r="AH27" i="3" s="1"/>
  <c r="AU19" i="1" s="1"/>
  <c r="AU23" i="1" s="1"/>
  <c r="IV78" i="2"/>
  <c r="CD92" i="1" s="1"/>
  <c r="AS62" i="3"/>
  <c r="AW62" i="3"/>
  <c r="AW69" i="3" s="1"/>
  <c r="AW36" i="3" s="1"/>
  <c r="CF35" i="1" s="1"/>
  <c r="CF39" i="1" s="1"/>
  <c r="BA34" i="3"/>
  <c r="HR37" i="2"/>
  <c r="HQ38" i="2"/>
  <c r="HP37" i="2"/>
  <c r="IS51" i="2"/>
  <c r="AR62" i="3"/>
  <c r="AR68" i="3" s="1"/>
  <c r="AR27" i="3" s="1"/>
  <c r="CA19" i="1" s="1"/>
  <c r="CA23" i="1" s="1"/>
  <c r="AA52" i="3"/>
  <c r="AC28" i="3"/>
  <c r="AD28" i="3" s="1"/>
  <c r="AN47" i="1"/>
  <c r="AR21" i="1"/>
  <c r="AR69" i="1" s="1"/>
  <c r="AE53" i="3"/>
  <c r="AE59" i="3" s="1"/>
  <c r="AE27" i="3" s="1"/>
  <c r="AR19" i="1" s="1"/>
  <c r="AV47" i="1"/>
  <c r="AN37" i="1"/>
  <c r="AG28" i="3"/>
  <c r="AH28" i="3" s="1"/>
  <c r="AB53" i="3"/>
  <c r="AB59" i="3" s="1"/>
  <c r="AB27" i="3" s="1"/>
  <c r="AO19" i="1" s="1"/>
  <c r="AO23" i="1" s="1"/>
  <c r="AD53" i="3"/>
  <c r="AF53" i="3"/>
  <c r="AF61" i="3" s="1"/>
  <c r="AF45" i="3" s="1"/>
  <c r="AX53" i="1"/>
  <c r="AK53" i="3"/>
  <c r="AK58" i="3" s="1"/>
  <c r="U27" i="1"/>
  <c r="Y31" i="1"/>
  <c r="I52" i="3"/>
  <c r="U47" i="1"/>
  <c r="I53" i="3"/>
  <c r="I60" i="3" s="1"/>
  <c r="I36" i="3" s="1"/>
  <c r="U35" i="1" s="1"/>
  <c r="K53" i="3"/>
  <c r="X21" i="1"/>
  <c r="AN43" i="1"/>
  <c r="AY63" i="1"/>
  <c r="AP15" i="1"/>
  <c r="AP11" i="1"/>
  <c r="AC52" i="3"/>
  <c r="AT11" i="1"/>
  <c r="AT15" i="1"/>
  <c r="AN5" i="1"/>
  <c r="AP21" i="1"/>
  <c r="AC53" i="3"/>
  <c r="AX21" i="1"/>
  <c r="AB52" i="3"/>
  <c r="AO47" i="1"/>
  <c r="AS47" i="1"/>
  <c r="K4" i="5"/>
  <c r="AO37" i="1"/>
  <c r="V15" i="1"/>
  <c r="W11" i="1"/>
  <c r="W63" i="1"/>
  <c r="J52" i="3"/>
  <c r="X11" i="1"/>
  <c r="X15" i="1"/>
  <c r="X47" i="1"/>
  <c r="L52" i="3"/>
  <c r="X43" i="1"/>
  <c r="AJ52" i="3"/>
  <c r="AG52" i="3"/>
  <c r="AW47" i="1"/>
  <c r="AY59" i="1"/>
  <c r="V63" i="1"/>
  <c r="V37" i="1"/>
  <c r="J53" i="3"/>
  <c r="J59" i="3" s="1"/>
  <c r="J27" i="3" s="1"/>
  <c r="V19" i="1" s="1"/>
  <c r="V23" i="1" s="1"/>
  <c r="K52" i="3"/>
  <c r="P19" i="3"/>
  <c r="M52" i="3"/>
  <c r="Y47" i="1"/>
  <c r="Y43" i="1"/>
  <c r="Y53" i="1"/>
  <c r="Y5" i="1"/>
  <c r="AO5" i="1"/>
  <c r="AO53" i="1"/>
  <c r="AU11" i="1"/>
  <c r="M5" i="5"/>
  <c r="AQ37" i="1"/>
  <c r="AK37" i="3"/>
  <c r="AL37" i="3" s="1"/>
  <c r="AX63" i="1"/>
  <c r="AN53" i="1"/>
  <c r="AA53" i="3"/>
  <c r="AQ53" i="1"/>
  <c r="AS53" i="1"/>
  <c r="AS69" i="1" s="1"/>
  <c r="AU53" i="1"/>
  <c r="AU69" i="1" s="1"/>
  <c r="IP78" i="2"/>
  <c r="BX92" i="1" s="1"/>
  <c r="JB75" i="2"/>
  <c r="AU27" i="1"/>
  <c r="AH52" i="3"/>
  <c r="AU31" i="1"/>
  <c r="AB19" i="3"/>
  <c r="AC19" i="3" s="1"/>
  <c r="AY31" i="1"/>
  <c r="M3" i="5"/>
  <c r="AV21" i="1"/>
  <c r="AR59" i="1"/>
  <c r="AE52" i="3"/>
  <c r="AR63" i="1"/>
  <c r="AV53" i="1"/>
  <c r="AI53" i="3"/>
  <c r="AI61" i="3" s="1"/>
  <c r="AI45" i="3" s="1"/>
  <c r="HQ12" i="2"/>
  <c r="HT23" i="2"/>
  <c r="JG26" i="2"/>
  <c r="HX23" i="2"/>
  <c r="JK26" i="2"/>
  <c r="JO24" i="2"/>
  <c r="HP24" i="2"/>
  <c r="JI26" i="2"/>
  <c r="HV25" i="2"/>
  <c r="JM26" i="2"/>
  <c r="HZ25" i="2"/>
  <c r="HP25" i="2"/>
  <c r="IC26" i="2"/>
  <c r="BX29" i="1" s="1"/>
  <c r="IO25" i="2"/>
  <c r="HU23" i="2"/>
  <c r="IH26" i="2"/>
  <c r="CC29" i="1" s="1"/>
  <c r="CC31" i="1" s="1"/>
  <c r="IO23" i="2"/>
  <c r="HY23" i="2"/>
  <c r="IL26" i="2"/>
  <c r="IO24" i="2"/>
  <c r="IA24" i="2"/>
  <c r="IN26" i="2"/>
  <c r="KO50" i="2"/>
  <c r="IP50" i="2"/>
  <c r="KC52" i="2"/>
  <c r="IT49" i="2"/>
  <c r="KG52" i="2"/>
  <c r="IX49" i="2"/>
  <c r="KK52" i="2"/>
  <c r="IQ50" i="2"/>
  <c r="KD52" i="2"/>
  <c r="KI52" i="2"/>
  <c r="IV50" i="2"/>
  <c r="KM52" i="2"/>
  <c r="IZ50" i="2"/>
  <c r="IT51" i="2"/>
  <c r="KO51" i="2"/>
  <c r="KP52" i="2"/>
  <c r="IP49" i="2"/>
  <c r="LB49" i="2"/>
  <c r="IR49" i="2"/>
  <c r="KR52" i="2"/>
  <c r="KW52" i="2"/>
  <c r="IW49" i="2"/>
  <c r="IU50" i="2"/>
  <c r="LB50" i="2"/>
  <c r="KU52" i="2"/>
  <c r="IY50" i="2"/>
  <c r="KY52" i="2"/>
  <c r="IR51" i="2"/>
  <c r="LB51" i="2"/>
  <c r="LD52" i="2"/>
  <c r="LO49" i="2"/>
  <c r="LO50" i="2"/>
  <c r="LG52" i="2"/>
  <c r="JD52" i="2"/>
  <c r="BY61" i="1" s="1"/>
  <c r="JO49" i="2"/>
  <c r="IQ49" i="2"/>
  <c r="JI52" i="2"/>
  <c r="CD61" i="1" s="1"/>
  <c r="CD63" i="1" s="1"/>
  <c r="IV49" i="2"/>
  <c r="JM52" i="2"/>
  <c r="CH61" i="1" s="1"/>
  <c r="IZ49" i="2"/>
  <c r="JG52" i="2"/>
  <c r="CB61" i="1" s="1"/>
  <c r="JO50" i="2"/>
  <c r="IT50" i="2"/>
  <c r="IQ51" i="2"/>
  <c r="JO51" i="2"/>
  <c r="HT38" i="2"/>
  <c r="IO38" i="2"/>
  <c r="X5" i="1"/>
  <c r="AO59" i="1"/>
  <c r="AI52" i="3"/>
  <c r="AT21" i="1"/>
  <c r="AT69" i="1" s="1"/>
  <c r="AW69" i="1"/>
  <c r="JO25" i="2"/>
  <c r="JC26" i="2"/>
  <c r="IE39" i="2"/>
  <c r="BZ45" i="1" s="1"/>
  <c r="BZ47" i="1" s="1"/>
  <c r="HR36" i="2"/>
  <c r="HQ37" i="2"/>
  <c r="ID39" i="2"/>
  <c r="BY45" i="1" s="1"/>
  <c r="BY47" i="1" s="1"/>
  <c r="AO62" i="3"/>
  <c r="BA26" i="3"/>
  <c r="BX21" i="1"/>
  <c r="CJ21" i="1" s="1"/>
  <c r="BA66" i="3"/>
  <c r="AP61" i="3"/>
  <c r="BA43" i="3"/>
  <c r="AU61" i="3"/>
  <c r="AY61" i="3"/>
  <c r="IC39" i="2"/>
  <c r="BX45" i="1" s="1"/>
  <c r="BA44" i="3"/>
  <c r="BZ53" i="1"/>
  <c r="CJ53" i="1" s="1"/>
  <c r="AU62" i="3"/>
  <c r="BY37" i="1"/>
  <c r="BA35" i="3"/>
  <c r="AP62" i="3"/>
  <c r="AR61" i="3"/>
  <c r="AO61" i="3"/>
  <c r="CJ37" i="1" l="1"/>
  <c r="AU78" i="1"/>
  <c r="AU80" i="1" s="1"/>
  <c r="G7" i="3"/>
  <c r="E7" i="3" s="1"/>
  <c r="KB52" i="2"/>
  <c r="GA51" i="2"/>
  <c r="FO77" i="2"/>
  <c r="FO52" i="2"/>
  <c r="FV71" i="2"/>
  <c r="GA32" i="2"/>
  <c r="FT39" i="2"/>
  <c r="AS41" i="1" s="1"/>
  <c r="FT75" i="2"/>
  <c r="FT78" i="2" s="1"/>
  <c r="FX77" i="2"/>
  <c r="FX78" i="2" s="1"/>
  <c r="GA38" i="2"/>
  <c r="FX39" i="2"/>
  <c r="AW41" i="1" s="1"/>
  <c r="FW71" i="2"/>
  <c r="FW72" i="2" s="1"/>
  <c r="GA45" i="2"/>
  <c r="GA41" i="2" s="1"/>
  <c r="FW46" i="2"/>
  <c r="AV58" i="1" s="1"/>
  <c r="FP39" i="2"/>
  <c r="FP76" i="2"/>
  <c r="GA37" i="2"/>
  <c r="FV69" i="2"/>
  <c r="FV72" i="2" s="1"/>
  <c r="CT71" i="2"/>
  <c r="CT72" i="2" s="1"/>
  <c r="CZ32" i="2"/>
  <c r="CP33" i="2"/>
  <c r="CZ30" i="2"/>
  <c r="CP69" i="2"/>
  <c r="CP72" i="2" s="1"/>
  <c r="CW39" i="2"/>
  <c r="AJ41" i="1" s="1"/>
  <c r="AJ43" i="1" s="1"/>
  <c r="CW77" i="2"/>
  <c r="CV33" i="2"/>
  <c r="AI42" i="1" s="1"/>
  <c r="CV69" i="2"/>
  <c r="CV72" i="2" s="1"/>
  <c r="AC45" i="1"/>
  <c r="DM39" i="2"/>
  <c r="CW46" i="2"/>
  <c r="AJ58" i="1" s="1"/>
  <c r="AJ60" i="1" s="1"/>
  <c r="CZ43" i="2"/>
  <c r="CU39" i="2"/>
  <c r="AH41" i="1" s="1"/>
  <c r="CU75" i="2"/>
  <c r="CU78" i="2" s="1"/>
  <c r="CS39" i="2"/>
  <c r="AF41" i="1" s="1"/>
  <c r="CZ37" i="2"/>
  <c r="CS76" i="2"/>
  <c r="CS78" i="2" s="1"/>
  <c r="AD13" i="2"/>
  <c r="O13" i="1"/>
  <c r="DM13" i="2"/>
  <c r="AA13" i="1"/>
  <c r="H58" i="3"/>
  <c r="IE26" i="2"/>
  <c r="BZ29" i="1" s="1"/>
  <c r="BZ31" i="1" s="1"/>
  <c r="II26" i="2"/>
  <c r="CD29" i="1" s="1"/>
  <c r="CD31" i="1" s="1"/>
  <c r="ID7" i="2"/>
  <c r="BY14" i="1" s="1"/>
  <c r="BY16" i="1" s="1"/>
  <c r="S62" i="3"/>
  <c r="O62" i="3"/>
  <c r="AS74" i="1"/>
  <c r="AS76" i="1" s="1"/>
  <c r="AG74" i="1"/>
  <c r="AG76" i="1" s="1"/>
  <c r="AJ78" i="1"/>
  <c r="AJ80" i="1" s="1"/>
  <c r="IT30" i="2"/>
  <c r="IS33" i="2"/>
  <c r="IF30" i="2"/>
  <c r="HS30" i="2" s="1"/>
  <c r="IF36" i="2"/>
  <c r="JU44" i="2"/>
  <c r="JG44" i="2"/>
  <c r="JT46" i="2"/>
  <c r="IV32" i="2"/>
  <c r="IH32" i="2"/>
  <c r="HU32" i="2" s="1"/>
  <c r="IT19" i="2"/>
  <c r="IF19" i="2"/>
  <c r="HS19" i="2" s="1"/>
  <c r="GF39" i="2"/>
  <c r="AR45" i="1" s="1"/>
  <c r="FS36" i="2"/>
  <c r="GA70" i="2"/>
  <c r="GA19" i="2"/>
  <c r="GA15" i="2" s="1"/>
  <c r="FZ20" i="2"/>
  <c r="FZ71" i="2"/>
  <c r="FZ72" i="2" s="1"/>
  <c r="GN20" i="2"/>
  <c r="GA30" i="2"/>
  <c r="AT58" i="1"/>
  <c r="GA46" i="2"/>
  <c r="CW52" i="2"/>
  <c r="AJ57" i="1" s="1"/>
  <c r="CW75" i="2"/>
  <c r="CW78" i="2" s="1"/>
  <c r="CP39" i="2"/>
  <c r="CP77" i="2"/>
  <c r="CP78" i="2" s="1"/>
  <c r="CO52" i="2"/>
  <c r="CO75" i="2"/>
  <c r="CZ49" i="2"/>
  <c r="DA7" i="2"/>
  <c r="CN6" i="2"/>
  <c r="DM6" i="2"/>
  <c r="H72" i="2"/>
  <c r="CZ20" i="2"/>
  <c r="CZ10" i="2"/>
  <c r="CN75" i="2"/>
  <c r="CN13" i="2"/>
  <c r="C72" i="2"/>
  <c r="CZ38" i="2"/>
  <c r="I72" i="2"/>
  <c r="O71" i="2"/>
  <c r="G63" i="2"/>
  <c r="F76" i="2"/>
  <c r="F65" i="2"/>
  <c r="Q73" i="1" s="1"/>
  <c r="V62" i="3"/>
  <c r="IE7" i="2"/>
  <c r="BZ14" i="1" s="1"/>
  <c r="BZ16" i="1" s="1"/>
  <c r="U59" i="3"/>
  <c r="U27" i="3" s="1"/>
  <c r="AH19" i="1" s="1"/>
  <c r="AH23" i="1" s="1"/>
  <c r="BA58" i="3"/>
  <c r="N74" i="1"/>
  <c r="AF78" i="1"/>
  <c r="AF80" i="1" s="1"/>
  <c r="AQ74" i="1"/>
  <c r="AQ76" i="1" s="1"/>
  <c r="IS20" i="2"/>
  <c r="IF17" i="2"/>
  <c r="AP29" i="1"/>
  <c r="GN26" i="2"/>
  <c r="FR76" i="2"/>
  <c r="FR78" i="2" s="1"/>
  <c r="FR39" i="2"/>
  <c r="FW39" i="2"/>
  <c r="AV41" i="1" s="1"/>
  <c r="FW75" i="2"/>
  <c r="FW78" i="2" s="1"/>
  <c r="AP45" i="1"/>
  <c r="GN39" i="2"/>
  <c r="FR72" i="2"/>
  <c r="GA69" i="2"/>
  <c r="AN42" i="1"/>
  <c r="AO42" i="1"/>
  <c r="GA33" i="2"/>
  <c r="FU72" i="2"/>
  <c r="CS33" i="2"/>
  <c r="AF42" i="1" s="1"/>
  <c r="CS70" i="2"/>
  <c r="CS72" i="2" s="1"/>
  <c r="AC46" i="1"/>
  <c r="DM33" i="2"/>
  <c r="CX52" i="2"/>
  <c r="AK57" i="1" s="1"/>
  <c r="CX75" i="2"/>
  <c r="CX78" i="2" s="1"/>
  <c r="CT52" i="2"/>
  <c r="AG57" i="1" s="1"/>
  <c r="CT77" i="2"/>
  <c r="CQ39" i="2"/>
  <c r="AD41" i="1" s="1"/>
  <c r="CZ36" i="2"/>
  <c r="CQ75" i="2"/>
  <c r="CQ78" i="2" s="1"/>
  <c r="CZ31" i="2"/>
  <c r="CT39" i="2"/>
  <c r="AG41" i="1" s="1"/>
  <c r="AG43" i="1" s="1"/>
  <c r="CT75" i="2"/>
  <c r="CZ45" i="2"/>
  <c r="CN46" i="2"/>
  <c r="CN71" i="2"/>
  <c r="CZ51" i="2"/>
  <c r="CO77" i="2"/>
  <c r="CO6" i="2"/>
  <c r="DB7" i="2"/>
  <c r="AB14" i="1" s="1"/>
  <c r="D78" i="2"/>
  <c r="C78" i="2"/>
  <c r="O75" i="2"/>
  <c r="O26" i="2"/>
  <c r="IU31" i="2"/>
  <c r="IG31" i="2"/>
  <c r="HT31" i="2" s="1"/>
  <c r="FP72" i="2"/>
  <c r="GA72" i="2" s="1"/>
  <c r="GA71" i="2"/>
  <c r="IU18" i="2"/>
  <c r="IG18" i="2"/>
  <c r="IT20" i="2"/>
  <c r="GN33" i="2"/>
  <c r="CX46" i="2"/>
  <c r="AK58" i="1" s="1"/>
  <c r="CX69" i="2"/>
  <c r="CX72" i="2" s="1"/>
  <c r="DM52" i="2"/>
  <c r="AB61" i="1"/>
  <c r="CV52" i="2"/>
  <c r="AI57" i="1" s="1"/>
  <c r="CV75" i="2"/>
  <c r="CV78" i="2" s="1"/>
  <c r="CR52" i="2"/>
  <c r="AE57" i="1" s="1"/>
  <c r="CR75" i="2"/>
  <c r="CR78" i="2" s="1"/>
  <c r="DM46" i="2"/>
  <c r="AA62" i="1"/>
  <c r="F78" i="2"/>
  <c r="O41" i="1"/>
  <c r="O39" i="2"/>
  <c r="N9" i="1"/>
  <c r="O13" i="2"/>
  <c r="O69" i="2"/>
  <c r="N57" i="1"/>
  <c r="O52" i="2"/>
  <c r="I64" i="2"/>
  <c r="H77" i="2"/>
  <c r="H3" i="3"/>
  <c r="H7" i="1" s="1"/>
  <c r="H6" i="1"/>
  <c r="K59" i="2"/>
  <c r="V74" i="1" s="1"/>
  <c r="V76" i="1" s="1"/>
  <c r="K70" i="2"/>
  <c r="L57" i="2"/>
  <c r="CJ24" i="1"/>
  <c r="CJ56" i="1"/>
  <c r="U72" i="1"/>
  <c r="CI63" i="1"/>
  <c r="IN27" i="2"/>
  <c r="CI29" i="1"/>
  <c r="CI31" i="1" s="1"/>
  <c r="AX72" i="1"/>
  <c r="AD72" i="1"/>
  <c r="CJ8" i="1"/>
  <c r="CS9" i="1"/>
  <c r="BA60" i="1"/>
  <c r="V72" i="1"/>
  <c r="AF72" i="1"/>
  <c r="AM40" i="1"/>
  <c r="AZ24" i="1"/>
  <c r="AW72" i="1"/>
  <c r="CH43" i="1"/>
  <c r="CH31" i="1"/>
  <c r="CH63" i="1"/>
  <c r="CH47" i="1"/>
  <c r="CH7" i="1"/>
  <c r="IM27" i="2"/>
  <c r="CG29" i="1"/>
  <c r="CG31" i="1" s="1"/>
  <c r="IL27" i="2"/>
  <c r="JM53" i="2"/>
  <c r="H7" i="3"/>
  <c r="H43" i="1" s="1"/>
  <c r="H42" i="1"/>
  <c r="I7" i="3"/>
  <c r="H45" i="1" s="1"/>
  <c r="H44" i="1"/>
  <c r="HR33" i="2"/>
  <c r="BZ42" i="1" s="1"/>
  <c r="BZ44" i="1" s="1"/>
  <c r="AI72" i="1"/>
  <c r="X72" i="1"/>
  <c r="BA74" i="1"/>
  <c r="T72" i="1"/>
  <c r="HP33" i="2"/>
  <c r="BX42" i="1" s="1"/>
  <c r="JK53" i="2"/>
  <c r="CF61" i="1"/>
  <c r="IK27" i="2"/>
  <c r="CF29" i="1"/>
  <c r="CF31" i="1" s="1"/>
  <c r="BX48" i="1"/>
  <c r="BX32" i="1"/>
  <c r="BX70" i="1"/>
  <c r="CJ70" i="1" s="1"/>
  <c r="BX63" i="1"/>
  <c r="P72" i="1"/>
  <c r="CE61" i="1"/>
  <c r="JJ53" i="2"/>
  <c r="IP84" i="2"/>
  <c r="IR83" i="2"/>
  <c r="CE43" i="1"/>
  <c r="AQ72" i="1"/>
  <c r="CE7" i="1"/>
  <c r="CS3" i="1"/>
  <c r="CS4" i="1" s="1"/>
  <c r="DG3" i="1" s="1"/>
  <c r="AT72" i="1"/>
  <c r="AC72" i="1"/>
  <c r="AB72" i="1"/>
  <c r="AV72" i="1"/>
  <c r="AP72" i="1"/>
  <c r="Z8" i="1"/>
  <c r="Z56" i="1"/>
  <c r="AK72" i="1"/>
  <c r="AG72" i="1"/>
  <c r="Z24" i="1"/>
  <c r="AL72" i="1"/>
  <c r="AZ48" i="1"/>
  <c r="CD41" i="1"/>
  <c r="CD43" i="1" s="1"/>
  <c r="IQ46" i="2"/>
  <c r="BY58" i="1" s="1"/>
  <c r="BY60" i="1" s="1"/>
  <c r="IQ84" i="2"/>
  <c r="AM21" i="1"/>
  <c r="AU72" i="1"/>
  <c r="AZ32" i="1"/>
  <c r="AH72" i="1"/>
  <c r="AM56" i="1"/>
  <c r="AZ8" i="1"/>
  <c r="Z40" i="1"/>
  <c r="W72" i="1"/>
  <c r="AX75" i="1"/>
  <c r="AD23" i="1"/>
  <c r="AM8" i="1"/>
  <c r="AM28" i="1"/>
  <c r="AL23" i="1"/>
  <c r="BX56" i="1"/>
  <c r="AM32" i="1"/>
  <c r="IC13" i="2"/>
  <c r="BX13" i="1" s="1"/>
  <c r="N5" i="5"/>
  <c r="JF59" i="2"/>
  <c r="IP83" i="2"/>
  <c r="HQ7" i="2"/>
  <c r="BY10" i="1" s="1"/>
  <c r="BY12" i="1" s="1"/>
  <c r="HQ33" i="2"/>
  <c r="BY42" i="1" s="1"/>
  <c r="BY44" i="1" s="1"/>
  <c r="JO56" i="2"/>
  <c r="JO59" i="2" s="1"/>
  <c r="IP46" i="2"/>
  <c r="BX58" i="1" s="1"/>
  <c r="IS56" i="2"/>
  <c r="IS59" i="2" s="1"/>
  <c r="CA89" i="1" s="1"/>
  <c r="IR46" i="2"/>
  <c r="BZ58" i="1" s="1"/>
  <c r="IR84" i="2"/>
  <c r="HP20" i="2"/>
  <c r="BX26" i="1" s="1"/>
  <c r="HR20" i="2"/>
  <c r="BZ26" i="1" s="1"/>
  <c r="BZ28" i="1" s="1"/>
  <c r="BY78" i="1"/>
  <c r="BY80" i="1" s="1"/>
  <c r="HQ20" i="2"/>
  <c r="BY26" i="1" s="1"/>
  <c r="BY28" i="1" s="1"/>
  <c r="AL59" i="3"/>
  <c r="AL27" i="3" s="1"/>
  <c r="AY19" i="1" s="1"/>
  <c r="AY23" i="1" s="1"/>
  <c r="CC55" i="1"/>
  <c r="CC63" i="1"/>
  <c r="AY79" i="1"/>
  <c r="AZ64" i="1"/>
  <c r="O72" i="1"/>
  <c r="Z48" i="1"/>
  <c r="BY72" i="1"/>
  <c r="Q75" i="1"/>
  <c r="AO72" i="1"/>
  <c r="AJ72" i="1"/>
  <c r="Q72" i="1"/>
  <c r="IP82" i="2"/>
  <c r="IQ83" i="2"/>
  <c r="IR82" i="2"/>
  <c r="AX79" i="1"/>
  <c r="N4" i="5"/>
  <c r="HS26" i="2"/>
  <c r="CA25" i="1" s="1"/>
  <c r="CA27" i="1" s="1"/>
  <c r="Z70" i="1"/>
  <c r="AZ40" i="1"/>
  <c r="AZ70" i="1"/>
  <c r="AZ78" i="1"/>
  <c r="AM24" i="1"/>
  <c r="Z78" i="1"/>
  <c r="AN72" i="1"/>
  <c r="AZ68" i="1"/>
  <c r="AA72" i="1"/>
  <c r="AM70" i="1"/>
  <c r="N76" i="1"/>
  <c r="Z80" i="1"/>
  <c r="AJ69" i="1"/>
  <c r="AR76" i="1"/>
  <c r="AR72" i="1"/>
  <c r="AX80" i="1"/>
  <c r="AZ80" i="1" s="1"/>
  <c r="BA78" i="1"/>
  <c r="Z68" i="1"/>
  <c r="Z72" i="1" s="1"/>
  <c r="N72" i="1"/>
  <c r="Z12" i="1"/>
  <c r="AM68" i="1"/>
  <c r="CB63" i="1"/>
  <c r="AH60" i="3"/>
  <c r="AH36" i="3" s="1"/>
  <c r="AU35" i="1" s="1"/>
  <c r="AU39" i="1" s="1"/>
  <c r="IR90" i="2"/>
  <c r="IR99" i="2" s="1"/>
  <c r="Z37" i="1"/>
  <c r="N3" i="5"/>
  <c r="HP39" i="2"/>
  <c r="BX41" i="1" s="1"/>
  <c r="AS79" i="1"/>
  <c r="N2" i="5"/>
  <c r="HX26" i="2"/>
  <c r="CF25" i="1" s="1"/>
  <c r="CF27" i="1" s="1"/>
  <c r="AT69" i="3"/>
  <c r="AT36" i="3" s="1"/>
  <c r="CC35" i="1" s="1"/>
  <c r="CC39" i="1" s="1"/>
  <c r="AT68" i="3"/>
  <c r="AT27" i="3" s="1"/>
  <c r="CC19" i="1" s="1"/>
  <c r="AW68" i="3"/>
  <c r="AW27" i="3" s="1"/>
  <c r="CF19" i="1" s="1"/>
  <c r="CF23" i="1" s="1"/>
  <c r="CW72" i="2"/>
  <c r="CZ69" i="2"/>
  <c r="AK51" i="1"/>
  <c r="AL61" i="3"/>
  <c r="AL45" i="3" s="1"/>
  <c r="AY51" i="1" s="1"/>
  <c r="AL58" i="3"/>
  <c r="AL18" i="3" s="1"/>
  <c r="AY3" i="1" s="1"/>
  <c r="AY7" i="1" s="1"/>
  <c r="BX40" i="1"/>
  <c r="P61" i="3"/>
  <c r="P45" i="3" s="1"/>
  <c r="P59" i="3"/>
  <c r="P27" i="3" s="1"/>
  <c r="AC19" i="1" s="1"/>
  <c r="AC23" i="1" s="1"/>
  <c r="P60" i="3"/>
  <c r="P36" i="3" s="1"/>
  <c r="AC35" i="1" s="1"/>
  <c r="AC39" i="1" s="1"/>
  <c r="AJ23" i="1"/>
  <c r="BB19" i="1"/>
  <c r="AG79" i="1"/>
  <c r="G59" i="3"/>
  <c r="G27" i="3" s="1"/>
  <c r="S19" i="1" s="1"/>
  <c r="S23" i="1" s="1"/>
  <c r="G61" i="3"/>
  <c r="G45" i="3" s="1"/>
  <c r="G60" i="3"/>
  <c r="G36" i="3" s="1"/>
  <c r="S35" i="1" s="1"/>
  <c r="S39" i="1" s="1"/>
  <c r="G58" i="3"/>
  <c r="N13" i="5"/>
  <c r="B16" i="5" s="1"/>
  <c r="B26" i="5" s="1"/>
  <c r="AA55" i="1"/>
  <c r="P58" i="3"/>
  <c r="T79" i="1"/>
  <c r="N51" i="1"/>
  <c r="X58" i="3"/>
  <c r="X59" i="3"/>
  <c r="X27" i="3" s="1"/>
  <c r="AK19" i="1" s="1"/>
  <c r="AK23" i="1" s="1"/>
  <c r="N18" i="3"/>
  <c r="AA3" i="1" s="1"/>
  <c r="N62" i="3"/>
  <c r="P51" i="1"/>
  <c r="D54" i="3"/>
  <c r="T51" i="1"/>
  <c r="AM53" i="1"/>
  <c r="HP7" i="2"/>
  <c r="BX10" i="1" s="1"/>
  <c r="AA23" i="1"/>
  <c r="U18" i="3"/>
  <c r="AH3" i="1" s="1"/>
  <c r="AH7" i="1" s="1"/>
  <c r="Q51" i="1"/>
  <c r="AQ68" i="3"/>
  <c r="AQ27" i="3" s="1"/>
  <c r="BZ19" i="1" s="1"/>
  <c r="BZ23" i="1" s="1"/>
  <c r="AQ67" i="3"/>
  <c r="AQ18" i="3" s="1"/>
  <c r="BZ3" i="1" s="1"/>
  <c r="X39" i="1"/>
  <c r="U60" i="3"/>
  <c r="U36" i="3" s="1"/>
  <c r="AH35" i="1" s="1"/>
  <c r="AH39" i="1" s="1"/>
  <c r="U61" i="3"/>
  <c r="U45" i="3" s="1"/>
  <c r="IE11" i="2"/>
  <c r="HR11" i="2" s="1"/>
  <c r="IR89" i="2" s="1"/>
  <c r="IR98" i="2" s="1"/>
  <c r="IS11" i="2"/>
  <c r="AK39" i="1"/>
  <c r="W60" i="3"/>
  <c r="W36" i="3" s="1"/>
  <c r="AJ35" i="1" s="1"/>
  <c r="AJ39" i="1" s="1"/>
  <c r="W61" i="3"/>
  <c r="W45" i="3" s="1"/>
  <c r="W58" i="3"/>
  <c r="AI7" i="1"/>
  <c r="V54" i="3"/>
  <c r="AI51" i="1"/>
  <c r="AJ10" i="1"/>
  <c r="AF51" i="1"/>
  <c r="S54" i="3"/>
  <c r="B58" i="3"/>
  <c r="B60" i="3"/>
  <c r="B36" i="3" s="1"/>
  <c r="N35" i="1" s="1"/>
  <c r="N39" i="1" s="1"/>
  <c r="B59" i="3"/>
  <c r="B27" i="3" s="1"/>
  <c r="N19" i="1" s="1"/>
  <c r="N23" i="1" s="1"/>
  <c r="AK69" i="1"/>
  <c r="Q58" i="3"/>
  <c r="Q61" i="3"/>
  <c r="Q45" i="3" s="1"/>
  <c r="Q60" i="3"/>
  <c r="Q36" i="3" s="1"/>
  <c r="AD35" i="1" s="1"/>
  <c r="AD39" i="1" s="1"/>
  <c r="H59" i="3"/>
  <c r="H27" i="3" s="1"/>
  <c r="T19" i="1" s="1"/>
  <c r="T23" i="1" s="1"/>
  <c r="H60" i="3"/>
  <c r="H36" i="3" s="1"/>
  <c r="T35" i="1" s="1"/>
  <c r="T39" i="1" s="1"/>
  <c r="E60" i="3"/>
  <c r="E36" i="3" s="1"/>
  <c r="Q35" i="1" s="1"/>
  <c r="Q39" i="1" s="1"/>
  <c r="R67" i="1"/>
  <c r="R55" i="1"/>
  <c r="R18" i="3"/>
  <c r="AE3" i="1" s="1"/>
  <c r="AE7" i="1" s="1"/>
  <c r="AL75" i="1"/>
  <c r="AL79" i="1"/>
  <c r="AF79" i="1"/>
  <c r="AC69" i="1"/>
  <c r="AM5" i="1"/>
  <c r="C18" i="3"/>
  <c r="O3" i="1" s="1"/>
  <c r="O7" i="1" s="1"/>
  <c r="Z31" i="1"/>
  <c r="AT28" i="3"/>
  <c r="IQ82" i="2"/>
  <c r="IR10" i="2"/>
  <c r="IQ13" i="2"/>
  <c r="ID10" i="2"/>
  <c r="BZ24" i="1"/>
  <c r="BZ68" i="1"/>
  <c r="BZ72" i="1" s="1"/>
  <c r="T61" i="3"/>
  <c r="T45" i="3" s="1"/>
  <c r="T60" i="3"/>
  <c r="T36" i="3" s="1"/>
  <c r="AG35" i="1" s="1"/>
  <c r="AG39" i="1" s="1"/>
  <c r="JE13" i="2"/>
  <c r="JF12" i="2"/>
  <c r="IC7" i="2"/>
  <c r="BX14" i="1" s="1"/>
  <c r="BX68" i="1"/>
  <c r="CJ68" i="1" s="1"/>
  <c r="AH79" i="1"/>
  <c r="AA39" i="1"/>
  <c r="R61" i="3"/>
  <c r="R45" i="3" s="1"/>
  <c r="AB51" i="1"/>
  <c r="O54" i="3"/>
  <c r="C59" i="3"/>
  <c r="C27" i="3" s="1"/>
  <c r="O19" i="1" s="1"/>
  <c r="O23" i="1" s="1"/>
  <c r="C60" i="3"/>
  <c r="C36" i="3" s="1"/>
  <c r="O35" i="1" s="1"/>
  <c r="O39" i="1" s="1"/>
  <c r="Y61" i="3"/>
  <c r="Y45" i="3" s="1"/>
  <c r="Y60" i="3"/>
  <c r="Y36" i="3" s="1"/>
  <c r="AL35" i="1" s="1"/>
  <c r="AL39" i="1" s="1"/>
  <c r="Y58" i="3"/>
  <c r="T58" i="3"/>
  <c r="H18" i="3"/>
  <c r="T3" i="1" s="1"/>
  <c r="H62" i="3"/>
  <c r="E59" i="3"/>
  <c r="E27" i="3" s="1"/>
  <c r="Q19" i="1" s="1"/>
  <c r="Q23" i="1" s="1"/>
  <c r="E58" i="3"/>
  <c r="D62" i="3"/>
  <c r="N54" i="3"/>
  <c r="S46" i="3"/>
  <c r="T46" i="3" s="1"/>
  <c r="C61" i="3"/>
  <c r="C45" i="3" s="1"/>
  <c r="AR67" i="3"/>
  <c r="IF7" i="2"/>
  <c r="CA14" i="1" s="1"/>
  <c r="CA16" i="1" s="1"/>
  <c r="BZ64" i="1"/>
  <c r="BZ78" i="1"/>
  <c r="BZ80" i="1" s="1"/>
  <c r="BX64" i="1"/>
  <c r="IS46" i="2"/>
  <c r="CA58" i="1" s="1"/>
  <c r="CA64" i="1"/>
  <c r="HS33" i="2"/>
  <c r="CA42" i="1" s="1"/>
  <c r="AS69" i="3"/>
  <c r="AS36" i="3" s="1"/>
  <c r="CB35" i="1" s="1"/>
  <c r="CB39" i="1" s="1"/>
  <c r="AS67" i="3"/>
  <c r="AS18" i="3" s="1"/>
  <c r="CB3" i="1" s="1"/>
  <c r="AV68" i="3"/>
  <c r="AV27" i="3" s="1"/>
  <c r="CE19" i="1" s="1"/>
  <c r="CE23" i="1" s="1"/>
  <c r="AR69" i="3"/>
  <c r="AR36" i="3" s="1"/>
  <c r="CA35" i="1" s="1"/>
  <c r="CA39" i="1" s="1"/>
  <c r="AY71" i="3"/>
  <c r="AY54" i="3" s="1"/>
  <c r="CH85" i="1" s="1"/>
  <c r="IS84" i="2"/>
  <c r="HS7" i="2"/>
  <c r="CA10" i="1" s="1"/>
  <c r="AZ70" i="3"/>
  <c r="AZ45" i="3" s="1"/>
  <c r="CI51" i="1" s="1"/>
  <c r="AR70" i="3"/>
  <c r="AR45" i="3" s="1"/>
  <c r="CA51" i="1" s="1"/>
  <c r="HR39" i="2"/>
  <c r="BZ41" i="1" s="1"/>
  <c r="BZ43" i="1" s="1"/>
  <c r="Z27" i="1"/>
  <c r="AB58" i="3"/>
  <c r="AB18" i="3" s="1"/>
  <c r="AO3" i="1" s="1"/>
  <c r="AO7" i="1" s="1"/>
  <c r="JO39" i="2"/>
  <c r="AK60" i="3"/>
  <c r="AK36" i="3" s="1"/>
  <c r="AX35" i="1" s="1"/>
  <c r="AX39" i="1" s="1"/>
  <c r="L61" i="3"/>
  <c r="L45" i="3" s="1"/>
  <c r="X51" i="1" s="1"/>
  <c r="AZ68" i="3"/>
  <c r="AZ27" i="3" s="1"/>
  <c r="CI19" i="1" s="1"/>
  <c r="CI23" i="1" s="1"/>
  <c r="JB78" i="2"/>
  <c r="M58" i="3"/>
  <c r="M18" i="3" s="1"/>
  <c r="Y3" i="1" s="1"/>
  <c r="AJ59" i="3"/>
  <c r="AJ27" i="3" s="1"/>
  <c r="AW19" i="1" s="1"/>
  <c r="AW23" i="1" s="1"/>
  <c r="HQ26" i="2"/>
  <c r="BY25" i="1" s="1"/>
  <c r="BY27" i="1" s="1"/>
  <c r="AV71" i="3"/>
  <c r="AV54" i="3" s="1"/>
  <c r="CE85" i="1" s="1"/>
  <c r="AT71" i="3"/>
  <c r="AT54" i="3" s="1"/>
  <c r="CC85" i="1" s="1"/>
  <c r="AZ67" i="3"/>
  <c r="AZ18" i="3" s="1"/>
  <c r="CI3" i="1" s="1"/>
  <c r="AS68" i="3"/>
  <c r="AS27" i="3" s="1"/>
  <c r="CB19" i="1" s="1"/>
  <c r="CO24" i="1" s="1"/>
  <c r="AT67" i="3"/>
  <c r="AT18" i="3" s="1"/>
  <c r="CC3" i="1" s="1"/>
  <c r="AZ69" i="3"/>
  <c r="AZ36" i="3" s="1"/>
  <c r="CI35" i="1" s="1"/>
  <c r="CI39" i="1" s="1"/>
  <c r="JO65" i="2"/>
  <c r="Z5" i="1"/>
  <c r="AG61" i="3"/>
  <c r="AG45" i="3" s="1"/>
  <c r="AJ61" i="3"/>
  <c r="AJ45" i="3" s="1"/>
  <c r="AW51" i="1" s="1"/>
  <c r="JA52" i="2"/>
  <c r="CI57" i="1" s="1"/>
  <c r="AW67" i="3"/>
  <c r="AW18" i="3" s="1"/>
  <c r="CF3" i="1" s="1"/>
  <c r="AV70" i="3"/>
  <c r="AV45" i="3" s="1"/>
  <c r="CE51" i="1" s="1"/>
  <c r="AW71" i="3"/>
  <c r="AW54" i="3" s="1"/>
  <c r="CF85" i="1" s="1"/>
  <c r="AW70" i="3"/>
  <c r="AW45" i="3" s="1"/>
  <c r="CF51" i="1" s="1"/>
  <c r="HV26" i="2"/>
  <c r="CD25" i="1" s="1"/>
  <c r="CD27" i="1" s="1"/>
  <c r="Z63" i="1"/>
  <c r="AG58" i="3"/>
  <c r="AG18" i="3" s="1"/>
  <c r="AT3" i="1" s="1"/>
  <c r="AT7" i="1" s="1"/>
  <c r="AG60" i="3"/>
  <c r="AG36" i="3" s="1"/>
  <c r="AT35" i="1" s="1"/>
  <c r="AT39" i="1" s="1"/>
  <c r="AV69" i="3"/>
  <c r="AV36" i="3" s="1"/>
  <c r="CE35" i="1" s="1"/>
  <c r="CE39" i="1" s="1"/>
  <c r="AF58" i="3"/>
  <c r="AF18" i="3" s="1"/>
  <c r="IB37" i="2"/>
  <c r="AJ58" i="3"/>
  <c r="AJ18" i="3" s="1"/>
  <c r="AK46" i="3"/>
  <c r="AL46" i="3" s="1"/>
  <c r="CA72" i="1"/>
  <c r="AT19" i="3"/>
  <c r="BA57" i="3"/>
  <c r="AX71" i="3"/>
  <c r="AX54" i="3" s="1"/>
  <c r="CG85" i="1" s="1"/>
  <c r="AZ27" i="1"/>
  <c r="AY69" i="3"/>
  <c r="AY36" i="3" s="1"/>
  <c r="CH35" i="1" s="1"/>
  <c r="AY70" i="3"/>
  <c r="AY45" i="3" s="1"/>
  <c r="CH51" i="1" s="1"/>
  <c r="AX69" i="3"/>
  <c r="AX36" i="3" s="1"/>
  <c r="CG35" i="1" s="1"/>
  <c r="CG39" i="1" s="1"/>
  <c r="CA63" i="1"/>
  <c r="AY68" i="3"/>
  <c r="AY27" i="3" s="1"/>
  <c r="CH19" i="1" s="1"/>
  <c r="AX69" i="1"/>
  <c r="HQ39" i="2"/>
  <c r="BY41" i="1" s="1"/>
  <c r="BY43" i="1" s="1"/>
  <c r="AS71" i="3"/>
  <c r="AS54" i="3" s="1"/>
  <c r="CB85" i="1" s="1"/>
  <c r="AS70" i="3"/>
  <c r="AS45" i="3" s="1"/>
  <c r="CB51" i="1" s="1"/>
  <c r="IB38" i="2"/>
  <c r="JO26" i="2"/>
  <c r="IP88" i="2"/>
  <c r="IP97" i="2" s="1"/>
  <c r="IS52" i="2"/>
  <c r="CA57" i="1" s="1"/>
  <c r="CA59" i="1" s="1"/>
  <c r="JB63" i="2"/>
  <c r="AQ69" i="3"/>
  <c r="AQ36" i="3" s="1"/>
  <c r="BZ35" i="1" s="1"/>
  <c r="BZ39" i="1" s="1"/>
  <c r="KO52" i="2"/>
  <c r="AZ63" i="1"/>
  <c r="AI59" i="3"/>
  <c r="AI27" i="3" s="1"/>
  <c r="AV19" i="1" s="1"/>
  <c r="AV23" i="1" s="1"/>
  <c r="AH58" i="3"/>
  <c r="AH18" i="3" s="1"/>
  <c r="AU3" i="1" s="1"/>
  <c r="AU7" i="1" s="1"/>
  <c r="AH61" i="3"/>
  <c r="AH45" i="3" s="1"/>
  <c r="AU51" i="1" s="1"/>
  <c r="V69" i="1"/>
  <c r="HW26" i="2"/>
  <c r="CE25" i="1" s="1"/>
  <c r="CE27" i="1" s="1"/>
  <c r="AQ71" i="3"/>
  <c r="AQ54" i="3" s="1"/>
  <c r="BZ85" i="1" s="1"/>
  <c r="AR71" i="3"/>
  <c r="AR54" i="3" s="1"/>
  <c r="CA85" i="1" s="1"/>
  <c r="JO52" i="2"/>
  <c r="L58" i="3"/>
  <c r="L18" i="3" s="1"/>
  <c r="X3" i="1" s="1"/>
  <c r="M61" i="3"/>
  <c r="M45" i="3" s="1"/>
  <c r="Y51" i="1" s="1"/>
  <c r="AB60" i="3"/>
  <c r="AB36" i="3" s="1"/>
  <c r="AO35" i="1" s="1"/>
  <c r="AO39" i="1" s="1"/>
  <c r="AZ15" i="1"/>
  <c r="L59" i="3"/>
  <c r="L27" i="3" s="1"/>
  <c r="X19" i="1" s="1"/>
  <c r="X23" i="1" s="1"/>
  <c r="AY75" i="1"/>
  <c r="AX70" i="3"/>
  <c r="AX45" i="3" s="1"/>
  <c r="CG51" i="1" s="1"/>
  <c r="AX67" i="3"/>
  <c r="AX18" i="3" s="1"/>
  <c r="CG3" i="1" s="1"/>
  <c r="JB62" i="2"/>
  <c r="IY52" i="2"/>
  <c r="CG57" i="1" s="1"/>
  <c r="CG59" i="1" s="1"/>
  <c r="AQ69" i="1"/>
  <c r="M59" i="3"/>
  <c r="M27" i="3" s="1"/>
  <c r="Y19" i="1" s="1"/>
  <c r="Y23" i="1" s="1"/>
  <c r="AQ79" i="1"/>
  <c r="BY69" i="1"/>
  <c r="BZ69" i="1"/>
  <c r="IP90" i="2"/>
  <c r="IB25" i="2"/>
  <c r="AF46" i="3"/>
  <c r="AG46" i="3" s="1"/>
  <c r="AA59" i="3"/>
  <c r="AA27" i="3" s="1"/>
  <c r="AN19" i="1" s="1"/>
  <c r="Y79" i="1"/>
  <c r="AW79" i="1"/>
  <c r="AC58" i="3"/>
  <c r="AC61" i="3"/>
  <c r="AC45" i="3" s="1"/>
  <c r="AC60" i="3"/>
  <c r="AC36" i="3" s="1"/>
  <c r="AP35" i="1" s="1"/>
  <c r="AP39" i="1" s="1"/>
  <c r="U79" i="1"/>
  <c r="AD59" i="3"/>
  <c r="AD27" i="3" s="1"/>
  <c r="AQ19" i="1" s="1"/>
  <c r="AQ23" i="1" s="1"/>
  <c r="AD58" i="3"/>
  <c r="BX69" i="1"/>
  <c r="IV52" i="2"/>
  <c r="CD57" i="1" s="1"/>
  <c r="BY63" i="1"/>
  <c r="LO52" i="2"/>
  <c r="IU52" i="2"/>
  <c r="CC57" i="1" s="1"/>
  <c r="IR52" i="2"/>
  <c r="BZ57" i="1" s="1"/>
  <c r="IQ89" i="2"/>
  <c r="IQ98" i="2" s="1"/>
  <c r="IT52" i="2"/>
  <c r="CB57" i="1" s="1"/>
  <c r="CB59" i="1" s="1"/>
  <c r="HU26" i="2"/>
  <c r="CC25" i="1" s="1"/>
  <c r="CC27" i="1" s="1"/>
  <c r="HZ26" i="2"/>
  <c r="CH25" i="1" s="1"/>
  <c r="HP26" i="2"/>
  <c r="BX25" i="1" s="1"/>
  <c r="IB24" i="2"/>
  <c r="HT39" i="2"/>
  <c r="CB41" i="1" s="1"/>
  <c r="CB43" i="1" s="1"/>
  <c r="AN69" i="1"/>
  <c r="AZ53" i="1"/>
  <c r="AO69" i="1"/>
  <c r="Z53" i="1"/>
  <c r="Y69" i="1"/>
  <c r="AK59" i="3"/>
  <c r="AK27" i="3" s="1"/>
  <c r="AX19" i="1" s="1"/>
  <c r="AP69" i="1"/>
  <c r="AZ21" i="1"/>
  <c r="BA23" i="1" s="1"/>
  <c r="AF59" i="3"/>
  <c r="AF27" i="3" s="1"/>
  <c r="AS19" i="1" s="1"/>
  <c r="AF60" i="3"/>
  <c r="AF36" i="3" s="1"/>
  <c r="AS35" i="1" s="1"/>
  <c r="AS39" i="1" s="1"/>
  <c r="AB61" i="3"/>
  <c r="AB45" i="3" s="1"/>
  <c r="AP71" i="3"/>
  <c r="AP54" i="3" s="1"/>
  <c r="BY85" i="1" s="1"/>
  <c r="AP68" i="3"/>
  <c r="AP27" i="3" s="1"/>
  <c r="BY19" i="1" s="1"/>
  <c r="BY23" i="1" s="1"/>
  <c r="AP69" i="3"/>
  <c r="AP36" i="3" s="1"/>
  <c r="BY35" i="1" s="1"/>
  <c r="BY39" i="1" s="1"/>
  <c r="AP70" i="3"/>
  <c r="AP45" i="3" s="1"/>
  <c r="AP67" i="3"/>
  <c r="AU71" i="3"/>
  <c r="AU54" i="3" s="1"/>
  <c r="CD85" i="1" s="1"/>
  <c r="AU68" i="3"/>
  <c r="AU27" i="3" s="1"/>
  <c r="CD19" i="1" s="1"/>
  <c r="CD23" i="1" s="1"/>
  <c r="AU67" i="3"/>
  <c r="AU18" i="3" s="1"/>
  <c r="AU70" i="3"/>
  <c r="AU45" i="3" s="1"/>
  <c r="CD51" i="1" s="1"/>
  <c r="AU69" i="3"/>
  <c r="AU36" i="3" s="1"/>
  <c r="AV79" i="1"/>
  <c r="IW52" i="2"/>
  <c r="CE57" i="1" s="1"/>
  <c r="LB52" i="2"/>
  <c r="IA26" i="2"/>
  <c r="CI25" i="1" s="1"/>
  <c r="CI27" i="1" s="1"/>
  <c r="HY26" i="2"/>
  <c r="CG25" i="1" s="1"/>
  <c r="CG27" i="1" s="1"/>
  <c r="IB23" i="2"/>
  <c r="HT26" i="2"/>
  <c r="CB25" i="1" s="1"/>
  <c r="CB27" i="1" s="1"/>
  <c r="AV51" i="1"/>
  <c r="AD60" i="3"/>
  <c r="AD36" i="3" s="1"/>
  <c r="AQ35" i="1" s="1"/>
  <c r="AQ39" i="1" s="1"/>
  <c r="U39" i="1"/>
  <c r="X79" i="1"/>
  <c r="V79" i="1"/>
  <c r="AZ5" i="1"/>
  <c r="BA7" i="1" s="1"/>
  <c r="AP75" i="1"/>
  <c r="X69" i="1"/>
  <c r="I61" i="3"/>
  <c r="I45" i="3" s="1"/>
  <c r="I59" i="3"/>
  <c r="I27" i="3" s="1"/>
  <c r="U19" i="1" s="1"/>
  <c r="I58" i="3"/>
  <c r="AK18" i="3"/>
  <c r="AX3" i="1" s="1"/>
  <c r="AX7" i="1" s="1"/>
  <c r="AS51" i="1"/>
  <c r="AA60" i="3"/>
  <c r="AA36" i="3" s="1"/>
  <c r="AN35" i="1" s="1"/>
  <c r="AR23" i="1"/>
  <c r="AN79" i="1"/>
  <c r="BA61" i="3"/>
  <c r="HR26" i="2"/>
  <c r="BZ25" i="1" s="1"/>
  <c r="BZ27" i="1" s="1"/>
  <c r="BA54" i="1"/>
  <c r="AV69" i="1"/>
  <c r="J61" i="3"/>
  <c r="J45" i="3" s="1"/>
  <c r="J58" i="3"/>
  <c r="J60" i="3"/>
  <c r="J36" i="3" s="1"/>
  <c r="V35" i="1" s="1"/>
  <c r="V39" i="1" s="1"/>
  <c r="BX47" i="1"/>
  <c r="BZ51" i="1"/>
  <c r="AO69" i="3"/>
  <c r="AO36" i="3" s="1"/>
  <c r="AO70" i="3"/>
  <c r="AO45" i="3" s="1"/>
  <c r="AO67" i="3"/>
  <c r="AO68" i="3"/>
  <c r="AO27" i="3" s="1"/>
  <c r="BA62" i="3"/>
  <c r="AO71" i="3"/>
  <c r="AO54" i="3" s="1"/>
  <c r="AT23" i="1"/>
  <c r="IQ90" i="2"/>
  <c r="IQ99" i="2" s="1"/>
  <c r="JB51" i="2"/>
  <c r="IZ52" i="2"/>
  <c r="CH57" i="1" s="1"/>
  <c r="IQ52" i="2"/>
  <c r="BY57" i="1" s="1"/>
  <c r="IP52" i="2"/>
  <c r="BX57" i="1" s="1"/>
  <c r="JB49" i="2"/>
  <c r="IX52" i="2"/>
  <c r="CF57" i="1" s="1"/>
  <c r="IP89" i="2"/>
  <c r="JB50" i="2"/>
  <c r="IO26" i="2"/>
  <c r="BX31" i="1"/>
  <c r="HP13" i="2"/>
  <c r="BX9" i="1" s="1"/>
  <c r="AI60" i="3"/>
  <c r="AI36" i="3" s="1"/>
  <c r="AV35" i="1" s="1"/>
  <c r="AV39" i="1" s="1"/>
  <c r="AI58" i="3"/>
  <c r="AU79" i="1"/>
  <c r="AU75" i="1"/>
  <c r="AA61" i="3"/>
  <c r="AA45" i="3" s="1"/>
  <c r="W79" i="1"/>
  <c r="P46" i="3"/>
  <c r="AT79" i="1"/>
  <c r="AT75" i="1"/>
  <c r="AO79" i="1"/>
  <c r="AC59" i="3"/>
  <c r="AC27" i="3" s="1"/>
  <c r="AP19" i="1" s="1"/>
  <c r="AP23" i="1" s="1"/>
  <c r="AA58" i="3"/>
  <c r="AZ11" i="1"/>
  <c r="K61" i="3"/>
  <c r="K45" i="3" s="1"/>
  <c r="K60" i="3"/>
  <c r="K36" i="3" s="1"/>
  <c r="W35" i="1" s="1"/>
  <c r="W39" i="1" s="1"/>
  <c r="K58" i="3"/>
  <c r="K59" i="3"/>
  <c r="K27" i="3" s="1"/>
  <c r="W19" i="1" s="1"/>
  <c r="W23" i="1" s="1"/>
  <c r="Z47" i="1"/>
  <c r="AK61" i="3"/>
  <c r="AK45" i="3" s="1"/>
  <c r="AD61" i="3"/>
  <c r="AD45" i="3" s="1"/>
  <c r="AZ37" i="1"/>
  <c r="AE60" i="3"/>
  <c r="AE36" i="3" s="1"/>
  <c r="AR35" i="1" s="1"/>
  <c r="AR39" i="1" s="1"/>
  <c r="AE61" i="3"/>
  <c r="AE45" i="3" s="1"/>
  <c r="AE58" i="3"/>
  <c r="Z21" i="1"/>
  <c r="BB22" i="1" s="1"/>
  <c r="AM62" i="1" l="1"/>
  <c r="AA64" i="1"/>
  <c r="AM64" i="1" s="1"/>
  <c r="AD43" i="1"/>
  <c r="AD73" i="1"/>
  <c r="AD75" i="1" s="1"/>
  <c r="AK59" i="1"/>
  <c r="AK73" i="1"/>
  <c r="AK75" i="1" s="1"/>
  <c r="AF44" i="1"/>
  <c r="AF74" i="1"/>
  <c r="AF76" i="1" s="1"/>
  <c r="AN44" i="1"/>
  <c r="AN74" i="1"/>
  <c r="AZ42" i="1"/>
  <c r="AP77" i="1"/>
  <c r="AZ45" i="1"/>
  <c r="AP47" i="1"/>
  <c r="CN78" i="2"/>
  <c r="CZ75" i="2"/>
  <c r="CO78" i="2"/>
  <c r="FS39" i="2"/>
  <c r="AR41" i="1" s="1"/>
  <c r="FS75" i="2"/>
  <c r="GA36" i="2"/>
  <c r="JG46" i="2"/>
  <c r="CB62" i="1" s="1"/>
  <c r="IT44" i="2"/>
  <c r="O77" i="1"/>
  <c r="Z13" i="1"/>
  <c r="O15" i="1"/>
  <c r="Z15" i="1" s="1"/>
  <c r="AF43" i="1"/>
  <c r="AF73" i="1"/>
  <c r="AF75" i="1" s="1"/>
  <c r="AI44" i="1"/>
  <c r="AI74" i="1"/>
  <c r="AI76" i="1" s="1"/>
  <c r="AV60" i="1"/>
  <c r="AV74" i="1"/>
  <c r="AV76" i="1" s="1"/>
  <c r="CZ70" i="2"/>
  <c r="J64" i="2"/>
  <c r="I77" i="2"/>
  <c r="O43" i="1"/>
  <c r="Z43" i="1" s="1"/>
  <c r="O73" i="1"/>
  <c r="O75" i="1" s="1"/>
  <c r="Z41" i="1"/>
  <c r="AI59" i="1"/>
  <c r="AI73" i="1"/>
  <c r="AI75" i="1" s="1"/>
  <c r="AK60" i="1"/>
  <c r="AK74" i="1"/>
  <c r="AK76" i="1" s="1"/>
  <c r="HT18" i="2"/>
  <c r="CZ46" i="2"/>
  <c r="AA58" i="1"/>
  <c r="CZ6" i="2"/>
  <c r="CN7" i="2"/>
  <c r="AB57" i="1"/>
  <c r="CZ52" i="2"/>
  <c r="AJ59" i="1"/>
  <c r="AJ73" i="1"/>
  <c r="AJ75" i="1" s="1"/>
  <c r="AY26" i="1"/>
  <c r="GA20" i="2"/>
  <c r="AR77" i="1"/>
  <c r="AR79" i="1" s="1"/>
  <c r="AR47" i="1"/>
  <c r="IW32" i="2"/>
  <c r="II32" i="2"/>
  <c r="HV32" i="2" s="1"/>
  <c r="JV44" i="2"/>
  <c r="JH44" i="2"/>
  <c r="IU44" i="2" s="1"/>
  <c r="JU46" i="2"/>
  <c r="AA15" i="1"/>
  <c r="AM15" i="1" s="1"/>
  <c r="AA77" i="1"/>
  <c r="AM13" i="1"/>
  <c r="AC42" i="1"/>
  <c r="CZ33" i="2"/>
  <c r="H54" i="3"/>
  <c r="K72" i="2"/>
  <c r="AB77" i="1"/>
  <c r="AB79" i="1" s="1"/>
  <c r="AM61" i="1"/>
  <c r="AB63" i="1"/>
  <c r="AM63" i="1" s="1"/>
  <c r="IV18" i="2"/>
  <c r="IH18" i="2"/>
  <c r="HU18" i="2" s="1"/>
  <c r="AB16" i="1"/>
  <c r="AB78" i="1"/>
  <c r="AB80" i="1" s="1"/>
  <c r="CZ77" i="2"/>
  <c r="AG59" i="1"/>
  <c r="AG73" i="1"/>
  <c r="AG75" i="1" s="1"/>
  <c r="AC48" i="1"/>
  <c r="AM48" i="1" s="1"/>
  <c r="AC78" i="1"/>
  <c r="AC80" i="1" s="1"/>
  <c r="AM46" i="1"/>
  <c r="AV73" i="1"/>
  <c r="AV75" i="1" s="1"/>
  <c r="AV43" i="1"/>
  <c r="AZ29" i="1"/>
  <c r="AP31" i="1"/>
  <c r="AZ31" i="1" s="1"/>
  <c r="AA14" i="1"/>
  <c r="AA78" i="1" s="1"/>
  <c r="DM7" i="2"/>
  <c r="IF33" i="2"/>
  <c r="CA46" i="1" s="1"/>
  <c r="CA48" i="1" s="1"/>
  <c r="AH73" i="1"/>
  <c r="AH75" i="1" s="1"/>
  <c r="AH43" i="1"/>
  <c r="AM45" i="1"/>
  <c r="AC77" i="1"/>
  <c r="AC79" i="1" s="1"/>
  <c r="AC47" i="1"/>
  <c r="AM47" i="1" s="1"/>
  <c r="BA47" i="1" s="1"/>
  <c r="GA76" i="2"/>
  <c r="FP78" i="2"/>
  <c r="AN57" i="1"/>
  <c r="GA52" i="2"/>
  <c r="L59" i="2"/>
  <c r="W74" i="1" s="1"/>
  <c r="M57" i="2"/>
  <c r="L70" i="2"/>
  <c r="L72" i="2" s="1"/>
  <c r="N59" i="1"/>
  <c r="Z59" i="1" s="1"/>
  <c r="N73" i="1"/>
  <c r="Z57" i="1"/>
  <c r="Z9" i="1"/>
  <c r="N11" i="1"/>
  <c r="Z11" i="1" s="1"/>
  <c r="AE73" i="1"/>
  <c r="AE75" i="1" s="1"/>
  <c r="AE59" i="1"/>
  <c r="IV31" i="2"/>
  <c r="IH31" i="2"/>
  <c r="HU31" i="2" s="1"/>
  <c r="CO71" i="2"/>
  <c r="CO72" i="2" s="1"/>
  <c r="CO7" i="2"/>
  <c r="AB10" i="1" s="1"/>
  <c r="CT78" i="2"/>
  <c r="AO44" i="1"/>
  <c r="AO74" i="1"/>
  <c r="AO76" i="1" s="1"/>
  <c r="AQ41" i="1"/>
  <c r="FR40" i="2"/>
  <c r="HS17" i="2"/>
  <c r="HS20" i="2" s="1"/>
  <c r="IF20" i="2"/>
  <c r="CA30" i="1" s="1"/>
  <c r="CA32" i="1" s="1"/>
  <c r="G65" i="2"/>
  <c r="H63" i="2"/>
  <c r="G76" i="2"/>
  <c r="G78" i="2" s="1"/>
  <c r="CZ13" i="2"/>
  <c r="AA9" i="1"/>
  <c r="AC41" i="1"/>
  <c r="CZ39" i="2"/>
  <c r="AT60" i="1"/>
  <c r="AZ60" i="1" s="1"/>
  <c r="AZ58" i="1"/>
  <c r="AT74" i="1"/>
  <c r="AT76" i="1" s="1"/>
  <c r="IU19" i="2"/>
  <c r="IG19" i="2"/>
  <c r="HT19" i="2" s="1"/>
  <c r="HS36" i="2"/>
  <c r="IF39" i="2"/>
  <c r="CA45" i="1" s="1"/>
  <c r="IU30" i="2"/>
  <c r="IG30" i="2"/>
  <c r="IT33" i="2"/>
  <c r="CN72" i="2"/>
  <c r="CZ72" i="2" s="1"/>
  <c r="AO41" i="1"/>
  <c r="GA39" i="2"/>
  <c r="AW73" i="1"/>
  <c r="AW75" i="1" s="1"/>
  <c r="AW43" i="1"/>
  <c r="AS43" i="1"/>
  <c r="AS73" i="1"/>
  <c r="AS75" i="1" s="1"/>
  <c r="GA77" i="2"/>
  <c r="FO78" i="2"/>
  <c r="IO36" i="2"/>
  <c r="IO39" i="2" s="1"/>
  <c r="CZ76" i="2"/>
  <c r="CJ72" i="1"/>
  <c r="CI7" i="1"/>
  <c r="CW3" i="1"/>
  <c r="CW4" i="1" s="1"/>
  <c r="DK3" i="1" s="1"/>
  <c r="CJ69" i="1"/>
  <c r="CI55" i="1"/>
  <c r="CI67" i="1"/>
  <c r="CJ31" i="1"/>
  <c r="CI59" i="1"/>
  <c r="CJ57" i="1"/>
  <c r="CJ61" i="1"/>
  <c r="CJ25" i="1"/>
  <c r="BX44" i="1"/>
  <c r="CJ29" i="1"/>
  <c r="JB56" i="2"/>
  <c r="JB59" i="2" s="1"/>
  <c r="BZ7" i="1"/>
  <c r="CN3" i="1"/>
  <c r="CN4" i="1" s="1"/>
  <c r="DB3" i="1" s="1"/>
  <c r="CO73" i="1"/>
  <c r="CH27" i="1"/>
  <c r="CH23" i="1"/>
  <c r="CH59" i="1"/>
  <c r="CH39" i="1"/>
  <c r="CH67" i="1"/>
  <c r="CH55" i="1"/>
  <c r="CO75" i="1"/>
  <c r="CO74" i="1"/>
  <c r="H47" i="1"/>
  <c r="CG7" i="1"/>
  <c r="DA79" i="1"/>
  <c r="CG55" i="1"/>
  <c r="CG67" i="1"/>
  <c r="IQ85" i="2"/>
  <c r="CF55" i="1"/>
  <c r="CF67" i="1"/>
  <c r="CE63" i="1"/>
  <c r="CF63" i="1"/>
  <c r="CF59" i="1"/>
  <c r="CF7" i="1"/>
  <c r="CT3" i="1"/>
  <c r="CT4" i="1" s="1"/>
  <c r="DH3" i="1" s="1"/>
  <c r="BX16" i="1"/>
  <c r="BX15" i="1"/>
  <c r="BX43" i="1"/>
  <c r="BX28" i="1"/>
  <c r="BX12" i="1"/>
  <c r="BX60" i="1"/>
  <c r="IP85" i="2"/>
  <c r="CE55" i="1"/>
  <c r="CE67" i="1"/>
  <c r="CE59" i="1"/>
  <c r="IR85" i="2"/>
  <c r="CD35" i="1"/>
  <c r="CD39" i="1" s="1"/>
  <c r="CD3" i="1"/>
  <c r="AM19" i="1"/>
  <c r="BA19" i="1" s="1"/>
  <c r="BX77" i="1"/>
  <c r="AZ72" i="1"/>
  <c r="BZ74" i="1"/>
  <c r="CD59" i="1"/>
  <c r="CD55" i="1"/>
  <c r="BX74" i="1"/>
  <c r="IS82" i="2"/>
  <c r="IS85" i="2" s="1"/>
  <c r="BY74" i="1"/>
  <c r="BZ60" i="1"/>
  <c r="CA78" i="1"/>
  <c r="CA80" i="1" s="1"/>
  <c r="BX78" i="1"/>
  <c r="CC23" i="1"/>
  <c r="CP24" i="1"/>
  <c r="CC59" i="1"/>
  <c r="CC7" i="1"/>
  <c r="CQ3" i="1"/>
  <c r="CC67" i="1"/>
  <c r="CB23" i="1"/>
  <c r="CB7" i="1"/>
  <c r="CP3" i="1"/>
  <c r="AM69" i="1"/>
  <c r="BK71" i="1"/>
  <c r="BK73" i="1" s="1"/>
  <c r="H68" i="1"/>
  <c r="H70" i="1" s="1"/>
  <c r="AM72" i="1"/>
  <c r="CB55" i="1"/>
  <c r="CB67" i="1"/>
  <c r="R54" i="3"/>
  <c r="AE51" i="1"/>
  <c r="AL54" i="3"/>
  <c r="BE3" i="1"/>
  <c r="BE4" i="1" s="1"/>
  <c r="T7" i="1"/>
  <c r="Y18" i="3"/>
  <c r="AL3" i="1" s="1"/>
  <c r="AL7" i="1" s="1"/>
  <c r="Y62" i="3"/>
  <c r="BX72" i="1"/>
  <c r="IS10" i="2"/>
  <c r="IE10" i="2"/>
  <c r="IR13" i="2"/>
  <c r="AD51" i="1"/>
  <c r="AJ12" i="1"/>
  <c r="AJ74" i="1"/>
  <c r="AJ76" i="1" s="1"/>
  <c r="Q55" i="1"/>
  <c r="T67" i="1"/>
  <c r="T55" i="1"/>
  <c r="AA7" i="1"/>
  <c r="B21" i="5"/>
  <c r="B31" i="5" s="1"/>
  <c r="B32" i="5" s="1"/>
  <c r="B19" i="5"/>
  <c r="B29" i="5" s="1"/>
  <c r="B17" i="5"/>
  <c r="B27" i="5" s="1"/>
  <c r="B18" i="5"/>
  <c r="B28" i="5" s="1"/>
  <c r="AK55" i="1"/>
  <c r="AG54" i="3"/>
  <c r="N55" i="1"/>
  <c r="P18" i="3"/>
  <c r="AC3" i="1" s="1"/>
  <c r="AC7" i="1" s="1"/>
  <c r="P62" i="3"/>
  <c r="S51" i="1"/>
  <c r="AC51" i="1"/>
  <c r="C54" i="3"/>
  <c r="O51" i="1"/>
  <c r="E62" i="3"/>
  <c r="E18" i="3"/>
  <c r="Q3" i="1" s="1"/>
  <c r="Q7" i="1" s="1"/>
  <c r="AM35" i="1"/>
  <c r="AM39" i="1" s="1"/>
  <c r="HQ10" i="2"/>
  <c r="ID13" i="2"/>
  <c r="BY13" i="1" s="1"/>
  <c r="Q62" i="3"/>
  <c r="Q18" i="3"/>
  <c r="AD3" i="1" s="1"/>
  <c r="AD7" i="1" s="1"/>
  <c r="B62" i="3"/>
  <c r="B18" i="3"/>
  <c r="N3" i="1" s="1"/>
  <c r="N7" i="1" s="1"/>
  <c r="W18" i="3"/>
  <c r="AJ3" i="1" s="1"/>
  <c r="AJ7" i="1" s="1"/>
  <c r="W62" i="3"/>
  <c r="IF11" i="2"/>
  <c r="HS11" i="2" s="1"/>
  <c r="IT11" i="2"/>
  <c r="AA67" i="1"/>
  <c r="G18" i="3"/>
  <c r="S3" i="1" s="1"/>
  <c r="G62" i="3"/>
  <c r="T18" i="3"/>
  <c r="AG3" i="1" s="1"/>
  <c r="AG7" i="1" s="1"/>
  <c r="T62" i="3"/>
  <c r="AF67" i="1"/>
  <c r="AF71" i="1" s="1"/>
  <c r="AF55" i="1"/>
  <c r="AH51" i="1"/>
  <c r="U54" i="3"/>
  <c r="AT51" i="1"/>
  <c r="AT55" i="1" s="1"/>
  <c r="AL62" i="3"/>
  <c r="AL51" i="1"/>
  <c r="Y54" i="3"/>
  <c r="AB67" i="1"/>
  <c r="AB71" i="1" s="1"/>
  <c r="AB55" i="1"/>
  <c r="JG12" i="2"/>
  <c r="IF12" i="2"/>
  <c r="JF13" i="2"/>
  <c r="T54" i="3"/>
  <c r="AG51" i="1"/>
  <c r="C62" i="3"/>
  <c r="R62" i="3"/>
  <c r="R82" i="1"/>
  <c r="R71" i="1"/>
  <c r="AI55" i="1"/>
  <c r="AI67" i="1"/>
  <c r="AI71" i="1" s="1"/>
  <c r="W54" i="3"/>
  <c r="AJ51" i="1"/>
  <c r="U62" i="3"/>
  <c r="P67" i="1"/>
  <c r="P71" i="1" s="1"/>
  <c r="P55" i="1"/>
  <c r="X18" i="3"/>
  <c r="X62" i="3"/>
  <c r="AR72" i="3"/>
  <c r="CA26" i="1"/>
  <c r="CA74" i="1" s="1"/>
  <c r="CA44" i="1"/>
  <c r="CA60" i="1"/>
  <c r="AZ72" i="3"/>
  <c r="AR18" i="3"/>
  <c r="CA3" i="1" s="1"/>
  <c r="CO3" i="1" s="1"/>
  <c r="CA12" i="1"/>
  <c r="AW3" i="1"/>
  <c r="AW7" i="1" s="1"/>
  <c r="AJ54" i="3"/>
  <c r="M62" i="3"/>
  <c r="AG62" i="3"/>
  <c r="AY63" i="3"/>
  <c r="AY75" i="3" s="1"/>
  <c r="AV72" i="3"/>
  <c r="AZ63" i="3"/>
  <c r="AZ75" i="3" s="1"/>
  <c r="AJ62" i="3"/>
  <c r="AT63" i="3"/>
  <c r="AT75" i="3" s="1"/>
  <c r="AV63" i="3"/>
  <c r="AV75" i="3" s="1"/>
  <c r="AT72" i="3"/>
  <c r="AS3" i="1"/>
  <c r="BU11" i="1" s="1"/>
  <c r="AF54" i="3"/>
  <c r="L62" i="3"/>
  <c r="AW72" i="3"/>
  <c r="AW63" i="3"/>
  <c r="AW75" i="3" s="1"/>
  <c r="L54" i="3"/>
  <c r="M54" i="3"/>
  <c r="AB62" i="3"/>
  <c r="Z69" i="1"/>
  <c r="AS72" i="3"/>
  <c r="AH54" i="3"/>
  <c r="AY72" i="3"/>
  <c r="AS63" i="3"/>
  <c r="AS75" i="3" s="1"/>
  <c r="AX63" i="3"/>
  <c r="AX75" i="3" s="1"/>
  <c r="JB52" i="2"/>
  <c r="AQ63" i="3"/>
  <c r="AQ75" i="3" s="1"/>
  <c r="AH62" i="3"/>
  <c r="AX72" i="3"/>
  <c r="AQ72" i="3"/>
  <c r="JB65" i="2"/>
  <c r="AE62" i="3"/>
  <c r="AE18" i="3"/>
  <c r="AR3" i="1" s="1"/>
  <c r="K62" i="3"/>
  <c r="K18" i="3"/>
  <c r="W3" i="1" s="1"/>
  <c r="AO18" i="3"/>
  <c r="AO63" i="3" s="1"/>
  <c r="AO72" i="3"/>
  <c r="X67" i="1"/>
  <c r="X55" i="1"/>
  <c r="Z19" i="1"/>
  <c r="Z23" i="1" s="1"/>
  <c r="U23" i="1"/>
  <c r="AD62" i="3"/>
  <c r="AD18" i="3"/>
  <c r="AQ3" i="1" s="1"/>
  <c r="AR51" i="1"/>
  <c r="AX51" i="1"/>
  <c r="AK54" i="3"/>
  <c r="BX59" i="1"/>
  <c r="BX73" i="1"/>
  <c r="BA54" i="3"/>
  <c r="BX85" i="1"/>
  <c r="CJ85" i="1" s="1"/>
  <c r="BX51" i="1"/>
  <c r="CJ51" i="1" s="1"/>
  <c r="CJ55" i="1" s="1"/>
  <c r="BA45" i="3"/>
  <c r="CA55" i="1"/>
  <c r="U51" i="1"/>
  <c r="Y67" i="1"/>
  <c r="Y55" i="1"/>
  <c r="X7" i="1"/>
  <c r="BI3" i="1"/>
  <c r="BI4" i="1" s="1"/>
  <c r="AV55" i="1"/>
  <c r="AB54" i="3"/>
  <c r="AO51" i="1"/>
  <c r="IP99" i="2"/>
  <c r="AQ51" i="1"/>
  <c r="IP98" i="2"/>
  <c r="BZ67" i="1"/>
  <c r="BZ55" i="1"/>
  <c r="BJ3" i="1"/>
  <c r="BJ4" i="1" s="1"/>
  <c r="Y7" i="1"/>
  <c r="BX11" i="1"/>
  <c r="AN39" i="1"/>
  <c r="AZ35" i="1"/>
  <c r="AZ39" i="1" s="1"/>
  <c r="BA40" i="1" s="1"/>
  <c r="AK62" i="3"/>
  <c r="AP18" i="3"/>
  <c r="BY3" i="1" s="1"/>
  <c r="AP72" i="3"/>
  <c r="AZ69" i="1"/>
  <c r="BA70" i="1" s="1"/>
  <c r="BX27" i="1"/>
  <c r="BZ59" i="1"/>
  <c r="AF62" i="3"/>
  <c r="AP51" i="1"/>
  <c r="AN23" i="1"/>
  <c r="AZ19" i="1"/>
  <c r="AA18" i="3"/>
  <c r="AA54" i="3" s="1"/>
  <c r="AA62" i="3"/>
  <c r="AN51" i="1"/>
  <c r="AI18" i="3"/>
  <c r="AI62" i="3"/>
  <c r="V51" i="1"/>
  <c r="AS55" i="1"/>
  <c r="AY55" i="1"/>
  <c r="AY67" i="1"/>
  <c r="AY71" i="1" s="1"/>
  <c r="IP91" i="2"/>
  <c r="IP100" i="2" s="1"/>
  <c r="AW55" i="1"/>
  <c r="W51" i="1"/>
  <c r="BA36" i="3"/>
  <c r="BX35" i="1"/>
  <c r="CJ35" i="1" s="1"/>
  <c r="CJ39" i="1" s="1"/>
  <c r="BY59" i="1"/>
  <c r="BX19" i="1"/>
  <c r="CJ19" i="1" s="1"/>
  <c r="CJ23" i="1" s="1"/>
  <c r="BA27" i="3"/>
  <c r="J62" i="3"/>
  <c r="J18" i="3"/>
  <c r="V3" i="1" s="1"/>
  <c r="I62" i="3"/>
  <c r="I18" i="3"/>
  <c r="U3" i="1" s="1"/>
  <c r="Z35" i="1"/>
  <c r="Z39" i="1" s="1"/>
  <c r="IB26" i="2"/>
  <c r="AU63" i="3"/>
  <c r="AU75" i="3" s="1"/>
  <c r="AU72" i="3"/>
  <c r="BY51" i="1"/>
  <c r="AS23" i="1"/>
  <c r="BU25" i="1"/>
  <c r="BA18" i="1"/>
  <c r="AX23" i="1"/>
  <c r="AU55" i="1"/>
  <c r="AU67" i="1"/>
  <c r="AU71" i="1" s="1"/>
  <c r="AC18" i="3"/>
  <c r="AP3" i="1" s="1"/>
  <c r="AP7" i="1" s="1"/>
  <c r="AC62" i="3"/>
  <c r="AA80" i="1" l="1"/>
  <c r="AM80" i="1" s="1"/>
  <c r="AM78" i="1"/>
  <c r="P54" i="3"/>
  <c r="B54" i="3"/>
  <c r="IB36" i="2"/>
  <c r="IB39" i="2" s="1"/>
  <c r="HS39" i="2"/>
  <c r="CA41" i="1" s="1"/>
  <c r="AM41" i="1"/>
  <c r="AC43" i="1"/>
  <c r="AM43" i="1" s="1"/>
  <c r="BA43" i="1" s="1"/>
  <c r="AC73" i="1"/>
  <c r="AC75" i="1" s="1"/>
  <c r="N75" i="1"/>
  <c r="W76" i="1"/>
  <c r="AN59" i="1"/>
  <c r="AZ59" i="1" s="1"/>
  <c r="AN73" i="1"/>
  <c r="AZ57" i="1"/>
  <c r="IU20" i="2"/>
  <c r="AC44" i="1"/>
  <c r="AM44" i="1" s="1"/>
  <c r="AC74" i="1"/>
  <c r="AC76" i="1" s="1"/>
  <c r="IX32" i="2"/>
  <c r="IJ32" i="2"/>
  <c r="HW32" i="2" s="1"/>
  <c r="AY28" i="1"/>
  <c r="AZ28" i="1" s="1"/>
  <c r="BA26" i="1"/>
  <c r="AY74" i="1"/>
  <c r="AY76" i="1" s="1"/>
  <c r="AZ26" i="1"/>
  <c r="AM57" i="1"/>
  <c r="AB73" i="1"/>
  <c r="AB75" i="1" s="1"/>
  <c r="AB59" i="1"/>
  <c r="AM59" i="1" s="1"/>
  <c r="AA60" i="1"/>
  <c r="AM60" i="1" s="1"/>
  <c r="J77" i="2"/>
  <c r="K64" i="2"/>
  <c r="CB64" i="1"/>
  <c r="AZ44" i="1"/>
  <c r="E54" i="3"/>
  <c r="IG33" i="2"/>
  <c r="CB46" i="1" s="1"/>
  <c r="CB48" i="1" s="1"/>
  <c r="HT30" i="2"/>
  <c r="AA11" i="1"/>
  <c r="AM11" i="1" s="1"/>
  <c r="AA73" i="1"/>
  <c r="AM9" i="1"/>
  <c r="H65" i="2"/>
  <c r="S73" i="1" s="1"/>
  <c r="S75" i="1" s="1"/>
  <c r="H76" i="2"/>
  <c r="H78" i="2" s="1"/>
  <c r="I63" i="2"/>
  <c r="IU83" i="2"/>
  <c r="AA10" i="1"/>
  <c r="AA12" i="1" s="1"/>
  <c r="CZ7" i="2"/>
  <c r="AP79" i="1"/>
  <c r="AZ79" i="1" s="1"/>
  <c r="AZ77" i="1"/>
  <c r="AO73" i="1"/>
  <c r="AO75" i="1" s="1"/>
  <c r="AZ41" i="1"/>
  <c r="AO43" i="1"/>
  <c r="IV30" i="2"/>
  <c r="IU33" i="2"/>
  <c r="R73" i="1"/>
  <c r="R75" i="1" s="1"/>
  <c r="AQ73" i="1"/>
  <c r="AQ75" i="1" s="1"/>
  <c r="AQ43" i="1"/>
  <c r="AB12" i="1"/>
  <c r="AM12" i="1" s="1"/>
  <c r="AB74" i="1"/>
  <c r="AB76" i="1" s="1"/>
  <c r="IW31" i="2"/>
  <c r="II31" i="2"/>
  <c r="HV31" i="2" s="1"/>
  <c r="IW18" i="2"/>
  <c r="II18" i="2"/>
  <c r="HV18" i="2" s="1"/>
  <c r="AA79" i="1"/>
  <c r="AM79" i="1" s="1"/>
  <c r="AM77" i="1"/>
  <c r="JW44" i="2"/>
  <c r="JI44" i="2"/>
  <c r="IV44" i="2" s="1"/>
  <c r="IV83" i="2" s="1"/>
  <c r="JV46" i="2"/>
  <c r="IG20" i="2"/>
  <c r="CB30" i="1" s="1"/>
  <c r="CB32" i="1" s="1"/>
  <c r="O79" i="1"/>
  <c r="Z79" i="1" s="1"/>
  <c r="Z77" i="1"/>
  <c r="FS78" i="2"/>
  <c r="GA75" i="2"/>
  <c r="CZ78" i="2"/>
  <c r="GA78" i="2"/>
  <c r="CA47" i="1"/>
  <c r="CJ47" i="1" s="1"/>
  <c r="CJ45" i="1"/>
  <c r="IV19" i="2"/>
  <c r="IH19" i="2"/>
  <c r="HU19" i="2" s="1"/>
  <c r="M59" i="2"/>
  <c r="X74" i="1" s="1"/>
  <c r="X76" i="1" s="1"/>
  <c r="N57" i="2"/>
  <c r="M70" i="2"/>
  <c r="M72" i="2" s="1"/>
  <c r="AA16" i="1"/>
  <c r="AM16" i="1" s="1"/>
  <c r="AM14" i="1"/>
  <c r="HT20" i="2"/>
  <c r="CB26" i="1" s="1"/>
  <c r="CB28" i="1" s="1"/>
  <c r="IT83" i="2"/>
  <c r="IT46" i="2"/>
  <c r="CB58" i="1" s="1"/>
  <c r="CB60" i="1" s="1"/>
  <c r="AR43" i="1"/>
  <c r="AR73" i="1"/>
  <c r="AR75" i="1" s="1"/>
  <c r="AZ47" i="1"/>
  <c r="AN76" i="1"/>
  <c r="AZ76" i="1" s="1"/>
  <c r="AZ74" i="1"/>
  <c r="CZ71" i="2"/>
  <c r="CJ27" i="1"/>
  <c r="CI71" i="1"/>
  <c r="CW67" i="1"/>
  <c r="CW68" i="1" s="1"/>
  <c r="DK67" i="1" s="1"/>
  <c r="CJ63" i="1"/>
  <c r="BX75" i="1"/>
  <c r="CJ59" i="1"/>
  <c r="CO70" i="1"/>
  <c r="CO77" i="1"/>
  <c r="BZ71" i="1"/>
  <c r="CN67" i="1"/>
  <c r="CN68" i="1" s="1"/>
  <c r="DB67" i="1" s="1"/>
  <c r="BY7" i="1"/>
  <c r="CM3" i="1"/>
  <c r="CM4" i="1" s="1"/>
  <c r="DA3" i="1" s="1"/>
  <c r="CO4" i="1"/>
  <c r="DC3" i="1" s="1"/>
  <c r="CH71" i="1"/>
  <c r="BY76" i="1"/>
  <c r="CG71" i="1"/>
  <c r="BZ82" i="1"/>
  <c r="AM23" i="1"/>
  <c r="AT67" i="1"/>
  <c r="AT71" i="1" s="1"/>
  <c r="BA20" i="1"/>
  <c r="CK36" i="1"/>
  <c r="BZ76" i="1"/>
  <c r="CF71" i="1"/>
  <c r="CT67" i="1"/>
  <c r="CT68" i="1" s="1"/>
  <c r="DH67" i="1" s="1"/>
  <c r="BX79" i="1"/>
  <c r="BK20" i="1"/>
  <c r="BM20" i="1" s="1"/>
  <c r="BX76" i="1"/>
  <c r="BX80" i="1"/>
  <c r="CD67" i="1"/>
  <c r="CD71" i="1" s="1"/>
  <c r="CE71" i="1"/>
  <c r="CS67" i="1"/>
  <c r="CS68" i="1" s="1"/>
  <c r="DG67" i="1" s="1"/>
  <c r="CQ8" i="1"/>
  <c r="CR3" i="1"/>
  <c r="CD7" i="1"/>
  <c r="AW67" i="1"/>
  <c r="AW71" i="1" s="1"/>
  <c r="CQ4" i="1"/>
  <c r="DE3" i="1" s="1"/>
  <c r="CP7" i="1"/>
  <c r="CC71" i="1"/>
  <c r="CQ67" i="1"/>
  <c r="CQ68" i="1" s="1"/>
  <c r="DE67" i="1" s="1"/>
  <c r="AR63" i="3"/>
  <c r="AR75" i="3" s="1"/>
  <c r="CP4" i="1"/>
  <c r="DD3" i="1" s="1"/>
  <c r="CO7" i="1"/>
  <c r="CA67" i="1"/>
  <c r="CO67" i="1" s="1"/>
  <c r="CO68" i="1" s="1"/>
  <c r="DC67" i="1" s="1"/>
  <c r="CB71" i="1"/>
  <c r="CP67" i="1"/>
  <c r="HS12" i="2"/>
  <c r="T82" i="1"/>
  <c r="T71" i="1"/>
  <c r="R85" i="1"/>
  <c r="R86" i="1" s="1"/>
  <c r="R83" i="1"/>
  <c r="JH12" i="2"/>
  <c r="JG13" i="2"/>
  <c r="IG12" i="2"/>
  <c r="HT12" i="2" s="1"/>
  <c r="AL55" i="1"/>
  <c r="AL67" i="1"/>
  <c r="AL71" i="1" s="1"/>
  <c r="BD3" i="1"/>
  <c r="BD4" i="1" s="1"/>
  <c r="S7" i="1"/>
  <c r="IQ88" i="2"/>
  <c r="HQ13" i="2"/>
  <c r="BY9" i="1" s="1"/>
  <c r="O55" i="1"/>
  <c r="O67" i="1"/>
  <c r="O71" i="1" s="1"/>
  <c r="AD55" i="1"/>
  <c r="AD67" i="1"/>
  <c r="AD71" i="1" s="1"/>
  <c r="IS13" i="2"/>
  <c r="IT10" i="2"/>
  <c r="IF10" i="2"/>
  <c r="AE55" i="1"/>
  <c r="AE67" i="1"/>
  <c r="AE71" i="1" s="1"/>
  <c r="AJ55" i="1"/>
  <c r="AJ67" i="1"/>
  <c r="AJ71" i="1" s="1"/>
  <c r="IS89" i="2"/>
  <c r="AC67" i="1"/>
  <c r="AC71" i="1" s="1"/>
  <c r="AC55" i="1"/>
  <c r="IE13" i="2"/>
  <c r="BZ13" i="1" s="1"/>
  <c r="HR10" i="2"/>
  <c r="AA71" i="1"/>
  <c r="G54" i="3"/>
  <c r="Q67" i="1"/>
  <c r="Q71" i="1" s="1"/>
  <c r="Q54" i="3"/>
  <c r="AK3" i="1"/>
  <c r="AM3" i="1" s="1"/>
  <c r="AM7" i="1" s="1"/>
  <c r="X54" i="3"/>
  <c r="AG55" i="1"/>
  <c r="AG67" i="1"/>
  <c r="AG71" i="1" s="1"/>
  <c r="AH67" i="1"/>
  <c r="AH71" i="1" s="1"/>
  <c r="AH55" i="1"/>
  <c r="IG11" i="2"/>
  <c r="HT11" i="2" s="1"/>
  <c r="IU11" i="2"/>
  <c r="BY15" i="1"/>
  <c r="BY77" i="1"/>
  <c r="S55" i="1"/>
  <c r="S67" i="1"/>
  <c r="N67" i="1"/>
  <c r="N71" i="1" s="1"/>
  <c r="AM51" i="1"/>
  <c r="CA28" i="1"/>
  <c r="CA7" i="1"/>
  <c r="CA76" i="1"/>
  <c r="AS7" i="1"/>
  <c r="AS67" i="1"/>
  <c r="AS71" i="1" s="1"/>
  <c r="K54" i="3"/>
  <c r="AD54" i="3"/>
  <c r="AE54" i="3"/>
  <c r="BA72" i="3"/>
  <c r="V55" i="1"/>
  <c r="V67" i="1"/>
  <c r="AQ7" i="1"/>
  <c r="BB3" i="1"/>
  <c r="BB4" i="1" s="1"/>
  <c r="BU2" i="1" s="1"/>
  <c r="BH3" i="1"/>
  <c r="BH4" i="1" s="1"/>
  <c r="W7" i="1"/>
  <c r="BY55" i="1"/>
  <c r="BY67" i="1"/>
  <c r="CM67" i="1" s="1"/>
  <c r="CM68" i="1" s="1"/>
  <c r="DA67" i="1" s="1"/>
  <c r="BX23" i="1"/>
  <c r="BX39" i="1"/>
  <c r="J54" i="3"/>
  <c r="AQ55" i="1"/>
  <c r="AQ67" i="1"/>
  <c r="Y82" i="1"/>
  <c r="Y83" i="1" s="1"/>
  <c r="Y71" i="1"/>
  <c r="AR55" i="1"/>
  <c r="AR67" i="1"/>
  <c r="BX3" i="1"/>
  <c r="CJ3" i="1" s="1"/>
  <c r="CJ7" i="1" s="1"/>
  <c r="BA18" i="3"/>
  <c r="AN55" i="1"/>
  <c r="AZ51" i="1"/>
  <c r="AZ55" i="1" s="1"/>
  <c r="BA56" i="1" s="1"/>
  <c r="AO55" i="1"/>
  <c r="AO67" i="1"/>
  <c r="AO71" i="1" s="1"/>
  <c r="V7" i="1"/>
  <c r="BC1" i="1"/>
  <c r="BG3" i="1"/>
  <c r="BG4" i="1" s="1"/>
  <c r="AC54" i="3"/>
  <c r="I54" i="3"/>
  <c r="BX55" i="1"/>
  <c r="AR7" i="1"/>
  <c r="BB11" i="1"/>
  <c r="BB20" i="1"/>
  <c r="AZ23" i="1"/>
  <c r="BA24" i="1" s="1"/>
  <c r="AO75" i="3"/>
  <c r="AP63" i="3"/>
  <c r="AP75" i="3" s="1"/>
  <c r="BF3" i="1"/>
  <c r="BF4" i="1" s="1"/>
  <c r="U7" i="1"/>
  <c r="Z3" i="1"/>
  <c r="W67" i="1"/>
  <c r="W55" i="1"/>
  <c r="AV3" i="1"/>
  <c r="AI54" i="3"/>
  <c r="AN3" i="1"/>
  <c r="AN67" i="1" s="1"/>
  <c r="AM18" i="3"/>
  <c r="AP55" i="1"/>
  <c r="AP67" i="1"/>
  <c r="AP71" i="1" s="1"/>
  <c r="Z51" i="1"/>
  <c r="Z55" i="1" s="1"/>
  <c r="U55" i="1"/>
  <c r="U67" i="1"/>
  <c r="AX55" i="1"/>
  <c r="AX67" i="1"/>
  <c r="AX71" i="1" s="1"/>
  <c r="X71" i="1"/>
  <c r="X82" i="1"/>
  <c r="X83" i="1" s="1"/>
  <c r="IX18" i="2" l="1"/>
  <c r="IJ18" i="2"/>
  <c r="HW18" i="2" s="1"/>
  <c r="IW30" i="2"/>
  <c r="IV33" i="2"/>
  <c r="K77" i="2"/>
  <c r="L64" i="2"/>
  <c r="IY32" i="2"/>
  <c r="IK32" i="2"/>
  <c r="HX32" i="2" s="1"/>
  <c r="AZ43" i="1"/>
  <c r="IT82" i="2"/>
  <c r="HT33" i="2"/>
  <c r="CB42" i="1" s="1"/>
  <c r="CB44" i="1" s="1"/>
  <c r="AZ73" i="1"/>
  <c r="AN75" i="1"/>
  <c r="AZ75" i="1" s="1"/>
  <c r="BA76" i="1" s="1"/>
  <c r="IW19" i="2"/>
  <c r="II19" i="2"/>
  <c r="HV19" i="2" s="1"/>
  <c r="IV20" i="2"/>
  <c r="AA74" i="1"/>
  <c r="AA76" i="1" s="1"/>
  <c r="AM76" i="1" s="1"/>
  <c r="CA43" i="1"/>
  <c r="CJ43" i="1" s="1"/>
  <c r="CJ41" i="1"/>
  <c r="N70" i="2"/>
  <c r="N72" i="2" s="1"/>
  <c r="O72" i="2" s="1"/>
  <c r="N59" i="2"/>
  <c r="O57" i="2"/>
  <c r="JX44" i="2"/>
  <c r="JJ44" i="2"/>
  <c r="IW44" i="2" s="1"/>
  <c r="JW46" i="2"/>
  <c r="IX31" i="2"/>
  <c r="IJ31" i="2"/>
  <c r="HW31" i="2" s="1"/>
  <c r="J63" i="2"/>
  <c r="I76" i="2"/>
  <c r="I78" i="2" s="1"/>
  <c r="I65" i="2"/>
  <c r="AA75" i="1"/>
  <c r="AM75" i="1" s="1"/>
  <c r="AM73" i="1"/>
  <c r="CB78" i="1"/>
  <c r="CB80" i="1" s="1"/>
  <c r="CL3" i="1"/>
  <c r="CR67" i="1"/>
  <c r="CR68" i="1" s="1"/>
  <c r="DF67" i="1" s="1"/>
  <c r="CO36" i="1"/>
  <c r="CQ7" i="1"/>
  <c r="CR4" i="1"/>
  <c r="DF3" i="1" s="1"/>
  <c r="IT89" i="2"/>
  <c r="IT98" i="2" s="1"/>
  <c r="CA71" i="1"/>
  <c r="CP68" i="1"/>
  <c r="DD67" i="1" s="1"/>
  <c r="CP70" i="1"/>
  <c r="AS84" i="1"/>
  <c r="BK51" i="1"/>
  <c r="AM55" i="1"/>
  <c r="BY79" i="1"/>
  <c r="HR13" i="2"/>
  <c r="BZ9" i="1" s="1"/>
  <c r="IR88" i="2"/>
  <c r="IG10" i="2"/>
  <c r="IU10" i="2"/>
  <c r="IT13" i="2"/>
  <c r="IQ91" i="2"/>
  <c r="IQ100" i="2" s="1"/>
  <c r="IQ97" i="2"/>
  <c r="JH13" i="2"/>
  <c r="JI12" i="2"/>
  <c r="IH12" i="2"/>
  <c r="HU12" i="2" s="1"/>
  <c r="T83" i="1"/>
  <c r="T85" i="1"/>
  <c r="IH11" i="2"/>
  <c r="HU11" i="2" s="1"/>
  <c r="IV11" i="2"/>
  <c r="BY11" i="1"/>
  <c r="BY73" i="1"/>
  <c r="S71" i="1"/>
  <c r="S82" i="1"/>
  <c r="BZ15" i="1"/>
  <c r="BZ77" i="1"/>
  <c r="IS98" i="2"/>
  <c r="HS10" i="2"/>
  <c r="IF13" i="2"/>
  <c r="CA13" i="1" s="1"/>
  <c r="AK7" i="1"/>
  <c r="AK67" i="1"/>
  <c r="AK71" i="1" s="1"/>
  <c r="IT90" i="2"/>
  <c r="IT99" i="2" s="1"/>
  <c r="IS90" i="2"/>
  <c r="BX67" i="1"/>
  <c r="CJ67" i="1" s="1"/>
  <c r="BA63" i="3"/>
  <c r="AM54" i="3"/>
  <c r="AN71" i="1"/>
  <c r="U82" i="1"/>
  <c r="U83" i="1" s="1"/>
  <c r="Z67" i="1"/>
  <c r="Z71" i="1" s="1"/>
  <c r="U71" i="1"/>
  <c r="AV7" i="1"/>
  <c r="AV67" i="1"/>
  <c r="BB67" i="1"/>
  <c r="BB68" i="1" s="1"/>
  <c r="BU66" i="1" s="1"/>
  <c r="AQ71" i="1"/>
  <c r="BY71" i="1"/>
  <c r="W71" i="1"/>
  <c r="W82" i="1"/>
  <c r="W83" i="1" s="1"/>
  <c r="BX7" i="1"/>
  <c r="V71" i="1"/>
  <c r="V82" i="1"/>
  <c r="V83" i="1" s="1"/>
  <c r="AN7" i="1"/>
  <c r="AZ3" i="1"/>
  <c r="BA3" i="1"/>
  <c r="BA4" i="1" s="1"/>
  <c r="Z7" i="1"/>
  <c r="AR84" i="1"/>
  <c r="AR71" i="1"/>
  <c r="IW83" i="2" l="1"/>
  <c r="IX30" i="2"/>
  <c r="IW33" i="2"/>
  <c r="IY18" i="2"/>
  <c r="IK18" i="2"/>
  <c r="HX18" i="2" s="1"/>
  <c r="T73" i="1"/>
  <c r="IY31" i="2"/>
  <c r="IK31" i="2"/>
  <c r="HX31" i="2" s="1"/>
  <c r="JY44" i="2"/>
  <c r="JK44" i="2"/>
  <c r="IX44" i="2" s="1"/>
  <c r="IX83" i="2" s="1"/>
  <c r="JX46" i="2"/>
  <c r="IX19" i="2"/>
  <c r="IJ19" i="2"/>
  <c r="HW19" i="2" s="1"/>
  <c r="IW84" i="2" s="1"/>
  <c r="M64" i="2"/>
  <c r="L77" i="2"/>
  <c r="IZ32" i="2"/>
  <c r="JA32" i="2" s="1"/>
  <c r="IN32" i="2" s="1"/>
  <c r="IA32" i="2" s="1"/>
  <c r="IL32" i="2"/>
  <c r="HY32" i="2" s="1"/>
  <c r="IW20" i="2"/>
  <c r="J76" i="2"/>
  <c r="J78" i="2" s="1"/>
  <c r="K63" i="2"/>
  <c r="J65" i="2"/>
  <c r="U73" i="1" s="1"/>
  <c r="U75" i="1" s="1"/>
  <c r="BC75" i="1" s="1"/>
  <c r="Y74" i="1"/>
  <c r="O59" i="2"/>
  <c r="O70" i="2"/>
  <c r="CJ71" i="1"/>
  <c r="BY75" i="1"/>
  <c r="CL67" i="1"/>
  <c r="CL68" i="1" s="1"/>
  <c r="CZ67" i="1" s="1"/>
  <c r="CL4" i="1"/>
  <c r="CZ3" i="1" s="1"/>
  <c r="CO72" i="1"/>
  <c r="CO76" i="1" s="1"/>
  <c r="BX71" i="1"/>
  <c r="BZ79" i="1"/>
  <c r="IU90" i="2"/>
  <c r="IU99" i="2" s="1"/>
  <c r="IU89" i="2"/>
  <c r="IU98" i="2" s="1"/>
  <c r="HS13" i="2"/>
  <c r="CA9" i="1" s="1"/>
  <c r="IS88" i="2"/>
  <c r="IR97" i="2"/>
  <c r="IR91" i="2"/>
  <c r="IR100" i="2" s="1"/>
  <c r="IS99" i="2"/>
  <c r="CA15" i="1"/>
  <c r="CA77" i="1"/>
  <c r="CA79" i="1" s="1"/>
  <c r="JI13" i="2"/>
  <c r="JJ12" i="2"/>
  <c r="II12" i="2"/>
  <c r="S83" i="1"/>
  <c r="Z83" i="1" s="1"/>
  <c r="S85" i="1"/>
  <c r="IH10" i="2"/>
  <c r="IV10" i="2"/>
  <c r="IU13" i="2"/>
  <c r="BZ11" i="1"/>
  <c r="BZ73" i="1"/>
  <c r="BZ75" i="1" s="1"/>
  <c r="AM67" i="1"/>
  <c r="II11" i="2"/>
  <c r="HV11" i="2" s="1"/>
  <c r="IW11" i="2"/>
  <c r="HT10" i="2"/>
  <c r="IG13" i="2"/>
  <c r="CB13" i="1" s="1"/>
  <c r="AV82" i="1"/>
  <c r="AV71" i="1"/>
  <c r="AZ7" i="1"/>
  <c r="BA8" i="1" s="1"/>
  <c r="BA73" i="1" s="1"/>
  <c r="BR3" i="1"/>
  <c r="BR4" i="1" s="1"/>
  <c r="BV2" i="1" s="1"/>
  <c r="BU3" i="1"/>
  <c r="BB6" i="1"/>
  <c r="AZ67" i="1"/>
  <c r="K76" i="2" l="1"/>
  <c r="K78" i="2" s="1"/>
  <c r="K65" i="2"/>
  <c r="V73" i="1" s="1"/>
  <c r="L63" i="2"/>
  <c r="JZ44" i="2"/>
  <c r="JL44" i="2"/>
  <c r="IY44" i="2" s="1"/>
  <c r="JY46" i="2"/>
  <c r="IZ18" i="2"/>
  <c r="IL18" i="2"/>
  <c r="HY18" i="2" s="1"/>
  <c r="IY19" i="2"/>
  <c r="IK19" i="2"/>
  <c r="HX19" i="2" s="1"/>
  <c r="IX84" i="2" s="1"/>
  <c r="T75" i="1"/>
  <c r="Y76" i="1"/>
  <c r="Z76" i="1" s="1"/>
  <c r="Z74" i="1"/>
  <c r="M77" i="2"/>
  <c r="N64" i="2"/>
  <c r="IX20" i="2"/>
  <c r="IY30" i="2"/>
  <c r="IX33" i="2"/>
  <c r="IZ31" i="2"/>
  <c r="JA31" i="2" s="1"/>
  <c r="IN31" i="2" s="1"/>
  <c r="IA31" i="2" s="1"/>
  <c r="IL31" i="2"/>
  <c r="HY31" i="2" s="1"/>
  <c r="Z85" i="1"/>
  <c r="BC85" i="1" s="1"/>
  <c r="CB15" i="1"/>
  <c r="CB77" i="1"/>
  <c r="II10" i="2"/>
  <c r="IW10" i="2"/>
  <c r="IV13" i="2"/>
  <c r="IS97" i="2"/>
  <c r="IS91" i="2"/>
  <c r="IS100" i="2" s="1"/>
  <c r="HU10" i="2"/>
  <c r="IH13" i="2"/>
  <c r="CC13" i="1" s="1"/>
  <c r="JK12" i="2"/>
  <c r="JJ13" i="2"/>
  <c r="IJ12" i="2"/>
  <c r="HW12" i="2" s="1"/>
  <c r="CA11" i="1"/>
  <c r="CA73" i="1"/>
  <c r="IT88" i="2"/>
  <c r="HT13" i="2"/>
  <c r="CB9" i="1" s="1"/>
  <c r="IJ11" i="2"/>
  <c r="HW11" i="2" s="1"/>
  <c r="IW89" i="2" s="1"/>
  <c r="IW98" i="2" s="1"/>
  <c r="IX11" i="2"/>
  <c r="HV12" i="2"/>
  <c r="IV89" i="2"/>
  <c r="H67" i="1"/>
  <c r="H69" i="1" s="1"/>
  <c r="AM71" i="1"/>
  <c r="BA68" i="1"/>
  <c r="AZ71" i="1"/>
  <c r="BA72" i="1" s="1"/>
  <c r="BB70" i="1"/>
  <c r="BR67" i="1"/>
  <c r="BR68" i="1" s="1"/>
  <c r="BV66" i="1" s="1"/>
  <c r="BW68" i="1"/>
  <c r="BR6" i="1"/>
  <c r="BK6" i="1"/>
  <c r="BM6" i="1" s="1"/>
  <c r="IZ30" i="2" l="1"/>
  <c r="IY33" i="2"/>
  <c r="JA18" i="2"/>
  <c r="IZ20" i="2"/>
  <c r="IY83" i="2"/>
  <c r="L65" i="2"/>
  <c r="W73" i="1" s="1"/>
  <c r="L76" i="2"/>
  <c r="L78" i="2" s="1"/>
  <c r="M63" i="2"/>
  <c r="IZ19" i="2"/>
  <c r="JA19" i="2" s="1"/>
  <c r="IL19" i="2"/>
  <c r="HY19" i="2" s="1"/>
  <c r="IY84" i="2" s="1"/>
  <c r="KA44" i="2"/>
  <c r="JZ46" i="2"/>
  <c r="V75" i="1"/>
  <c r="BD75" i="1"/>
  <c r="N77" i="2"/>
  <c r="O77" i="2" s="1"/>
  <c r="O64" i="2"/>
  <c r="IY20" i="2"/>
  <c r="KB44" i="2"/>
  <c r="KB46" i="2" s="1"/>
  <c r="JB31" i="2"/>
  <c r="CA75" i="1"/>
  <c r="CC15" i="1"/>
  <c r="CC77" i="1"/>
  <c r="CC79" i="1" s="1"/>
  <c r="CB11" i="1"/>
  <c r="CB73" i="1"/>
  <c r="CB75" i="1" s="1"/>
  <c r="CB79" i="1"/>
  <c r="IK11" i="2"/>
  <c r="HX11" i="2" s="1"/>
  <c r="IY11" i="2"/>
  <c r="IW90" i="2"/>
  <c r="IW99" i="2" s="1"/>
  <c r="IV98" i="2"/>
  <c r="IT97" i="2"/>
  <c r="IT91" i="2"/>
  <c r="IT100" i="2" s="1"/>
  <c r="HU13" i="2"/>
  <c r="CC9" i="1" s="1"/>
  <c r="IU88" i="2"/>
  <c r="IJ10" i="2"/>
  <c r="IX10" i="2"/>
  <c r="IW13" i="2"/>
  <c r="IV90" i="2"/>
  <c r="JL12" i="2"/>
  <c r="JK13" i="2"/>
  <c r="IK12" i="2"/>
  <c r="HX12" i="2" s="1"/>
  <c r="IX90" i="2" s="1"/>
  <c r="IX99" i="2" s="1"/>
  <c r="HV10" i="2"/>
  <c r="II13" i="2"/>
  <c r="CD13" i="1" s="1"/>
  <c r="BU70" i="1"/>
  <c r="BK70" i="1"/>
  <c r="BM70" i="1" s="1"/>
  <c r="BR70" i="1"/>
  <c r="M76" i="2" l="1"/>
  <c r="M78" i="2" s="1"/>
  <c r="N63" i="2"/>
  <c r="M65" i="2"/>
  <c r="X73" i="1" s="1"/>
  <c r="X75" i="1" s="1"/>
  <c r="JN44" i="2"/>
  <c r="KA46" i="2"/>
  <c r="IN18" i="2"/>
  <c r="JA20" i="2"/>
  <c r="JB18" i="2"/>
  <c r="W75" i="1"/>
  <c r="IN19" i="2"/>
  <c r="IA19" i="2" s="1"/>
  <c r="JA84" i="2" s="1"/>
  <c r="JB19" i="2"/>
  <c r="JA30" i="2"/>
  <c r="IZ33" i="2"/>
  <c r="CD15" i="1"/>
  <c r="CD77" i="1"/>
  <c r="CD79" i="1" s="1"/>
  <c r="CC11" i="1"/>
  <c r="CC73" i="1"/>
  <c r="CC75" i="1" s="1"/>
  <c r="IU97" i="2"/>
  <c r="IU91" i="2"/>
  <c r="IU100" i="2" s="1"/>
  <c r="HW10" i="2"/>
  <c r="IJ13" i="2"/>
  <c r="CE13" i="1" s="1"/>
  <c r="IV99" i="2"/>
  <c r="IL11" i="2"/>
  <c r="HY11" i="2" s="1"/>
  <c r="IY89" i="2" s="1"/>
  <c r="IY98" i="2" s="1"/>
  <c r="IZ11" i="2"/>
  <c r="IV88" i="2"/>
  <c r="HV13" i="2"/>
  <c r="CD9" i="1" s="1"/>
  <c r="JM12" i="2"/>
  <c r="JL13" i="2"/>
  <c r="IL12" i="2"/>
  <c r="HY12" i="2" s="1"/>
  <c r="IK10" i="2"/>
  <c r="IY10" i="2"/>
  <c r="IX13" i="2"/>
  <c r="IX89" i="2"/>
  <c r="JB20" i="2" l="1"/>
  <c r="JA44" i="2"/>
  <c r="JN46" i="2"/>
  <c r="IA18" i="2"/>
  <c r="IA20" i="2" s="1"/>
  <c r="CI26" i="1" s="1"/>
  <c r="CI28" i="1" s="1"/>
  <c r="IN20" i="2"/>
  <c r="N65" i="2"/>
  <c r="N76" i="2"/>
  <c r="O63" i="2"/>
  <c r="IN30" i="2"/>
  <c r="JA33" i="2"/>
  <c r="JB30" i="2"/>
  <c r="JB33" i="2" s="1"/>
  <c r="CE15" i="1"/>
  <c r="CE77" i="1"/>
  <c r="CD11" i="1"/>
  <c r="CD73" i="1"/>
  <c r="CD75" i="1" s="1"/>
  <c r="IY90" i="2"/>
  <c r="IW88" i="2"/>
  <c r="HW13" i="2"/>
  <c r="CE9" i="1" s="1"/>
  <c r="IV91" i="2"/>
  <c r="IV100" i="2" s="1"/>
  <c r="IV97" i="2"/>
  <c r="IX98" i="2"/>
  <c r="IL10" i="2"/>
  <c r="IZ10" i="2"/>
  <c r="IY13" i="2"/>
  <c r="JM13" i="2"/>
  <c r="JN12" i="2"/>
  <c r="IM12" i="2"/>
  <c r="HZ12" i="2" s="1"/>
  <c r="IZ90" i="2" s="1"/>
  <c r="IZ99" i="2" s="1"/>
  <c r="IM11" i="2"/>
  <c r="HZ11" i="2" s="1"/>
  <c r="IZ89" i="2" s="1"/>
  <c r="IZ98" i="2" s="1"/>
  <c r="JA11" i="2"/>
  <c r="HX10" i="2"/>
  <c r="IK13" i="2"/>
  <c r="CF13" i="1" s="1"/>
  <c r="N78" i="2" l="1"/>
  <c r="O78" i="2" s="1"/>
  <c r="O76" i="2"/>
  <c r="CI62" i="1"/>
  <c r="JN47" i="2"/>
  <c r="Y73" i="1"/>
  <c r="O65" i="2"/>
  <c r="JA83" i="2"/>
  <c r="JA46" i="2"/>
  <c r="CI58" i="1" s="1"/>
  <c r="IA30" i="2"/>
  <c r="IN33" i="2"/>
  <c r="CI46" i="1" s="1"/>
  <c r="CI48" i="1" s="1"/>
  <c r="CI30" i="1"/>
  <c r="CI32" i="1" s="1"/>
  <c r="IN21" i="2"/>
  <c r="CF15" i="1"/>
  <c r="CF77" i="1"/>
  <c r="CF79" i="1" s="1"/>
  <c r="CE79" i="1"/>
  <c r="CE11" i="1"/>
  <c r="CE73" i="1"/>
  <c r="CE75" i="1" s="1"/>
  <c r="IW97" i="2"/>
  <c r="IW91" i="2"/>
  <c r="IW100" i="2" s="1"/>
  <c r="JN13" i="2"/>
  <c r="IN12" i="2"/>
  <c r="JO12" i="2"/>
  <c r="JO13" i="2" s="1"/>
  <c r="IX88" i="2"/>
  <c r="HX13" i="2"/>
  <c r="CF9" i="1" s="1"/>
  <c r="HY10" i="2"/>
  <c r="IL13" i="2"/>
  <c r="CG13" i="1" s="1"/>
  <c r="IN11" i="2"/>
  <c r="JB11" i="2"/>
  <c r="IY99" i="2"/>
  <c r="IM10" i="2"/>
  <c r="JA10" i="2"/>
  <c r="IZ13" i="2"/>
  <c r="CI60" i="1" l="1"/>
  <c r="CI64" i="1"/>
  <c r="CI78" i="1"/>
  <c r="CI80" i="1" s="1"/>
  <c r="JA82" i="2"/>
  <c r="JA85" i="2" s="1"/>
  <c r="IA33" i="2"/>
  <c r="CI42" i="1" s="1"/>
  <c r="CI44" i="1" s="1"/>
  <c r="Y75" i="1"/>
  <c r="Z75" i="1" s="1"/>
  <c r="Z73" i="1"/>
  <c r="CG77" i="1"/>
  <c r="CG15" i="1"/>
  <c r="CF11" i="1"/>
  <c r="CF73" i="1"/>
  <c r="CF75" i="1" s="1"/>
  <c r="IA11" i="2"/>
  <c r="IO11" i="2"/>
  <c r="IA12" i="2"/>
  <c r="IO12" i="2"/>
  <c r="IX97" i="2"/>
  <c r="IX91" i="2"/>
  <c r="IX100" i="2" s="1"/>
  <c r="HZ10" i="2"/>
  <c r="IM13" i="2"/>
  <c r="CH13" i="1" s="1"/>
  <c r="IN10" i="2"/>
  <c r="JA13" i="2"/>
  <c r="JB10" i="2"/>
  <c r="JB13" i="2" s="1"/>
  <c r="HY13" i="2"/>
  <c r="CG9" i="1" s="1"/>
  <c r="IY88" i="2"/>
  <c r="CI74" i="1" l="1"/>
  <c r="CI76" i="1" s="1"/>
  <c r="CH15" i="1"/>
  <c r="CH77" i="1"/>
  <c r="CG79" i="1"/>
  <c r="CG73" i="1"/>
  <c r="CG75" i="1" s="1"/>
  <c r="CG11" i="1"/>
  <c r="IZ88" i="2"/>
  <c r="HZ13" i="2"/>
  <c r="CH9" i="1" s="1"/>
  <c r="JA90" i="2"/>
  <c r="IB12" i="2"/>
  <c r="IY97" i="2"/>
  <c r="IY91" i="2"/>
  <c r="IY100" i="2" s="1"/>
  <c r="IA10" i="2"/>
  <c r="IA13" i="2" s="1"/>
  <c r="CI9" i="1" s="1"/>
  <c r="IN13" i="2"/>
  <c r="CI13" i="1" s="1"/>
  <c r="IO10" i="2"/>
  <c r="IO13" i="2" s="1"/>
  <c r="JA89" i="2"/>
  <c r="IB11" i="2"/>
  <c r="CJ9" i="1" l="1"/>
  <c r="CI15" i="1"/>
  <c r="CI77" i="1"/>
  <c r="CI79" i="1" s="1"/>
  <c r="CJ15" i="1"/>
  <c r="CI11" i="1"/>
  <c r="CI73" i="1"/>
  <c r="CI75" i="1" s="1"/>
  <c r="CJ13" i="1"/>
  <c r="CH11" i="1"/>
  <c r="CJ11" i="1" s="1"/>
  <c r="CH73" i="1"/>
  <c r="CH79" i="1"/>
  <c r="JA98" i="2"/>
  <c r="JB89" i="2"/>
  <c r="JB98" i="2" s="1"/>
  <c r="JA88" i="2"/>
  <c r="IB10" i="2"/>
  <c r="IB13" i="2" s="1"/>
  <c r="JA99" i="2"/>
  <c r="JB90" i="2"/>
  <c r="JB99" i="2" s="1"/>
  <c r="IZ91" i="2"/>
  <c r="IZ100" i="2" s="1"/>
  <c r="IZ97" i="2"/>
  <c r="CJ79" i="1" l="1"/>
  <c r="CJ73" i="1"/>
  <c r="CJ77" i="1"/>
  <c r="CH75" i="1"/>
  <c r="CJ75" i="1" s="1"/>
  <c r="JA97" i="2"/>
  <c r="JA91" i="2"/>
  <c r="JA100" i="2" s="1"/>
  <c r="JB88" i="2"/>
  <c r="JB97" i="2" l="1"/>
  <c r="JB91" i="2"/>
  <c r="JB100" i="2" s="1"/>
  <c r="JM32" i="2" l="1"/>
  <c r="JO32" i="2" s="1"/>
  <c r="IZ71" i="2"/>
  <c r="KZ45" i="2"/>
  <c r="LB45" i="2" s="1"/>
  <c r="KM45" i="2"/>
  <c r="KO45" i="2" s="1"/>
  <c r="JM19" i="2"/>
  <c r="JO19" i="2" s="1"/>
  <c r="JM45" i="2"/>
  <c r="IM32" i="2"/>
  <c r="IM19" i="2"/>
  <c r="IM6" i="2"/>
  <c r="HZ6" i="2" l="1"/>
  <c r="IO6" i="2"/>
  <c r="IZ45" i="2"/>
  <c r="JB45" i="2" s="1"/>
  <c r="JB41" i="2" s="1"/>
  <c r="JO45" i="2"/>
  <c r="HZ19" i="2"/>
  <c r="IB19" i="2" s="1"/>
  <c r="IO19" i="2"/>
  <c r="HZ32" i="2"/>
  <c r="IB32" i="2" s="1"/>
  <c r="IO32" i="2"/>
  <c r="IZ84" i="2" l="1"/>
  <c r="IB6" i="2"/>
  <c r="JM18" i="2"/>
  <c r="JO18" i="2" s="1"/>
  <c r="IM31" i="2" l="1"/>
  <c r="HZ31" i="2" l="1"/>
  <c r="IB31" i="2" s="1"/>
  <c r="IO31" i="2"/>
  <c r="IM5" i="2"/>
  <c r="HZ5" i="2" l="1"/>
  <c r="IB5" i="2" s="1"/>
  <c r="IO5" i="2"/>
  <c r="JM44" i="2" l="1"/>
  <c r="KM44" i="2"/>
  <c r="KO44" i="2" s="1"/>
  <c r="IM18" i="2"/>
  <c r="HZ18" i="2" l="1"/>
  <c r="IB18" i="2" s="1"/>
  <c r="IO18" i="2"/>
  <c r="IZ44" i="2"/>
  <c r="JO44" i="2"/>
  <c r="JM17" i="2"/>
  <c r="JM20" i="2" s="1"/>
  <c r="IZ83" i="2" l="1"/>
  <c r="JB44" i="2"/>
  <c r="KM43" i="2"/>
  <c r="KM46" i="2" s="1"/>
  <c r="KZ43" i="2"/>
  <c r="KZ46" i="2" s="1"/>
  <c r="IM30" i="2"/>
  <c r="JM43" i="2"/>
  <c r="IM17" i="2"/>
  <c r="IM4" i="2"/>
  <c r="JM30" i="2"/>
  <c r="JM33" i="2" s="1"/>
  <c r="IZ69" i="2"/>
  <c r="JB83" i="2" l="1"/>
  <c r="JD83" i="2"/>
  <c r="IZ72" i="2"/>
  <c r="CH93" i="1" s="1"/>
  <c r="IZ43" i="2"/>
  <c r="IZ46" i="2" s="1"/>
  <c r="CH58" i="1" s="1"/>
  <c r="JM46" i="2"/>
  <c r="HZ4" i="2"/>
  <c r="HZ7" i="2" s="1"/>
  <c r="CH10" i="1" s="1"/>
  <c r="CH12" i="1" s="1"/>
  <c r="IM7" i="2"/>
  <c r="CH14" i="1" s="1"/>
  <c r="CH16" i="1" s="1"/>
  <c r="HZ30" i="2"/>
  <c r="HZ33" i="2" s="1"/>
  <c r="CH42" i="1" s="1"/>
  <c r="IM33" i="2"/>
  <c r="CH46" i="1" s="1"/>
  <c r="CH48" i="1" s="1"/>
  <c r="HZ17" i="2"/>
  <c r="HZ20" i="2" s="1"/>
  <c r="CH26" i="1" s="1"/>
  <c r="CH28" i="1" s="1"/>
  <c r="IM20" i="2"/>
  <c r="IM21" i="2" l="1"/>
  <c r="CH30" i="1"/>
  <c r="CH32" i="1" s="1"/>
  <c r="JM47" i="2"/>
  <c r="CH62" i="1"/>
  <c r="CH44" i="1"/>
  <c r="CS41" i="1"/>
  <c r="CH60" i="1"/>
  <c r="CH74" i="1"/>
  <c r="CH76" i="1" s="1"/>
  <c r="IZ82" i="2"/>
  <c r="IZ85" i="2" s="1"/>
  <c r="CH64" i="1" l="1"/>
  <c r="CH78" i="1"/>
  <c r="CH80" i="1" s="1"/>
  <c r="JL30" i="2" l="1"/>
  <c r="JL33" i="2" s="1"/>
  <c r="IY69" i="2"/>
  <c r="KY43" i="2"/>
  <c r="KY46" i="2" s="1"/>
  <c r="KL43" i="2"/>
  <c r="KL46" i="2" s="1"/>
  <c r="JL17" i="2"/>
  <c r="JL20" i="2" s="1"/>
  <c r="JL43" i="2"/>
  <c r="IL17" i="2"/>
  <c r="IL30" i="2" l="1"/>
  <c r="IL4" i="2"/>
  <c r="IL33" i="2"/>
  <c r="CG46" i="1" s="1"/>
  <c r="CG48" i="1" s="1"/>
  <c r="HY30" i="2"/>
  <c r="HY33" i="2" s="1"/>
  <c r="CG42" i="1" s="1"/>
  <c r="CG44" i="1" s="1"/>
  <c r="JL46" i="2"/>
  <c r="IY43" i="2"/>
  <c r="IY46" i="2" s="1"/>
  <c r="CG58" i="1" s="1"/>
  <c r="IY72" i="2"/>
  <c r="CG93" i="1" s="1"/>
  <c r="IL20" i="2"/>
  <c r="HY17" i="2"/>
  <c r="HY20" i="2" s="1"/>
  <c r="CG26" i="1" s="1"/>
  <c r="CG28" i="1" s="1"/>
  <c r="HY4" i="2"/>
  <c r="HY7" i="2" s="1"/>
  <c r="CG10" i="1" s="1"/>
  <c r="CG12" i="1" s="1"/>
  <c r="IL7" i="2"/>
  <c r="CG14" i="1" s="1"/>
  <c r="CG16" i="1" s="1"/>
  <c r="IY82" i="2" l="1"/>
  <c r="IY85" i="2" s="1"/>
  <c r="CG60" i="1"/>
  <c r="CG74" i="1"/>
  <c r="CG76" i="1" s="1"/>
  <c r="IL21" i="2"/>
  <c r="CG30" i="1"/>
  <c r="CG32" i="1" s="1"/>
  <c r="JL47" i="2"/>
  <c r="CG62" i="1"/>
  <c r="CG78" i="1" l="1"/>
  <c r="CG80" i="1" s="1"/>
  <c r="CG64" i="1"/>
  <c r="JK30" i="2" l="1"/>
  <c r="JK33" i="2" s="1"/>
  <c r="IX69" i="2"/>
  <c r="JK17" i="2"/>
  <c r="JK20" i="2" s="1"/>
  <c r="IK30" i="2"/>
  <c r="KX43" i="2"/>
  <c r="KX46" i="2" s="1"/>
  <c r="KK43" i="2"/>
  <c r="KK46" i="2" s="1"/>
  <c r="IK33" i="2" l="1"/>
  <c r="CF46" i="1" s="1"/>
  <c r="CF48" i="1" s="1"/>
  <c r="HX30" i="2"/>
  <c r="HX33" i="2" s="1"/>
  <c r="CF42" i="1" s="1"/>
  <c r="CF44" i="1" s="1"/>
  <c r="IX72" i="2"/>
  <c r="CF93" i="1" s="1"/>
  <c r="JK43" i="2"/>
  <c r="IK17" i="2"/>
  <c r="IX43" i="2" l="1"/>
  <c r="JK46" i="2"/>
  <c r="IK20" i="2"/>
  <c r="HX17" i="2"/>
  <c r="HX20" i="2" s="1"/>
  <c r="CF26" i="1" s="1"/>
  <c r="CF28" i="1" s="1"/>
  <c r="IK4" i="2"/>
  <c r="IJ17" i="2"/>
  <c r="IJ30" i="2"/>
  <c r="IJ20" i="2" l="1"/>
  <c r="CE30" i="1" s="1"/>
  <c r="CE32" i="1" s="1"/>
  <c r="IK21" i="2"/>
  <c r="CF30" i="1"/>
  <c r="CF32" i="1" s="1"/>
  <c r="JK47" i="2"/>
  <c r="CF62" i="1"/>
  <c r="IJ33" i="2"/>
  <c r="CE46" i="1" s="1"/>
  <c r="CE48" i="1" s="1"/>
  <c r="IK7" i="2"/>
  <c r="CF14" i="1" s="1"/>
  <c r="CF16" i="1" s="1"/>
  <c r="HX4" i="2"/>
  <c r="HX7" i="2" s="1"/>
  <c r="CF10" i="1" s="1"/>
  <c r="CF12" i="1" s="1"/>
  <c r="IX46" i="2"/>
  <c r="CF58" i="1" s="1"/>
  <c r="IX82" i="2"/>
  <c r="IX85" i="2" s="1"/>
  <c r="KW43" i="2"/>
  <c r="KW46" i="2" s="1"/>
  <c r="JJ30" i="2"/>
  <c r="JJ33" i="2" s="1"/>
  <c r="JJ43" i="2"/>
  <c r="KJ43" i="2"/>
  <c r="KJ46" i="2" s="1"/>
  <c r="JJ17" i="2"/>
  <c r="JJ20" i="2" s="1"/>
  <c r="IW69" i="2"/>
  <c r="HW30" i="2" l="1"/>
  <c r="HW33" i="2" s="1"/>
  <c r="CE42" i="1" s="1"/>
  <c r="IW43" i="2"/>
  <c r="IW46" i="2" s="1"/>
  <c r="CE58" i="1" s="1"/>
  <c r="JJ46" i="2"/>
  <c r="CE44" i="1"/>
  <c r="CP41" i="1"/>
  <c r="CF60" i="1"/>
  <c r="CF74" i="1"/>
  <c r="CF76" i="1" s="1"/>
  <c r="CF64" i="1"/>
  <c r="CF78" i="1"/>
  <c r="CF80" i="1" s="1"/>
  <c r="HW17" i="2"/>
  <c r="HW20" i="2" s="1"/>
  <c r="CE26" i="1" s="1"/>
  <c r="CE28" i="1" s="1"/>
  <c r="CO30" i="1" s="1"/>
  <c r="IW72" i="2"/>
  <c r="CE93" i="1" s="1"/>
  <c r="IJ4" i="2"/>
  <c r="HW4" i="2" l="1"/>
  <c r="IJ7" i="2"/>
  <c r="CE14" i="1" s="1"/>
  <c r="CE16" i="1" s="1"/>
  <c r="JJ47" i="2"/>
  <c r="CE62" i="1"/>
  <c r="CE60" i="1"/>
  <c r="JI30" i="2"/>
  <c r="JI33" i="2" s="1"/>
  <c r="KV43" i="2"/>
  <c r="KV46" i="2" s="1"/>
  <c r="KI43" i="2"/>
  <c r="KI46" i="2" s="1"/>
  <c r="JI17" i="2"/>
  <c r="JI20" i="2" s="1"/>
  <c r="II30" i="2"/>
  <c r="II17" i="2"/>
  <c r="IV71" i="2"/>
  <c r="IV84" i="2" s="1"/>
  <c r="CE64" i="1" l="1"/>
  <c r="CE78" i="1"/>
  <c r="CE80" i="1" s="1"/>
  <c r="II20" i="2"/>
  <c r="CD30" i="1" s="1"/>
  <c r="CD32" i="1" s="1"/>
  <c r="HV17" i="2"/>
  <c r="HV20" i="2" s="1"/>
  <c r="CD26" i="1" s="1"/>
  <c r="CD28" i="1" s="1"/>
  <c r="HV30" i="2"/>
  <c r="HV33" i="2" s="1"/>
  <c r="CD42" i="1" s="1"/>
  <c r="CD44" i="1" s="1"/>
  <c r="II33" i="2"/>
  <c r="CD46" i="1" s="1"/>
  <c r="CD48" i="1" s="1"/>
  <c r="JI43" i="2"/>
  <c r="IV69" i="2"/>
  <c r="HW7" i="2"/>
  <c r="CE10" i="1" s="1"/>
  <c r="IW82" i="2"/>
  <c r="IW85" i="2" s="1"/>
  <c r="IV72" i="2" l="1"/>
  <c r="CD93" i="1" s="1"/>
  <c r="IV43" i="2"/>
  <c r="IV46" i="2" s="1"/>
  <c r="CD58" i="1" s="1"/>
  <c r="JI46" i="2"/>
  <c r="CD62" i="1" s="1"/>
  <c r="CE12" i="1"/>
  <c r="CE74" i="1"/>
  <c r="CE76" i="1" s="1"/>
  <c r="CD64" i="1" l="1"/>
  <c r="CD60" i="1"/>
  <c r="II4" i="2"/>
  <c r="HV4" i="2" l="1"/>
  <c r="II7" i="2"/>
  <c r="CD14" i="1" s="1"/>
  <c r="CD16" i="1" l="1"/>
  <c r="CD78" i="1"/>
  <c r="CD80" i="1" s="1"/>
  <c r="HV7" i="2"/>
  <c r="CD10" i="1" s="1"/>
  <c r="IV82" i="2"/>
  <c r="IV85" i="2" s="1"/>
  <c r="CD12" i="1" l="1"/>
  <c r="CD74" i="1"/>
  <c r="CD76" i="1" s="1"/>
  <c r="IU71" i="2" l="1"/>
  <c r="IU84" i="2" s="1"/>
  <c r="IT71" i="2" l="1"/>
  <c r="JB71" i="2" l="1"/>
  <c r="IT84" i="2"/>
  <c r="IT72" i="2"/>
  <c r="CB93" i="1" s="1"/>
  <c r="CB74" i="1" s="1"/>
  <c r="CB76" i="1" l="1"/>
  <c r="JD84" i="2"/>
  <c r="IT85" i="2"/>
  <c r="JB84" i="2"/>
  <c r="JH17" i="2" l="1"/>
  <c r="IU69" i="2"/>
  <c r="JH43" i="2"/>
  <c r="IH17" i="2"/>
  <c r="IO17" i="2" l="1"/>
  <c r="IO20" i="2" s="1"/>
  <c r="IH20" i="2"/>
  <c r="CC30" i="1" s="1"/>
  <c r="CJ30" i="1" s="1"/>
  <c r="HU17" i="2"/>
  <c r="JH46" i="2"/>
  <c r="CC62" i="1" s="1"/>
  <c r="CJ62" i="1" s="1"/>
  <c r="JO43" i="2"/>
  <c r="JO46" i="2" s="1"/>
  <c r="JH20" i="2"/>
  <c r="JO17" i="2"/>
  <c r="JO20" i="2" s="1"/>
  <c r="JB69" i="2"/>
  <c r="JB72" i="2" s="1"/>
  <c r="IU72" i="2"/>
  <c r="CC93" i="1" s="1"/>
  <c r="IH4" i="2"/>
  <c r="JH30" i="2"/>
  <c r="KH43" i="2"/>
  <c r="KU43" i="2"/>
  <c r="HU20" i="2" l="1"/>
  <c r="IB17" i="2"/>
  <c r="IO4" i="2"/>
  <c r="IO7" i="2" s="1"/>
  <c r="IH7" i="2"/>
  <c r="CC14" i="1" s="1"/>
  <c r="CJ14" i="1" s="1"/>
  <c r="HU4" i="2"/>
  <c r="CC64" i="1"/>
  <c r="CJ64" i="1" s="1"/>
  <c r="KO43" i="2"/>
  <c r="KO46" i="2" s="1"/>
  <c r="KH46" i="2"/>
  <c r="IU43" i="2"/>
  <c r="CC32" i="1"/>
  <c r="CJ32" i="1" s="1"/>
  <c r="LB43" i="2"/>
  <c r="LB46" i="2" s="1"/>
  <c r="KU46" i="2"/>
  <c r="JH33" i="2"/>
  <c r="JO30" i="2"/>
  <c r="JO33" i="2" s="1"/>
  <c r="IH30" i="2"/>
  <c r="CC16" i="1" l="1"/>
  <c r="CJ16" i="1" s="1"/>
  <c r="IU46" i="2"/>
  <c r="CC58" i="1" s="1"/>
  <c r="CJ58" i="1" s="1"/>
  <c r="JB43" i="2"/>
  <c r="JB46" i="2" s="1"/>
  <c r="IH33" i="2"/>
  <c r="CC46" i="1" s="1"/>
  <c r="CJ46" i="1" s="1"/>
  <c r="HU30" i="2"/>
  <c r="IO30" i="2"/>
  <c r="IO33" i="2" s="1"/>
  <c r="HU7" i="2"/>
  <c r="CC10" i="1" s="1"/>
  <c r="CJ10" i="1" s="1"/>
  <c r="IB4" i="2"/>
  <c r="IB7" i="2" s="1"/>
  <c r="CC26" i="1"/>
  <c r="CJ26" i="1" s="1"/>
  <c r="IB20" i="2"/>
  <c r="IB30" i="2" l="1"/>
  <c r="IB33" i="2" s="1"/>
  <c r="HU33" i="2"/>
  <c r="CC42" i="1" s="1"/>
  <c r="CJ42" i="1" s="1"/>
  <c r="CC60" i="1"/>
  <c r="CJ60" i="1" s="1"/>
  <c r="CC48" i="1"/>
  <c r="CJ48" i="1" s="1"/>
  <c r="CK45" i="1"/>
  <c r="CO45" i="1" s="1"/>
  <c r="CC78" i="1"/>
  <c r="CJ78" i="1" s="1"/>
  <c r="CC28" i="1"/>
  <c r="CJ28" i="1" s="1"/>
  <c r="CO27" i="1"/>
  <c r="CC12" i="1"/>
  <c r="CJ12" i="1" s="1"/>
  <c r="IU82" i="2"/>
  <c r="CC80" i="1" l="1"/>
  <c r="CJ80" i="1" s="1"/>
  <c r="CK41" i="1"/>
  <c r="CO41" i="1" s="1"/>
  <c r="CC44" i="1"/>
  <c r="CJ44" i="1" s="1"/>
  <c r="JD82" i="2"/>
  <c r="JD85" i="2" s="1"/>
  <c r="IU85" i="2"/>
  <c r="JB82" i="2"/>
  <c r="JB85" i="2" s="1"/>
  <c r="CC74" i="1"/>
  <c r="CJ74" i="1" s="1"/>
  <c r="CK43" i="1" l="1"/>
  <c r="CO43" i="1" s="1"/>
  <c r="CC76" i="1"/>
  <c r="CJ76" i="1" s="1"/>
  <c r="CU2" i="1" l="1"/>
  <c r="CX8" i="1" l="1"/>
  <c r="CX9" i="1" s="1"/>
  <c r="CU3" i="1"/>
  <c r="CU67" i="1"/>
  <c r="CU68" i="1" s="1"/>
  <c r="DI67" i="1" s="1"/>
  <c r="CV2" i="1"/>
  <c r="CX67" i="1" s="1"/>
  <c r="CX2" i="1" l="1"/>
  <c r="DA15" i="1" s="1"/>
  <c r="CU4" i="1"/>
  <c r="DI3" i="1" s="1"/>
  <c r="CV3" i="1"/>
  <c r="CV4" i="1" s="1"/>
  <c r="DJ3" i="1" s="1"/>
  <c r="CV67" i="1"/>
  <c r="CV68" i="1" s="1"/>
  <c r="DJ67" i="1" s="1"/>
  <c r="DA77" i="1" l="1"/>
  <c r="DA78" i="1" s="1"/>
  <c r="DA16" i="1"/>
  <c r="DA19" i="1" s="1"/>
  <c r="DA20" i="1" s="1"/>
  <c r="CX3" i="1"/>
  <c r="CX4" i="1" s="1"/>
  <c r="DL3" i="1" s="1"/>
  <c r="CX68" i="1"/>
  <c r="CX71" i="1"/>
  <c r="DA81" i="1"/>
  <c r="DA82" i="1" s="1"/>
  <c r="DA80" i="1"/>
  <c r="DA18" i="1"/>
  <c r="CX5" i="1" l="1"/>
  <c r="DL67" i="1"/>
  <c r="CX69" i="1"/>
</calcChain>
</file>

<file path=xl/comments1.xml><?xml version="1.0" encoding="utf-8"?>
<comments xmlns="http://schemas.openxmlformats.org/spreadsheetml/2006/main">
  <authors>
    <author>Rishabh Sharma</author>
  </authors>
  <commentList>
    <comment ref="FU56" authorId="0" shapeId="0">
      <text>
        <r>
          <rPr>
            <b/>
            <sz val="9"/>
            <color indexed="81"/>
            <rFont val="Tahoma"/>
            <family val="2"/>
          </rPr>
          <t>Rishabh Sharma:</t>
        </r>
        <r>
          <rPr>
            <sz val="9"/>
            <color indexed="81"/>
            <rFont val="Tahoma"/>
            <family val="2"/>
          </rPr>
          <t xml:space="preserve">
Gujarat added with HO
</t>
        </r>
      </text>
    </comment>
    <comment ref="FU62" authorId="0" shapeId="0">
      <text>
        <r>
          <rPr>
            <b/>
            <sz val="9"/>
            <color indexed="81"/>
            <rFont val="Tahoma"/>
            <family val="2"/>
          </rPr>
          <t>Rishabh Sharma:</t>
        </r>
        <r>
          <rPr>
            <sz val="9"/>
            <color indexed="81"/>
            <rFont val="Tahoma"/>
            <family val="2"/>
          </rPr>
          <t xml:space="preserve">
Gujarat added with HO</t>
        </r>
      </text>
    </comment>
  </commentList>
</comments>
</file>

<file path=xl/sharedStrings.xml><?xml version="1.0" encoding="utf-8"?>
<sst xmlns="http://schemas.openxmlformats.org/spreadsheetml/2006/main" count="3076" uniqueCount="171">
  <si>
    <t>Bawal</t>
  </si>
  <si>
    <t>FY 09-10</t>
  </si>
  <si>
    <t>FY 10-11</t>
  </si>
  <si>
    <t>FY 11-12</t>
  </si>
  <si>
    <t>FY 12-13</t>
  </si>
  <si>
    <t>FY 13-14</t>
  </si>
  <si>
    <t>FY 14-15</t>
  </si>
  <si>
    <t>FY 15-16</t>
  </si>
  <si>
    <t>% to Sales</t>
  </si>
  <si>
    <t>Manpower No</t>
  </si>
  <si>
    <t>Productivity in Sqm(PP)</t>
  </si>
  <si>
    <t>Manpower w/o sub assm</t>
  </si>
  <si>
    <t>Productivity w/o sub assm</t>
  </si>
  <si>
    <t>Chennai</t>
  </si>
  <si>
    <t>Roorkee</t>
  </si>
  <si>
    <t>T-16 Auto</t>
  </si>
  <si>
    <t>Auto</t>
  </si>
  <si>
    <t>Numbers</t>
  </si>
  <si>
    <t>Staff</t>
  </si>
  <si>
    <t>Operators</t>
  </si>
  <si>
    <t>Trainees</t>
  </si>
  <si>
    <t>Total</t>
  </si>
  <si>
    <t>Apr'15</t>
  </si>
  <si>
    <t>May'15</t>
  </si>
  <si>
    <t>Jun'15</t>
  </si>
  <si>
    <t>Jul'15</t>
  </si>
  <si>
    <t>Aug'15</t>
  </si>
  <si>
    <t>Sep'15</t>
  </si>
  <si>
    <t>Oct'15</t>
  </si>
  <si>
    <t>Nov'15</t>
  </si>
  <si>
    <t>Dec'15</t>
  </si>
  <si>
    <t>Jan'16</t>
  </si>
  <si>
    <t>Feb'16</t>
  </si>
  <si>
    <t>Mar'16</t>
  </si>
  <si>
    <t>Overall Bawal</t>
  </si>
  <si>
    <t>Bawal Sub Assly</t>
  </si>
  <si>
    <t>MSIL</t>
  </si>
  <si>
    <t>NPAU</t>
  </si>
  <si>
    <t>HAU</t>
  </si>
  <si>
    <t>Budget</t>
  </si>
  <si>
    <t>Overall Chennai</t>
  </si>
  <si>
    <t>BAU</t>
  </si>
  <si>
    <t>Chennai SA</t>
  </si>
  <si>
    <t>Overall Roorkee</t>
  </si>
  <si>
    <t>Roorkee SA</t>
  </si>
  <si>
    <t>Overall T-16 Auto</t>
  </si>
  <si>
    <t>T-16 Auto SA</t>
  </si>
  <si>
    <t>Overall HO</t>
  </si>
  <si>
    <t>Overall Auto</t>
  </si>
  <si>
    <t>T16</t>
  </si>
  <si>
    <t>Location</t>
  </si>
  <si>
    <t>Sales</t>
  </si>
  <si>
    <t>Prod in Sqm</t>
  </si>
  <si>
    <t>FY 14~15</t>
  </si>
  <si>
    <t>Overall</t>
  </si>
  <si>
    <t>W/o Sub Assly</t>
  </si>
  <si>
    <t>Total-Auto</t>
  </si>
  <si>
    <t>HO</t>
  </si>
  <si>
    <t>HO Allocation</t>
  </si>
  <si>
    <t>Productivity 1</t>
  </si>
  <si>
    <t>Productivity 2</t>
  </si>
  <si>
    <t>Apr</t>
  </si>
  <si>
    <t>May</t>
  </si>
  <si>
    <t>Jun</t>
  </si>
  <si>
    <t>Jul</t>
  </si>
  <si>
    <t>Aug</t>
  </si>
  <si>
    <t>Sqm Pdn</t>
  </si>
  <si>
    <t>Sales Rs Lacs</t>
  </si>
  <si>
    <t>Manpower Rs lacs</t>
  </si>
  <si>
    <t>HO Cost</t>
  </si>
  <si>
    <t>Sep</t>
  </si>
  <si>
    <t>Oct</t>
  </si>
  <si>
    <t>Nov</t>
  </si>
  <si>
    <t>Dec</t>
  </si>
  <si>
    <t>Jan</t>
  </si>
  <si>
    <t>Feb</t>
  </si>
  <si>
    <t>Mar</t>
  </si>
  <si>
    <t>FY 15~16</t>
  </si>
  <si>
    <t>Actual</t>
  </si>
  <si>
    <t>YTD Mar'16</t>
  </si>
  <si>
    <t>Cost to turnover YTD Mar'16 excluding VRS cost</t>
  </si>
  <si>
    <t>Apr'16</t>
  </si>
  <si>
    <t>May'16</t>
  </si>
  <si>
    <t>Jun'16</t>
  </si>
  <si>
    <t>Jul'16</t>
  </si>
  <si>
    <t>Aug'16</t>
  </si>
  <si>
    <t>Sep'16</t>
  </si>
  <si>
    <t>Oct'16</t>
  </si>
  <si>
    <t>Nov'16</t>
  </si>
  <si>
    <t>Dec'16</t>
  </si>
  <si>
    <t>Jan'17</t>
  </si>
  <si>
    <t>Feb'17</t>
  </si>
  <si>
    <t>Mar'17</t>
  </si>
  <si>
    <t>FY 16~17</t>
  </si>
  <si>
    <t>Sub Assly</t>
  </si>
  <si>
    <t>HAU/Sanand</t>
  </si>
  <si>
    <t>AFM</t>
  </si>
  <si>
    <t>Without VRS</t>
  </si>
  <si>
    <t>General</t>
  </si>
  <si>
    <t>HAU/KAU</t>
  </si>
  <si>
    <t>Manpower cost (Rs lakhs)</t>
  </si>
  <si>
    <t>Manpower cost (Rs Lakhs)</t>
  </si>
  <si>
    <t>Sales(Rs Lakhs)</t>
  </si>
  <si>
    <t>YTD Mar'17</t>
  </si>
  <si>
    <t>Apr'17</t>
  </si>
  <si>
    <t>May'17</t>
  </si>
  <si>
    <t>Jun'17</t>
  </si>
  <si>
    <t>Jul'17</t>
  </si>
  <si>
    <t>Aug'17</t>
  </si>
  <si>
    <t>Sep'17</t>
  </si>
  <si>
    <t>Oct'17</t>
  </si>
  <si>
    <t>Nov'17</t>
  </si>
  <si>
    <t>Dec'17</t>
  </si>
  <si>
    <t>Jan'18</t>
  </si>
  <si>
    <t>Feb'18</t>
  </si>
  <si>
    <t>Mar'18</t>
  </si>
  <si>
    <t>FY 17~18</t>
  </si>
  <si>
    <t>YTD Jul'17</t>
  </si>
  <si>
    <t>AFM Kolkata</t>
  </si>
  <si>
    <t>Taloja</t>
  </si>
  <si>
    <t>SQM</t>
  </si>
  <si>
    <t>Sale</t>
  </si>
  <si>
    <t>Sale %</t>
  </si>
  <si>
    <t>MTP FY 19</t>
  </si>
  <si>
    <t>Gujarat</t>
  </si>
  <si>
    <t>AOP FY 19</t>
  </si>
  <si>
    <t>FY 1718</t>
  </si>
  <si>
    <t>Apr'18</t>
  </si>
  <si>
    <t>May'18</t>
  </si>
  <si>
    <t>Jun'18</t>
  </si>
  <si>
    <t>Jul'18</t>
  </si>
  <si>
    <t>Aug'18</t>
  </si>
  <si>
    <t>Sep'18</t>
  </si>
  <si>
    <t>Oct'18</t>
  </si>
  <si>
    <t>Nov'18</t>
  </si>
  <si>
    <t>Dec'18</t>
  </si>
  <si>
    <t>Jan'19</t>
  </si>
  <si>
    <t>Feb'19</t>
  </si>
  <si>
    <t>Mar'19</t>
  </si>
  <si>
    <t>FY 18-19</t>
  </si>
  <si>
    <t>T16 Auto</t>
  </si>
  <si>
    <t>Pune</t>
  </si>
  <si>
    <t>KAU</t>
  </si>
  <si>
    <t>Overall-HO</t>
  </si>
  <si>
    <t>Budget-HO</t>
  </si>
  <si>
    <t>Overall-Auto</t>
  </si>
  <si>
    <t>Budget-Auto</t>
  </si>
  <si>
    <t>Sub Assly (including Bilaspur)</t>
  </si>
  <si>
    <t>Checkpoint</t>
  </si>
  <si>
    <t>FY 18~19</t>
  </si>
  <si>
    <t>Check</t>
  </si>
  <si>
    <t>Budget-C</t>
  </si>
  <si>
    <t>Actual-C</t>
  </si>
  <si>
    <t>Budget-Manpower</t>
  </si>
  <si>
    <t>Actual-Manpower</t>
  </si>
  <si>
    <t>Budget w/o VRS</t>
  </si>
  <si>
    <t>% to sales w/o VRS</t>
  </si>
  <si>
    <t>Avg YTD Feb'19</t>
  </si>
  <si>
    <t>Cost</t>
  </si>
  <si>
    <t>Jun'19</t>
  </si>
  <si>
    <t>VRS</t>
  </si>
  <si>
    <t>Variance</t>
  </si>
  <si>
    <t>A5</t>
  </si>
  <si>
    <t>Total Variance</t>
  </si>
  <si>
    <t>Nos</t>
  </si>
  <si>
    <t>Layoff</t>
  </si>
  <si>
    <t>TCTC</t>
  </si>
  <si>
    <t>Budget after reductn of VRS</t>
  </si>
  <si>
    <t>FY 1819</t>
  </si>
  <si>
    <t>YTD Mar'19</t>
  </si>
  <si>
    <t>Till Mar'19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</si>
</sst>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%"/>
    <numFmt numFmtId="165" formatCode="0.0"/>
    <numFmt numFmtId="166" formatCode="0.00000000000000000%"/>
    <numFmt numFmtId="167" formatCode="0.0000000"/>
    <numFmt numFmtId="168" formatCode="0.00000000000"/>
    <numFmt numFmtId="169" formatCode="0.000000000000"/>
    <numFmt numFmtId="170" formatCode="0.000"/>
    <numFmt numFmtId="171" formatCode="0.00000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?? ?????"/>
      <family val="3"/>
      <charset val="128"/>
    </font>
    <font>
      <b/>
      <sz val="11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20" applyNumberFormat="0" applyFill="0" applyAlignment="0" applyProtection="0"/>
    <xf numFmtId="0" fontId="11" fillId="0" borderId="21" applyNumberFormat="0" applyFill="0" applyAlignment="0" applyProtection="0">
      <alignment vertical="center"/>
    </xf>
  </cellStyleXfs>
  <cellXfs count="206">
    <xf numFmtId="0" fontId="0" fillId="0" borderId="0" xfId="0"/>
    <xf numFmtId="1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3" xfId="0" applyFont="1" applyBorder="1" applyAlignment="1">
      <alignment vertical="center"/>
    </xf>
    <xf numFmtId="1" fontId="0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" fontId="0" fillId="0" borderId="3" xfId="0" applyNumberForma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1" fontId="0" fillId="0" borderId="6" xfId="0" applyNumberFormat="1" applyBorder="1" applyAlignment="1">
      <alignment vertical="center"/>
    </xf>
    <xf numFmtId="0" fontId="3" fillId="0" borderId="7" xfId="0" applyFont="1" applyBorder="1" applyAlignment="1">
      <alignment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" fontId="3" fillId="0" borderId="9" xfId="0" applyNumberFormat="1" applyFont="1" applyBorder="1" applyAlignment="1">
      <alignment vertic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7" fillId="0" borderId="0" xfId="0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3" borderId="0" xfId="0" applyFont="1" applyFill="1"/>
    <xf numFmtId="2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/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1" fontId="0" fillId="3" borderId="0" xfId="0" applyNumberFormat="1" applyFont="1" applyFill="1" applyAlignment="1">
      <alignment horizontal="center"/>
    </xf>
    <xf numFmtId="165" fontId="0" fillId="0" borderId="0" xfId="0" applyNumberFormat="1" applyAlignment="1">
      <alignment vertical="center"/>
    </xf>
    <xf numFmtId="1" fontId="0" fillId="0" borderId="6" xfId="0" applyNumberForma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9" fontId="0" fillId="0" borderId="0" xfId="1" applyFont="1"/>
    <xf numFmtId="0" fontId="0" fillId="7" borderId="0" xfId="0" applyFill="1" applyAlignment="1">
      <alignment horizontal="center" vertical="center"/>
    </xf>
    <xf numFmtId="1" fontId="0" fillId="0" borderId="12" xfId="0" applyNumberFormat="1" applyBorder="1" applyAlignment="1">
      <alignment vertical="center"/>
    </xf>
    <xf numFmtId="1" fontId="3" fillId="0" borderId="13" xfId="0" applyNumberFormat="1" applyFont="1" applyBorder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0" fillId="0" borderId="0" xfId="1" applyNumberFormat="1" applyFont="1"/>
    <xf numFmtId="1" fontId="0" fillId="0" borderId="0" xfId="1" applyNumberFormat="1" applyFont="1"/>
    <xf numFmtId="10" fontId="0" fillId="3" borderId="0" xfId="1" applyNumberFormat="1" applyFont="1" applyFill="1"/>
    <xf numFmtId="0" fontId="0" fillId="0" borderId="3" xfId="0" applyBorder="1"/>
    <xf numFmtId="9" fontId="0" fillId="0" borderId="3" xfId="1" applyFont="1" applyBorder="1"/>
    <xf numFmtId="2" fontId="0" fillId="0" borderId="0" xfId="0" applyNumberFormat="1"/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" fontId="0" fillId="3" borderId="0" xfId="0" applyNumberFormat="1" applyFill="1"/>
    <xf numFmtId="2" fontId="0" fillId="3" borderId="0" xfId="0" applyNumberFormat="1" applyFill="1"/>
    <xf numFmtId="0" fontId="12" fillId="9" borderId="3" xfId="4" applyFont="1" applyFill="1" applyBorder="1" applyAlignment="1">
      <alignment horizontal="center" vertical="center"/>
    </xf>
    <xf numFmtId="0" fontId="12" fillId="8" borderId="3" xfId="4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3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13" fillId="0" borderId="20" xfId="3" applyNumberFormat="1" applyFont="1" applyAlignment="1">
      <alignment horizontal="center" vertical="center"/>
    </xf>
    <xf numFmtId="0" fontId="13" fillId="0" borderId="20" xfId="3" applyFont="1" applyAlignment="1">
      <alignment vertical="center"/>
    </xf>
    <xf numFmtId="1" fontId="13" fillId="0" borderId="20" xfId="3" applyNumberFormat="1" applyFont="1" applyAlignment="1">
      <alignment horizontal="center" vertical="center"/>
    </xf>
    <xf numFmtId="10" fontId="13" fillId="0" borderId="20" xfId="3" applyNumberFormat="1" applyFont="1" applyAlignment="1">
      <alignment horizontal="center" vertical="center"/>
    </xf>
    <xf numFmtId="1" fontId="3" fillId="7" borderId="8" xfId="0" applyNumberFormat="1" applyFont="1" applyFill="1" applyBorder="1" applyAlignment="1">
      <alignment horizontal="center" vertical="center"/>
    </xf>
    <xf numFmtId="1" fontId="0" fillId="7" borderId="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14" fillId="0" borderId="0" xfId="0" applyNumberFormat="1" applyFont="1" applyAlignment="1">
      <alignment vertical="center"/>
    </xf>
    <xf numFmtId="0" fontId="14" fillId="0" borderId="3" xfId="0" applyFont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5" fillId="2" borderId="3" xfId="0" applyFont="1" applyFill="1" applyBorder="1" applyAlignment="1">
      <alignment horizontal="center" vertical="center"/>
    </xf>
    <xf numFmtId="0" fontId="13" fillId="8" borderId="20" xfId="3" applyFont="1" applyFill="1" applyAlignment="1">
      <alignment vertical="center"/>
    </xf>
    <xf numFmtId="0" fontId="13" fillId="0" borderId="20" xfId="3" applyFont="1" applyFill="1" applyAlignment="1">
      <alignment horizontal="center" vertical="center"/>
    </xf>
    <xf numFmtId="0" fontId="13" fillId="9" borderId="20" xfId="3" applyFont="1" applyFill="1" applyAlignment="1">
      <alignment vertical="center"/>
    </xf>
    <xf numFmtId="0" fontId="13" fillId="8" borderId="20" xfId="3" applyFont="1" applyFill="1" applyAlignment="1">
      <alignment horizontal="center" vertical="center"/>
    </xf>
    <xf numFmtId="1" fontId="14" fillId="0" borderId="0" xfId="0" applyNumberFormat="1" applyFont="1" applyAlignment="1">
      <alignment vertical="center"/>
    </xf>
    <xf numFmtId="10" fontId="14" fillId="0" borderId="3" xfId="0" applyNumberFormat="1" applyFont="1" applyBorder="1" applyAlignment="1">
      <alignment vertical="center"/>
    </xf>
    <xf numFmtId="0" fontId="16" fillId="8" borderId="21" xfId="4" applyFont="1" applyFill="1" applyBorder="1" applyAlignment="1">
      <alignment horizontal="center" vertical="center"/>
    </xf>
    <xf numFmtId="2" fontId="14" fillId="0" borderId="3" xfId="0" applyNumberFormat="1" applyFont="1" applyBorder="1" applyAlignment="1">
      <alignment vertical="center"/>
    </xf>
    <xf numFmtId="0" fontId="13" fillId="0" borderId="20" xfId="3" applyFont="1" applyAlignment="1">
      <alignment horizontal="center" vertical="center"/>
    </xf>
    <xf numFmtId="2" fontId="13" fillId="5" borderId="20" xfId="3" applyNumberFormat="1" applyFont="1" applyFill="1" applyAlignment="1">
      <alignment horizontal="center" vertical="center"/>
    </xf>
    <xf numFmtId="1" fontId="14" fillId="0" borderId="20" xfId="3" applyNumberFormat="1" applyFont="1" applyAlignment="1">
      <alignment horizontal="center" vertical="center"/>
    </xf>
    <xf numFmtId="1" fontId="14" fillId="0" borderId="3" xfId="0" applyNumberFormat="1" applyFont="1" applyBorder="1" applyAlignment="1">
      <alignment vertical="center"/>
    </xf>
    <xf numFmtId="10" fontId="14" fillId="0" borderId="0" xfId="1" applyNumberFormat="1" applyFont="1" applyAlignment="1">
      <alignment vertical="center"/>
    </xf>
    <xf numFmtId="10" fontId="14" fillId="0" borderId="0" xfId="0" applyNumberFormat="1" applyFont="1" applyAlignment="1">
      <alignment vertical="center"/>
    </xf>
    <xf numFmtId="10" fontId="17" fillId="0" borderId="3" xfId="1" applyNumberFormat="1" applyFont="1" applyBorder="1" applyAlignment="1">
      <alignment horizontal="right" vertical="center"/>
    </xf>
    <xf numFmtId="9" fontId="14" fillId="0" borderId="0" xfId="1" applyFont="1" applyAlignment="1">
      <alignment vertical="center"/>
    </xf>
    <xf numFmtId="0" fontId="13" fillId="0" borderId="0" xfId="0" applyFont="1" applyAlignment="1">
      <alignment vertical="center"/>
    </xf>
    <xf numFmtId="10" fontId="13" fillId="5" borderId="20" xfId="3" applyNumberFormat="1" applyFont="1" applyFill="1" applyAlignment="1">
      <alignment horizontal="center" vertical="center"/>
    </xf>
    <xf numFmtId="10" fontId="14" fillId="0" borderId="20" xfId="3" applyNumberFormat="1" applyFont="1" applyAlignment="1">
      <alignment horizontal="center" vertical="center"/>
    </xf>
    <xf numFmtId="10" fontId="13" fillId="6" borderId="20" xfId="3" applyNumberFormat="1" applyFont="1" applyFill="1" applyAlignment="1">
      <alignment horizontal="center" vertical="center"/>
    </xf>
    <xf numFmtId="10" fontId="18" fillId="0" borderId="20" xfId="3" applyNumberFormat="1" applyFont="1" applyFill="1" applyAlignment="1">
      <alignment horizontal="center" vertical="center"/>
    </xf>
    <xf numFmtId="10" fontId="19" fillId="0" borderId="20" xfId="3" applyNumberFormat="1" applyFont="1" applyFill="1" applyAlignment="1">
      <alignment horizontal="center" vertical="center"/>
    </xf>
    <xf numFmtId="10" fontId="20" fillId="0" borderId="20" xfId="3" applyNumberFormat="1" applyFont="1" applyFill="1" applyAlignment="1">
      <alignment horizontal="center" vertical="center"/>
    </xf>
    <xf numFmtId="1" fontId="13" fillId="6" borderId="20" xfId="3" applyNumberFormat="1" applyFont="1" applyFill="1" applyAlignment="1">
      <alignment horizontal="center" vertical="center"/>
    </xf>
    <xf numFmtId="1" fontId="13" fillId="4" borderId="20" xfId="3" applyNumberFormat="1" applyFont="1" applyFill="1" applyAlignment="1">
      <alignment horizontal="center" vertical="center"/>
    </xf>
    <xf numFmtId="1" fontId="21" fillId="0" borderId="20" xfId="3" applyNumberFormat="1" applyFont="1" applyFill="1" applyAlignment="1">
      <alignment horizontal="center" vertical="center"/>
    </xf>
    <xf numFmtId="1" fontId="20" fillId="0" borderId="20" xfId="3" applyNumberFormat="1" applyFont="1" applyFill="1" applyAlignment="1">
      <alignment horizontal="center" vertical="center"/>
    </xf>
    <xf numFmtId="1" fontId="19" fillId="0" borderId="20" xfId="3" applyNumberFormat="1" applyFont="1" applyFill="1" applyAlignment="1">
      <alignment horizontal="center" vertical="center"/>
    </xf>
    <xf numFmtId="10" fontId="14" fillId="0" borderId="0" xfId="1" applyNumberFormat="1" applyFont="1" applyAlignment="1">
      <alignment horizontal="center" vertical="center"/>
    </xf>
    <xf numFmtId="1" fontId="18" fillId="0" borderId="20" xfId="3" applyNumberFormat="1" applyFont="1" applyFill="1" applyAlignment="1">
      <alignment horizontal="center" vertical="center"/>
    </xf>
    <xf numFmtId="164" fontId="17" fillId="0" borderId="3" xfId="1" applyNumberFormat="1" applyFont="1" applyBorder="1" applyAlignment="1">
      <alignment horizontal="right" vertical="center"/>
    </xf>
    <xf numFmtId="10" fontId="21" fillId="0" borderId="20" xfId="3" applyNumberFormat="1" applyFont="1" applyFill="1" applyAlignment="1">
      <alignment horizontal="center" vertical="center"/>
    </xf>
    <xf numFmtId="165" fontId="14" fillId="0" borderId="0" xfId="0" applyNumberFormat="1" applyFont="1" applyAlignment="1">
      <alignment vertical="center"/>
    </xf>
    <xf numFmtId="164" fontId="14" fillId="0" borderId="0" xfId="1" applyNumberFormat="1" applyFont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1" fontId="14" fillId="7" borderId="20" xfId="3" applyNumberFormat="1" applyFont="1" applyFill="1" applyAlignment="1">
      <alignment horizontal="center" vertical="center"/>
    </xf>
    <xf numFmtId="1" fontId="14" fillId="0" borderId="20" xfId="3" applyNumberFormat="1" applyFont="1" applyFill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1" fontId="14" fillId="0" borderId="0" xfId="1" applyNumberFormat="1" applyFont="1" applyAlignment="1">
      <alignment vertical="center"/>
    </xf>
    <xf numFmtId="10" fontId="14" fillId="0" borderId="0" xfId="0" applyNumberFormat="1" applyFont="1" applyAlignment="1">
      <alignment horizontal="center" vertical="center"/>
    </xf>
    <xf numFmtId="10" fontId="14" fillId="0" borderId="11" xfId="0" applyNumberFormat="1" applyFont="1" applyBorder="1" applyAlignment="1">
      <alignment horizontal="center" vertical="center"/>
    </xf>
    <xf numFmtId="166" fontId="14" fillId="0" borderId="0" xfId="1" applyNumberFormat="1" applyFont="1" applyAlignment="1">
      <alignment vertical="center"/>
    </xf>
    <xf numFmtId="2" fontId="0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4" fillId="0" borderId="3" xfId="0" applyFont="1" applyBorder="1" applyAlignment="1">
      <alignment horizontal="center" vertical="center"/>
    </xf>
    <xf numFmtId="10" fontId="14" fillId="0" borderId="3" xfId="0" applyNumberFormat="1" applyFon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4" fontId="14" fillId="0" borderId="0" xfId="1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168" fontId="14" fillId="0" borderId="0" xfId="0" applyNumberFormat="1" applyFont="1" applyAlignment="1">
      <alignment vertical="center"/>
    </xf>
    <xf numFmtId="169" fontId="14" fillId="0" borderId="0" xfId="0" applyNumberFormat="1" applyFont="1" applyAlignment="1">
      <alignment vertical="center"/>
    </xf>
    <xf numFmtId="0" fontId="0" fillId="0" borderId="3" xfId="0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9" fontId="14" fillId="0" borderId="0" xfId="1" applyNumberFormat="1" applyFont="1" applyAlignment="1">
      <alignment vertical="center"/>
    </xf>
    <xf numFmtId="165" fontId="14" fillId="0" borderId="0" xfId="0" applyNumberFormat="1" applyFont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10" fontId="13" fillId="0" borderId="3" xfId="3" applyNumberFormat="1" applyFont="1" applyBorder="1" applyAlignment="1">
      <alignment horizontal="center" vertical="center"/>
    </xf>
    <xf numFmtId="10" fontId="13" fillId="0" borderId="3" xfId="3" applyNumberFormat="1" applyFont="1" applyFill="1" applyBorder="1" applyAlignment="1">
      <alignment horizontal="center" vertical="center"/>
    </xf>
    <xf numFmtId="1" fontId="22" fillId="0" borderId="3" xfId="0" applyNumberFormat="1" applyFont="1" applyBorder="1" applyAlignment="1">
      <alignment horizontal="center" vertical="center"/>
    </xf>
    <xf numFmtId="0" fontId="13" fillId="7" borderId="0" xfId="0" applyFont="1" applyFill="1" applyAlignment="1">
      <alignment vertical="center"/>
    </xf>
    <xf numFmtId="165" fontId="22" fillId="0" borderId="0" xfId="0" applyNumberFormat="1" applyFont="1" applyAlignment="1">
      <alignment vertical="center"/>
    </xf>
    <xf numFmtId="1" fontId="22" fillId="0" borderId="0" xfId="3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0" fontId="22" fillId="0" borderId="0" xfId="0" applyNumberFormat="1" applyFont="1" applyAlignment="1">
      <alignment vertical="center"/>
    </xf>
    <xf numFmtId="1" fontId="22" fillId="0" borderId="0" xfId="0" applyNumberFormat="1" applyFont="1" applyAlignment="1">
      <alignment vertical="center"/>
    </xf>
    <xf numFmtId="2" fontId="14" fillId="0" borderId="0" xfId="1" applyNumberFormat="1" applyFont="1" applyAlignment="1">
      <alignment vertical="center"/>
    </xf>
    <xf numFmtId="165" fontId="14" fillId="0" borderId="3" xfId="0" applyNumberFormat="1" applyFont="1" applyBorder="1" applyAlignment="1">
      <alignment horizontal="center" vertical="center"/>
    </xf>
    <xf numFmtId="170" fontId="14" fillId="0" borderId="0" xfId="0" applyNumberFormat="1" applyFont="1" applyAlignment="1">
      <alignment vertical="center"/>
    </xf>
    <xf numFmtId="0" fontId="13" fillId="0" borderId="3" xfId="0" applyFont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165" fontId="13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170" fontId="13" fillId="0" borderId="0" xfId="0" applyNumberFormat="1" applyFont="1" applyAlignment="1">
      <alignment vertical="center"/>
    </xf>
    <xf numFmtId="2" fontId="22" fillId="0" borderId="0" xfId="0" applyNumberFormat="1" applyFont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vertical="center"/>
    </xf>
    <xf numFmtId="10" fontId="13" fillId="0" borderId="0" xfId="1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9" fontId="13" fillId="0" borderId="0" xfId="1" applyNumberFormat="1" applyFont="1" applyAlignment="1">
      <alignment vertical="center"/>
    </xf>
    <xf numFmtId="171" fontId="14" fillId="0" borderId="0" xfId="0" applyNumberFormat="1" applyFont="1" applyAlignment="1">
      <alignment vertical="center"/>
    </xf>
  </cellXfs>
  <cellStyles count="5">
    <cellStyle name="?? 3" xfId="4"/>
    <cellStyle name="Normal" xfId="0" builtinId="0"/>
    <cellStyle name="Normal 7" xfId="2"/>
    <cellStyle name="Percent" xfId="1" builtinId="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8" Type="http://schemas.openxmlformats.org/officeDocument/2006/relationships/externalLink" Target="externalLinks/externalLink3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Bawal </a:t>
            </a:r>
            <a:r>
              <a:rPr lang="en-US" sz="1800" b="1" i="0" u="none" strike="noStrike" baseline="0">
                <a:effectLst/>
              </a:rPr>
              <a:t>Cost Vs Productivity</a:t>
            </a:r>
            <a:endParaRPr lang="en-US"/>
          </a:p>
        </c:rich>
      </c:tx>
      <c:layout>
        <c:manualLayout>
          <c:xMode val="edge"/>
          <c:yMode val="edge"/>
          <c:x val="0.45800469156231499"/>
          <c:y val="8.130081300813009E-3"/>
        </c:manualLayout>
      </c:layout>
      <c:overlay val="0"/>
      <c:spPr>
        <a:ln>
          <a:solidFill>
            <a:srgbClr val="C00000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'Main Sheet'!$B$7</c:f>
              <c:strCache>
                <c:ptCount val="1"/>
                <c:pt idx="0">
                  <c:v>Productivity in Sqm(PP)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'Main Sheet'!$C$2:$H$2</c:f>
            </c:multiLvlStrRef>
          </c:cat>
          <c:val>
            <c:numRef>
              <c:f>'Main Sheet'!$C$7:$H$7</c:f>
            </c:numRef>
          </c:val>
          <c:extLst>
            <c:ext xmlns:c16="http://schemas.microsoft.com/office/drawing/2014/chart" uri="{C3380CC4-5D6E-409C-BE32-E72D297353CC}">
              <c16:uniqueId val="{00000000-4599-4B44-88B8-8942D3737E29}"/>
            </c:ext>
          </c:extLst>
        </c:ser>
        <c:ser>
          <c:idx val="1"/>
          <c:order val="2"/>
          <c:tx>
            <c:strRef>
              <c:f>'Main Sheet'!$B$9</c:f>
              <c:strCache>
                <c:ptCount val="1"/>
                <c:pt idx="0">
                  <c:v>Productivity w/o sub assm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'Main Sheet'!$C$2:$H$2</c:f>
            </c:multiLvlStrRef>
          </c:cat>
          <c:val>
            <c:numRef>
              <c:f>'Main Sheet'!$C$9:$H$9</c:f>
            </c:numRef>
          </c:val>
          <c:extLst>
            <c:ext xmlns:c16="http://schemas.microsoft.com/office/drawing/2014/chart" uri="{C3380CC4-5D6E-409C-BE32-E72D297353CC}">
              <c16:uniqueId val="{00000001-4599-4B44-88B8-8942D3737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814576"/>
        <c:axId val="315811832"/>
      </c:barChart>
      <c:lineChart>
        <c:grouping val="standard"/>
        <c:varyColors val="0"/>
        <c:ser>
          <c:idx val="2"/>
          <c:order val="0"/>
          <c:tx>
            <c:strRef>
              <c:f>'Main Sheet'!$B$5</c:f>
              <c:strCache>
                <c:ptCount val="1"/>
                <c:pt idx="0">
                  <c:v>% to Sales</c:v>
                </c:pt>
              </c:strCache>
            </c:strRef>
          </c:tx>
          <c:dLbls>
            <c:dLbl>
              <c:idx val="10"/>
              <c:layout>
                <c:manualLayout>
                  <c:x val="-6.4605664749921521E-2"/>
                  <c:y val="-9.3912681646501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99-4B44-88B8-8942D3737E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'Main Sheet'!$C$2:$H$2</c:f>
            </c:multiLvlStrRef>
          </c:cat>
          <c:val>
            <c:numRef>
              <c:f>'Main Sheet'!$C$5:$H$5</c:f>
            </c:numRef>
          </c:val>
          <c:smooth val="0"/>
          <c:extLst>
            <c:ext xmlns:c16="http://schemas.microsoft.com/office/drawing/2014/chart" uri="{C3380CC4-5D6E-409C-BE32-E72D297353CC}">
              <c16:uniqueId val="{00000003-4599-4B44-88B8-8942D3737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13008"/>
        <c:axId val="315809088"/>
      </c:lineChart>
      <c:catAx>
        <c:axId val="3158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5811832"/>
        <c:crosses val="autoZero"/>
        <c:auto val="1"/>
        <c:lblAlgn val="ctr"/>
        <c:lblOffset val="100"/>
        <c:noMultiLvlLbl val="0"/>
      </c:catAx>
      <c:valAx>
        <c:axId val="315811832"/>
        <c:scaling>
          <c:orientation val="minMax"/>
          <c:min val="2500"/>
        </c:scaling>
        <c:delete val="0"/>
        <c:axPos val="l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5814576"/>
        <c:crosses val="autoZero"/>
        <c:crossBetween val="between"/>
      </c:valAx>
      <c:catAx>
        <c:axId val="31581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09088"/>
        <c:crosses val="autoZero"/>
        <c:auto val="1"/>
        <c:lblAlgn val="ctr"/>
        <c:lblOffset val="100"/>
        <c:noMultiLvlLbl val="0"/>
      </c:catAx>
      <c:valAx>
        <c:axId val="315809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5813008"/>
        <c:crosses val="max"/>
        <c:crossBetween val="between"/>
      </c:valAx>
    </c:plotArea>
    <c:legend>
      <c:legendPos val="b"/>
      <c:overlay val="0"/>
      <c:spPr>
        <a:ln>
          <a:solidFill>
            <a:srgbClr val="C00000"/>
          </a:solidFill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Auto Cost vs Productivity</a:t>
            </a:r>
          </a:p>
        </c:rich>
      </c:tx>
      <c:layout>
        <c:manualLayout>
          <c:xMode val="edge"/>
          <c:yMode val="edge"/>
          <c:x val="0.45800469156231499"/>
          <c:y val="8.130081300813009E-3"/>
        </c:manualLayout>
      </c:layout>
      <c:overlay val="0"/>
      <c:spPr>
        <a:ln>
          <a:solidFill>
            <a:srgbClr val="C00000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'Main Sheet'!$B$43</c:f>
              <c:strCache>
                <c:ptCount val="1"/>
                <c:pt idx="0">
                  <c:v>Productivity in Sqm(PP)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'Main Sheet'!$C$2:$H$2</c:f>
            </c:multiLvlStrRef>
          </c:cat>
          <c:val>
            <c:numRef>
              <c:f>'Main Sheet'!$C$43:$H$43</c:f>
            </c:numRef>
          </c:val>
          <c:extLst>
            <c:ext xmlns:c16="http://schemas.microsoft.com/office/drawing/2014/chart" uri="{C3380CC4-5D6E-409C-BE32-E72D297353CC}">
              <c16:uniqueId val="{00000000-E406-4C4B-AD1E-9300C7545EEA}"/>
            </c:ext>
          </c:extLst>
        </c:ser>
        <c:ser>
          <c:idx val="1"/>
          <c:order val="2"/>
          <c:tx>
            <c:strRef>
              <c:f>'Main Sheet'!$B$45</c:f>
              <c:strCache>
                <c:ptCount val="1"/>
                <c:pt idx="0">
                  <c:v>Productivity w/o sub assm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'Main Sheet'!$C$2:$H$2</c:f>
            </c:multiLvlStrRef>
          </c:cat>
          <c:val>
            <c:numRef>
              <c:f>'Main Sheet'!$C$45:$H$45</c:f>
            </c:numRef>
          </c:val>
          <c:extLst>
            <c:ext xmlns:c16="http://schemas.microsoft.com/office/drawing/2014/chart" uri="{C3380CC4-5D6E-409C-BE32-E72D297353CC}">
              <c16:uniqueId val="{00000001-E406-4C4B-AD1E-9300C7545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855480"/>
        <c:axId val="320848032"/>
      </c:barChart>
      <c:lineChart>
        <c:grouping val="standard"/>
        <c:varyColors val="0"/>
        <c:ser>
          <c:idx val="2"/>
          <c:order val="0"/>
          <c:tx>
            <c:strRef>
              <c:f>'Main Sheet'!$B$41</c:f>
              <c:strCache>
                <c:ptCount val="1"/>
                <c:pt idx="0">
                  <c:v>% to Sales</c:v>
                </c:pt>
              </c:strCache>
            </c:strRef>
          </c:tx>
          <c:dLbls>
            <c:dLbl>
              <c:idx val="1"/>
              <c:layout>
                <c:manualLayout>
                  <c:x val="-5.9546643804012159E-2"/>
                  <c:y val="-6.806973008970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06-4C4B-AD1E-9300C7545EEA}"/>
                </c:ext>
              </c:extLst>
            </c:dLbl>
            <c:dLbl>
              <c:idx val="10"/>
              <c:layout>
                <c:manualLayout>
                  <c:x val="-6.4605664749921521E-2"/>
                  <c:y val="-9.3912681646501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06-4C4B-AD1E-9300C7545E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'Main Sheet'!$C$2:$H$2</c:f>
            </c:multiLvlStrRef>
          </c:cat>
          <c:val>
            <c:numRef>
              <c:f>'Main Sheet'!$C$41:$H$41</c:f>
            </c:numRef>
          </c:val>
          <c:smooth val="0"/>
          <c:extLst>
            <c:ext xmlns:c16="http://schemas.microsoft.com/office/drawing/2014/chart" uri="{C3380CC4-5D6E-409C-BE32-E72D297353CC}">
              <c16:uniqueId val="{00000004-E406-4C4B-AD1E-9300C7545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848424"/>
        <c:axId val="320848816"/>
      </c:lineChart>
      <c:catAx>
        <c:axId val="32085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0848032"/>
        <c:crosses val="autoZero"/>
        <c:auto val="1"/>
        <c:lblAlgn val="ctr"/>
        <c:lblOffset val="100"/>
        <c:noMultiLvlLbl val="0"/>
      </c:catAx>
      <c:valAx>
        <c:axId val="320848032"/>
        <c:scaling>
          <c:orientation val="minMax"/>
          <c:min val="2500"/>
        </c:scaling>
        <c:delete val="0"/>
        <c:axPos val="l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0855480"/>
        <c:crosses val="autoZero"/>
        <c:crossBetween val="between"/>
      </c:valAx>
      <c:catAx>
        <c:axId val="320848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48816"/>
        <c:crosses val="autoZero"/>
        <c:auto val="1"/>
        <c:lblAlgn val="ctr"/>
        <c:lblOffset val="100"/>
        <c:noMultiLvlLbl val="0"/>
      </c:catAx>
      <c:valAx>
        <c:axId val="3208488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0848424"/>
        <c:crosses val="max"/>
        <c:crossBetween val="between"/>
      </c:valAx>
    </c:plotArea>
    <c:legend>
      <c:legendPos val="b"/>
      <c:overlay val="0"/>
      <c:spPr>
        <a:ln>
          <a:solidFill>
            <a:srgbClr val="C00000"/>
          </a:solidFill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Bawal </a:t>
            </a:r>
            <a:r>
              <a:rPr lang="en-US" sz="1800" b="1" i="0" u="none" strike="noStrike" baseline="0">
                <a:effectLst/>
              </a:rPr>
              <a:t>Cost Vs Productivity</a:t>
            </a:r>
            <a:endParaRPr lang="en-US"/>
          </a:p>
        </c:rich>
      </c:tx>
      <c:overlay val="0"/>
      <c:spPr>
        <a:ln>
          <a:solidFill>
            <a:srgbClr val="C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5.4106478795413734E-2"/>
          <c:y val="0.23157181699592941"/>
          <c:w val="0.86907827047934783"/>
          <c:h val="0.5916057648482562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'Main Sheet'!$K$11:$L$11</c:f>
              <c:strCache>
                <c:ptCount val="2"/>
                <c:pt idx="0">
                  <c:v>Productivity in Sqm(PP)</c:v>
                </c:pt>
                <c:pt idx="1">
                  <c:v>Budget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4.5861467285925678E-17"/>
                  <c:y val="4.0738680120074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3D-4090-AFD8-944B10A12E50}"/>
                </c:ext>
              </c:extLst>
            </c:dLbl>
            <c:dLbl>
              <c:idx val="5"/>
              <c:layout>
                <c:manualLayout>
                  <c:x val="2.7944113094006307E-3"/>
                  <c:y val="4.87227120562025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3D-4090-AFD8-944B10A12E50}"/>
                </c:ext>
              </c:extLst>
            </c:dLbl>
            <c:dLbl>
              <c:idx val="6"/>
              <c:layout>
                <c:manualLayout>
                  <c:x val="-1.0006253908692841E-2"/>
                  <c:y val="2.4770616247819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3D-4090-AFD8-944B10A12E50}"/>
                </c:ext>
              </c:extLst>
            </c:dLbl>
            <c:dLbl>
              <c:idx val="7"/>
              <c:layout>
                <c:manualLayout>
                  <c:x val="-7.5046904315196998E-3"/>
                  <c:y val="1.27945683436277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3D-4090-AFD8-944B10A12E50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'Main Sheet'!$AM$2:$CJ$2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Sheet'!$AM$11:$CJ$11</c:f>
              <c:numCache>
                <c:formatCode>0</c:formatCode>
                <c:ptCount val="3"/>
                <c:pt idx="0">
                  <c:v>3741.8325252328214</c:v>
                </c:pt>
                <c:pt idx="1">
                  <c:v>3912.0725954470381</c:v>
                </c:pt>
                <c:pt idx="2">
                  <c:v>3960.8351450327077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3D-4090-AFD8-944B10A12E50}"/>
            </c:ext>
          </c:extLst>
        </c:ser>
        <c:ser>
          <c:idx val="3"/>
          <c:order val="3"/>
          <c:tx>
            <c:strRef>
              <c:f>'Main Sheet'!$K$12:$L$12</c:f>
              <c:strCache>
                <c:ptCount val="2"/>
                <c:pt idx="0">
                  <c:v>Productivity in Sqm(PP)</c:v>
                </c:pt>
                <c:pt idx="1">
                  <c:v>Actual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Lbls>
            <c:dLbl>
              <c:idx val="4"/>
              <c:layout>
                <c:manualLayout>
                  <c:x val="0"/>
                  <c:y val="0.108602951577160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3D-4090-AFD8-944B10A12E50}"/>
                </c:ext>
              </c:extLst>
            </c:dLbl>
            <c:dLbl>
              <c:idx val="6"/>
              <c:layout>
                <c:manualLayout>
                  <c:x val="6.2539086929329912E-3"/>
                  <c:y val="3.67466641520109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3D-4090-AFD8-944B10A12E50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'Main Sheet'!$AM$2:$CJ$2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Sheet'!$AM$12:$CJ$12</c:f>
              <c:numCache>
                <c:formatCode>0</c:formatCode>
                <c:ptCount val="3"/>
                <c:pt idx="0">
                  <c:v>3871.1255874086596</c:v>
                </c:pt>
                <c:pt idx="1">
                  <c:v>4112.3332961281058</c:v>
                </c:pt>
                <c:pt idx="2">
                  <c:v>4163.5729775170266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3D-4090-AFD8-944B10A1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812616"/>
        <c:axId val="315809480"/>
      </c:barChart>
      <c:lineChart>
        <c:grouping val="standard"/>
        <c:varyColors val="0"/>
        <c:ser>
          <c:idx val="0"/>
          <c:order val="0"/>
          <c:tx>
            <c:strRef>
              <c:f>'Main Sheet'!$K$7:$L$7</c:f>
              <c:strCache>
                <c:ptCount val="2"/>
                <c:pt idx="0">
                  <c:v>% to Sales</c:v>
                </c:pt>
                <c:pt idx="1">
                  <c:v>Budget</c:v>
                </c:pt>
              </c:strCache>
            </c:strRef>
          </c:tx>
          <c:dLbls>
            <c:dLbl>
              <c:idx val="0"/>
              <c:layout>
                <c:manualLayout>
                  <c:x val="-5.5809881175734835E-2"/>
                  <c:y val="-2.7534851556729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3D-4090-AFD8-944B10A12E50}"/>
                </c:ext>
              </c:extLst>
            </c:dLbl>
            <c:dLbl>
              <c:idx val="1"/>
              <c:layout>
                <c:manualLayout>
                  <c:x val="-5.455909943714822E-2"/>
                  <c:y val="-4.7494931397048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3D-4090-AFD8-944B10A12E50}"/>
                </c:ext>
              </c:extLst>
            </c:dLbl>
            <c:dLbl>
              <c:idx val="4"/>
              <c:layout>
                <c:manualLayout>
                  <c:x val="-6.2645452620486319E-2"/>
                  <c:y val="7.2265547644867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3D-4090-AFD8-944B10A12E50}"/>
                </c:ext>
              </c:extLst>
            </c:dLbl>
            <c:dLbl>
              <c:idx val="5"/>
              <c:layout>
                <c:manualLayout>
                  <c:x val="-2.7041901188242651E-2"/>
                  <c:y val="0.104201675389378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3D-4090-AFD8-944B10A12E50}"/>
                </c:ext>
              </c:extLst>
            </c:dLbl>
            <c:dLbl>
              <c:idx val="7"/>
              <c:layout>
                <c:manualLayout>
                  <c:x val="-1.9537210756722951E-2"/>
                  <c:y val="6.02894997406761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3D-4090-AFD8-944B10A12E50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'Main Sheet'!$AM$2:$CJ$2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Sheet'!$AM$7:$CJ$7</c:f>
              <c:numCache>
                <c:formatCode>0.00%</c:formatCode>
                <c:ptCount val="3"/>
                <c:pt idx="0">
                  <c:v>0.10315362925101547</c:v>
                </c:pt>
                <c:pt idx="1">
                  <c:v>0.11497306818119973</c:v>
                </c:pt>
                <c:pt idx="2">
                  <c:v>0.11604532852820547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3D-4090-AFD8-944B10A12E50}"/>
            </c:ext>
          </c:extLst>
        </c:ser>
        <c:ser>
          <c:idx val="1"/>
          <c:order val="1"/>
          <c:tx>
            <c:strRef>
              <c:f>'Main Sheet'!$K$8:$L$8</c:f>
              <c:strCache>
                <c:ptCount val="2"/>
                <c:pt idx="0">
                  <c:v>% to Sales</c:v>
                </c:pt>
                <c:pt idx="1">
                  <c:v>Actual</c:v>
                </c:pt>
              </c:strCache>
            </c:strRef>
          </c:tx>
          <c:dLbls>
            <c:dLbl>
              <c:idx val="0"/>
              <c:layout>
                <c:manualLayout>
                  <c:x val="-7.5046904315197224E-3"/>
                  <c:y val="-6.38722554890219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3D-4090-AFD8-944B10A12E50}"/>
                </c:ext>
              </c:extLst>
            </c:dLbl>
            <c:dLbl>
              <c:idx val="2"/>
              <c:layout>
                <c:manualLayout>
                  <c:x val="1.1257035647279505E-2"/>
                  <c:y val="3.59281437125748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3D-4090-AFD8-944B10A12E50}"/>
                </c:ext>
              </c:extLst>
            </c:dLbl>
            <c:dLbl>
              <c:idx val="4"/>
              <c:layout>
                <c:manualLayout>
                  <c:x val="-3.7523452157599418E-3"/>
                  <c:y val="-4.7904191616766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3D-4090-AFD8-944B10A12E50}"/>
                </c:ext>
              </c:extLst>
            </c:dLbl>
            <c:dLbl>
              <c:idx val="6"/>
              <c:layout>
                <c:manualLayout>
                  <c:x val="-9.1722934571851356E-17"/>
                  <c:y val="3.1936127744510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3D-4090-AFD8-944B10A12E5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'Main Sheet'!$AM$2:$CJ$2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Sheet'!$AM$8:$CJ$8</c:f>
              <c:numCache>
                <c:formatCode>0.00%</c:formatCode>
                <c:ptCount val="3"/>
                <c:pt idx="0">
                  <c:v>0.1080894272643801</c:v>
                </c:pt>
                <c:pt idx="1">
                  <c:v>0.11516338506541263</c:v>
                </c:pt>
                <c:pt idx="2">
                  <c:v>0.11263653282931387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3D-4090-AFD8-944B10A1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07520"/>
        <c:axId val="315809872"/>
      </c:lineChart>
      <c:catAx>
        <c:axId val="31581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5809480"/>
        <c:crosses val="autoZero"/>
        <c:auto val="1"/>
        <c:lblAlgn val="ctr"/>
        <c:lblOffset val="100"/>
        <c:noMultiLvlLbl val="0"/>
      </c:catAx>
      <c:valAx>
        <c:axId val="31580948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315812616"/>
        <c:crosses val="autoZero"/>
        <c:crossBetween val="between"/>
      </c:valAx>
      <c:valAx>
        <c:axId val="3158098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15807520"/>
        <c:crosses val="max"/>
        <c:crossBetween val="between"/>
      </c:valAx>
      <c:catAx>
        <c:axId val="31580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098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ln>
          <a:solidFill>
            <a:srgbClr val="C00000"/>
          </a:solidFill>
        </a:ln>
      </c:sp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Chennai </a:t>
            </a:r>
            <a:r>
              <a:rPr lang="en-US" sz="1800" b="1" i="0" u="none" strike="noStrike" baseline="0">
                <a:effectLst/>
              </a:rPr>
              <a:t>Cost Vs Productivity</a:t>
            </a:r>
            <a:endParaRPr lang="en-US"/>
          </a:p>
        </c:rich>
      </c:tx>
      <c:overlay val="0"/>
      <c:spPr>
        <a:ln>
          <a:solidFill>
            <a:srgbClr val="C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5.4106478795413734E-2"/>
          <c:y val="0.23157181699592941"/>
          <c:w val="0.86907827047934783"/>
          <c:h val="0.5916057648482562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'Main Sheet'!$K$27:$L$27</c:f>
              <c:strCache>
                <c:ptCount val="2"/>
                <c:pt idx="0">
                  <c:v>Productivity in Sqm(PP)</c:v>
                </c:pt>
                <c:pt idx="1">
                  <c:v>Budget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7.4487895716946109E-3"/>
                  <c:y val="-3.65930569811353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BD-419C-AE56-43F851EE942B}"/>
                </c:ext>
              </c:extLst>
            </c:dLbl>
            <c:dLbl>
              <c:idx val="1"/>
              <c:layout>
                <c:manualLayout>
                  <c:x val="-6.207324643078856E-3"/>
                  <c:y val="-1.1976047904191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BD-419C-AE56-43F851EE94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'Main Sheet'!$AM$18:$CJ$18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Sheet'!$AM$27:$CJ$27</c:f>
              <c:numCache>
                <c:formatCode>0</c:formatCode>
                <c:ptCount val="3"/>
                <c:pt idx="0">
                  <c:v>3617.7197755370457</c:v>
                </c:pt>
                <c:pt idx="1">
                  <c:v>3763.7051688429729</c:v>
                </c:pt>
                <c:pt idx="2">
                  <c:v>3967.906892555618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D-419C-AE56-43F851EE942B}"/>
            </c:ext>
          </c:extLst>
        </c:ser>
        <c:ser>
          <c:idx val="3"/>
          <c:order val="3"/>
          <c:tx>
            <c:strRef>
              <c:f>'Main Sheet'!$K$28:$L$28</c:f>
              <c:strCache>
                <c:ptCount val="2"/>
                <c:pt idx="0">
                  <c:v>Productivity in Sqm(PP)</c:v>
                </c:pt>
                <c:pt idx="1">
                  <c:v>Actual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1.1173184357541855E-2"/>
                  <c:y val="-3.659305698113531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BD-419C-AE56-43F851EE94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'Main Sheet'!$AM$18:$CJ$18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Sheet'!$AM$28:$CJ$28</c:f>
              <c:numCache>
                <c:formatCode>0</c:formatCode>
                <c:ptCount val="3"/>
                <c:pt idx="0">
                  <c:v>3393.5418507213294</c:v>
                </c:pt>
                <c:pt idx="1">
                  <c:v>3557.6228662188187</c:v>
                </c:pt>
                <c:pt idx="2">
                  <c:v>3862.2470823673852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D-419C-AE56-43F851EE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810264"/>
        <c:axId val="315807912"/>
      </c:barChart>
      <c:lineChart>
        <c:grouping val="standard"/>
        <c:varyColors val="0"/>
        <c:ser>
          <c:idx val="0"/>
          <c:order val="0"/>
          <c:tx>
            <c:strRef>
              <c:f>'Main Sheet'!$K$23:$L$23</c:f>
              <c:strCache>
                <c:ptCount val="2"/>
                <c:pt idx="0">
                  <c:v>% to Sales</c:v>
                </c:pt>
                <c:pt idx="1">
                  <c:v>Budget</c:v>
                </c:pt>
              </c:strCache>
            </c:strRef>
          </c:tx>
          <c:dLbls>
            <c:dLbl>
              <c:idx val="1"/>
              <c:layout>
                <c:manualLayout>
                  <c:x val="-3.2278088144009932E-2"/>
                  <c:y val="4.790419161676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BD-419C-AE56-43F851EE942B}"/>
                </c:ext>
              </c:extLst>
            </c:dLbl>
            <c:dLbl>
              <c:idx val="3"/>
              <c:layout>
                <c:manualLayout>
                  <c:x val="-6.2073246430788334E-3"/>
                  <c:y val="3.5928143712574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BD-419C-AE56-43F851EE942B}"/>
                </c:ext>
              </c:extLst>
            </c:dLbl>
            <c:dLbl>
              <c:idx val="4"/>
              <c:layout>
                <c:manualLayout>
                  <c:x val="-4.9658597144630664E-3"/>
                  <c:y val="3.9920159680638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BD-419C-AE56-43F851EE942B}"/>
                </c:ext>
              </c:extLst>
            </c:dLbl>
            <c:dLbl>
              <c:idx val="5"/>
              <c:layout>
                <c:manualLayout>
                  <c:x val="8.6902545003102755E-3"/>
                  <c:y val="7.318611396227062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BD-419C-AE56-43F851EE94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'Main Sheet'!$AM$18:$CJ$18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Sheet'!$AM$23:$CJ$23</c:f>
              <c:numCache>
                <c:formatCode>0.00%</c:formatCode>
                <c:ptCount val="3"/>
                <c:pt idx="0">
                  <c:v>0.11326731754273546</c:v>
                </c:pt>
                <c:pt idx="1">
                  <c:v>0.11719720380786842</c:v>
                </c:pt>
                <c:pt idx="2">
                  <c:v>0.11374820236159533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BD-419C-AE56-43F851EE942B}"/>
            </c:ext>
          </c:extLst>
        </c:ser>
        <c:ser>
          <c:idx val="1"/>
          <c:order val="1"/>
          <c:tx>
            <c:strRef>
              <c:f>'Main Sheet'!$K$24:$L$24</c:f>
              <c:strCache>
                <c:ptCount val="2"/>
                <c:pt idx="0">
                  <c:v>% to Sales</c:v>
                </c:pt>
                <c:pt idx="1">
                  <c:v>Actual</c:v>
                </c:pt>
              </c:strCache>
            </c:strRef>
          </c:tx>
          <c:dLbls>
            <c:dLbl>
              <c:idx val="0"/>
              <c:layout>
                <c:manualLayout>
                  <c:x val="-1.2414649286157894E-3"/>
                  <c:y val="-3.9920159680638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BD-419C-AE56-43F851EE942B}"/>
                </c:ext>
              </c:extLst>
            </c:dLbl>
            <c:dLbl>
              <c:idx val="1"/>
              <c:layout>
                <c:manualLayout>
                  <c:x val="1.2414649286157666E-3"/>
                  <c:y val="-3.5928143712574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BD-419C-AE56-43F851EE942B}"/>
                </c:ext>
              </c:extLst>
            </c:dLbl>
            <c:dLbl>
              <c:idx val="5"/>
              <c:layout>
                <c:manualLayout>
                  <c:x val="-9.103970973332732E-17"/>
                  <c:y val="-6.7864271457085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BD-419C-AE56-43F851EE942B}"/>
                </c:ext>
              </c:extLst>
            </c:dLbl>
            <c:dLbl>
              <c:idx val="6"/>
              <c:layout>
                <c:manualLayout>
                  <c:x val="-3.7243947858473909E-3"/>
                  <c:y val="-5.1896207584830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DBD-419C-AE56-43F851EE94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'Main Sheet'!$AM$18:$CJ$18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Sheet'!$AM$24:$CJ$24</c:f>
              <c:numCache>
                <c:formatCode>0.00%</c:formatCode>
                <c:ptCount val="3"/>
                <c:pt idx="0">
                  <c:v>0.12403431677060882</c:v>
                </c:pt>
                <c:pt idx="1">
                  <c:v>0.12294163978804637</c:v>
                </c:pt>
                <c:pt idx="2">
                  <c:v>0.11850529137790389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BD-419C-AE56-43F851EE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13400"/>
        <c:axId val="315814184"/>
      </c:lineChart>
      <c:catAx>
        <c:axId val="31581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5807912"/>
        <c:crosses val="autoZero"/>
        <c:auto val="1"/>
        <c:lblAlgn val="ctr"/>
        <c:lblOffset val="100"/>
        <c:noMultiLvlLbl val="0"/>
      </c:catAx>
      <c:valAx>
        <c:axId val="31580791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315810264"/>
        <c:crosses val="autoZero"/>
        <c:crossBetween val="between"/>
      </c:valAx>
      <c:valAx>
        <c:axId val="3158141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15813400"/>
        <c:crosses val="max"/>
        <c:crossBetween val="between"/>
      </c:valAx>
      <c:catAx>
        <c:axId val="315813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1418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ln>
          <a:solidFill>
            <a:srgbClr val="C00000"/>
          </a:solidFill>
        </a:ln>
      </c:sp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Chennai </a:t>
            </a:r>
            <a:r>
              <a:rPr lang="en-US" sz="1800" b="1" i="0" u="none" strike="noStrike" baseline="0">
                <a:effectLst/>
              </a:rPr>
              <a:t>Cost Vs Productivity</a:t>
            </a:r>
            <a:endParaRPr lang="en-US"/>
          </a:p>
        </c:rich>
      </c:tx>
      <c:layout>
        <c:manualLayout>
          <c:xMode val="edge"/>
          <c:yMode val="edge"/>
          <c:x val="0.45800469156231499"/>
          <c:y val="8.130081300813009E-3"/>
        </c:manualLayout>
      </c:layout>
      <c:overlay val="0"/>
      <c:spPr>
        <a:ln>
          <a:solidFill>
            <a:srgbClr val="C00000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'Main Sheet'!$B$16</c:f>
              <c:strCache>
                <c:ptCount val="1"/>
                <c:pt idx="0">
                  <c:v>Productivity in Sqm(PP)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'Main Sheet'!$C$2:$H$2</c:f>
            </c:multiLvlStrRef>
          </c:cat>
          <c:val>
            <c:numRef>
              <c:f>'Main Sheet'!$C$16:$H$16</c:f>
            </c:numRef>
          </c:val>
          <c:extLst>
            <c:ext xmlns:c16="http://schemas.microsoft.com/office/drawing/2014/chart" uri="{C3380CC4-5D6E-409C-BE32-E72D297353CC}">
              <c16:uniqueId val="{00000000-67B1-4DC7-A84D-C9D29006E90B}"/>
            </c:ext>
          </c:extLst>
        </c:ser>
        <c:ser>
          <c:idx val="1"/>
          <c:order val="2"/>
          <c:tx>
            <c:strRef>
              <c:f>'Main Sheet'!$B$18</c:f>
              <c:strCache>
                <c:ptCount val="1"/>
                <c:pt idx="0">
                  <c:v>Productivity w/o sub assm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'Main Sheet'!$C$2:$H$2</c:f>
            </c:multiLvlStrRef>
          </c:cat>
          <c:val>
            <c:numRef>
              <c:f>'Main Sheet'!$C$18:$H$18</c:f>
            </c:numRef>
          </c:val>
          <c:extLst>
            <c:ext xmlns:c16="http://schemas.microsoft.com/office/drawing/2014/chart" uri="{C3380CC4-5D6E-409C-BE32-E72D297353CC}">
              <c16:uniqueId val="{00000001-67B1-4DC7-A84D-C9D29006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808696"/>
        <c:axId val="315982968"/>
      </c:barChart>
      <c:lineChart>
        <c:grouping val="standard"/>
        <c:varyColors val="0"/>
        <c:ser>
          <c:idx val="2"/>
          <c:order val="0"/>
          <c:tx>
            <c:strRef>
              <c:f>'Main Sheet'!$B$14</c:f>
              <c:strCache>
                <c:ptCount val="1"/>
                <c:pt idx="0">
                  <c:v>% to Sales</c:v>
                </c:pt>
              </c:strCache>
            </c:strRef>
          </c:tx>
          <c:dLbls>
            <c:dLbl>
              <c:idx val="10"/>
              <c:layout>
                <c:manualLayout>
                  <c:x val="-6.4605664749921521E-2"/>
                  <c:y val="-9.3912681646501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B1-4DC7-A84D-C9D29006E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'Main Sheet'!$C$2:$H$2</c:f>
            </c:multiLvlStrRef>
          </c:cat>
          <c:val>
            <c:numRef>
              <c:f>'Main Sheet'!$C$14:$H$14</c:f>
            </c:numRef>
          </c:val>
          <c:smooth val="0"/>
          <c:extLst>
            <c:ext xmlns:c16="http://schemas.microsoft.com/office/drawing/2014/chart" uri="{C3380CC4-5D6E-409C-BE32-E72D297353CC}">
              <c16:uniqueId val="{00000003-67B1-4DC7-A84D-C9D29006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981008"/>
        <c:axId val="315978656"/>
      </c:lineChart>
      <c:catAx>
        <c:axId val="31580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5982968"/>
        <c:crosses val="autoZero"/>
        <c:auto val="1"/>
        <c:lblAlgn val="ctr"/>
        <c:lblOffset val="100"/>
        <c:noMultiLvlLbl val="0"/>
      </c:catAx>
      <c:valAx>
        <c:axId val="315982968"/>
        <c:scaling>
          <c:orientation val="minMax"/>
          <c:min val="2500"/>
        </c:scaling>
        <c:delete val="0"/>
        <c:axPos val="l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5808696"/>
        <c:crosses val="autoZero"/>
        <c:crossBetween val="between"/>
      </c:valAx>
      <c:catAx>
        <c:axId val="31598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78656"/>
        <c:crosses val="autoZero"/>
        <c:auto val="1"/>
        <c:lblAlgn val="ctr"/>
        <c:lblOffset val="100"/>
        <c:noMultiLvlLbl val="0"/>
      </c:catAx>
      <c:valAx>
        <c:axId val="3159786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5981008"/>
        <c:crosses val="max"/>
        <c:crossBetween val="between"/>
      </c:valAx>
    </c:plotArea>
    <c:legend>
      <c:legendPos val="b"/>
      <c:overlay val="0"/>
      <c:spPr>
        <a:ln>
          <a:solidFill>
            <a:srgbClr val="C00000"/>
          </a:solidFill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Roorkee </a:t>
            </a:r>
            <a:r>
              <a:rPr lang="en-US" sz="1800" b="1" i="0" u="none" strike="noStrike" baseline="0">
                <a:effectLst/>
              </a:rPr>
              <a:t>Cost Vs Productivity</a:t>
            </a:r>
            <a:endParaRPr lang="en-US"/>
          </a:p>
        </c:rich>
      </c:tx>
      <c:overlay val="0"/>
      <c:spPr>
        <a:ln>
          <a:solidFill>
            <a:srgbClr val="C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5.4106478795413734E-2"/>
          <c:y val="0.23157181699592941"/>
          <c:w val="0.86907827047934783"/>
          <c:h val="0.5916057648482562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'Main Sheet'!$K$43:$L$43</c:f>
              <c:strCache>
                <c:ptCount val="2"/>
                <c:pt idx="0">
                  <c:v>Productivity in Sqm(PP)</c:v>
                </c:pt>
                <c:pt idx="1">
                  <c:v>Budget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1.0090090805851657E-2"/>
                  <c:y val="-3.659305698113531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8E-46D3-A92C-3B5483D0C327}"/>
                </c:ext>
              </c:extLst>
            </c:dLbl>
            <c:dLbl>
              <c:idx val="1"/>
              <c:layout>
                <c:manualLayout>
                  <c:x val="-1.5135136208777485E-2"/>
                  <c:y val="-3.9920159680638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8E-46D3-A92C-3B5483D0C327}"/>
                </c:ext>
              </c:extLst>
            </c:dLbl>
            <c:dLbl>
              <c:idx val="2"/>
              <c:layout>
                <c:manualLayout>
                  <c:x val="-2.3963965663897684E-2"/>
                  <c:y val="-3.9920159680638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8E-46D3-A92C-3B5483D0C327}"/>
                </c:ext>
              </c:extLst>
            </c:dLbl>
            <c:dLbl>
              <c:idx val="4"/>
              <c:layout>
                <c:manualLayout>
                  <c:x val="-8.8288294551202001E-3"/>
                  <c:y val="-4.39121756487025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8E-46D3-A92C-3B5483D0C327}"/>
                </c:ext>
              </c:extLst>
            </c:dLbl>
            <c:dLbl>
              <c:idx val="5"/>
              <c:layout>
                <c:manualLayout>
                  <c:x val="-3.7837840521943713E-3"/>
                  <c:y val="-2.39520958083832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8E-46D3-A92C-3B5483D0C327}"/>
                </c:ext>
              </c:extLst>
            </c:dLbl>
            <c:dLbl>
              <c:idx val="6"/>
              <c:layout>
                <c:manualLayout>
                  <c:x val="-1.3873874858046028E-2"/>
                  <c:y val="-3.99201596806387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8E-46D3-A92C-3B5483D0C327}"/>
                </c:ext>
              </c:extLst>
            </c:dLbl>
            <c:dLbl>
              <c:idx val="7"/>
              <c:layout>
                <c:manualLayout>
                  <c:x val="-2.270270431316632E-2"/>
                  <c:y val="3.19361277445109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8E-46D3-A92C-3B5483D0C32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'Main Sheet'!$AM$34:$CJ$34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Sheet'!$AM$43:$CJ$43</c:f>
              <c:numCache>
                <c:formatCode>0</c:formatCode>
                <c:ptCount val="3"/>
                <c:pt idx="0">
                  <c:v>3243.2753121868586</c:v>
                </c:pt>
                <c:pt idx="1">
                  <c:v>3275.1119707185862</c:v>
                </c:pt>
                <c:pt idx="2">
                  <c:v>3667.8100347344916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8E-46D3-A92C-3B5483D0C327}"/>
            </c:ext>
          </c:extLst>
        </c:ser>
        <c:ser>
          <c:idx val="3"/>
          <c:order val="3"/>
          <c:tx>
            <c:strRef>
              <c:f>'Main Sheet'!$K$44:$L$44</c:f>
              <c:strCache>
                <c:ptCount val="2"/>
                <c:pt idx="0">
                  <c:v>Productivity in Sqm(PP)</c:v>
                </c:pt>
                <c:pt idx="1">
                  <c:v>Actual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Lbls>
            <c:dLbl>
              <c:idx val="3"/>
              <c:layout>
                <c:manualLayout>
                  <c:x val="1.3873874858046028E-2"/>
                  <c:y val="9.66269036729690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8E-46D3-A92C-3B5483D0C327}"/>
                </c:ext>
              </c:extLst>
            </c:dLbl>
            <c:dLbl>
              <c:idx val="5"/>
              <c:layout>
                <c:manualLayout>
                  <c:x val="3.783784052194279E-3"/>
                  <c:y val="0.1245710154494161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8E-46D3-A92C-3B5483D0C327}"/>
                </c:ext>
              </c:extLst>
            </c:dLbl>
            <c:dLbl>
              <c:idx val="7"/>
              <c:layout>
                <c:manualLayout>
                  <c:x val="7.5675681043887427E-3"/>
                  <c:y val="0.100618919641032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8E-46D3-A92C-3B5483D0C327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'Main Sheet'!$AM$34:$CJ$34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Sheet'!$AM$44:$CJ$44</c:f>
              <c:numCache>
                <c:formatCode>0</c:formatCode>
                <c:ptCount val="3"/>
                <c:pt idx="0">
                  <c:v>3010.0497389968345</c:v>
                </c:pt>
                <c:pt idx="1">
                  <c:v>3678.8638563064574</c:v>
                </c:pt>
                <c:pt idx="2">
                  <c:v>3675.1033069330915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8E-46D3-A92C-3B5483D0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979832"/>
        <c:axId val="315981400"/>
      </c:barChart>
      <c:lineChart>
        <c:grouping val="standard"/>
        <c:varyColors val="0"/>
        <c:ser>
          <c:idx val="0"/>
          <c:order val="0"/>
          <c:tx>
            <c:strRef>
              <c:f>'Main Sheet'!$K$39:$L$39</c:f>
              <c:strCache>
                <c:ptCount val="2"/>
                <c:pt idx="0">
                  <c:v>% to Sales</c:v>
                </c:pt>
                <c:pt idx="1">
                  <c:v>Budget</c:v>
                </c:pt>
              </c:strCache>
            </c:strRef>
          </c:tx>
          <c:dLbls>
            <c:dLbl>
              <c:idx val="4"/>
              <c:layout>
                <c:manualLayout>
                  <c:x val="-5.4341494952223519E-2"/>
                  <c:y val="7.2265547644867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A8E-46D3-A92C-3B5483D0C327}"/>
                </c:ext>
              </c:extLst>
            </c:dLbl>
            <c:dLbl>
              <c:idx val="7"/>
              <c:layout>
                <c:manualLayout>
                  <c:x val="-4.0467620094177488E-2"/>
                  <c:y val="6.82735316768038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A8E-46D3-A92C-3B5483D0C327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'Main Sheet'!$AM$34:$CJ$34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Sheet'!$AM$39:$CJ$39</c:f>
              <c:numCache>
                <c:formatCode>0.00%</c:formatCode>
                <c:ptCount val="3"/>
                <c:pt idx="0">
                  <c:v>7.1102738697737602E-2</c:v>
                </c:pt>
                <c:pt idx="1">
                  <c:v>8.1393738512979666E-2</c:v>
                </c:pt>
                <c:pt idx="2">
                  <c:v>7.498279322647447E-2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8E-46D3-A92C-3B5483D0C327}"/>
            </c:ext>
          </c:extLst>
        </c:ser>
        <c:ser>
          <c:idx val="1"/>
          <c:order val="1"/>
          <c:tx>
            <c:strRef>
              <c:f>'Main Sheet'!$K$40:$L$40</c:f>
              <c:strCache>
                <c:ptCount val="2"/>
                <c:pt idx="0">
                  <c:v>% to Sales</c:v>
                </c:pt>
                <c:pt idx="1">
                  <c:v>Actual</c:v>
                </c:pt>
              </c:strCache>
            </c:strRef>
          </c:tx>
          <c:dLbls>
            <c:dLbl>
              <c:idx val="0"/>
              <c:layout>
                <c:manualLayout>
                  <c:x val="-2.3122857646185368E-17"/>
                  <c:y val="-4.7904191616766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A8E-46D3-A92C-3B5483D0C327}"/>
                </c:ext>
              </c:extLst>
            </c:dLbl>
            <c:dLbl>
              <c:idx val="1"/>
              <c:layout>
                <c:manualLayout>
                  <c:x val="0"/>
                  <c:y val="-5.9880239520958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A8E-46D3-A92C-3B5483D0C327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A8E-46D3-A92C-3B5483D0C327}"/>
                </c:ext>
              </c:extLst>
            </c:dLbl>
            <c:dLbl>
              <c:idx val="3"/>
              <c:layout>
                <c:manualLayout>
                  <c:x val="-2.5225227014629144E-3"/>
                  <c:y val="-7.1856287425149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A8E-46D3-A92C-3B5483D0C327}"/>
                </c:ext>
              </c:extLst>
            </c:dLbl>
            <c:dLbl>
              <c:idx val="4"/>
              <c:layout>
                <c:manualLayout>
                  <c:x val="7.5675681043887427E-3"/>
                  <c:y val="-3.5928143712574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A8E-46D3-A92C-3B5483D0C327}"/>
                </c:ext>
              </c:extLst>
            </c:dLbl>
            <c:dLbl>
              <c:idx val="5"/>
              <c:layout>
                <c:manualLayout>
                  <c:x val="3.7837840521943713E-3"/>
                  <c:y val="-7.18562874251496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A8E-46D3-A92C-3B5483D0C327}"/>
                </c:ext>
              </c:extLst>
            </c:dLbl>
            <c:dLbl>
              <c:idx val="6"/>
              <c:layout>
                <c:manualLayout>
                  <c:x val="1.1351352156582929E-2"/>
                  <c:y val="-2.7944111776447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A8E-46D3-A92C-3B5483D0C3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'Main Sheet'!$AM$34:$CJ$34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Sheet'!$AM$40:$CJ$40</c:f>
              <c:numCache>
                <c:formatCode>0.00%</c:formatCode>
                <c:ptCount val="3"/>
                <c:pt idx="0">
                  <c:v>7.7216978792827781E-2</c:v>
                </c:pt>
                <c:pt idx="1">
                  <c:v>7.9502419289064277E-2</c:v>
                </c:pt>
                <c:pt idx="2">
                  <c:v>7.7673167099513274E-2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A8E-46D3-A92C-3B5483D0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982576"/>
        <c:axId val="315981792"/>
      </c:lineChart>
      <c:catAx>
        <c:axId val="31597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5981400"/>
        <c:crosses val="autoZero"/>
        <c:auto val="1"/>
        <c:lblAlgn val="ctr"/>
        <c:lblOffset val="100"/>
        <c:noMultiLvlLbl val="0"/>
      </c:catAx>
      <c:valAx>
        <c:axId val="31598140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315979832"/>
        <c:crosses val="autoZero"/>
        <c:crossBetween val="between"/>
      </c:valAx>
      <c:valAx>
        <c:axId val="3159817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15982576"/>
        <c:crosses val="max"/>
        <c:crossBetween val="between"/>
      </c:valAx>
      <c:catAx>
        <c:axId val="31598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8179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ln>
          <a:solidFill>
            <a:srgbClr val="C00000"/>
          </a:solidFill>
        </a:ln>
      </c:sp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Roorkee </a:t>
            </a:r>
            <a:r>
              <a:rPr lang="en-US" sz="1800" b="1" i="0" u="none" strike="noStrike" baseline="0">
                <a:effectLst/>
              </a:rPr>
              <a:t>Cost Vs Productivity</a:t>
            </a:r>
            <a:endParaRPr lang="en-US"/>
          </a:p>
        </c:rich>
      </c:tx>
      <c:layout>
        <c:manualLayout>
          <c:xMode val="edge"/>
          <c:yMode val="edge"/>
          <c:x val="0.45800469156231499"/>
          <c:y val="8.130081300813009E-3"/>
        </c:manualLayout>
      </c:layout>
      <c:overlay val="0"/>
      <c:spPr>
        <a:ln>
          <a:solidFill>
            <a:srgbClr val="C00000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'Main Sheet'!$B$25</c:f>
              <c:strCache>
                <c:ptCount val="1"/>
                <c:pt idx="0">
                  <c:v>Productivity in Sqm(PP)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'Main Sheet'!$C$2:$H$2</c:f>
            </c:multiLvlStrRef>
          </c:cat>
          <c:val>
            <c:numRef>
              <c:f>'Main Sheet'!$C$25:$H$25</c:f>
            </c:numRef>
          </c:val>
          <c:extLst>
            <c:ext xmlns:c16="http://schemas.microsoft.com/office/drawing/2014/chart" uri="{C3380CC4-5D6E-409C-BE32-E72D297353CC}">
              <c16:uniqueId val="{00000000-0659-4862-9B17-76B525F1FC78}"/>
            </c:ext>
          </c:extLst>
        </c:ser>
        <c:ser>
          <c:idx val="1"/>
          <c:order val="2"/>
          <c:tx>
            <c:strRef>
              <c:f>'Main Sheet'!$B$27</c:f>
              <c:strCache>
                <c:ptCount val="1"/>
                <c:pt idx="0">
                  <c:v>Productivity w/o sub assm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'Main Sheet'!$C$2:$H$2</c:f>
            </c:multiLvlStrRef>
          </c:cat>
          <c:val>
            <c:numRef>
              <c:f>'Main Sheet'!$C$27:$H$27</c:f>
            </c:numRef>
          </c:val>
          <c:extLst>
            <c:ext xmlns:c16="http://schemas.microsoft.com/office/drawing/2014/chart" uri="{C3380CC4-5D6E-409C-BE32-E72D297353CC}">
              <c16:uniqueId val="{00000001-0659-4862-9B17-76B525F1F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982184"/>
        <c:axId val="315983360"/>
      </c:barChart>
      <c:lineChart>
        <c:grouping val="standard"/>
        <c:varyColors val="0"/>
        <c:ser>
          <c:idx val="2"/>
          <c:order val="0"/>
          <c:tx>
            <c:strRef>
              <c:f>'Main Sheet'!$B$23</c:f>
              <c:strCache>
                <c:ptCount val="1"/>
                <c:pt idx="0">
                  <c:v>% to Sales</c:v>
                </c:pt>
              </c:strCache>
            </c:strRef>
          </c:tx>
          <c:dLbls>
            <c:dLbl>
              <c:idx val="1"/>
              <c:layout>
                <c:manualLayout>
                  <c:x val="-5.9546643804012159E-2"/>
                  <c:y val="-6.806973008970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59-4862-9B17-76B525F1FC78}"/>
                </c:ext>
              </c:extLst>
            </c:dLbl>
            <c:dLbl>
              <c:idx val="10"/>
              <c:layout>
                <c:manualLayout>
                  <c:x val="-6.4605664749921521E-2"/>
                  <c:y val="-9.3912681646501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59-4862-9B17-76B525F1FC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'Main Sheet'!$C$2:$H$2</c:f>
            </c:multiLvlStrRef>
          </c:cat>
          <c:val>
            <c:numRef>
              <c:f>'Main Sheet'!$C$23:$H$23</c:f>
            </c:numRef>
          </c:val>
          <c:smooth val="0"/>
          <c:extLst>
            <c:ext xmlns:c16="http://schemas.microsoft.com/office/drawing/2014/chart" uri="{C3380CC4-5D6E-409C-BE32-E72D297353CC}">
              <c16:uniqueId val="{00000004-0659-4862-9B17-76B525F1F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979048"/>
        <c:axId val="315979440"/>
      </c:lineChart>
      <c:catAx>
        <c:axId val="31598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5983360"/>
        <c:crosses val="autoZero"/>
        <c:auto val="1"/>
        <c:lblAlgn val="ctr"/>
        <c:lblOffset val="100"/>
        <c:noMultiLvlLbl val="0"/>
      </c:catAx>
      <c:valAx>
        <c:axId val="315983360"/>
        <c:scaling>
          <c:orientation val="minMax"/>
          <c:min val="2500"/>
        </c:scaling>
        <c:delete val="0"/>
        <c:axPos val="l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5982184"/>
        <c:crosses val="autoZero"/>
        <c:crossBetween val="between"/>
      </c:valAx>
      <c:catAx>
        <c:axId val="315979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79440"/>
        <c:crosses val="autoZero"/>
        <c:auto val="1"/>
        <c:lblAlgn val="ctr"/>
        <c:lblOffset val="100"/>
        <c:noMultiLvlLbl val="0"/>
      </c:catAx>
      <c:valAx>
        <c:axId val="3159794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5979048"/>
        <c:crosses val="max"/>
        <c:crossBetween val="between"/>
      </c:valAx>
    </c:plotArea>
    <c:legend>
      <c:legendPos val="b"/>
      <c:overlay val="0"/>
      <c:spPr>
        <a:ln>
          <a:solidFill>
            <a:srgbClr val="C00000"/>
          </a:solidFill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T-16 Auto </a:t>
            </a:r>
            <a:r>
              <a:rPr lang="en-US" sz="1800" b="1" i="0" u="none" strike="noStrike" baseline="0">
                <a:effectLst/>
              </a:rPr>
              <a:t>Cost Vs Productivity</a:t>
            </a:r>
            <a:endParaRPr lang="en-US"/>
          </a:p>
        </c:rich>
      </c:tx>
      <c:overlay val="0"/>
      <c:spPr>
        <a:ln>
          <a:solidFill>
            <a:srgbClr val="C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5.4106478795413734E-2"/>
          <c:y val="0.23157181699592941"/>
          <c:w val="0.86907827047934783"/>
          <c:h val="0.5916057648482562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'Main Sheet'!$K$59:$L$59</c:f>
              <c:strCache>
                <c:ptCount val="2"/>
                <c:pt idx="0">
                  <c:v>Productivity in Sqm(PP)</c:v>
                </c:pt>
                <c:pt idx="1">
                  <c:v>Budget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5.0556726089728832E-3"/>
                  <c:y val="-1.1976047904191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1E-4B47-9A99-159F30B7CB34}"/>
                </c:ext>
              </c:extLst>
            </c:dLbl>
            <c:dLbl>
              <c:idx val="2"/>
              <c:layout>
                <c:manualLayout>
                  <c:x val="-1.2639181522432208E-2"/>
                  <c:y val="-3.99201596806387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1E-4B47-9A99-159F30B7CB34}"/>
                </c:ext>
              </c:extLst>
            </c:dLbl>
            <c:dLbl>
              <c:idx val="3"/>
              <c:layout>
                <c:manualLayout>
                  <c:x val="-1.769485413140514E-2"/>
                  <c:y val="-1.99600798403193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1E-4B47-9A99-159F30B7CB34}"/>
                </c:ext>
              </c:extLst>
            </c:dLbl>
            <c:dLbl>
              <c:idx val="5"/>
              <c:layout>
                <c:manualLayout>
                  <c:x val="-1.2639181522432208E-3"/>
                  <c:y val="-3.19361277445109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1E-4B47-9A99-159F30B7CB34}"/>
                </c:ext>
              </c:extLst>
            </c:dLbl>
            <c:dLbl>
              <c:idx val="7"/>
              <c:layout>
                <c:manualLayout>
                  <c:x val="-1.8958772283648406E-2"/>
                  <c:y val="-3.19361277445109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1E-4B47-9A99-159F30B7CB3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'Main Sheet'!$AM$50:$CJ$50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Sheet'!$AM$59:$CJ$59</c:f>
              <c:numCache>
                <c:formatCode>0</c:formatCode>
                <c:ptCount val="3"/>
                <c:pt idx="0">
                  <c:v>1569.9450084101252</c:v>
                </c:pt>
                <c:pt idx="1">
                  <c:v>1870.2498556285109</c:v>
                </c:pt>
                <c:pt idx="2">
                  <c:v>1767.1770148072465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1E-4B47-9A99-159F30B7CB34}"/>
            </c:ext>
          </c:extLst>
        </c:ser>
        <c:ser>
          <c:idx val="3"/>
          <c:order val="3"/>
          <c:tx>
            <c:strRef>
              <c:f>'Main Sheet'!$K$60:$L$60</c:f>
              <c:strCache>
                <c:ptCount val="2"/>
                <c:pt idx="0">
                  <c:v>Productivity in Sqm(PP)</c:v>
                </c:pt>
                <c:pt idx="1">
                  <c:v>Actual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1.2639181522432208E-2"/>
                  <c:y val="7.6666823832649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1E-4B47-9A99-159F30B7CB34}"/>
                </c:ext>
              </c:extLst>
            </c:dLbl>
            <c:dLbl>
              <c:idx val="1"/>
              <c:layout>
                <c:manualLayout>
                  <c:x val="1.3903099674675429E-2"/>
                  <c:y val="9.66269036729689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1E-4B47-9A99-159F30B7CB34}"/>
                </c:ext>
              </c:extLst>
            </c:dLbl>
            <c:dLbl>
              <c:idx val="5"/>
              <c:layout>
                <c:manualLayout>
                  <c:x val="7.5835089134593248E-3"/>
                  <c:y val="0.1165869835132883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1E-4B47-9A99-159F30B7CB34}"/>
                </c:ext>
              </c:extLst>
            </c:dLbl>
            <c:dLbl>
              <c:idx val="6"/>
              <c:layout>
                <c:manualLayout>
                  <c:x val="7.5835089134593248E-3"/>
                  <c:y val="8.465085576877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1E-4B47-9A99-159F30B7CB34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'Main Sheet'!$AM$50:$CJ$50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Sheet'!$AM$60:$CJ$60</c:f>
              <c:numCache>
                <c:formatCode>0</c:formatCode>
                <c:ptCount val="3"/>
                <c:pt idx="0">
                  <c:v>1998.1390716336534</c:v>
                </c:pt>
                <c:pt idx="1">
                  <c:v>1919.860357503735</c:v>
                </c:pt>
                <c:pt idx="2">
                  <c:v>1908.8554482381478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1E-4B47-9A99-159F30B7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851952"/>
        <c:axId val="320852344"/>
      </c:barChart>
      <c:lineChart>
        <c:grouping val="standard"/>
        <c:varyColors val="0"/>
        <c:ser>
          <c:idx val="0"/>
          <c:order val="0"/>
          <c:tx>
            <c:strRef>
              <c:f>'Main Sheet'!$K$55:$L$55</c:f>
              <c:strCache>
                <c:ptCount val="2"/>
                <c:pt idx="0">
                  <c:v>% to Sales</c:v>
                </c:pt>
                <c:pt idx="1">
                  <c:v>Budget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'Main Sheet'!$AM$50:$CJ$50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Sheet'!$AM$55:$CJ$55</c:f>
              <c:numCache>
                <c:formatCode>0.00%</c:formatCode>
                <c:ptCount val="3"/>
                <c:pt idx="0">
                  <c:v>0.13604187390010006</c:v>
                </c:pt>
                <c:pt idx="1">
                  <c:v>0.12162478076017832</c:v>
                </c:pt>
                <c:pt idx="2">
                  <c:v>0.12435602224798296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1E-4B47-9A99-159F30B7CB34}"/>
            </c:ext>
          </c:extLst>
        </c:ser>
        <c:ser>
          <c:idx val="1"/>
          <c:order val="1"/>
          <c:tx>
            <c:strRef>
              <c:f>'Main Sheet'!$K$56:$L$56</c:f>
              <c:strCache>
                <c:ptCount val="2"/>
                <c:pt idx="0">
                  <c:v>% to Sales</c:v>
                </c:pt>
                <c:pt idx="1">
                  <c:v>Actual</c:v>
                </c:pt>
              </c:strCache>
            </c:strRef>
          </c:tx>
          <c:dLbls>
            <c:dLbl>
              <c:idx val="4"/>
              <c:layout>
                <c:manualLayout>
                  <c:x val="-9.6310563200933431E-3"/>
                  <c:y val="4.43214358684205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1E-4B47-9A99-159F30B7CB34}"/>
                </c:ext>
              </c:extLst>
            </c:dLbl>
            <c:dLbl>
              <c:idx val="7"/>
              <c:layout>
                <c:manualLayout>
                  <c:x val="-4.628468273514675E-2"/>
                  <c:y val="7.62575636129315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1E-4B47-9A99-159F30B7CB34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'Main Sheet'!$AM$50:$CJ$50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Sheet'!$AM$56:$CJ$56</c:f>
              <c:numCache>
                <c:formatCode>0.00%</c:formatCode>
                <c:ptCount val="3"/>
                <c:pt idx="0">
                  <c:v>0.10634843327378719</c:v>
                </c:pt>
                <c:pt idx="1">
                  <c:v>0.11513036517700495</c:v>
                </c:pt>
                <c:pt idx="2">
                  <c:v>0.11752620600809764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1E-4B47-9A99-159F30B7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849600"/>
        <c:axId val="320850776"/>
      </c:lineChart>
      <c:catAx>
        <c:axId val="32085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0852344"/>
        <c:crosses val="autoZero"/>
        <c:auto val="1"/>
        <c:lblAlgn val="ctr"/>
        <c:lblOffset val="100"/>
        <c:noMultiLvlLbl val="0"/>
      </c:catAx>
      <c:valAx>
        <c:axId val="32085234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320851952"/>
        <c:crosses val="autoZero"/>
        <c:crossBetween val="between"/>
      </c:valAx>
      <c:valAx>
        <c:axId val="320850776"/>
        <c:scaling>
          <c:orientation val="minMax"/>
          <c:max val="0.16000000000000003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crossAx val="320849600"/>
        <c:crosses val="max"/>
        <c:crossBetween val="between"/>
        <c:majorUnit val="2.0000000000000004E-2"/>
      </c:valAx>
      <c:catAx>
        <c:axId val="32084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5077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ln>
          <a:solidFill>
            <a:srgbClr val="C00000"/>
          </a:solidFill>
        </a:ln>
      </c:sp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T-16 Auto </a:t>
            </a:r>
            <a:r>
              <a:rPr lang="en-US" sz="1800" b="1" i="0" u="none" strike="noStrike" baseline="0">
                <a:effectLst/>
              </a:rPr>
              <a:t>Cost Vs Productivity</a:t>
            </a:r>
            <a:endParaRPr lang="en-US"/>
          </a:p>
        </c:rich>
      </c:tx>
      <c:layout>
        <c:manualLayout>
          <c:xMode val="edge"/>
          <c:yMode val="edge"/>
          <c:x val="0.45800469156231499"/>
          <c:y val="8.130081300813009E-3"/>
        </c:manualLayout>
      </c:layout>
      <c:overlay val="0"/>
      <c:spPr>
        <a:ln>
          <a:solidFill>
            <a:srgbClr val="C00000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'Main Sheet'!$B$34</c:f>
              <c:strCache>
                <c:ptCount val="1"/>
                <c:pt idx="0">
                  <c:v>Productivity in Sqm(PP)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'Main Sheet'!$F$29:$H$29</c:f>
            </c:multiLvlStrRef>
          </c:cat>
          <c:val>
            <c:numRef>
              <c:f>'Main Sheet'!$F$34:$H$34</c:f>
            </c:numRef>
          </c:val>
          <c:extLst>
            <c:ext xmlns:c16="http://schemas.microsoft.com/office/drawing/2014/chart" uri="{C3380CC4-5D6E-409C-BE32-E72D297353CC}">
              <c16:uniqueId val="{00000000-DB32-49CD-B61F-F072A7CCF845}"/>
            </c:ext>
          </c:extLst>
        </c:ser>
        <c:ser>
          <c:idx val="1"/>
          <c:order val="2"/>
          <c:tx>
            <c:strRef>
              <c:f>'Main Sheet'!$B$36</c:f>
              <c:strCache>
                <c:ptCount val="1"/>
                <c:pt idx="0">
                  <c:v>Productivity w/o sub assm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'Main Sheet'!$F$29:$H$29</c:f>
            </c:multiLvlStrRef>
          </c:cat>
          <c:val>
            <c:numRef>
              <c:f>'Main Sheet'!$F$36:$H$36</c:f>
            </c:numRef>
          </c:val>
          <c:extLst>
            <c:ext xmlns:c16="http://schemas.microsoft.com/office/drawing/2014/chart" uri="{C3380CC4-5D6E-409C-BE32-E72D297353CC}">
              <c16:uniqueId val="{00000001-DB32-49CD-B61F-F072A7CC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849992"/>
        <c:axId val="320851168"/>
      </c:barChart>
      <c:lineChart>
        <c:grouping val="standard"/>
        <c:varyColors val="0"/>
        <c:ser>
          <c:idx val="2"/>
          <c:order val="0"/>
          <c:tx>
            <c:strRef>
              <c:f>'Main Sheet'!$B$32</c:f>
              <c:strCache>
                <c:ptCount val="1"/>
                <c:pt idx="0">
                  <c:v>% to Sales</c:v>
                </c:pt>
              </c:strCache>
            </c:strRef>
          </c:tx>
          <c:dLbls>
            <c:dLbl>
              <c:idx val="1"/>
              <c:layout>
                <c:manualLayout>
                  <c:x val="-5.9546643804012159E-2"/>
                  <c:y val="-6.806973008970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32-49CD-B61F-F072A7CCF845}"/>
                </c:ext>
              </c:extLst>
            </c:dLbl>
            <c:dLbl>
              <c:idx val="10"/>
              <c:layout>
                <c:manualLayout>
                  <c:x val="-6.4605664749921521E-2"/>
                  <c:y val="-9.3912681646501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32-49CD-B61F-F072A7CCF8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'Main Sheet'!$F$29:$H$29</c:f>
            </c:multiLvlStrRef>
          </c:cat>
          <c:val>
            <c:numRef>
              <c:f>'Main Sheet'!$F$32:$H$32</c:f>
            </c:numRef>
          </c:val>
          <c:smooth val="0"/>
          <c:extLst>
            <c:ext xmlns:c16="http://schemas.microsoft.com/office/drawing/2014/chart" uri="{C3380CC4-5D6E-409C-BE32-E72D297353CC}">
              <c16:uniqueId val="{00000004-DB32-49CD-B61F-F072A7CC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851560"/>
        <c:axId val="320852736"/>
      </c:lineChart>
      <c:catAx>
        <c:axId val="32084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0851168"/>
        <c:crosses val="autoZero"/>
        <c:auto val="1"/>
        <c:lblAlgn val="ctr"/>
        <c:lblOffset val="100"/>
        <c:noMultiLvlLbl val="0"/>
      </c:catAx>
      <c:valAx>
        <c:axId val="320851168"/>
        <c:scaling>
          <c:orientation val="minMax"/>
          <c:min val="2500"/>
        </c:scaling>
        <c:delete val="0"/>
        <c:axPos val="l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0849992"/>
        <c:crosses val="autoZero"/>
        <c:crossBetween val="between"/>
      </c:valAx>
      <c:catAx>
        <c:axId val="320851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52736"/>
        <c:crosses val="autoZero"/>
        <c:auto val="1"/>
        <c:lblAlgn val="ctr"/>
        <c:lblOffset val="100"/>
        <c:noMultiLvlLbl val="0"/>
      </c:catAx>
      <c:valAx>
        <c:axId val="320852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0851560"/>
        <c:crosses val="max"/>
        <c:crossBetween val="between"/>
      </c:valAx>
    </c:plotArea>
    <c:legend>
      <c:legendPos val="b"/>
      <c:overlay val="0"/>
      <c:spPr>
        <a:ln>
          <a:solidFill>
            <a:srgbClr val="C00000"/>
          </a:solidFill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Auto Cost Vs Productivity</a:t>
            </a:r>
          </a:p>
        </c:rich>
      </c:tx>
      <c:overlay val="0"/>
      <c:spPr>
        <a:ln>
          <a:solidFill>
            <a:srgbClr val="C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5.4106478795413734E-2"/>
          <c:y val="0.15971552957077972"/>
          <c:w val="0.86907827047934783"/>
          <c:h val="0.6634620522734059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'Main Sheet'!$K$75:$L$75</c:f>
              <c:strCache>
                <c:ptCount val="2"/>
                <c:pt idx="0">
                  <c:v>Productivity in Sqm(PP)</c:v>
                </c:pt>
                <c:pt idx="1">
                  <c:v>Budget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-1.5098861878702663E-2"/>
                  <c:y val="-1.19760479041916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72-40FD-AD98-59C60FB23A4D}"/>
                </c:ext>
              </c:extLst>
            </c:dLbl>
            <c:dLbl>
              <c:idx val="4"/>
              <c:layout>
                <c:manualLayout>
                  <c:x val="-8.8076694292432058E-3"/>
                  <c:y val="-3.59281437125748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72-40FD-AD98-59C60FB23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'Main Sheet'!$AM$66:$CJ$66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Sheet'!$AM$75:$CJ$75</c:f>
              <c:numCache>
                <c:formatCode>0</c:formatCode>
                <c:ptCount val="3"/>
                <c:pt idx="0">
                  <c:v>3344.5071915528297</c:v>
                </c:pt>
                <c:pt idx="1">
                  <c:v>3477.4311625351716</c:v>
                </c:pt>
                <c:pt idx="2">
                  <c:v>3558.2022931414308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2-40FD-AD98-59C60FB23A4D}"/>
            </c:ext>
          </c:extLst>
        </c:ser>
        <c:ser>
          <c:idx val="3"/>
          <c:order val="3"/>
          <c:tx>
            <c:strRef>
              <c:f>'Main Sheet'!$K$76:$L$76</c:f>
              <c:strCache>
                <c:ptCount val="2"/>
                <c:pt idx="0">
                  <c:v>Productivity in Sqm(PP)</c:v>
                </c:pt>
                <c:pt idx="1">
                  <c:v>Actual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2.5164769797837733E-3"/>
                  <c:y val="0.1068464645512125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72-40FD-AD98-59C60FB23A4D}"/>
                </c:ext>
              </c:extLst>
            </c:dLbl>
            <c:dLbl>
              <c:idx val="1"/>
              <c:layout>
                <c:manualLayout>
                  <c:x val="-7.54943093935132E-3"/>
                  <c:y val="9.487041664702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72-40FD-AD98-59C60FB23A4D}"/>
                </c:ext>
              </c:extLst>
            </c:dLbl>
            <c:dLbl>
              <c:idx val="4"/>
              <c:layout>
                <c:manualLayout>
                  <c:x val="1.5098861878702546E-2"/>
                  <c:y val="3.05404938155185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72-40FD-AD98-59C60FB23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'Main Sheet'!$AM$66:$CJ$66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Sheet'!$AM$76:$CJ$76</c:f>
              <c:numCache>
                <c:formatCode>0</c:formatCode>
                <c:ptCount val="3"/>
                <c:pt idx="0">
                  <c:v>3372.365777039859</c:v>
                </c:pt>
                <c:pt idx="1">
                  <c:v>3568.2755700361872</c:v>
                </c:pt>
                <c:pt idx="2">
                  <c:v>3651.2923194596747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2-40FD-AD98-59C60FB2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853520"/>
        <c:axId val="320853912"/>
      </c:barChart>
      <c:lineChart>
        <c:grouping val="standard"/>
        <c:varyColors val="0"/>
        <c:ser>
          <c:idx val="0"/>
          <c:order val="0"/>
          <c:tx>
            <c:strRef>
              <c:f>'Main Sheet'!$K$71:$L$71</c:f>
              <c:strCache>
                <c:ptCount val="2"/>
                <c:pt idx="0">
                  <c:v>% to Sales</c:v>
                </c:pt>
                <c:pt idx="1">
                  <c:v>Budget</c:v>
                </c:pt>
              </c:strCache>
            </c:strRef>
          </c:tx>
          <c:dLbls>
            <c:dLbl>
              <c:idx val="1"/>
              <c:layout>
                <c:manualLayout>
                  <c:x val="-4.3560216520057114E-2"/>
                  <c:y val="0.104201675389378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72-40FD-AD98-59C60FB23A4D}"/>
                </c:ext>
              </c:extLst>
            </c:dLbl>
            <c:dLbl>
              <c:idx val="2"/>
              <c:layout>
                <c:manualLayout>
                  <c:x val="-3.4752547090813907E-2"/>
                  <c:y val="0.128153771197761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972-40FD-AD98-59C60FB23A4D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'Main Sheet'!$AM$66:$CJ$66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Sheet'!$AM$71:$CJ$71</c:f>
              <c:numCache>
                <c:formatCode>0.00%</c:formatCode>
                <c:ptCount val="3"/>
                <c:pt idx="0">
                  <c:v>0.10567294034310223</c:v>
                </c:pt>
                <c:pt idx="1">
                  <c:v>0.11372092691469222</c:v>
                </c:pt>
                <c:pt idx="2">
                  <c:v>0.11332139405326112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72-40FD-AD98-59C60FB23A4D}"/>
            </c:ext>
          </c:extLst>
        </c:ser>
        <c:ser>
          <c:idx val="1"/>
          <c:order val="1"/>
          <c:tx>
            <c:strRef>
              <c:f>'Main Sheet'!$K$72:$L$72</c:f>
              <c:strCache>
                <c:ptCount val="2"/>
                <c:pt idx="0">
                  <c:v>% to Sales</c:v>
                </c:pt>
                <c:pt idx="1">
                  <c:v>Actual</c:v>
                </c:pt>
              </c:strCache>
            </c:strRef>
          </c:tx>
          <c:dLbls>
            <c:dLbl>
              <c:idx val="0"/>
              <c:layout>
                <c:manualLayout>
                  <c:x val="-1.2104254272759973E-2"/>
                  <c:y val="-8.4241595549059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972-40FD-AD98-59C60FB23A4D}"/>
                </c:ext>
              </c:extLst>
            </c:dLbl>
            <c:dLbl>
              <c:idx val="2"/>
              <c:layout>
                <c:manualLayout>
                  <c:x val="-5.8130618233005618E-3"/>
                  <c:y val="-9.6217643453250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972-40FD-AD98-59C60FB23A4D}"/>
                </c:ext>
              </c:extLst>
            </c:dLbl>
            <c:dLbl>
              <c:idx val="5"/>
              <c:layout>
                <c:manualLayout>
                  <c:x val="-7.8010786373296974E-4"/>
                  <c:y val="-0.184041994750656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972-40FD-AD98-59C60FB23A4D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'Main Sheet'!$AM$66:$CJ$66</c:f>
              <c:strCache>
                <c:ptCount val="3"/>
                <c:pt idx="0">
                  <c:v>FY 16~17</c:v>
                </c:pt>
                <c:pt idx="1">
                  <c:v>FY 1718</c:v>
                </c:pt>
                <c:pt idx="2">
                  <c:v>FY 1819</c:v>
                </c:pt>
              </c:strCache>
            </c:strRef>
          </c:cat>
          <c:val>
            <c:numRef>
              <c:f>'Main Sheet'!$AM$72:$CJ$72</c:f>
              <c:numCache>
                <c:formatCode>0.00%</c:formatCode>
                <c:ptCount val="3"/>
                <c:pt idx="0">
                  <c:v>0.11018617469794577</c:v>
                </c:pt>
                <c:pt idx="1">
                  <c:v>0.11459647849267146</c:v>
                </c:pt>
                <c:pt idx="2">
                  <c:v>0.11225633795348842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72-40FD-AD98-59C60FB2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854696"/>
        <c:axId val="320854304"/>
      </c:lineChart>
      <c:catAx>
        <c:axId val="32085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0853912"/>
        <c:crosses val="autoZero"/>
        <c:auto val="1"/>
        <c:lblAlgn val="ctr"/>
        <c:lblOffset val="100"/>
        <c:noMultiLvlLbl val="0"/>
      </c:catAx>
      <c:valAx>
        <c:axId val="32085391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320853520"/>
        <c:crosses val="autoZero"/>
        <c:crossBetween val="between"/>
        <c:majorUnit val="500"/>
      </c:valAx>
      <c:valAx>
        <c:axId val="3208543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20854696"/>
        <c:crosses val="max"/>
        <c:crossBetween val="between"/>
      </c:valAx>
      <c:catAx>
        <c:axId val="320854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5430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ln>
          <a:solidFill>
            <a:srgbClr val="C00000"/>
          </a:solidFill>
        </a:ln>
      </c:sp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13</xdr:col>
      <xdr:colOff>200025</xdr:colOff>
      <xdr:row>17</xdr:row>
      <xdr:rowOff>9525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0</xdr:row>
      <xdr:rowOff>57150</xdr:rowOff>
    </xdr:from>
    <xdr:to>
      <xdr:col>30</xdr:col>
      <xdr:colOff>76200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18</xdr:row>
      <xdr:rowOff>28575</xdr:rowOff>
    </xdr:from>
    <xdr:to>
      <xdr:col>30</xdr:col>
      <xdr:colOff>95250</xdr:colOff>
      <xdr:row>34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74083</xdr:colOff>
      <xdr:row>18</xdr:row>
      <xdr:rowOff>0</xdr:rowOff>
    </xdr:from>
    <xdr:to>
      <xdr:col>13</xdr:col>
      <xdr:colOff>216958</xdr:colOff>
      <xdr:row>34</xdr:row>
      <xdr:rowOff>142875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228601</xdr:colOff>
      <xdr:row>36</xdr:row>
      <xdr:rowOff>10583</xdr:rowOff>
    </xdr:from>
    <xdr:to>
      <xdr:col>29</xdr:col>
      <xdr:colOff>544286</xdr:colOff>
      <xdr:row>52</xdr:row>
      <xdr:rowOff>143933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74084</xdr:colOff>
      <xdr:row>36</xdr:row>
      <xdr:rowOff>10583</xdr:rowOff>
    </xdr:from>
    <xdr:to>
      <xdr:col>13</xdr:col>
      <xdr:colOff>216959</xdr:colOff>
      <xdr:row>52</xdr:row>
      <xdr:rowOff>153458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154517</xdr:colOff>
      <xdr:row>54</xdr:row>
      <xdr:rowOff>0</xdr:rowOff>
    </xdr:from>
    <xdr:to>
      <xdr:col>29</xdr:col>
      <xdr:colOff>449036</xdr:colOff>
      <xdr:row>70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13</xdr:col>
      <xdr:colOff>142875</xdr:colOff>
      <xdr:row>70</xdr:row>
      <xdr:rowOff>142875</xdr:rowOff>
    </xdr:to>
    <xdr:graphicFrame macro="">
      <xdr:nvGraphicFramePr>
        <xdr:cNvPr id="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122767</xdr:colOff>
      <xdr:row>72</xdr:row>
      <xdr:rowOff>0</xdr:rowOff>
    </xdr:from>
    <xdr:to>
      <xdr:col>29</xdr:col>
      <xdr:colOff>462643</xdr:colOff>
      <xdr:row>88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13</xdr:col>
      <xdr:colOff>142875</xdr:colOff>
      <xdr:row>88</xdr:row>
      <xdr:rowOff>142875</xdr:rowOff>
    </xdr:to>
    <xdr:graphicFrame macro="">
      <xdr:nvGraphicFramePr>
        <xdr:cNvPr id="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CTC\Data%20from%20Rishabh%20(FInal%20Files)\AOP\FY%2019\01%20Bawal\Bawal%20TCTC%20trend%20FY1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October'18\Manpower%20Numbers\01%20Bawal\Manpower%20nos%2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November'18\Manpower%20Nos%20Nov'18\Manpower%20nos%20(Bawal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December'18\Manpower%20Nos%20Dec'18\Manpower%20nos%20Dec'18%20(Bawal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January'19\Manpower%20Nos%20Jan'19\Manpower%20nos%20(Bawal%20Jan'19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February'19\Manpower%20Nos%20Feb'19\Manpower%20nos%20Feb'19%20(Bawal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March'19\Manpower%20Nos%20Mar'19\Manpower%20nos%20%20(Bawal)%20Mar'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%20drive\Attrition%20Analysis\FY%2017~18\YTD%20July\YTD%20Consolidated\Auto%20Manpower%20Strength%20FY%2017-18%20Budget%20vs%20Actua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veen%20BKP\E%20Drive\Corporate%2028th%20May%202013\MIS\FY1819\Cost%20vs%20Productivity\Arch\Annual%20Budget%20Format%20FY%2018~19%20Rev%2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August'18\02%20Data%20Preparations\Cost%20Details%20Auto\Annual%20Budget%20Format%20FY%2018~19%20Rev%2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veen%20BKP\E%20Drive\Corporate%2028th%20May%202013\Budgets\Annual%20Budget%2018~19\Auto\Auto%20FY%201819%20Budget\RB%20FY%2019\Budget%20Backup%20sheets\Annual%20Budget%20Format%20FY%2018~19%20Baw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%20drive\MD%20Review\Apr'17\Manpower%20Cost%20Trend%20Auto%20FY%2013%20to%20FY%20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August'18\02%20Data%20Preparations\Manpower%20Statistics\Salary%20Register%20Sep'1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August'18\02%20Data%20Preparations\Manpower%20Statistics\Salary%20Register%20Oct'18%20-%20Copy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August'18\02%20Data%20Preparations\Manpower%20Statistics\Salary%20Register%20Nov'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August'18\02%20Data%20Preparations\Manpower%20Statistics\Salary%20Register%20Dec'1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August'18\02%20Data%20Preparations\Manpower%20Statistics\Salary%20Register%20Jan'19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August'18\02%20Data%20Preparations\Manpower%20Statistics\Salary_register_Feb'19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August'18\02%20Data%20Preparations\Manpower%20Statistics\Salary%20Register_Mar'19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veen%20BKP\E%20Drive\Corporate%2028th%20May%202013\MIS\FY1819\Manpower%20Cost%20Auto\Manpower%20Data%20upto%20Aug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August'18\Personnel%20Cost\Manpower%20Cost%20(Rajesh%20Mandal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September'18\Personnel%20cost%20Aug'18\Manpower%20Cost%20(Rajesh%20Manda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%20drive\Attrition%20Analysis\FY%2016~17\YTD%20Jan'17\Bawal\Manpower%20Details%20Template%2016-17%20revised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October'18\Personnel%20Cost%20Sep'18\Manpower%20Cost%20(Sep'18)%20from%20Rajesh%20Manda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November'18\Personnel%20Cost%20Oct'18\Manpower%20Cost%20(Oct'18)%20by%20Rajesh%20Mand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December'18\Personnel%20Cost%20Nov'18\Manpower%20Cost-Nov'18%20(From%20Rajesh%20Mandal%20Sir)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January'19\Personnel%20Cost%20Dec'18\Manpower%20Cost%20(Dec'18)%20by%20Mandal%20sir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February'19\Personnel%20Cost%20Jan'19\Manpower%20Cost%20Jan'19%20(By%20Rajesh%20Mandal%20sir)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March'19\Personnel%20cost%20Feb'19\Manpower%20Cost%20(Feb'19)%20by%20Mandal%20Sir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00%20FY%201920\00%20Data%20Preparation\00%20Manpower%20Cost\00%20Mar'19\Manpower%20Cost%20Mar'19%20(From%20Mandal%20Sir)%20-%20Final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rporate%2028th%20May%202013\Budgets\Annual%20Budget%2015~16\Annual%20Budget%20Format%20FY%2015~16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aveen%20BKP%205th-Dec\E%20Drive\Corporate%2028th%20May%202013\Budgets\Annual%20Budget%2015~16\Annual%20Budget%20Format%20FY%2015~16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veen%20BKP\E%20Drive\Corporate%2028th%20May%202013\Budgets\Annual%20Budget%2016~17\Auto%20Budget%20FY%2016~17\Annual%20Budget%20Format%20FY%2016~17%20Rev%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veen%20BKP\E%20Drive\Corporate%2028th%20May%202013\MIS\FY1819\Manpower\Auto%20Manpower%20YTD%20May'18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%20drive\MD%20MIS\Data%20preparation\Annual%20Budget%20Format%20FY%2016~17%20Rev%20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%20drive\AOP\From%20Locations\Auto\Final\Approved%20(23-Mar-17)\Auto\Annual%20Budget%20Format%20FY%2017~18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%20drive\AOP\From%20Locations\Auto\Final\00%20Revised%20Budget%20Sep'17\Annual%20Budget%20Format%20FY%2017~18%20Revised%20(2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%20drive\AOP\00%20FY%2018-19\10%20Analysis\Manpower%20FY%2018~19%20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%20drive\AOP\00%20FY%2018-19\08%20From%20Location\01%20Auto\00%20Auto\Annual%20Budget%20Format%20FY%2018~1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August'18\02%20Data%20Preparations\Cost%20vs%20productivity\AIS%20Manpower%20Statistics%20(July'18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August'18\02%20Data%20Preparations\Manpower%20Statistics\Manpower%20Statistics-AI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veen%20BKP\E%20Drive\Corporate%2028th%20May%202013\MIS\FY1819\Manpower\Bawal%20Manpower%20no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July'18\Personnel%20Cost%20&amp;%20Manpower\Manpower%20Statistics%20Details\From%20Locations\Manpower%20nos%20(Bawal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D%20MIS\September'18\Manpower%20Details\01%20Bawal\Manpower%20no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"/>
      <sheetName val="Monthly BvsA"/>
      <sheetName val="YTD"/>
    </sheetNames>
    <sheetDataSet>
      <sheetData sheetId="0" refreshError="1"/>
      <sheetData sheetId="1">
        <row r="45">
          <cell r="BG45">
            <v>31199783.68883191</v>
          </cell>
          <cell r="BM45">
            <v>31199783.68883191</v>
          </cell>
          <cell r="BS45">
            <v>31199783.68883191</v>
          </cell>
        </row>
      </sheetData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ized manpower"/>
      <sheetName val="Department Wise Manpower"/>
      <sheetName val="Sheet2"/>
      <sheetName val="Staff"/>
    </sheetNames>
    <sheetDataSet>
      <sheetData sheetId="0" refreshError="1"/>
      <sheetData sheetId="1">
        <row r="23">
          <cell r="I23">
            <v>11</v>
          </cell>
        </row>
        <row r="60">
          <cell r="I60">
            <v>19</v>
          </cell>
        </row>
        <row r="97">
          <cell r="I97">
            <v>323</v>
          </cell>
        </row>
        <row r="110">
          <cell r="I110">
            <v>99</v>
          </cell>
        </row>
      </sheetData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ized manpower"/>
      <sheetName val="Department Wise Manpower"/>
      <sheetName val="Sheet2"/>
      <sheetName val="Staff"/>
    </sheetNames>
    <sheetDataSet>
      <sheetData sheetId="0"/>
      <sheetData sheetId="1">
        <row r="23">
          <cell r="J23">
            <v>11</v>
          </cell>
        </row>
        <row r="60">
          <cell r="J60">
            <v>19</v>
          </cell>
        </row>
        <row r="97">
          <cell r="J97">
            <v>222</v>
          </cell>
        </row>
        <row r="110">
          <cell r="J110">
            <v>89</v>
          </cell>
        </row>
      </sheetData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ized manpower"/>
      <sheetName val="Department Wise Manpower"/>
      <sheetName val="Sheet2"/>
      <sheetName val="Staff"/>
    </sheetNames>
    <sheetDataSet>
      <sheetData sheetId="0">
        <row r="5">
          <cell r="AB5">
            <v>1272.9807692307691</v>
          </cell>
        </row>
      </sheetData>
      <sheetData sheetId="1" refreshError="1">
        <row r="23">
          <cell r="K23">
            <v>11</v>
          </cell>
        </row>
        <row r="60">
          <cell r="K60">
            <v>18</v>
          </cell>
        </row>
        <row r="97">
          <cell r="K97">
            <v>313.61538461538464</v>
          </cell>
        </row>
        <row r="110">
          <cell r="K110">
            <v>99</v>
          </cell>
        </row>
      </sheetData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ized manpower"/>
      <sheetName val="Department Wise Manpower"/>
      <sheetName val="Sheet2"/>
      <sheetName val="Staff"/>
    </sheetNames>
    <sheetDataSet>
      <sheetData sheetId="0"/>
      <sheetData sheetId="1">
        <row r="23">
          <cell r="L23">
            <v>11</v>
          </cell>
        </row>
        <row r="60">
          <cell r="L60">
            <v>18</v>
          </cell>
        </row>
        <row r="97">
          <cell r="L97">
            <v>225</v>
          </cell>
        </row>
        <row r="110">
          <cell r="L110">
            <v>94.038461538461533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ized manpower"/>
      <sheetName val="Department Wise Manpower"/>
      <sheetName val="Sheet2"/>
      <sheetName val="Staff"/>
    </sheetNames>
    <sheetDataSet>
      <sheetData sheetId="0" refreshError="1"/>
      <sheetData sheetId="1">
        <row r="23">
          <cell r="M23">
            <v>11</v>
          </cell>
        </row>
        <row r="60">
          <cell r="M60">
            <v>18</v>
          </cell>
        </row>
        <row r="97">
          <cell r="M97">
            <v>232</v>
          </cell>
        </row>
        <row r="110">
          <cell r="M110">
            <v>97</v>
          </cell>
        </row>
      </sheetData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ized manpower"/>
      <sheetName val="Department Wise Manpower"/>
      <sheetName val="Sheet2"/>
      <sheetName val="Staff"/>
    </sheetNames>
    <sheetDataSet>
      <sheetData sheetId="0">
        <row r="5">
          <cell r="AK5">
            <v>1170</v>
          </cell>
        </row>
      </sheetData>
      <sheetData sheetId="1">
        <row r="23">
          <cell r="N23">
            <v>11</v>
          </cell>
        </row>
        <row r="60">
          <cell r="N60">
            <v>18</v>
          </cell>
        </row>
        <row r="97">
          <cell r="N97">
            <v>221</v>
          </cell>
        </row>
        <row r="110">
          <cell r="N110">
            <v>101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Main Sheet"/>
      <sheetName val="Manpower Budget FY18"/>
    </sheetNames>
    <sheetDataSet>
      <sheetData sheetId="0"/>
      <sheetData sheetId="1">
        <row r="8">
          <cell r="BT8">
            <v>2082</v>
          </cell>
          <cell r="BU8">
            <v>2164.1538461538466</v>
          </cell>
        </row>
        <row r="9">
          <cell r="BU9">
            <v>134</v>
          </cell>
        </row>
        <row r="10">
          <cell r="BU10">
            <v>88</v>
          </cell>
        </row>
        <row r="11">
          <cell r="BT11">
            <v>1103.5</v>
          </cell>
          <cell r="BU11">
            <v>1204</v>
          </cell>
        </row>
        <row r="12">
          <cell r="BT12">
            <v>304.8</v>
          </cell>
          <cell r="BU12">
            <v>300.5</v>
          </cell>
        </row>
        <row r="13">
          <cell r="BU13">
            <v>310.5</v>
          </cell>
        </row>
        <row r="14">
          <cell r="BT14">
            <v>107</v>
          </cell>
          <cell r="BU14">
            <v>102</v>
          </cell>
        </row>
      </sheetData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18 Actuals VS Budget 18~19"/>
      <sheetName val="MTP VS Budget 18~19"/>
      <sheetName val="Assumptions - Numbers"/>
      <sheetName val="Manpower No.s (ALL)"/>
      <sheetName val="KPIs"/>
      <sheetName val="Manpower"/>
      <sheetName val="Assumptions-Cost"/>
      <sheetName val="Summary"/>
      <sheetName val="HO"/>
      <sheetName val="Bawal"/>
      <sheetName val="Chennai"/>
      <sheetName val="Roorkee"/>
      <sheetName val="T-16 Auto"/>
      <sheetName val="BAU"/>
      <sheetName val="NPAU"/>
      <sheetName val="AFM Kolkata"/>
      <sheetName val="KAU"/>
      <sheetName val="AFM"/>
      <sheetName val="Gujarat"/>
      <sheetName val="Bawal Sub Assembly"/>
      <sheetName val="Manpower_month"/>
      <sheetName val="SQM 2018-19"/>
      <sheetName val="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7">
          <cell r="B47">
            <v>2477397.5183999995</v>
          </cell>
        </row>
        <row r="86">
          <cell r="B86">
            <v>160994472.13324863</v>
          </cell>
          <cell r="C86">
            <v>159681622.18954325</v>
          </cell>
          <cell r="D86">
            <v>159012044.97605669</v>
          </cell>
          <cell r="E86">
            <v>172566789.59700516</v>
          </cell>
        </row>
      </sheetData>
      <sheetData sheetId="8" refreshError="1">
        <row r="26">
          <cell r="B26">
            <v>12668473.613509813</v>
          </cell>
        </row>
        <row r="86">
          <cell r="B86">
            <v>14403386.368582278</v>
          </cell>
          <cell r="C86">
            <v>13557483.418271719</v>
          </cell>
          <cell r="D86">
            <v>13398486.368582278</v>
          </cell>
          <cell r="E86">
            <v>17350845.513509814</v>
          </cell>
        </row>
      </sheetData>
      <sheetData sheetId="9" refreshError="1">
        <row r="26">
          <cell r="B26">
            <v>16334196.919724945</v>
          </cell>
        </row>
        <row r="86">
          <cell r="B86">
            <v>73267526.39936316</v>
          </cell>
          <cell r="C86">
            <v>73097351.801274076</v>
          </cell>
          <cell r="D86">
            <v>72802159.295974076</v>
          </cell>
          <cell r="E86">
            <v>82352756.202841952</v>
          </cell>
        </row>
      </sheetData>
      <sheetData sheetId="10" refreshError="1">
        <row r="26">
          <cell r="B26">
            <v>11052386.877112957</v>
          </cell>
        </row>
        <row r="86">
          <cell r="B86">
            <v>45032111.138817899</v>
          </cell>
          <cell r="C86">
            <v>44664092.900924072</v>
          </cell>
          <cell r="D86">
            <v>44948207.475203797</v>
          </cell>
          <cell r="E86">
            <v>44701903.930856615</v>
          </cell>
        </row>
      </sheetData>
      <sheetData sheetId="11" refreshError="1">
        <row r="26">
          <cell r="B26">
            <v>2508066.9014160498</v>
          </cell>
        </row>
        <row r="86">
          <cell r="B86">
            <v>8358306.6698998818</v>
          </cell>
          <cell r="C86">
            <v>7978562.0157332141</v>
          </cell>
          <cell r="D86">
            <v>8040080.1027332135</v>
          </cell>
          <cell r="E86">
            <v>8035256.4722332135</v>
          </cell>
        </row>
      </sheetData>
      <sheetData sheetId="12" refreshError="1">
        <row r="26">
          <cell r="B26">
            <v>3639558.2997418493</v>
          </cell>
        </row>
        <row r="86">
          <cell r="B86">
            <v>10250390.873327352</v>
          </cell>
          <cell r="C86">
            <v>9834916.2308509555</v>
          </cell>
          <cell r="D86">
            <v>9514447.2634219341</v>
          </cell>
          <cell r="E86">
            <v>9805837.280008072</v>
          </cell>
        </row>
      </sheetData>
      <sheetData sheetId="13" refreshError="1">
        <row r="26">
          <cell r="B26">
            <v>711970.01416149235</v>
          </cell>
        </row>
        <row r="86">
          <cell r="B86">
            <v>3251320.9141614921</v>
          </cell>
          <cell r="C86">
            <v>2967565.9141614921</v>
          </cell>
          <cell r="D86">
            <v>3103061.9141614921</v>
          </cell>
          <cell r="E86">
            <v>2998060.9141614921</v>
          </cell>
        </row>
      </sheetData>
      <sheetData sheetId="14" refreshError="1">
        <row r="26">
          <cell r="B26">
            <v>1152128.2136390656</v>
          </cell>
        </row>
        <row r="86">
          <cell r="B86">
            <v>3042828.8845951194</v>
          </cell>
          <cell r="C86">
            <v>3621591.9822677183</v>
          </cell>
          <cell r="D86">
            <v>3352170.6406528116</v>
          </cell>
          <cell r="E86">
            <v>3189166.9471885976</v>
          </cell>
        </row>
      </sheetData>
      <sheetData sheetId="15" refreshError="1">
        <row r="26">
          <cell r="B26">
            <v>83863.666666666657</v>
          </cell>
        </row>
        <row r="86">
          <cell r="B86">
            <v>103863.66666666666</v>
          </cell>
          <cell r="C86">
            <v>103863.66666666666</v>
          </cell>
          <cell r="D86">
            <v>103863.66666666666</v>
          </cell>
          <cell r="E86">
            <v>103863.66666666666</v>
          </cell>
        </row>
      </sheetData>
      <sheetData sheetId="16" refreshError="1">
        <row r="26">
          <cell r="B26">
            <v>605571.82875689992</v>
          </cell>
        </row>
        <row r="86">
          <cell r="B86">
            <v>2678033.113494793</v>
          </cell>
          <cell r="C86">
            <v>2783528.5420662216</v>
          </cell>
          <cell r="D86">
            <v>2749732.113494793</v>
          </cell>
          <cell r="E86">
            <v>2769732.113494793</v>
          </cell>
        </row>
      </sheetData>
      <sheetData sheetId="17" refreshError="1">
        <row r="26">
          <cell r="B26">
            <v>66902.333333333328</v>
          </cell>
        </row>
        <row r="86">
          <cell r="B86">
            <v>104552.62133333333</v>
          </cell>
          <cell r="C86">
            <v>104552.62133333333</v>
          </cell>
          <cell r="D86">
            <v>104552.62133333333</v>
          </cell>
          <cell r="E86">
            <v>104552.62133333333</v>
          </cell>
        </row>
      </sheetData>
      <sheetData sheetId="18" refreshError="1">
        <row r="26">
          <cell r="B26">
            <v>378247.91666666698</v>
          </cell>
        </row>
        <row r="86">
          <cell r="B86">
            <v>502151.48300661839</v>
          </cell>
          <cell r="C86">
            <v>968113.095993781</v>
          </cell>
          <cell r="D86">
            <v>895283.51383229508</v>
          </cell>
          <cell r="E86">
            <v>1154813.9347105774</v>
          </cell>
        </row>
      </sheetData>
      <sheetData sheetId="19"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</row>
      </sheetData>
      <sheetData sheetId="20">
        <row r="5">
          <cell r="C5">
            <v>662.8</v>
          </cell>
          <cell r="S5">
            <v>66</v>
          </cell>
          <cell r="T5">
            <v>66</v>
          </cell>
          <cell r="U5">
            <v>66</v>
          </cell>
          <cell r="V5">
            <v>68</v>
          </cell>
          <cell r="AI5">
            <v>273</v>
          </cell>
          <cell r="AJ5">
            <v>275</v>
          </cell>
          <cell r="AK5">
            <v>275</v>
          </cell>
          <cell r="AL5">
            <v>275</v>
          </cell>
          <cell r="AY5">
            <v>18</v>
          </cell>
          <cell r="AZ5">
            <v>19</v>
          </cell>
          <cell r="BA5">
            <v>21</v>
          </cell>
          <cell r="BB5">
            <v>21</v>
          </cell>
          <cell r="BO5">
            <v>14</v>
          </cell>
          <cell r="BP5">
            <v>17</v>
          </cell>
          <cell r="BQ5">
            <v>17</v>
          </cell>
          <cell r="BR5">
            <v>17</v>
          </cell>
          <cell r="CE5">
            <v>160</v>
          </cell>
          <cell r="CF5">
            <v>168</v>
          </cell>
          <cell r="CG5">
            <v>170</v>
          </cell>
          <cell r="CH5">
            <v>177</v>
          </cell>
          <cell r="CU5">
            <v>17</v>
          </cell>
          <cell r="CV5">
            <v>17</v>
          </cell>
          <cell r="CW5">
            <v>17</v>
          </cell>
          <cell r="CX5">
            <v>17</v>
          </cell>
          <cell r="DK5">
            <v>44.3</v>
          </cell>
          <cell r="DL5">
            <v>45.3</v>
          </cell>
          <cell r="DM5">
            <v>45.3</v>
          </cell>
          <cell r="DN5">
            <v>48.3</v>
          </cell>
          <cell r="EA5">
            <v>59.5</v>
          </cell>
          <cell r="EB5">
            <v>59.5</v>
          </cell>
          <cell r="EC5">
            <v>59.5</v>
          </cell>
          <cell r="ED5">
            <v>63.5</v>
          </cell>
          <cell r="EQ5">
            <v>2</v>
          </cell>
          <cell r="ER5">
            <v>2</v>
          </cell>
          <cell r="ES5">
            <v>2</v>
          </cell>
          <cell r="ET5">
            <v>2</v>
          </cell>
          <cell r="FG5">
            <v>7</v>
          </cell>
          <cell r="FH5">
            <v>11</v>
          </cell>
          <cell r="FI5">
            <v>12</v>
          </cell>
          <cell r="FJ5">
            <v>18</v>
          </cell>
          <cell r="FW5">
            <v>2</v>
          </cell>
          <cell r="FX5">
            <v>2</v>
          </cell>
          <cell r="FY5">
            <v>2</v>
          </cell>
          <cell r="FZ5">
            <v>2</v>
          </cell>
        </row>
        <row r="7">
          <cell r="AI7">
            <v>464</v>
          </cell>
          <cell r="AJ7">
            <v>464</v>
          </cell>
          <cell r="AK7">
            <v>464</v>
          </cell>
          <cell r="AL7">
            <v>457</v>
          </cell>
          <cell r="AY7">
            <v>1</v>
          </cell>
          <cell r="AZ7">
            <v>1</v>
          </cell>
          <cell r="BA7">
            <v>1</v>
          </cell>
          <cell r="BB7">
            <v>1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CE7">
            <v>197.00003333333333</v>
          </cell>
          <cell r="CF7">
            <v>194.00003333333333</v>
          </cell>
          <cell r="CG7">
            <v>189.00003333333333</v>
          </cell>
          <cell r="CH7">
            <v>189.00003333333333</v>
          </cell>
          <cell r="CU7">
            <v>11</v>
          </cell>
          <cell r="CV7">
            <v>11</v>
          </cell>
          <cell r="CW7">
            <v>11</v>
          </cell>
          <cell r="CX7">
            <v>11</v>
          </cell>
          <cell r="DK7">
            <v>50</v>
          </cell>
          <cell r="DL7">
            <v>50</v>
          </cell>
          <cell r="DM7">
            <v>50</v>
          </cell>
          <cell r="DN7">
            <v>50</v>
          </cell>
          <cell r="EA7">
            <v>32</v>
          </cell>
          <cell r="EB7">
            <v>32</v>
          </cell>
          <cell r="EC7">
            <v>32</v>
          </cell>
          <cell r="ED7">
            <v>32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</row>
        <row r="8">
          <cell r="S8">
            <v>14</v>
          </cell>
          <cell r="T8">
            <v>14</v>
          </cell>
          <cell r="U8">
            <v>14</v>
          </cell>
          <cell r="V8">
            <v>14</v>
          </cell>
          <cell r="AI8">
            <v>1378</v>
          </cell>
          <cell r="AJ8">
            <v>1419</v>
          </cell>
          <cell r="AK8">
            <v>1408</v>
          </cell>
          <cell r="AL8">
            <v>1404.5</v>
          </cell>
          <cell r="AY8">
            <v>121</v>
          </cell>
          <cell r="AZ8">
            <v>121</v>
          </cell>
          <cell r="BA8">
            <v>121</v>
          </cell>
          <cell r="BB8">
            <v>121</v>
          </cell>
          <cell r="BO8">
            <v>133</v>
          </cell>
          <cell r="BP8">
            <v>133</v>
          </cell>
          <cell r="BQ8">
            <v>133</v>
          </cell>
          <cell r="BR8">
            <v>133</v>
          </cell>
          <cell r="CE8">
            <v>727.49996666666664</v>
          </cell>
          <cell r="CF8">
            <v>730.49996666666664</v>
          </cell>
          <cell r="CG8">
            <v>728.99996666666664</v>
          </cell>
          <cell r="CH8">
            <v>713.49996666666664</v>
          </cell>
          <cell r="CU8">
            <v>81</v>
          </cell>
          <cell r="CV8">
            <v>81</v>
          </cell>
          <cell r="CW8">
            <v>81</v>
          </cell>
          <cell r="CX8">
            <v>81</v>
          </cell>
          <cell r="DK8">
            <v>240</v>
          </cell>
          <cell r="DL8">
            <v>240</v>
          </cell>
          <cell r="DM8">
            <v>240</v>
          </cell>
          <cell r="DN8">
            <v>240</v>
          </cell>
          <cell r="EA8">
            <v>188</v>
          </cell>
          <cell r="EB8">
            <v>188</v>
          </cell>
          <cell r="EC8">
            <v>188</v>
          </cell>
          <cell r="ED8">
            <v>188</v>
          </cell>
          <cell r="EQ8">
            <v>2</v>
          </cell>
          <cell r="ER8">
            <v>2</v>
          </cell>
          <cell r="ES8">
            <v>2</v>
          </cell>
          <cell r="ET8">
            <v>2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W8">
            <v>2</v>
          </cell>
          <cell r="FX8">
            <v>2</v>
          </cell>
          <cell r="FY8">
            <v>2</v>
          </cell>
          <cell r="FZ8">
            <v>2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T8">
            <v>244.5</v>
          </cell>
          <cell r="GU8">
            <v>244.5</v>
          </cell>
          <cell r="GV8">
            <v>244.5</v>
          </cell>
          <cell r="GW8">
            <v>244.5</v>
          </cell>
          <cell r="GX8">
            <v>233.10000000000002</v>
          </cell>
        </row>
      </sheetData>
      <sheetData sheetId="21">
        <row r="22">
          <cell r="C22">
            <v>727062</v>
          </cell>
          <cell r="D22">
            <v>746808</v>
          </cell>
          <cell r="E22">
            <v>590219</v>
          </cell>
          <cell r="F22">
            <v>753576</v>
          </cell>
        </row>
        <row r="23">
          <cell r="C23">
            <v>377616</v>
          </cell>
          <cell r="D23">
            <v>388987</v>
          </cell>
          <cell r="E23">
            <v>404034</v>
          </cell>
          <cell r="F23">
            <v>401468</v>
          </cell>
        </row>
        <row r="24">
          <cell r="C24">
            <v>95058</v>
          </cell>
          <cell r="D24">
            <v>111440</v>
          </cell>
          <cell r="E24">
            <v>98448</v>
          </cell>
          <cell r="F24">
            <v>104471</v>
          </cell>
        </row>
        <row r="25">
          <cell r="C25">
            <v>84099</v>
          </cell>
          <cell r="D25">
            <v>86593</v>
          </cell>
          <cell r="E25">
            <v>79231</v>
          </cell>
          <cell r="F25">
            <v>86686</v>
          </cell>
        </row>
      </sheetData>
      <sheetData sheetId="22">
        <row r="5">
          <cell r="C5">
            <v>7986</v>
          </cell>
          <cell r="D5">
            <v>8312</v>
          </cell>
          <cell r="E5">
            <v>6645</v>
          </cell>
          <cell r="F5">
            <v>8512</v>
          </cell>
        </row>
        <row r="6">
          <cell r="C6">
            <v>4412</v>
          </cell>
          <cell r="D6">
            <v>4577</v>
          </cell>
          <cell r="E6">
            <v>4725</v>
          </cell>
          <cell r="F6">
            <v>4736</v>
          </cell>
        </row>
        <row r="7">
          <cell r="C7">
            <v>1128</v>
          </cell>
          <cell r="D7">
            <v>1365</v>
          </cell>
          <cell r="E7">
            <v>1232</v>
          </cell>
          <cell r="F7">
            <v>1293</v>
          </cell>
        </row>
        <row r="8">
          <cell r="C8">
            <v>1369</v>
          </cell>
          <cell r="D8">
            <v>1411</v>
          </cell>
          <cell r="E8">
            <v>1291</v>
          </cell>
          <cell r="F8">
            <v>1397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18 Actuals VS Budget 18~19"/>
      <sheetName val="MTP VS Budget 18~19"/>
      <sheetName val="Assumptions - Numbers"/>
      <sheetName val="Manpower No.s (ALL)"/>
      <sheetName val="KPIs"/>
      <sheetName val="Manpower"/>
      <sheetName val="Assumptions-Cost"/>
      <sheetName val="Summary"/>
      <sheetName val="HO"/>
      <sheetName val="Bawal"/>
      <sheetName val="Chennai"/>
      <sheetName val="Roorkee"/>
      <sheetName val="T-16 Auto"/>
      <sheetName val="BAU"/>
      <sheetName val="NPAU"/>
      <sheetName val="AFM Kolkata"/>
      <sheetName val="KAU"/>
      <sheetName val="AFM"/>
      <sheetName val="Gujarat"/>
      <sheetName val="Bawal Sub Assembly"/>
      <sheetName val="Manpower_month"/>
      <sheetName val="SQM 2018-19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6">
          <cell r="N26">
            <v>625981233.40342355</v>
          </cell>
        </row>
        <row r="86">
          <cell r="F86">
            <v>172497888.54343954</v>
          </cell>
          <cell r="G86">
            <v>170242971.12129098</v>
          </cell>
          <cell r="H86">
            <v>163136171.19884384</v>
          </cell>
          <cell r="I86">
            <v>166052110.64804456</v>
          </cell>
          <cell r="J86">
            <v>164010785.68732628</v>
          </cell>
          <cell r="K86">
            <v>191571305.51321498</v>
          </cell>
          <cell r="L86">
            <v>189922174.28148484</v>
          </cell>
          <cell r="M86">
            <v>194834817.3910287</v>
          </cell>
        </row>
      </sheetData>
      <sheetData sheetId="8">
        <row r="26">
          <cell r="F26">
            <v>13068515.280176481</v>
          </cell>
        </row>
        <row r="86">
          <cell r="F86">
            <v>13931337.333833244</v>
          </cell>
          <cell r="G86">
            <v>13864371.513509816</v>
          </cell>
          <cell r="H86">
            <v>13788528.035248946</v>
          </cell>
          <cell r="I86">
            <v>13982721.513509816</v>
          </cell>
          <cell r="J86">
            <v>17124552.333833244</v>
          </cell>
          <cell r="K86">
            <v>14110171.513509816</v>
          </cell>
          <cell r="L86">
            <v>13968145.892391803</v>
          </cell>
          <cell r="M86">
            <v>15313337.030751195</v>
          </cell>
        </row>
      </sheetData>
      <sheetData sheetId="9">
        <row r="26">
          <cell r="F26">
            <v>17057207.086391613</v>
          </cell>
        </row>
        <row r="86">
          <cell r="F86">
            <v>84198754.142116591</v>
          </cell>
          <cell r="G86">
            <v>83066183.670041561</v>
          </cell>
          <cell r="H86">
            <v>72902856.718814328</v>
          </cell>
          <cell r="I86">
            <v>72820687.232452661</v>
          </cell>
          <cell r="J86">
            <v>68358046.277071476</v>
          </cell>
          <cell r="K86">
            <v>98479540.171189442</v>
          </cell>
          <cell r="L86">
            <v>98369220.463830456</v>
          </cell>
          <cell r="M86">
            <v>103051713.22597063</v>
          </cell>
        </row>
      </sheetData>
      <sheetData sheetId="10">
        <row r="26">
          <cell r="F26">
            <v>11413087.877112957</v>
          </cell>
        </row>
        <row r="86">
          <cell r="F86">
            <v>45819238.049022444</v>
          </cell>
          <cell r="G86">
            <v>45309784.733398765</v>
          </cell>
          <cell r="H86">
            <v>47264416.554127306</v>
          </cell>
          <cell r="I86">
            <v>47161292.681312934</v>
          </cell>
          <cell r="J86">
            <v>47465039.773416296</v>
          </cell>
          <cell r="K86">
            <v>47674784.064867318</v>
          </cell>
          <cell r="L86">
            <v>46475388.340287805</v>
          </cell>
          <cell r="M86">
            <v>45327322.375216164</v>
          </cell>
        </row>
      </sheetData>
      <sheetData sheetId="11">
        <row r="26">
          <cell r="F26">
            <v>2616400.2347493828</v>
          </cell>
        </row>
        <row r="86">
          <cell r="F86">
            <v>8414570.401733214</v>
          </cell>
          <cell r="G86">
            <v>8279062.3393998817</v>
          </cell>
          <cell r="H86">
            <v>9218346.8558998816</v>
          </cell>
          <cell r="I86">
            <v>8366079.4393998813</v>
          </cell>
          <cell r="J86">
            <v>8182690.8330665473</v>
          </cell>
          <cell r="K86">
            <v>8263395.1765665486</v>
          </cell>
          <cell r="L86">
            <v>8185553.9880665485</v>
          </cell>
          <cell r="M86">
            <v>8310735.0407332145</v>
          </cell>
        </row>
      </sheetData>
      <sheetData sheetId="12">
        <row r="26">
          <cell r="F26">
            <v>3739558.2997418493</v>
          </cell>
        </row>
        <row r="86">
          <cell r="F86">
            <v>9917935.4848331884</v>
          </cell>
          <cell r="G86">
            <v>9589478.9779382385</v>
          </cell>
          <cell r="H86">
            <v>9639130.4238207806</v>
          </cell>
          <cell r="I86">
            <v>9630970.6167342253</v>
          </cell>
          <cell r="J86">
            <v>9677736.9609479699</v>
          </cell>
          <cell r="K86">
            <v>9745978.256541051</v>
          </cell>
          <cell r="L86">
            <v>9622711.1153119914</v>
          </cell>
          <cell r="M86">
            <v>9737031.2014846299</v>
          </cell>
        </row>
      </sheetData>
      <sheetData sheetId="13">
        <row r="26">
          <cell r="F26">
            <v>711970.01416149235</v>
          </cell>
        </row>
        <row r="86">
          <cell r="F86">
            <v>2776319.9141614921</v>
          </cell>
          <cell r="G86">
            <v>2744319.9141614921</v>
          </cell>
          <cell r="H86">
            <v>2904646.9141614921</v>
          </cell>
          <cell r="I86">
            <v>3058076.9141614921</v>
          </cell>
          <cell r="J86">
            <v>2762577.9141614921</v>
          </cell>
          <cell r="K86">
            <v>2725576.9141614921</v>
          </cell>
          <cell r="L86">
            <v>2722576.9141614921</v>
          </cell>
          <cell r="M86">
            <v>2727576.9141614921</v>
          </cell>
        </row>
      </sheetData>
      <sheetData sheetId="14">
        <row r="26">
          <cell r="F26">
            <v>1227128.2136390656</v>
          </cell>
        </row>
        <row r="86">
          <cell r="F86">
            <v>3197234.5424116277</v>
          </cell>
          <cell r="G86">
            <v>3181924.6394962901</v>
          </cell>
          <cell r="H86">
            <v>3193850.7264528116</v>
          </cell>
          <cell r="I86">
            <v>3232717.9471885976</v>
          </cell>
          <cell r="J86">
            <v>3226634.5424116277</v>
          </cell>
          <cell r="K86">
            <v>3194204.7252962901</v>
          </cell>
          <cell r="L86">
            <v>3239258.4374054368</v>
          </cell>
          <cell r="M86">
            <v>3221954.7252962901</v>
          </cell>
        </row>
      </sheetData>
      <sheetData sheetId="15">
        <row r="26">
          <cell r="F26">
            <v>83863.666666666657</v>
          </cell>
        </row>
        <row r="86">
          <cell r="F86">
            <v>103863.66666666666</v>
          </cell>
          <cell r="G86">
            <v>103863.66666666666</v>
          </cell>
          <cell r="H86">
            <v>103863.66666666666</v>
          </cell>
          <cell r="I86">
            <v>103863.66666666666</v>
          </cell>
          <cell r="J86">
            <v>103863.66666666666</v>
          </cell>
          <cell r="K86">
            <v>103863.66666666666</v>
          </cell>
          <cell r="L86">
            <v>103863.66666666666</v>
          </cell>
          <cell r="M86">
            <v>103863.66666666666</v>
          </cell>
        </row>
      </sheetData>
      <sheetData sheetId="16">
        <row r="26">
          <cell r="F26">
            <v>705571.82875689992</v>
          </cell>
        </row>
        <row r="86">
          <cell r="F86">
            <v>2872160.2920662216</v>
          </cell>
          <cell r="G86">
            <v>2843023.863494793</v>
          </cell>
          <cell r="H86">
            <v>2793971.9921537931</v>
          </cell>
          <cell r="I86">
            <v>2853395.9921537931</v>
          </cell>
          <cell r="J86">
            <v>2792867.4207252217</v>
          </cell>
          <cell r="K86">
            <v>2833970.9921537931</v>
          </cell>
          <cell r="L86">
            <v>2792756.3096141107</v>
          </cell>
          <cell r="M86">
            <v>2773971.9921537931</v>
          </cell>
        </row>
      </sheetData>
      <sheetData sheetId="17">
        <row r="26">
          <cell r="F26">
            <v>66902.333333333328</v>
          </cell>
        </row>
        <row r="86">
          <cell r="F86">
            <v>104552.62133333333</v>
          </cell>
          <cell r="G86">
            <v>104552.62133333333</v>
          </cell>
          <cell r="H86">
            <v>104552.62133333333</v>
          </cell>
          <cell r="I86">
            <v>104552.62133333333</v>
          </cell>
          <cell r="J86">
            <v>104552.62133333333</v>
          </cell>
          <cell r="K86">
            <v>104552.62133333333</v>
          </cell>
          <cell r="L86">
            <v>104552.62133333333</v>
          </cell>
          <cell r="M86">
            <v>104552.62133333333</v>
          </cell>
        </row>
      </sheetData>
      <sheetData sheetId="18">
        <row r="26">
          <cell r="F26">
            <v>1003247.916666666</v>
          </cell>
        </row>
        <row r="86">
          <cell r="F86">
            <v>1145742.0952615398</v>
          </cell>
          <cell r="G86">
            <v>1146625.1818501409</v>
          </cell>
          <cell r="H86">
            <v>1173106.6901644981</v>
          </cell>
          <cell r="I86">
            <v>1196098.4824501544</v>
          </cell>
          <cell r="J86">
            <v>1163484.8030114039</v>
          </cell>
          <cell r="K86">
            <v>1164206.3342832155</v>
          </cell>
          <cell r="L86">
            <v>1165862.9557691368</v>
          </cell>
          <cell r="M86">
            <v>1165370.8846152977</v>
          </cell>
        </row>
      </sheetData>
      <sheetData sheetId="19">
        <row r="26">
          <cell r="N26">
            <v>0</v>
          </cell>
        </row>
        <row r="86">
          <cell r="F86">
            <v>16180</v>
          </cell>
          <cell r="G86">
            <v>9780</v>
          </cell>
          <cell r="H86">
            <v>48900</v>
          </cell>
          <cell r="I86">
            <v>3541653.5406809999</v>
          </cell>
          <cell r="J86">
            <v>3048738.5406809999</v>
          </cell>
          <cell r="K86">
            <v>3171061.0766459997</v>
          </cell>
          <cell r="L86">
            <v>3172283.5766459997</v>
          </cell>
          <cell r="M86">
            <v>2997387.7126460001</v>
          </cell>
        </row>
      </sheetData>
      <sheetData sheetId="20">
        <row r="5">
          <cell r="C5">
            <v>661.8</v>
          </cell>
          <cell r="D5">
            <v>680.8</v>
          </cell>
          <cell r="E5">
            <v>685.8</v>
          </cell>
          <cell r="F5">
            <v>707.8</v>
          </cell>
          <cell r="G5">
            <v>712.3</v>
          </cell>
          <cell r="H5">
            <v>711.3</v>
          </cell>
          <cell r="I5">
            <v>725.3</v>
          </cell>
          <cell r="J5">
            <v>724.42499999999995</v>
          </cell>
          <cell r="K5">
            <v>724.92499999999995</v>
          </cell>
          <cell r="L5">
            <v>727.42499999999995</v>
          </cell>
          <cell r="M5">
            <v>727.20624999999995</v>
          </cell>
          <cell r="N5">
            <v>728.08124999999995</v>
          </cell>
          <cell r="W5">
            <v>68</v>
          </cell>
          <cell r="X5">
            <v>68</v>
          </cell>
          <cell r="Y5">
            <v>68</v>
          </cell>
          <cell r="Z5">
            <v>68</v>
          </cell>
          <cell r="AA5">
            <v>68</v>
          </cell>
          <cell r="AB5">
            <v>70</v>
          </cell>
          <cell r="AC5">
            <v>70</v>
          </cell>
          <cell r="AD5">
            <v>70</v>
          </cell>
          <cell r="AM5">
            <v>285.5</v>
          </cell>
          <cell r="AN5">
            <v>285.5</v>
          </cell>
          <cell r="AO5">
            <v>285.5</v>
          </cell>
          <cell r="AP5">
            <v>284.625</v>
          </cell>
          <cell r="AQ5">
            <v>284.625</v>
          </cell>
          <cell r="AR5">
            <v>284.625</v>
          </cell>
          <cell r="AS5">
            <v>284.40625</v>
          </cell>
          <cell r="AT5">
            <v>284.40625</v>
          </cell>
          <cell r="BC5">
            <v>21</v>
          </cell>
          <cell r="BD5">
            <v>21</v>
          </cell>
          <cell r="BE5">
            <v>21</v>
          </cell>
          <cell r="BF5">
            <v>21</v>
          </cell>
          <cell r="BG5">
            <v>21</v>
          </cell>
          <cell r="BH5">
            <v>21</v>
          </cell>
          <cell r="BI5">
            <v>21</v>
          </cell>
          <cell r="BJ5">
            <v>21</v>
          </cell>
          <cell r="BS5">
            <v>17</v>
          </cell>
          <cell r="BT5">
            <v>17</v>
          </cell>
          <cell r="BU5">
            <v>17</v>
          </cell>
          <cell r="BV5">
            <v>17</v>
          </cell>
          <cell r="BW5">
            <v>17</v>
          </cell>
          <cell r="BX5">
            <v>17</v>
          </cell>
          <cell r="BY5">
            <v>17</v>
          </cell>
          <cell r="BZ5">
            <v>17</v>
          </cell>
          <cell r="CI5">
            <v>171</v>
          </cell>
          <cell r="CJ5">
            <v>171</v>
          </cell>
          <cell r="CK5">
            <v>184</v>
          </cell>
          <cell r="CL5">
            <v>184</v>
          </cell>
          <cell r="CM5">
            <v>184</v>
          </cell>
          <cell r="CN5">
            <v>183</v>
          </cell>
          <cell r="CO5">
            <v>183</v>
          </cell>
          <cell r="CP5">
            <v>183</v>
          </cell>
          <cell r="CY5">
            <v>17</v>
          </cell>
          <cell r="CZ5">
            <v>17</v>
          </cell>
          <cell r="DA5">
            <v>17</v>
          </cell>
          <cell r="DB5">
            <v>17</v>
          </cell>
          <cell r="DC5">
            <v>17</v>
          </cell>
          <cell r="DD5">
            <v>17</v>
          </cell>
          <cell r="DE5">
            <v>17</v>
          </cell>
          <cell r="DF5">
            <v>17</v>
          </cell>
          <cell r="DO5">
            <v>48.3</v>
          </cell>
          <cell r="DP5">
            <v>49.3</v>
          </cell>
          <cell r="DQ5">
            <v>49.3</v>
          </cell>
          <cell r="DR5">
            <v>49.3</v>
          </cell>
          <cell r="DS5">
            <v>50.3</v>
          </cell>
          <cell r="DT5">
            <v>51.3</v>
          </cell>
          <cell r="DU5">
            <v>51.3</v>
          </cell>
          <cell r="DV5">
            <v>52.3</v>
          </cell>
          <cell r="EE5">
            <v>63.5</v>
          </cell>
          <cell r="EF5">
            <v>61.5</v>
          </cell>
          <cell r="EG5">
            <v>61.5</v>
          </cell>
          <cell r="EH5">
            <v>61.5</v>
          </cell>
          <cell r="EI5">
            <v>61</v>
          </cell>
          <cell r="EJ5">
            <v>61.5</v>
          </cell>
          <cell r="EK5">
            <v>61.5</v>
          </cell>
          <cell r="EL5">
            <v>61.375</v>
          </cell>
          <cell r="EU5">
            <v>2</v>
          </cell>
          <cell r="EV5">
            <v>2</v>
          </cell>
          <cell r="EW5">
            <v>2</v>
          </cell>
          <cell r="EX5">
            <v>2</v>
          </cell>
          <cell r="EY5">
            <v>2</v>
          </cell>
          <cell r="EZ5">
            <v>2</v>
          </cell>
          <cell r="FA5">
            <v>2</v>
          </cell>
          <cell r="FB5">
            <v>2</v>
          </cell>
          <cell r="FK5">
            <v>17</v>
          </cell>
          <cell r="FL5">
            <v>17</v>
          </cell>
          <cell r="FM5">
            <v>18</v>
          </cell>
          <cell r="FN5">
            <v>18</v>
          </cell>
          <cell r="FO5">
            <v>18</v>
          </cell>
          <cell r="FP5">
            <v>18</v>
          </cell>
          <cell r="FQ5">
            <v>18</v>
          </cell>
          <cell r="FR5">
            <v>18</v>
          </cell>
          <cell r="GA5">
            <v>2</v>
          </cell>
          <cell r="GB5">
            <v>2</v>
          </cell>
          <cell r="GC5">
            <v>2</v>
          </cell>
          <cell r="GD5">
            <v>2</v>
          </cell>
          <cell r="GE5">
            <v>2</v>
          </cell>
          <cell r="GF5">
            <v>2</v>
          </cell>
          <cell r="GG5">
            <v>2</v>
          </cell>
          <cell r="GH5">
            <v>2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</row>
        <row r="7">
          <cell r="C7">
            <v>755.00003333333336</v>
          </cell>
          <cell r="D7">
            <v>752.00003333333336</v>
          </cell>
          <cell r="E7">
            <v>747.00003333333336</v>
          </cell>
          <cell r="F7">
            <v>740.00003333333336</v>
          </cell>
          <cell r="G7">
            <v>724.00003333333336</v>
          </cell>
          <cell r="H7">
            <v>708.00003333333336</v>
          </cell>
          <cell r="I7">
            <v>718.00003333333336</v>
          </cell>
          <cell r="J7">
            <v>718.00003333333336</v>
          </cell>
          <cell r="K7">
            <v>713.00003333333336</v>
          </cell>
          <cell r="L7">
            <v>698.00003333333336</v>
          </cell>
          <cell r="M7">
            <v>683.00003333333336</v>
          </cell>
          <cell r="N7">
            <v>629.00003333333336</v>
          </cell>
          <cell r="AM7">
            <v>445</v>
          </cell>
          <cell r="AN7">
            <v>435</v>
          </cell>
          <cell r="AO7">
            <v>430</v>
          </cell>
          <cell r="AP7">
            <v>430</v>
          </cell>
          <cell r="AQ7">
            <v>426</v>
          </cell>
          <cell r="AR7">
            <v>411</v>
          </cell>
          <cell r="AS7">
            <v>396</v>
          </cell>
          <cell r="AT7">
            <v>373</v>
          </cell>
          <cell r="BC7">
            <v>1</v>
          </cell>
          <cell r="BD7">
            <v>1</v>
          </cell>
          <cell r="BE7">
            <v>1</v>
          </cell>
          <cell r="BF7">
            <v>1</v>
          </cell>
          <cell r="BG7">
            <v>1</v>
          </cell>
          <cell r="BH7">
            <v>1</v>
          </cell>
          <cell r="BI7">
            <v>1</v>
          </cell>
          <cell r="BJ7">
            <v>1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I7">
            <v>187.00003333333333</v>
          </cell>
          <cell r="CJ7">
            <v>182.00003333333333</v>
          </cell>
          <cell r="CK7">
            <v>199.00003333333333</v>
          </cell>
          <cell r="CL7">
            <v>199.00003333333333</v>
          </cell>
          <cell r="CM7">
            <v>199.00003333333333</v>
          </cell>
          <cell r="CN7">
            <v>199.00003333333333</v>
          </cell>
          <cell r="CO7">
            <v>199.00003333333333</v>
          </cell>
          <cell r="CP7">
            <v>169.00003333333333</v>
          </cell>
          <cell r="CY7">
            <v>9</v>
          </cell>
          <cell r="CZ7">
            <v>9</v>
          </cell>
          <cell r="DA7">
            <v>7</v>
          </cell>
          <cell r="DB7">
            <v>7</v>
          </cell>
          <cell r="DC7">
            <v>7</v>
          </cell>
          <cell r="DD7">
            <v>7</v>
          </cell>
          <cell r="DE7">
            <v>7</v>
          </cell>
          <cell r="DF7">
            <v>7</v>
          </cell>
          <cell r="DO7">
            <v>50</v>
          </cell>
          <cell r="DP7">
            <v>49</v>
          </cell>
          <cell r="DQ7">
            <v>49</v>
          </cell>
          <cell r="DR7">
            <v>49</v>
          </cell>
          <cell r="DS7">
            <v>48</v>
          </cell>
          <cell r="DT7">
            <v>48</v>
          </cell>
          <cell r="DU7">
            <v>48</v>
          </cell>
          <cell r="DV7">
            <v>47</v>
          </cell>
          <cell r="EE7">
            <v>32</v>
          </cell>
          <cell r="EF7">
            <v>32</v>
          </cell>
          <cell r="EG7">
            <v>32</v>
          </cell>
          <cell r="EH7">
            <v>32</v>
          </cell>
          <cell r="EI7">
            <v>32</v>
          </cell>
          <cell r="EJ7">
            <v>32</v>
          </cell>
          <cell r="EK7">
            <v>32</v>
          </cell>
          <cell r="EL7">
            <v>32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0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</row>
        <row r="8">
          <cell r="C8">
            <v>2886.4999666666668</v>
          </cell>
          <cell r="D8">
            <v>2930.4999666666668</v>
          </cell>
          <cell r="E8">
            <v>2917.9999666666668</v>
          </cell>
          <cell r="F8">
            <v>2898.9999666666668</v>
          </cell>
          <cell r="G8">
            <v>2927.4999666666668</v>
          </cell>
          <cell r="H8">
            <v>2945.4999666666668</v>
          </cell>
          <cell r="I8">
            <v>2931.9999666666668</v>
          </cell>
          <cell r="J8">
            <v>2889.9999666666668</v>
          </cell>
          <cell r="K8">
            <v>2889.9999666666668</v>
          </cell>
          <cell r="L8">
            <v>2901.9999666666668</v>
          </cell>
          <cell r="M8">
            <v>2916.9999666666668</v>
          </cell>
          <cell r="N8">
            <v>2937.5999666666667</v>
          </cell>
          <cell r="W8">
            <v>14</v>
          </cell>
          <cell r="X8">
            <v>14</v>
          </cell>
          <cell r="Y8">
            <v>14</v>
          </cell>
          <cell r="Z8">
            <v>14</v>
          </cell>
          <cell r="AA8">
            <v>14</v>
          </cell>
          <cell r="AB8">
            <v>14</v>
          </cell>
          <cell r="AC8">
            <v>14</v>
          </cell>
          <cell r="AD8">
            <v>14</v>
          </cell>
          <cell r="AM8">
            <v>1414</v>
          </cell>
          <cell r="AN8">
            <v>1431</v>
          </cell>
          <cell r="AO8">
            <v>1427</v>
          </cell>
          <cell r="AP8">
            <v>1140.5</v>
          </cell>
          <cell r="AQ8">
            <v>1140.5</v>
          </cell>
          <cell r="AR8">
            <v>1152.5</v>
          </cell>
          <cell r="AS8">
            <v>1167.5</v>
          </cell>
          <cell r="AT8">
            <v>1180</v>
          </cell>
          <cell r="BC8">
            <v>121</v>
          </cell>
          <cell r="BD8">
            <v>121</v>
          </cell>
          <cell r="BE8">
            <v>121</v>
          </cell>
          <cell r="BF8">
            <v>121</v>
          </cell>
          <cell r="BG8">
            <v>121</v>
          </cell>
          <cell r="BH8">
            <v>121</v>
          </cell>
          <cell r="BI8">
            <v>121</v>
          </cell>
          <cell r="BJ8">
            <v>121</v>
          </cell>
          <cell r="BS8">
            <v>133</v>
          </cell>
          <cell r="BT8">
            <v>133</v>
          </cell>
          <cell r="BU8">
            <v>133</v>
          </cell>
          <cell r="BV8">
            <v>133</v>
          </cell>
          <cell r="BW8">
            <v>133</v>
          </cell>
          <cell r="BX8">
            <v>133</v>
          </cell>
          <cell r="BY8">
            <v>133</v>
          </cell>
          <cell r="BZ8">
            <v>133</v>
          </cell>
          <cell r="CI8">
            <v>732.49996666666664</v>
          </cell>
          <cell r="CJ8">
            <v>733.49996666666664</v>
          </cell>
          <cell r="CK8">
            <v>723.99996666666664</v>
          </cell>
          <cell r="CL8">
            <v>723.99996666666664</v>
          </cell>
          <cell r="CM8">
            <v>723.99996666666664</v>
          </cell>
          <cell r="CN8">
            <v>723.99996666666664</v>
          </cell>
          <cell r="CO8">
            <v>723.99996666666664</v>
          </cell>
          <cell r="CP8">
            <v>743.49996666666664</v>
          </cell>
          <cell r="CY8">
            <v>81</v>
          </cell>
          <cell r="CZ8">
            <v>81</v>
          </cell>
          <cell r="DA8">
            <v>81</v>
          </cell>
          <cell r="DB8">
            <v>81</v>
          </cell>
          <cell r="DC8">
            <v>81</v>
          </cell>
          <cell r="DD8">
            <v>81</v>
          </cell>
          <cell r="DE8">
            <v>81</v>
          </cell>
          <cell r="DF8">
            <v>81</v>
          </cell>
          <cell r="DO8">
            <v>240</v>
          </cell>
          <cell r="DP8">
            <v>240</v>
          </cell>
          <cell r="DQ8">
            <v>240</v>
          </cell>
          <cell r="DR8">
            <v>240</v>
          </cell>
          <cell r="DS8">
            <v>240</v>
          </cell>
          <cell r="DT8">
            <v>240</v>
          </cell>
          <cell r="DU8">
            <v>240</v>
          </cell>
          <cell r="DV8">
            <v>240</v>
          </cell>
          <cell r="EE8">
            <v>188</v>
          </cell>
          <cell r="EF8">
            <v>188</v>
          </cell>
          <cell r="EG8">
            <v>188</v>
          </cell>
          <cell r="EH8">
            <v>188</v>
          </cell>
          <cell r="EI8">
            <v>188</v>
          </cell>
          <cell r="EJ8">
            <v>188</v>
          </cell>
          <cell r="EK8">
            <v>188</v>
          </cell>
          <cell r="EL8">
            <v>188</v>
          </cell>
          <cell r="EU8">
            <v>2</v>
          </cell>
          <cell r="EV8">
            <v>2</v>
          </cell>
          <cell r="EW8">
            <v>2</v>
          </cell>
          <cell r="EX8">
            <v>2</v>
          </cell>
          <cell r="EY8">
            <v>2</v>
          </cell>
          <cell r="EZ8">
            <v>2</v>
          </cell>
          <cell r="FA8">
            <v>2</v>
          </cell>
          <cell r="FB8">
            <v>2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GA8">
            <v>2</v>
          </cell>
          <cell r="GB8">
            <v>2</v>
          </cell>
          <cell r="GC8">
            <v>2</v>
          </cell>
          <cell r="GD8">
            <v>2</v>
          </cell>
          <cell r="GE8">
            <v>2</v>
          </cell>
          <cell r="GF8">
            <v>2</v>
          </cell>
          <cell r="GG8">
            <v>2</v>
          </cell>
          <cell r="GH8">
            <v>2</v>
          </cell>
          <cell r="GQ8">
            <v>0</v>
          </cell>
          <cell r="GR8">
            <v>0</v>
          </cell>
          <cell r="GS8">
            <v>0</v>
          </cell>
          <cell r="GT8">
            <v>244.5</v>
          </cell>
          <cell r="GU8">
            <v>244.5</v>
          </cell>
          <cell r="GV8">
            <v>244.5</v>
          </cell>
          <cell r="GW8">
            <v>244.5</v>
          </cell>
          <cell r="GX8">
            <v>233.10000000000002</v>
          </cell>
        </row>
      </sheetData>
      <sheetData sheetId="21">
        <row r="22">
          <cell r="G22">
            <v>761366</v>
          </cell>
          <cell r="H22">
            <v>717922</v>
          </cell>
          <cell r="I22">
            <v>692826</v>
          </cell>
          <cell r="J22">
            <v>639735</v>
          </cell>
          <cell r="K22">
            <v>659380</v>
          </cell>
          <cell r="L22">
            <v>669933</v>
          </cell>
          <cell r="M22">
            <v>717498</v>
          </cell>
          <cell r="N22">
            <v>722432</v>
          </cell>
        </row>
        <row r="23">
          <cell r="G23">
            <v>426606</v>
          </cell>
          <cell r="H23">
            <v>422643</v>
          </cell>
          <cell r="I23">
            <v>407139</v>
          </cell>
          <cell r="J23">
            <v>381308</v>
          </cell>
          <cell r="K23">
            <v>374888</v>
          </cell>
          <cell r="L23">
            <v>379022</v>
          </cell>
          <cell r="M23">
            <v>400174</v>
          </cell>
          <cell r="N23">
            <v>406708</v>
          </cell>
        </row>
        <row r="24">
          <cell r="G24">
            <v>115284</v>
          </cell>
          <cell r="H24">
            <v>112056</v>
          </cell>
          <cell r="I24">
            <v>104796</v>
          </cell>
          <cell r="J24">
            <v>97190</v>
          </cell>
          <cell r="K24">
            <v>93698</v>
          </cell>
          <cell r="L24">
            <v>103573</v>
          </cell>
          <cell r="M24">
            <v>105178</v>
          </cell>
          <cell r="N24">
            <v>111034</v>
          </cell>
        </row>
        <row r="25">
          <cell r="G25">
            <v>89090</v>
          </cell>
          <cell r="H25">
            <v>87578</v>
          </cell>
          <cell r="I25">
            <v>80979</v>
          </cell>
          <cell r="J25">
            <v>80549</v>
          </cell>
          <cell r="K25">
            <v>76275</v>
          </cell>
          <cell r="L25">
            <v>85205</v>
          </cell>
          <cell r="M25">
            <v>89906</v>
          </cell>
          <cell r="N25">
            <v>94583</v>
          </cell>
        </row>
      </sheetData>
      <sheetData sheetId="22">
        <row r="5">
          <cell r="G5">
            <v>8390</v>
          </cell>
          <cell r="H5">
            <v>8011</v>
          </cell>
          <cell r="I5">
            <v>7743</v>
          </cell>
          <cell r="J5">
            <v>7414</v>
          </cell>
          <cell r="K5">
            <v>7353</v>
          </cell>
          <cell r="L5">
            <v>7493</v>
          </cell>
          <cell r="M5">
            <v>7970</v>
          </cell>
          <cell r="N5">
            <v>7999</v>
          </cell>
        </row>
        <row r="6">
          <cell r="G6">
            <v>5025</v>
          </cell>
          <cell r="H6">
            <v>4995</v>
          </cell>
          <cell r="I6">
            <v>4809</v>
          </cell>
          <cell r="J6">
            <v>4519</v>
          </cell>
          <cell r="K6">
            <v>4440</v>
          </cell>
          <cell r="L6">
            <v>4500</v>
          </cell>
          <cell r="M6">
            <v>4757</v>
          </cell>
          <cell r="N6">
            <v>4824</v>
          </cell>
        </row>
        <row r="7">
          <cell r="G7">
            <v>1416</v>
          </cell>
          <cell r="H7">
            <v>1387</v>
          </cell>
          <cell r="I7">
            <v>1298</v>
          </cell>
          <cell r="J7">
            <v>1205</v>
          </cell>
          <cell r="K7">
            <v>1182</v>
          </cell>
          <cell r="L7">
            <v>1269</v>
          </cell>
          <cell r="M7">
            <v>1287</v>
          </cell>
          <cell r="N7">
            <v>1362</v>
          </cell>
        </row>
        <row r="8">
          <cell r="G8">
            <v>1441</v>
          </cell>
          <cell r="H8">
            <v>1433</v>
          </cell>
          <cell r="I8">
            <v>1324</v>
          </cell>
          <cell r="J8">
            <v>1325</v>
          </cell>
          <cell r="K8">
            <v>1249</v>
          </cell>
          <cell r="L8">
            <v>1389</v>
          </cell>
          <cell r="M8">
            <v>1457</v>
          </cell>
          <cell r="N8">
            <v>1526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Manpower Breakup"/>
      <sheetName val="MTP VS Budget 18~19"/>
      <sheetName val="KPIs"/>
      <sheetName val="Variance"/>
      <sheetName val="Variance 17-18 Vs. 18-19"/>
      <sheetName val="Manpower"/>
      <sheetName val="Assumptions - Numbers"/>
      <sheetName val="Assumptions-Cost"/>
      <sheetName val="Manpower No.s (ALL)"/>
      <sheetName val="Manpower Addition &amp; Reduction"/>
      <sheetName val="Prod&amp;MPowerCost%toSales(w SA)"/>
      <sheetName val="Prod&amp;MPowerCost%toSales(wo SA)"/>
      <sheetName val="Summary"/>
      <sheetName val="Department wise Manpower"/>
      <sheetName val="Manpower_month"/>
      <sheetName val="Deptwise-Trainee"/>
      <sheetName val="Manpower Red &amp; add plan"/>
      <sheetName val="Per Trainee Per Opr Cost"/>
      <sheetName val="SQM 2018-19"/>
      <sheetName val="Sales"/>
      <sheetName val="Workers 2018-19"/>
      <sheetName val="Increment Impact 18-19"/>
      <sheetName val="VDA Impact 18-19"/>
      <sheetName val="Trainees-18-19"/>
      <sheetName val="Warehouse"/>
      <sheetName val="Sub-cont (18-19)"/>
      <sheetName val="Good Work"/>
      <sheetName val="Attendance Incentive"/>
      <sheetName val="Leave Encashment &amp; Overtime"/>
      <sheetName val="PLI"/>
      <sheetName val="Training"/>
      <sheetName val="Suggestion Scheme &amp; Family Visi"/>
      <sheetName val="Employee Engagement"/>
      <sheetName val="QC 18~19"/>
      <sheetName val="Canteen"/>
      <sheetName val="Refreshment &amp; Party"/>
      <sheetName val="Sports"/>
      <sheetName val="Social Activities"/>
      <sheetName val="Club"/>
      <sheetName val="Gifts"/>
      <sheetName val="Insurance"/>
      <sheetName val="Vehicle for Staff at Plant"/>
      <sheetName val="Bus Hiring for Staff"/>
      <sheetName val="Safety Wear"/>
      <sheetName val="Medical Expenses"/>
      <sheetName val="MSIL VDA Manesar"/>
      <sheetName val="MSIL Manesar"/>
      <sheetName val="MSIL VDA GGN"/>
      <sheetName val="MSIL Gurgaon"/>
      <sheetName val="Deptwise-Operator"/>
      <sheetName val="Deptwise-Staff"/>
      <sheetName val="DEO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3">
          <cell r="E13">
            <v>8</v>
          </cell>
          <cell r="I13">
            <v>18.666666666666668</v>
          </cell>
        </row>
        <row r="42">
          <cell r="M42">
            <v>105</v>
          </cell>
        </row>
      </sheetData>
      <sheetData sheetId="14" refreshError="1"/>
      <sheetData sheetId="15">
        <row r="11">
          <cell r="D11">
            <v>348</v>
          </cell>
          <cell r="E11">
            <v>370</v>
          </cell>
          <cell r="F11">
            <v>352</v>
          </cell>
          <cell r="G11">
            <v>355.5</v>
          </cell>
          <cell r="H11">
            <v>367.5</v>
          </cell>
          <cell r="I11">
            <v>367.5</v>
          </cell>
          <cell r="J11">
            <v>361.5</v>
          </cell>
          <cell r="K11">
            <v>72</v>
          </cell>
          <cell r="L11">
            <v>73</v>
          </cell>
          <cell r="M11">
            <v>73</v>
          </cell>
          <cell r="N11">
            <v>73</v>
          </cell>
          <cell r="O11">
            <v>62.5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shboard"/>
      <sheetName val="Min Wage"/>
      <sheetName val="Chennai"/>
      <sheetName val="Roorkee"/>
      <sheetName val="BAU"/>
      <sheetName val="T16"/>
    </sheetNames>
    <sheetDataSet>
      <sheetData sheetId="0">
        <row r="8">
          <cell r="M8">
            <v>1951.3333333333335</v>
          </cell>
        </row>
        <row r="15">
          <cell r="M15">
            <v>1142.1666666666665</v>
          </cell>
        </row>
        <row r="22">
          <cell r="M22">
            <v>318.79166666666663</v>
          </cell>
        </row>
        <row r="29">
          <cell r="M29">
            <v>293.66666666666663</v>
          </cell>
        </row>
        <row r="36">
          <cell r="M36">
            <v>72.916666666666671</v>
          </cell>
        </row>
        <row r="43">
          <cell r="M43">
            <v>121.41666666666667</v>
          </cell>
        </row>
        <row r="50">
          <cell r="M50">
            <v>125</v>
          </cell>
        </row>
        <row r="57">
          <cell r="M57">
            <v>39.583333333333329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verall Summary"/>
    </sheetNames>
    <sheetDataSet>
      <sheetData sheetId="0">
        <row r="1">
          <cell r="B1" t="str">
            <v>Employee code</v>
          </cell>
        </row>
      </sheetData>
      <sheetData sheetId="1">
        <row r="5">
          <cell r="C5">
            <v>2</v>
          </cell>
        </row>
        <row r="13">
          <cell r="B13">
            <v>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verall Summary"/>
    </sheetNames>
    <sheetDataSet>
      <sheetData sheetId="0">
        <row r="1">
          <cell r="B1" t="str">
            <v>Employee code</v>
          </cell>
        </row>
      </sheetData>
      <sheetData sheetId="1">
        <row r="5">
          <cell r="C5">
            <v>2</v>
          </cell>
        </row>
        <row r="13">
          <cell r="B13">
            <v>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verall Summary"/>
    </sheetNames>
    <sheetDataSet>
      <sheetData sheetId="0">
        <row r="1">
          <cell r="B1" t="str">
            <v>Employee code</v>
          </cell>
        </row>
      </sheetData>
      <sheetData sheetId="1">
        <row r="5">
          <cell r="C5">
            <v>4</v>
          </cell>
        </row>
        <row r="13">
          <cell r="B13">
            <v>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verall Summary"/>
    </sheetNames>
    <sheetDataSet>
      <sheetData sheetId="0" refreshError="1"/>
      <sheetData sheetId="1">
        <row r="5">
          <cell r="C5">
            <v>5</v>
          </cell>
        </row>
        <row r="13">
          <cell r="B13">
            <v>9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verall Summary"/>
      <sheetName val="Sheet2"/>
      <sheetName val="Sheet4"/>
    </sheetNames>
    <sheetDataSet>
      <sheetData sheetId="0" refreshError="1"/>
      <sheetData sheetId="1">
        <row r="5">
          <cell r="C5">
            <v>5</v>
          </cell>
        </row>
        <row r="13">
          <cell r="B13">
            <v>9</v>
          </cell>
        </row>
      </sheetData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verall Summary"/>
    </sheetNames>
    <sheetDataSet>
      <sheetData sheetId="0">
        <row r="1">
          <cell r="B1" t="str">
            <v>Employee code</v>
          </cell>
        </row>
      </sheetData>
      <sheetData sheetId="1">
        <row r="5">
          <cell r="C5">
            <v>5</v>
          </cell>
        </row>
        <row r="13">
          <cell r="B13">
            <v>9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verall Summary"/>
    </sheetNames>
    <sheetDataSet>
      <sheetData sheetId="0"/>
      <sheetData sheetId="1">
        <row r="13">
          <cell r="B13">
            <v>9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-18"/>
      <sheetName val="Sheet3"/>
    </sheetNames>
    <sheetDataSet>
      <sheetData sheetId="0">
        <row r="4">
          <cell r="D4">
            <v>742568.40191546571</v>
          </cell>
          <cell r="E4">
            <v>758255.50103636214</v>
          </cell>
          <cell r="F4">
            <v>722639.61832852184</v>
          </cell>
        </row>
        <row r="6">
          <cell r="D6">
            <v>801.75793588075646</v>
          </cell>
          <cell r="E6">
            <v>824.08365910253951</v>
          </cell>
          <cell r="F6">
            <v>809.94922607691274</v>
          </cell>
        </row>
        <row r="9">
          <cell r="D9">
            <v>402735.09657965007</v>
          </cell>
          <cell r="E9">
            <v>384880.06969336013</v>
          </cell>
          <cell r="F9">
            <v>389183.07161995</v>
          </cell>
        </row>
        <row r="11">
          <cell r="D11">
            <v>536.55198443419749</v>
          </cell>
          <cell r="E11">
            <v>552.07618232045309</v>
          </cell>
          <cell r="F11">
            <v>563.68278851106015</v>
          </cell>
        </row>
        <row r="14">
          <cell r="D14">
            <v>107744.25006097998</v>
          </cell>
          <cell r="E14">
            <v>108568.46554231996</v>
          </cell>
          <cell r="F14">
            <v>113995.66241356003</v>
          </cell>
        </row>
        <row r="16">
          <cell r="D16">
            <v>95.965152541739897</v>
          </cell>
          <cell r="E16">
            <v>94.053405780220942</v>
          </cell>
          <cell r="F16">
            <v>103.51458175236307</v>
          </cell>
        </row>
        <row r="19">
          <cell r="D19">
            <v>90169.222999999984</v>
          </cell>
          <cell r="E19">
            <v>90956.988999999958</v>
          </cell>
          <cell r="F19">
            <v>89088.048999999999</v>
          </cell>
        </row>
        <row r="21">
          <cell r="D21">
            <v>164.92318994330617</v>
          </cell>
          <cell r="E21">
            <v>160.30630139678635</v>
          </cell>
          <cell r="F21">
            <v>161.68164775966403</v>
          </cell>
        </row>
        <row r="24">
          <cell r="D24">
            <v>0</v>
          </cell>
          <cell r="E24">
            <v>0</v>
          </cell>
          <cell r="F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</row>
        <row r="26">
          <cell r="D26">
            <v>3.8124943</v>
          </cell>
          <cell r="E26">
            <v>3.8321543000000009</v>
          </cell>
          <cell r="F26">
            <v>4.5130495000000028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-18"/>
      <sheetName val="Sheet3"/>
    </sheetNames>
    <sheetDataSet>
      <sheetData sheetId="0">
        <row r="4">
          <cell r="G4">
            <v>780455.89180685766</v>
          </cell>
        </row>
        <row r="6">
          <cell r="G6">
            <v>825.54018888245355</v>
          </cell>
        </row>
        <row r="9">
          <cell r="G9">
            <v>451283.18437664991</v>
          </cell>
        </row>
        <row r="11">
          <cell r="G11">
            <v>560.42067863683496</v>
          </cell>
        </row>
        <row r="14">
          <cell r="G14">
            <v>126336.55931001999</v>
          </cell>
        </row>
        <row r="16">
          <cell r="G16">
            <v>115.01703168756433</v>
          </cell>
        </row>
        <row r="19">
          <cell r="G19">
            <v>90557.282000000007</v>
          </cell>
        </row>
        <row r="21">
          <cell r="G21">
            <v>167.80173369314787</v>
          </cell>
        </row>
        <row r="26">
          <cell r="G26">
            <v>5.4722955000000013</v>
          </cell>
        </row>
      </sheetData>
      <sheetData sheetId="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-18"/>
      <sheetName val="Sheet3"/>
    </sheetNames>
    <sheetDataSet>
      <sheetData sheetId="0">
        <row r="4">
          <cell r="H4">
            <v>781326.14540044731</v>
          </cell>
        </row>
        <row r="6">
          <cell r="H6">
            <v>828.90160755441229</v>
          </cell>
        </row>
        <row r="9">
          <cell r="H9">
            <v>413068.05616052006</v>
          </cell>
        </row>
        <row r="11">
          <cell r="H11">
            <v>547.02202510572624</v>
          </cell>
        </row>
        <row r="14">
          <cell r="H14">
            <v>127609.62536383999</v>
          </cell>
        </row>
        <row r="16">
          <cell r="H16">
            <v>109.91038953659208</v>
          </cell>
        </row>
        <row r="19">
          <cell r="H19">
            <v>89041.081000000006</v>
          </cell>
        </row>
        <row r="21">
          <cell r="H21">
            <v>165.00994470326941</v>
          </cell>
        </row>
        <row r="26">
          <cell r="H26">
            <v>11.428418799999999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power - No's"/>
      <sheetName val="Staff"/>
      <sheetName val="Operator"/>
      <sheetName val="Trainees (Cont., DET, NETAP)"/>
      <sheetName val="Variance Analysis"/>
    </sheetNames>
    <sheetDataSet>
      <sheetData sheetId="0">
        <row r="8">
          <cell r="FM8">
            <v>509</v>
          </cell>
        </row>
      </sheetData>
      <sheetData sheetId="1" refreshError="1">
        <row r="20">
          <cell r="L20">
            <v>6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-18"/>
      <sheetName val="Sheet3"/>
    </sheetNames>
    <sheetDataSet>
      <sheetData sheetId="0">
        <row r="4">
          <cell r="I4">
            <v>737015.68639784586</v>
          </cell>
        </row>
        <row r="9">
          <cell r="I9">
            <v>433279.88308418996</v>
          </cell>
        </row>
        <row r="14">
          <cell r="I14">
            <v>121601.83575843999</v>
          </cell>
        </row>
        <row r="19">
          <cell r="I19">
            <v>95321.415999999968</v>
          </cell>
        </row>
        <row r="21">
          <cell r="I21">
            <v>161.04094876723173</v>
          </cell>
        </row>
        <row r="26">
          <cell r="I26">
            <v>7.9127805999999978</v>
          </cell>
        </row>
      </sheetData>
      <sheetData sheetId="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-18"/>
      <sheetName val="Sheet3"/>
    </sheetNames>
    <sheetDataSet>
      <sheetData sheetId="0">
        <row r="4">
          <cell r="J4">
            <v>731306.64376077009</v>
          </cell>
        </row>
        <row r="6">
          <cell r="J6">
            <v>863.96423812715693</v>
          </cell>
        </row>
        <row r="9">
          <cell r="J9">
            <v>441237.96099323011</v>
          </cell>
        </row>
        <row r="11">
          <cell r="J11">
            <v>602.93787480436094</v>
          </cell>
        </row>
        <row r="14">
          <cell r="J14">
            <v>126175.1078018799</v>
          </cell>
        </row>
        <row r="16">
          <cell r="J16">
            <v>117.49171541117565</v>
          </cell>
        </row>
        <row r="19">
          <cell r="J19">
            <v>90768.206000000006</v>
          </cell>
        </row>
        <row r="21">
          <cell r="J21">
            <v>160.02292105730601</v>
          </cell>
        </row>
        <row r="26">
          <cell r="J26">
            <v>9.3896832000000003</v>
          </cell>
        </row>
      </sheetData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-18"/>
      <sheetName val="Sheet3"/>
    </sheetNames>
    <sheetDataSet>
      <sheetData sheetId="0">
        <row r="4">
          <cell r="K4">
            <v>658499.91008497798</v>
          </cell>
        </row>
        <row r="6">
          <cell r="K6">
            <v>863.48849180299385</v>
          </cell>
        </row>
        <row r="9">
          <cell r="K9">
            <v>365280.51720066997</v>
          </cell>
        </row>
        <row r="11">
          <cell r="K11">
            <v>524.1233758447961</v>
          </cell>
        </row>
        <row r="14">
          <cell r="K14">
            <v>107156.93069835997</v>
          </cell>
        </row>
        <row r="16">
          <cell r="K16">
            <v>99.499123302276445</v>
          </cell>
        </row>
        <row r="19">
          <cell r="K19">
            <v>83111.716000000015</v>
          </cell>
        </row>
        <row r="21">
          <cell r="K21">
            <v>161.72182514993574</v>
          </cell>
        </row>
        <row r="26">
          <cell r="K26">
            <v>5.500559299999999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-18"/>
      <sheetName val="Sheet3"/>
    </sheetNames>
    <sheetDataSet>
      <sheetData sheetId="0">
        <row r="4">
          <cell r="L4">
            <v>576409.32835566415</v>
          </cell>
        </row>
        <row r="6">
          <cell r="L6">
            <v>797.02343380372986</v>
          </cell>
        </row>
        <row r="9">
          <cell r="L9">
            <v>340350.27891346999</v>
          </cell>
        </row>
        <row r="11">
          <cell r="L11">
            <v>509.6311870260206</v>
          </cell>
        </row>
        <row r="14">
          <cell r="L14">
            <v>85984.307719439967</v>
          </cell>
        </row>
        <row r="16">
          <cell r="L16">
            <v>95.342374958356459</v>
          </cell>
        </row>
        <row r="19">
          <cell r="L19">
            <v>82265.140999999945</v>
          </cell>
        </row>
        <row r="21">
          <cell r="L21">
            <v>151.5940031118912</v>
          </cell>
        </row>
        <row r="26">
          <cell r="L26">
            <v>7.407980600000009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-18"/>
      <sheetName val="Sheet3"/>
    </sheetNames>
    <sheetDataSet>
      <sheetData sheetId="0">
        <row r="4">
          <cell r="M4">
            <v>542335.43216038588</v>
          </cell>
        </row>
        <row r="6">
          <cell r="M6">
            <v>778.95417445268504</v>
          </cell>
        </row>
        <row r="9">
          <cell r="M9">
            <v>296286.62439724011</v>
          </cell>
        </row>
        <row r="11">
          <cell r="M11">
            <v>486.32398175827166</v>
          </cell>
        </row>
        <row r="14">
          <cell r="M14">
            <v>97710.666453460057</v>
          </cell>
        </row>
        <row r="16">
          <cell r="M16">
            <v>92.968800568711799</v>
          </cell>
        </row>
        <row r="19">
          <cell r="M19">
            <v>86435.984999999986</v>
          </cell>
        </row>
        <row r="21">
          <cell r="M21">
            <v>159.93459002033069</v>
          </cell>
        </row>
        <row r="26">
          <cell r="M26">
            <v>5.2026003999999944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-18"/>
      <sheetName val="Sheet3"/>
    </sheetNames>
    <sheetDataSet>
      <sheetData sheetId="0">
        <row r="4">
          <cell r="N4">
            <v>648132.07721013296</v>
          </cell>
        </row>
        <row r="6">
          <cell r="N6">
            <v>809.04442589967039</v>
          </cell>
        </row>
        <row r="9">
          <cell r="N9">
            <v>348243.18334788014</v>
          </cell>
        </row>
        <row r="11">
          <cell r="N11">
            <v>481.97820958150714</v>
          </cell>
        </row>
        <row r="14">
          <cell r="N14">
            <v>112355.85217689996</v>
          </cell>
        </row>
        <row r="16">
          <cell r="N16">
            <v>94.570133536869776</v>
          </cell>
        </row>
        <row r="19">
          <cell r="N19">
            <v>85351.336999999941</v>
          </cell>
        </row>
        <row r="21">
          <cell r="N21">
            <v>159.39214349195413</v>
          </cell>
        </row>
        <row r="26">
          <cell r="N26">
            <v>6.8363464999999906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-18"/>
      <sheetName val="Sheet3"/>
    </sheetNames>
    <sheetDataSet>
      <sheetData sheetId="0">
        <row r="5">
          <cell r="O5">
            <v>663127.95910999319</v>
          </cell>
        </row>
        <row r="6">
          <cell r="D6">
            <v>8060.8739213077397</v>
          </cell>
          <cell r="E6">
            <v>8592.6371780066092</v>
          </cell>
          <cell r="F6">
            <v>6950.1950409083302</v>
          </cell>
          <cell r="G6">
            <v>8586.6641796708318</v>
          </cell>
          <cell r="H6">
            <v>7836.571936439741</v>
          </cell>
          <cell r="I6">
            <v>7574.6248366513864</v>
          </cell>
          <cell r="J6">
            <v>7441.6447068903581</v>
          </cell>
          <cell r="K6">
            <v>6443.1899128734822</v>
          </cell>
          <cell r="L6">
            <v>6674.5918956929145</v>
          </cell>
          <cell r="M6">
            <v>6850.6975107376693</v>
          </cell>
          <cell r="N6">
            <v>6814.6285622577043</v>
          </cell>
          <cell r="O6">
            <v>6882.5556844953835</v>
          </cell>
        </row>
        <row r="7">
          <cell r="I7">
            <v>841.72845902569861</v>
          </cell>
          <cell r="O7">
            <v>947.4243117973183</v>
          </cell>
        </row>
        <row r="10">
          <cell r="O10">
            <v>401150.93146780971</v>
          </cell>
        </row>
        <row r="11">
          <cell r="D11">
            <v>4677.3061655001711</v>
          </cell>
          <cell r="E11">
            <v>4563.3793349211373</v>
          </cell>
          <cell r="F11">
            <v>4731.0423308574982</v>
          </cell>
          <cell r="G11">
            <v>4953.1277967149354</v>
          </cell>
          <cell r="H11">
            <v>4848.82301328417</v>
          </cell>
          <cell r="I11">
            <v>4568.4014088498889</v>
          </cell>
          <cell r="J11">
            <v>4657.9371164704535</v>
          </cell>
          <cell r="K11">
            <v>3902.3356553810754</v>
          </cell>
          <cell r="L11">
            <v>4164.8868889627274</v>
          </cell>
          <cell r="M11">
            <v>4041.3809774736387</v>
          </cell>
          <cell r="N11">
            <v>4405.1115374783849</v>
          </cell>
          <cell r="O11">
            <v>4797.8917996763794</v>
          </cell>
        </row>
        <row r="12">
          <cell r="I12">
            <v>543.42362534560698</v>
          </cell>
          <cell r="O12">
            <v>528.0429169885565</v>
          </cell>
        </row>
        <row r="15">
          <cell r="O15">
            <v>112423.91000555997</v>
          </cell>
        </row>
        <row r="16">
          <cell r="D16">
            <v>1169.8290823685172</v>
          </cell>
          <cell r="E16">
            <v>1294.821827410846</v>
          </cell>
          <cell r="F16">
            <v>1291.8830871207399</v>
          </cell>
          <cell r="G16">
            <v>1520.0428022143856</v>
          </cell>
          <cell r="H16">
            <v>1313.521695941552</v>
          </cell>
          <cell r="I16">
            <v>1449.3306932718278</v>
          </cell>
          <cell r="J16">
            <v>1562.6644907653128</v>
          </cell>
          <cell r="K16">
            <v>1164.5884596162837</v>
          </cell>
          <cell r="L16">
            <v>1071.2421310213524</v>
          </cell>
          <cell r="M16">
            <v>1226.7923253579554</v>
          </cell>
          <cell r="N16">
            <v>1239.725511575542</v>
          </cell>
          <cell r="O16">
            <v>1335.162368593124</v>
          </cell>
        </row>
        <row r="17">
          <cell r="I17">
            <v>102.62521536146207</v>
          </cell>
          <cell r="O17">
            <v>93.819687339634072</v>
          </cell>
        </row>
        <row r="20">
          <cell r="O20">
            <v>88370.615999999922</v>
          </cell>
        </row>
        <row r="21">
          <cell r="D21">
            <v>1367.9077910431674</v>
          </cell>
          <cell r="E21">
            <v>1397.3824439209911</v>
          </cell>
          <cell r="F21">
            <v>1210.6705787962906</v>
          </cell>
          <cell r="G21">
            <v>1460.6387788632489</v>
          </cell>
          <cell r="H21">
            <v>1513.0432675568672</v>
          </cell>
          <cell r="I21">
            <v>1368.1035621568478</v>
          </cell>
          <cell r="J21">
            <v>1449.2510049272598</v>
          </cell>
          <cell r="K21">
            <v>1197.4867086089469</v>
          </cell>
          <cell r="L21">
            <v>1154.4301248073821</v>
          </cell>
          <cell r="M21">
            <v>1623.6172954510005</v>
          </cell>
          <cell r="N21">
            <v>1250.4436420146071</v>
          </cell>
          <cell r="O21">
            <v>1320.1263958700572</v>
          </cell>
        </row>
        <row r="22">
          <cell r="O22">
            <v>143.78768947460549</v>
          </cell>
        </row>
        <row r="27">
          <cell r="O27">
            <v>10.473388900000003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Analysis"/>
      <sheetName val="MTP VS Budget 15~16"/>
      <sheetName val="KPIs"/>
      <sheetName val="Variance"/>
      <sheetName val="Variance 14-15 Vs. 15-16"/>
      <sheetName val="Manpower"/>
      <sheetName val="Assumptions - Numbers"/>
      <sheetName val="Assumptions-Cost"/>
      <sheetName val="Manpower No.s (ALL)"/>
      <sheetName val="Manpower Addition &amp; Reduction"/>
      <sheetName val="Prod&amp;MPowerCost%toSales(w SA)"/>
      <sheetName val="Prod&amp;MPowerCost%toSales(wo SA)"/>
      <sheetName val="Summary"/>
      <sheetName val="HO"/>
      <sheetName val="Bawal"/>
      <sheetName val="Chennai"/>
      <sheetName val="Roorkee"/>
      <sheetName val="T-16"/>
      <sheetName val="BAU"/>
      <sheetName val="PAU"/>
      <sheetName val="HAU"/>
      <sheetName val="Manpower_month"/>
      <sheetName val="Department wise Manpower"/>
      <sheetName val="Manpower Red &amp; add plan"/>
      <sheetName val="Manpower Red &amp; add plan-Bawal"/>
      <sheetName val="Per Trainee Per Opr Cost"/>
      <sheetName val="SQM 2015-16"/>
      <sheetName val="Sales"/>
      <sheetName val="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5">
          <cell r="N25">
            <v>88880598.36666669</v>
          </cell>
        </row>
        <row r="85">
          <cell r="B85">
            <v>8152879.6207719306</v>
          </cell>
          <cell r="C85">
            <v>7748167.2884705886</v>
          </cell>
          <cell r="D85">
            <v>7921832.9551372556</v>
          </cell>
          <cell r="E85">
            <v>8346666.7786666676</v>
          </cell>
          <cell r="F85">
            <v>8323497.6610196084</v>
          </cell>
          <cell r="G85">
            <v>7890041.7786666676</v>
          </cell>
          <cell r="H85">
            <v>8160082.7786666676</v>
          </cell>
        </row>
      </sheetData>
      <sheetData sheetId="14" refreshError="1">
        <row r="25">
          <cell r="N25">
            <v>116939412.56307274</v>
          </cell>
        </row>
        <row r="98">
          <cell r="B98">
            <v>49588490.650661476</v>
          </cell>
          <cell r="C98">
            <v>50942811.253805339</v>
          </cell>
          <cell r="D98">
            <v>50235031.439405344</v>
          </cell>
          <cell r="E98">
            <v>50357394.448707111</v>
          </cell>
          <cell r="F98">
            <v>67420717.554707125</v>
          </cell>
          <cell r="G98">
            <v>66401619.437417269</v>
          </cell>
          <cell r="H98">
            <v>65766016.762640454</v>
          </cell>
        </row>
      </sheetData>
      <sheetData sheetId="15" refreshError="1">
        <row r="25">
          <cell r="N25">
            <v>102973467.6959693</v>
          </cell>
        </row>
        <row r="98">
          <cell r="B98">
            <v>37679248.458934173</v>
          </cell>
          <cell r="C98">
            <v>37823675.357884154</v>
          </cell>
          <cell r="D98">
            <v>36865069.494021885</v>
          </cell>
          <cell r="E98">
            <v>36220280.69121749</v>
          </cell>
          <cell r="F98">
            <v>36802112.989354134</v>
          </cell>
          <cell r="G98">
            <v>36943751.090823129</v>
          </cell>
          <cell r="H98">
            <v>37361961.675320052</v>
          </cell>
        </row>
      </sheetData>
      <sheetData sheetId="16" refreshError="1">
        <row r="25">
          <cell r="N25">
            <v>22645332.266399998</v>
          </cell>
        </row>
        <row r="85">
          <cell r="B85">
            <v>6193585.1681601657</v>
          </cell>
          <cell r="C85">
            <v>6535811.2021601666</v>
          </cell>
          <cell r="D85">
            <v>6310589.0061601652</v>
          </cell>
          <cell r="E85">
            <v>6222526.7941601668</v>
          </cell>
          <cell r="F85">
            <v>6215284.7221601671</v>
          </cell>
          <cell r="G85">
            <v>6644016.4061601665</v>
          </cell>
          <cell r="H85">
            <v>6724752.3972801659</v>
          </cell>
        </row>
      </sheetData>
      <sheetData sheetId="17" refreshError="1">
        <row r="25">
          <cell r="N25">
            <v>34331582.60224615</v>
          </cell>
        </row>
        <row r="85">
          <cell r="B85">
            <v>7444319.7860194808</v>
          </cell>
          <cell r="C85">
            <v>7034577.0116423871</v>
          </cell>
          <cell r="D85">
            <v>7393327.4702300075</v>
          </cell>
          <cell r="E85">
            <v>7222533.6028997032</v>
          </cell>
          <cell r="F85">
            <v>7120608.6028997032</v>
          </cell>
          <cell r="G85">
            <v>7559629.010762685</v>
          </cell>
          <cell r="H85">
            <v>7244564.4362330372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9">
          <cell r="C19">
            <v>498295</v>
          </cell>
          <cell r="D19">
            <v>512390</v>
          </cell>
          <cell r="E19">
            <v>431171</v>
          </cell>
          <cell r="F19">
            <v>545764</v>
          </cell>
          <cell r="G19">
            <v>525587</v>
          </cell>
          <cell r="H19">
            <v>541500</v>
          </cell>
          <cell r="I19">
            <v>555555</v>
          </cell>
        </row>
        <row r="20">
          <cell r="C20">
            <v>322012</v>
          </cell>
          <cell r="D20">
            <v>316041</v>
          </cell>
          <cell r="E20">
            <v>319850</v>
          </cell>
          <cell r="F20">
            <v>341570</v>
          </cell>
          <cell r="G20">
            <v>357288</v>
          </cell>
          <cell r="H20">
            <v>348329</v>
          </cell>
          <cell r="I20">
            <v>348171</v>
          </cell>
        </row>
        <row r="21">
          <cell r="C21">
            <v>72732</v>
          </cell>
          <cell r="D21">
            <v>73852</v>
          </cell>
          <cell r="E21">
            <v>74214</v>
          </cell>
          <cell r="F21">
            <v>77100</v>
          </cell>
          <cell r="G21">
            <v>71855</v>
          </cell>
          <cell r="H21">
            <v>68769</v>
          </cell>
          <cell r="I21">
            <v>71682</v>
          </cell>
        </row>
        <row r="22">
          <cell r="C22">
            <v>55254</v>
          </cell>
          <cell r="D22">
            <v>53158</v>
          </cell>
          <cell r="E22">
            <v>56979</v>
          </cell>
          <cell r="F22">
            <v>59968</v>
          </cell>
          <cell r="G22">
            <v>55461</v>
          </cell>
          <cell r="H22">
            <v>64304</v>
          </cell>
          <cell r="I22">
            <v>59571</v>
          </cell>
        </row>
      </sheetData>
      <sheetData sheetId="27" refreshError="1">
        <row r="5">
          <cell r="C5">
            <v>5144</v>
          </cell>
          <cell r="D5">
            <v>5287</v>
          </cell>
          <cell r="E5">
            <v>4530</v>
          </cell>
          <cell r="F5">
            <v>5578</v>
          </cell>
          <cell r="G5">
            <v>5362</v>
          </cell>
          <cell r="H5">
            <v>5539</v>
          </cell>
          <cell r="I5">
            <v>5688</v>
          </cell>
        </row>
        <row r="6">
          <cell r="C6">
            <v>3458</v>
          </cell>
          <cell r="D6">
            <v>3433</v>
          </cell>
          <cell r="E6">
            <v>3479</v>
          </cell>
          <cell r="F6">
            <v>3703</v>
          </cell>
          <cell r="G6">
            <v>3866</v>
          </cell>
          <cell r="H6">
            <v>3786</v>
          </cell>
          <cell r="I6">
            <v>3778</v>
          </cell>
        </row>
        <row r="7">
          <cell r="C7">
            <v>968</v>
          </cell>
          <cell r="D7">
            <v>978</v>
          </cell>
          <cell r="E7">
            <v>982</v>
          </cell>
          <cell r="F7">
            <v>1036</v>
          </cell>
          <cell r="G7">
            <v>950</v>
          </cell>
          <cell r="H7">
            <v>907</v>
          </cell>
          <cell r="I7">
            <v>955</v>
          </cell>
        </row>
        <row r="8">
          <cell r="C8">
            <v>758</v>
          </cell>
          <cell r="D8">
            <v>734</v>
          </cell>
          <cell r="E8">
            <v>781</v>
          </cell>
          <cell r="F8">
            <v>826</v>
          </cell>
          <cell r="G8">
            <v>768</v>
          </cell>
          <cell r="H8">
            <v>892</v>
          </cell>
          <cell r="I8">
            <v>824</v>
          </cell>
        </row>
      </sheetData>
      <sheetData sheetId="2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Analysis"/>
      <sheetName val="MTP VS Budget 15~16"/>
      <sheetName val="KPIs"/>
      <sheetName val="Variance"/>
      <sheetName val="Variance 14-15 Vs. 15-16"/>
      <sheetName val="Manpower"/>
      <sheetName val="Assumptions - Numbers"/>
      <sheetName val="Assumptions-Cost"/>
      <sheetName val="Manpower No.s (ALL)"/>
      <sheetName val="Manpower Addition &amp; Reduction"/>
      <sheetName val="Prod&amp;MPowerCost%toSales(w SA)"/>
      <sheetName val="Prod&amp;MPowerCost%toSales(wo SA)"/>
      <sheetName val="Summary"/>
      <sheetName val="HO"/>
      <sheetName val="Bawal"/>
      <sheetName val="Chennai"/>
      <sheetName val="Roorkee"/>
      <sheetName val="T-16"/>
      <sheetName val="BAU"/>
      <sheetName val="PAU"/>
      <sheetName val="HAU"/>
      <sheetName val="Manpower_month"/>
      <sheetName val="Department wise Manpower"/>
      <sheetName val="Manpower Red &amp; add plan"/>
      <sheetName val="Manpower Red &amp; add plan-Bawal"/>
      <sheetName val="Per Trainee Per Opr Cost"/>
      <sheetName val="SQM 2015-16"/>
      <sheetName val="Sales"/>
      <sheetName val="Cost"/>
    </sheetNames>
    <sheetDataSet>
      <sheetData sheetId="0">
        <row r="4">
          <cell r="AM4">
            <v>7572046.0696666669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5">
          <cell r="B25">
            <v>31635611.575767677</v>
          </cell>
        </row>
      </sheetData>
      <sheetData sheetId="13" refreshError="1">
        <row r="25">
          <cell r="B25">
            <v>7094494.3083333345</v>
          </cell>
        </row>
        <row r="85">
          <cell r="I85">
            <v>8436580.178666668</v>
          </cell>
          <cell r="J85">
            <v>8129926.1120000007</v>
          </cell>
          <cell r="K85">
            <v>8293751.1120000016</v>
          </cell>
          <cell r="L85">
            <v>8119126.1120000007</v>
          </cell>
          <cell r="M85">
            <v>8662876.1120000016</v>
          </cell>
        </row>
      </sheetData>
      <sheetData sheetId="14" refreshError="1">
        <row r="25">
          <cell r="B25">
            <v>9757798.2691449486</v>
          </cell>
        </row>
        <row r="98">
          <cell r="I98">
            <v>52229672.377707131</v>
          </cell>
          <cell r="J98">
            <v>48941543.428107128</v>
          </cell>
          <cell r="K98">
            <v>49139488.69519379</v>
          </cell>
          <cell r="L98">
            <v>48498531.161193796</v>
          </cell>
          <cell r="M98">
            <v>54730745.90779379</v>
          </cell>
        </row>
      </sheetData>
      <sheetData sheetId="15" refreshError="1">
        <row r="25">
          <cell r="B25">
            <v>8664455.6413307749</v>
          </cell>
        </row>
        <row r="98">
          <cell r="I98">
            <v>36527223.04056035</v>
          </cell>
          <cell r="J98">
            <v>35962749.775191844</v>
          </cell>
          <cell r="K98">
            <v>35363803.067627743</v>
          </cell>
          <cell r="L98">
            <v>34490610.346810177</v>
          </cell>
          <cell r="M98">
            <v>35013521.738396972</v>
          </cell>
        </row>
      </sheetData>
      <sheetData sheetId="16" refreshError="1">
        <row r="25">
          <cell r="B25">
            <v>1887111.0222000005</v>
          </cell>
        </row>
        <row r="85">
          <cell r="I85">
            <v>6696047.9220801657</v>
          </cell>
          <cell r="J85">
            <v>6286349.2140801661</v>
          </cell>
          <cell r="K85">
            <v>6484331.7507468332</v>
          </cell>
          <cell r="L85">
            <v>6377390.7507468332</v>
          </cell>
          <cell r="M85">
            <v>6426146.5867468324</v>
          </cell>
        </row>
      </sheetData>
      <sheetData sheetId="17" refreshError="1">
        <row r="25">
          <cell r="B25">
            <v>2843256.8835205128</v>
          </cell>
        </row>
        <row r="85">
          <cell r="I85">
            <v>8433894.2281539906</v>
          </cell>
          <cell r="J85">
            <v>7257903.5895663705</v>
          </cell>
          <cell r="K85">
            <v>7069204.3474903516</v>
          </cell>
          <cell r="L85">
            <v>7009290.1238785312</v>
          </cell>
          <cell r="M85">
            <v>7050208.3474903516</v>
          </cell>
        </row>
      </sheetData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>
        <row r="19">
          <cell r="J19">
            <v>555146</v>
          </cell>
          <cell r="K19">
            <v>561752</v>
          </cell>
          <cell r="L19">
            <v>588390</v>
          </cell>
          <cell r="M19">
            <v>612757</v>
          </cell>
          <cell r="N19">
            <v>645166</v>
          </cell>
        </row>
        <row r="20">
          <cell r="J20">
            <v>335896</v>
          </cell>
          <cell r="K20">
            <v>340216</v>
          </cell>
          <cell r="L20">
            <v>347141</v>
          </cell>
          <cell r="M20">
            <v>347544</v>
          </cell>
          <cell r="N20">
            <v>368278</v>
          </cell>
        </row>
        <row r="21">
          <cell r="J21">
            <v>63303</v>
          </cell>
          <cell r="K21">
            <v>65066</v>
          </cell>
          <cell r="L21">
            <v>71861</v>
          </cell>
          <cell r="M21">
            <v>71810</v>
          </cell>
          <cell r="N21">
            <v>77537</v>
          </cell>
        </row>
        <row r="22">
          <cell r="J22">
            <v>61259</v>
          </cell>
          <cell r="K22">
            <v>49568</v>
          </cell>
          <cell r="L22">
            <v>63058</v>
          </cell>
          <cell r="M22">
            <v>65438</v>
          </cell>
          <cell r="N22">
            <v>61157</v>
          </cell>
        </row>
      </sheetData>
      <sheetData sheetId="27">
        <row r="5">
          <cell r="J5">
            <v>5720</v>
          </cell>
          <cell r="K5">
            <v>5761</v>
          </cell>
          <cell r="L5">
            <v>6054</v>
          </cell>
          <cell r="M5">
            <v>6305</v>
          </cell>
          <cell r="N5">
            <v>6652</v>
          </cell>
        </row>
        <row r="6">
          <cell r="J6">
            <v>3656</v>
          </cell>
          <cell r="K6">
            <v>3752</v>
          </cell>
          <cell r="L6">
            <v>3790</v>
          </cell>
          <cell r="M6">
            <v>3798</v>
          </cell>
          <cell r="N6">
            <v>4025</v>
          </cell>
        </row>
        <row r="7">
          <cell r="J7">
            <v>835</v>
          </cell>
          <cell r="K7">
            <v>880</v>
          </cell>
          <cell r="L7">
            <v>971</v>
          </cell>
          <cell r="M7">
            <v>961</v>
          </cell>
          <cell r="N7">
            <v>1036</v>
          </cell>
        </row>
        <row r="8">
          <cell r="J8">
            <v>849</v>
          </cell>
          <cell r="K8">
            <v>691</v>
          </cell>
          <cell r="L8">
            <v>876</v>
          </cell>
          <cell r="M8">
            <v>909</v>
          </cell>
          <cell r="N8">
            <v>848</v>
          </cell>
        </row>
      </sheetData>
      <sheetData sheetId="28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duction Plan"/>
      <sheetName val="Actual vs Budget"/>
      <sheetName val="MTP Budget Vs FY 17 "/>
      <sheetName val="Sheet1"/>
      <sheetName val="Overall Analysis"/>
      <sheetName val="MTP VS Budget 16~17"/>
      <sheetName val="KPIs"/>
      <sheetName val="Variance"/>
      <sheetName val="Variance 15-16 Vs. 16-17"/>
      <sheetName val="Manpower"/>
      <sheetName val="Assumptions - Numbers"/>
      <sheetName val="Assumptions-Cost"/>
      <sheetName val="Manpower No.s (ALL)"/>
      <sheetName val="Manpower Addition &amp; Reduction"/>
      <sheetName val="Prod&amp;MPowerCost%toSales(w SA)"/>
      <sheetName val="Prod&amp;MPowerCost%toSales(wo SA)"/>
      <sheetName val="Summary"/>
      <sheetName val="HO"/>
      <sheetName val="Bawal"/>
      <sheetName val="Chennai"/>
      <sheetName val="Roorkee"/>
      <sheetName val="T-16 Auto"/>
      <sheetName val="BAU"/>
      <sheetName val="NPAU"/>
      <sheetName val="HAU"/>
      <sheetName val="Sanand"/>
      <sheetName val="AFM"/>
      <sheetName val="Manpower_month"/>
      <sheetName val="Department wise Manpower"/>
      <sheetName val="Manpower Red &amp; add plan"/>
      <sheetName val="Per Trainee Per Opr Cost"/>
      <sheetName val="SQM 2016-17"/>
      <sheetName val="Sales"/>
      <sheetName val="Workers 2016-17"/>
      <sheetName val="Increment Impact 16-17"/>
      <sheetName val="VDA Impact 16-17"/>
      <sheetName val="Trainees-16-17"/>
      <sheetName val="Warehouse"/>
      <sheetName val="Sub-cont (16-17)"/>
      <sheetName val="Good Work"/>
      <sheetName val="Attendance Incentive"/>
      <sheetName val="Leave Encashment &amp; Overtime"/>
      <sheetName val="PLI"/>
      <sheetName val="Training"/>
      <sheetName val="Suggestion Scheme &amp; Family Visi"/>
      <sheetName val="QC 16~17"/>
      <sheetName val="Canteen"/>
      <sheetName val="Refreshment &amp; Party"/>
      <sheetName val="Sports"/>
      <sheetName val="Social Activities"/>
      <sheetName val="Club"/>
      <sheetName val="Gifts"/>
      <sheetName val="Insurance"/>
      <sheetName val="Vehicle for Staff at Plant"/>
      <sheetName val="Bus Hiring for Staff"/>
      <sheetName val="Safety Wear"/>
      <sheetName val="Medical Expenses"/>
      <sheetName val="MSIL VDA Manesar"/>
      <sheetName val="MSIL Manesar"/>
      <sheetName val="MSIL VDA GGN"/>
      <sheetName val="MSIL Gurga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>
        <row r="25">
          <cell r="B25">
            <v>8019254.4445666661</v>
          </cell>
        </row>
        <row r="85">
          <cell r="B85">
            <v>8915557.2663057987</v>
          </cell>
          <cell r="C85">
            <v>8817340.4945666678</v>
          </cell>
          <cell r="D85">
            <v>8861652.8083496597</v>
          </cell>
          <cell r="E85">
            <v>9326836.3911183923</v>
          </cell>
          <cell r="F85">
            <v>8869980.9360081088</v>
          </cell>
          <cell r="G85">
            <v>8862639.4945666678</v>
          </cell>
          <cell r="H85">
            <v>8931737.0163057987</v>
          </cell>
          <cell r="I85">
            <v>9048867.9945666678</v>
          </cell>
        </row>
      </sheetData>
      <sheetData sheetId="18">
        <row r="25">
          <cell r="B25">
            <v>11957567.919000003</v>
          </cell>
        </row>
        <row r="116">
          <cell r="B116">
            <v>58061460.949825443</v>
          </cell>
          <cell r="C116">
            <v>59508238.556826115</v>
          </cell>
          <cell r="D116">
            <v>59505659.692674235</v>
          </cell>
          <cell r="E116">
            <v>58850907.91415558</v>
          </cell>
          <cell r="F116">
            <v>79540563.971041158</v>
          </cell>
          <cell r="G116">
            <v>78863080.807621613</v>
          </cell>
          <cell r="H116">
            <v>79001176.532404944</v>
          </cell>
          <cell r="I116">
            <v>58854385.532404944</v>
          </cell>
        </row>
      </sheetData>
      <sheetData sheetId="19">
        <row r="25">
          <cell r="B25">
            <v>9190657.2797333356</v>
          </cell>
        </row>
        <row r="116">
          <cell r="B116">
            <v>42955667.970132753</v>
          </cell>
          <cell r="C116">
            <v>43351854.944242068</v>
          </cell>
          <cell r="D116">
            <v>41845888.131911829</v>
          </cell>
          <cell r="E116">
            <v>41301767.103368342</v>
          </cell>
          <cell r="F116">
            <v>41867801.32605847</v>
          </cell>
          <cell r="G116">
            <v>42127098.531132713</v>
          </cell>
          <cell r="H116">
            <v>43105884.127576545</v>
          </cell>
          <cell r="I116">
            <v>40617448.455666639</v>
          </cell>
        </row>
      </sheetData>
      <sheetData sheetId="20">
        <row r="25">
          <cell r="B25">
            <v>2049475.6666666667</v>
          </cell>
        </row>
        <row r="116">
          <cell r="B116">
            <v>7134163.6569439191</v>
          </cell>
          <cell r="C116">
            <v>7206952.6366105862</v>
          </cell>
          <cell r="D116">
            <v>7258269.0234789196</v>
          </cell>
          <cell r="E116">
            <v>7224159.38947892</v>
          </cell>
          <cell r="F116">
            <v>7240174.9788414314</v>
          </cell>
          <cell r="G116">
            <v>7193704.3230785485</v>
          </cell>
          <cell r="H116">
            <v>8136357.655011883</v>
          </cell>
          <cell r="I116">
            <v>7435994.8458248451</v>
          </cell>
        </row>
      </sheetData>
      <sheetData sheetId="21">
        <row r="25">
          <cell r="B25">
            <v>2983009.3243999998</v>
          </cell>
        </row>
        <row r="116">
          <cell r="B116">
            <v>10598891.648924246</v>
          </cell>
          <cell r="C116">
            <v>11004013.517542243</v>
          </cell>
          <cell r="D116">
            <v>10992283.917847516</v>
          </cell>
          <cell r="E116">
            <v>11377369.932633031</v>
          </cell>
          <cell r="F116">
            <v>11431876.115558164</v>
          </cell>
          <cell r="G116">
            <v>11490738.243597068</v>
          </cell>
          <cell r="H116">
            <v>11781984.41795456</v>
          </cell>
          <cell r="I116">
            <v>11468080.763160143</v>
          </cell>
        </row>
      </sheetData>
      <sheetData sheetId="22">
        <row r="25">
          <cell r="B25">
            <v>567318.99106666667</v>
          </cell>
        </row>
      </sheetData>
      <sheetData sheetId="23">
        <row r="25">
          <cell r="B25">
            <v>865977</v>
          </cell>
        </row>
      </sheetData>
      <sheetData sheetId="24">
        <row r="25">
          <cell r="B25">
            <v>54715</v>
          </cell>
        </row>
      </sheetData>
      <sheetData sheetId="25">
        <row r="25">
          <cell r="B25">
            <v>0</v>
          </cell>
        </row>
      </sheetData>
      <sheetData sheetId="26">
        <row r="25">
          <cell r="N25">
            <v>0</v>
          </cell>
        </row>
      </sheetData>
      <sheetData sheetId="27">
        <row r="5">
          <cell r="AE5">
            <v>60.916666666666664</v>
          </cell>
        </row>
      </sheetData>
      <sheetData sheetId="28"/>
      <sheetData sheetId="29"/>
      <sheetData sheetId="30"/>
      <sheetData sheetId="31">
        <row r="19">
          <cell r="C19">
            <v>609036</v>
          </cell>
          <cell r="D19">
            <v>593755</v>
          </cell>
          <cell r="E19">
            <v>582071</v>
          </cell>
          <cell r="F19">
            <v>622437</v>
          </cell>
          <cell r="G19">
            <v>617666</v>
          </cell>
          <cell r="H19">
            <v>653514</v>
          </cell>
          <cell r="I19">
            <v>583192</v>
          </cell>
          <cell r="J19">
            <v>595637</v>
          </cell>
        </row>
        <row r="20">
          <cell r="C20">
            <v>321651</v>
          </cell>
          <cell r="D20">
            <v>324906</v>
          </cell>
          <cell r="E20">
            <v>358258</v>
          </cell>
          <cell r="F20">
            <v>365164</v>
          </cell>
          <cell r="G20">
            <v>363214</v>
          </cell>
          <cell r="H20">
            <v>359571</v>
          </cell>
          <cell r="I20">
            <v>339874</v>
          </cell>
          <cell r="J20">
            <v>355741</v>
          </cell>
        </row>
        <row r="21">
          <cell r="C21">
            <v>82510</v>
          </cell>
          <cell r="D21">
            <v>88185</v>
          </cell>
          <cell r="E21">
            <v>88111</v>
          </cell>
          <cell r="F21">
            <v>88581</v>
          </cell>
          <cell r="G21">
            <v>83995</v>
          </cell>
          <cell r="H21">
            <v>84519</v>
          </cell>
          <cell r="I21">
            <v>80876</v>
          </cell>
          <cell r="J21">
            <v>85282</v>
          </cell>
        </row>
        <row r="22">
          <cell r="C22">
            <v>60564</v>
          </cell>
          <cell r="D22">
            <v>53168</v>
          </cell>
          <cell r="E22">
            <v>68928</v>
          </cell>
          <cell r="F22">
            <v>57331</v>
          </cell>
          <cell r="G22">
            <v>61389</v>
          </cell>
          <cell r="H22">
            <v>62828</v>
          </cell>
          <cell r="I22">
            <v>51330</v>
          </cell>
          <cell r="J22">
            <v>52864</v>
          </cell>
        </row>
      </sheetData>
      <sheetData sheetId="32" refreshError="1">
        <row r="5">
          <cell r="C5">
            <v>6570</v>
          </cell>
          <cell r="D5">
            <v>6411</v>
          </cell>
          <cell r="E5">
            <v>6417</v>
          </cell>
          <cell r="F5">
            <v>6767</v>
          </cell>
          <cell r="G5">
            <v>6684</v>
          </cell>
          <cell r="H5">
            <v>7038</v>
          </cell>
          <cell r="I5">
            <v>6349</v>
          </cell>
          <cell r="J5">
            <v>6446</v>
          </cell>
        </row>
        <row r="6">
          <cell r="C6">
            <v>3660</v>
          </cell>
          <cell r="D6">
            <v>3675</v>
          </cell>
          <cell r="E6">
            <v>3976</v>
          </cell>
          <cell r="F6">
            <v>4091</v>
          </cell>
          <cell r="G6">
            <v>4037</v>
          </cell>
          <cell r="H6">
            <v>4000</v>
          </cell>
          <cell r="I6">
            <v>3799</v>
          </cell>
          <cell r="J6">
            <v>4006</v>
          </cell>
        </row>
        <row r="7">
          <cell r="C7">
            <v>1099</v>
          </cell>
          <cell r="D7">
            <v>1161</v>
          </cell>
          <cell r="E7">
            <v>1187</v>
          </cell>
          <cell r="F7">
            <v>1183</v>
          </cell>
          <cell r="G7">
            <v>1122</v>
          </cell>
          <cell r="H7">
            <v>1137</v>
          </cell>
          <cell r="I7">
            <v>1090</v>
          </cell>
          <cell r="J7">
            <v>1140</v>
          </cell>
        </row>
        <row r="8">
          <cell r="C8">
            <v>894</v>
          </cell>
          <cell r="D8">
            <v>811</v>
          </cell>
          <cell r="E8">
            <v>1054</v>
          </cell>
          <cell r="F8">
            <v>874</v>
          </cell>
          <cell r="G8">
            <v>938</v>
          </cell>
          <cell r="H8">
            <v>972</v>
          </cell>
          <cell r="I8">
            <v>783</v>
          </cell>
          <cell r="J8">
            <v>815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Sheet1"/>
    </sheetNames>
    <sheetDataSet>
      <sheetData sheetId="0" refreshError="1"/>
      <sheetData sheetId="1" refreshError="1">
        <row r="5">
          <cell r="B5">
            <v>260</v>
          </cell>
          <cell r="J5">
            <v>256</v>
          </cell>
          <cell r="P5">
            <v>253</v>
          </cell>
        </row>
        <row r="6">
          <cell r="B6">
            <v>163</v>
          </cell>
          <cell r="C6">
            <v>221</v>
          </cell>
          <cell r="D6">
            <v>719</v>
          </cell>
          <cell r="J6">
            <v>163</v>
          </cell>
          <cell r="K6">
            <v>221</v>
          </cell>
          <cell r="L6">
            <v>771</v>
          </cell>
          <cell r="P6">
            <v>158</v>
          </cell>
          <cell r="Q6">
            <v>221</v>
          </cell>
          <cell r="R6">
            <v>821</v>
          </cell>
        </row>
        <row r="7">
          <cell r="B7">
            <v>42.3</v>
          </cell>
          <cell r="C7">
            <v>51</v>
          </cell>
          <cell r="D7">
            <v>265</v>
          </cell>
          <cell r="J7">
            <v>40.299999999999997</v>
          </cell>
          <cell r="K7">
            <v>51</v>
          </cell>
          <cell r="L7">
            <v>271</v>
          </cell>
          <cell r="P7">
            <v>41.3</v>
          </cell>
          <cell r="Q7">
            <v>49</v>
          </cell>
          <cell r="R7">
            <v>271</v>
          </cell>
        </row>
        <row r="8">
          <cell r="B8">
            <v>61</v>
          </cell>
          <cell r="C8">
            <v>32</v>
          </cell>
          <cell r="D8">
            <v>205</v>
          </cell>
          <cell r="J8">
            <v>61</v>
          </cell>
          <cell r="K8">
            <v>32</v>
          </cell>
          <cell r="L8">
            <v>206</v>
          </cell>
          <cell r="P8">
            <v>58</v>
          </cell>
          <cell r="Q8">
            <v>32</v>
          </cell>
          <cell r="R8">
            <v>210</v>
          </cell>
        </row>
        <row r="9">
          <cell r="B9">
            <v>14</v>
          </cell>
          <cell r="C9">
            <v>13</v>
          </cell>
          <cell r="D9">
            <v>76</v>
          </cell>
          <cell r="J9">
            <v>13</v>
          </cell>
          <cell r="K9">
            <v>13</v>
          </cell>
          <cell r="L9">
            <v>78</v>
          </cell>
          <cell r="P9">
            <v>15</v>
          </cell>
          <cell r="Q9">
            <v>11</v>
          </cell>
          <cell r="R9">
            <v>78</v>
          </cell>
        </row>
        <row r="10">
          <cell r="B10">
            <v>16</v>
          </cell>
          <cell r="C10">
            <v>1</v>
          </cell>
          <cell r="D10">
            <v>121</v>
          </cell>
          <cell r="J10">
            <v>16</v>
          </cell>
          <cell r="K10">
            <v>1</v>
          </cell>
          <cell r="L10">
            <v>121</v>
          </cell>
          <cell r="P10">
            <v>14</v>
          </cell>
          <cell r="Q10">
            <v>1</v>
          </cell>
          <cell r="R10">
            <v>121</v>
          </cell>
        </row>
        <row r="11">
          <cell r="B11">
            <v>12</v>
          </cell>
          <cell r="D11">
            <v>123</v>
          </cell>
          <cell r="J11">
            <v>12</v>
          </cell>
          <cell r="L11">
            <v>133</v>
          </cell>
          <cell r="P11">
            <v>15</v>
          </cell>
          <cell r="R11">
            <v>133</v>
          </cell>
        </row>
        <row r="12">
          <cell r="B12">
            <v>60</v>
          </cell>
          <cell r="D12">
            <v>12</v>
          </cell>
          <cell r="J12">
            <v>61</v>
          </cell>
          <cell r="L12">
            <v>12</v>
          </cell>
          <cell r="P12">
            <v>64</v>
          </cell>
          <cell r="R12">
            <v>15</v>
          </cell>
        </row>
        <row r="13">
          <cell r="B13">
            <v>5</v>
          </cell>
          <cell r="J13">
            <v>6</v>
          </cell>
          <cell r="P13">
            <v>6</v>
          </cell>
        </row>
        <row r="14">
          <cell r="B14">
            <v>2</v>
          </cell>
          <cell r="J14">
            <v>2</v>
          </cell>
          <cell r="P14">
            <v>2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duction Plan"/>
      <sheetName val="Actual vs Budget"/>
      <sheetName val="MTP Budget Vs FY 17 "/>
      <sheetName val="Sheet1"/>
      <sheetName val="Overall Analysis"/>
      <sheetName val="MTP VS Budget 16~17"/>
      <sheetName val="KPIs"/>
      <sheetName val="Variance"/>
      <sheetName val="Variance 15-16 Vs. 16-17"/>
      <sheetName val="Manpower"/>
      <sheetName val="Assumptions - Numbers"/>
      <sheetName val="Assumptions-Cost"/>
      <sheetName val="Manpower No.s (ALL)"/>
      <sheetName val="Manpower Addition &amp; Reduction"/>
      <sheetName val="Prod&amp;MPowerCost%toSales(w SA)"/>
      <sheetName val="Prod&amp;MPowerCost%toSales(wo SA)"/>
      <sheetName val="Summary"/>
      <sheetName val="HO"/>
      <sheetName val="Bawal"/>
      <sheetName val="Chennai"/>
      <sheetName val="Roorkee"/>
      <sheetName val="T-16 Auto"/>
      <sheetName val="BAU"/>
      <sheetName val="NPAU"/>
      <sheetName val="HAU"/>
      <sheetName val="Sanand"/>
      <sheetName val="AFM"/>
      <sheetName val="Manpower_month"/>
      <sheetName val="Department wise Manpower"/>
      <sheetName val="Manpower Red &amp; add plan"/>
      <sheetName val="Per Trainee Per Opr Cost"/>
      <sheetName val="SQM 2016-17"/>
      <sheetName val="Sales"/>
      <sheetName val="Workers 2016-17"/>
      <sheetName val="Increment Impact 16-17"/>
      <sheetName val="VDA Impact 16-17"/>
      <sheetName val="Trainees-16-17"/>
      <sheetName val="Warehouse"/>
      <sheetName val="Sub-cont (16-17)"/>
      <sheetName val="Good Work"/>
      <sheetName val="Attendance Incentive"/>
      <sheetName val="Leave Encashment &amp; Overtime"/>
      <sheetName val="PLI"/>
      <sheetName val="Training"/>
      <sheetName val="Suggestion Scheme &amp; Family Visi"/>
      <sheetName val="QC 16~17"/>
      <sheetName val="Canteen"/>
      <sheetName val="Refreshment &amp; Party"/>
      <sheetName val="Sports"/>
      <sheetName val="Social Activities"/>
      <sheetName val="Club"/>
      <sheetName val="Gifts"/>
      <sheetName val="Insurance"/>
      <sheetName val="Vehicle for Staff at Plant"/>
      <sheetName val="Bus Hiring for Staff"/>
      <sheetName val="Safety Wear"/>
      <sheetName val="Medical Expenses"/>
      <sheetName val="MSIL VDA Manesar"/>
      <sheetName val="MSIL Manesar"/>
      <sheetName val="MSIL VDA GGN"/>
      <sheetName val="MSIL Gurga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85">
          <cell r="J85">
            <v>8883738.4577472396</v>
          </cell>
          <cell r="K85">
            <v>9071353.3911183923</v>
          </cell>
          <cell r="L85">
            <v>8902545.5877343696</v>
          </cell>
          <cell r="M85">
            <v>9504470.5686407406</v>
          </cell>
        </row>
      </sheetData>
      <sheetData sheetId="18">
        <row r="116">
          <cell r="J116">
            <v>55483408.989917494</v>
          </cell>
          <cell r="K116">
            <v>56240243.634087414</v>
          </cell>
          <cell r="L116">
            <v>56141013.103729524</v>
          </cell>
          <cell r="M116">
            <v>62073209.569337986</v>
          </cell>
        </row>
      </sheetData>
      <sheetData sheetId="19">
        <row r="116">
          <cell r="J116">
            <v>40371173.365052611</v>
          </cell>
          <cell r="K116">
            <v>40070278.769397475</v>
          </cell>
          <cell r="L116">
            <v>39176688.65801885</v>
          </cell>
          <cell r="M116">
            <v>39348065.566529386</v>
          </cell>
        </row>
      </sheetData>
      <sheetData sheetId="20">
        <row r="116">
          <cell r="J116">
            <v>7295549.4423743952</v>
          </cell>
          <cell r="K116">
            <v>7379195.6098248456</v>
          </cell>
          <cell r="L116">
            <v>7327865.6466378085</v>
          </cell>
          <cell r="M116">
            <v>7305801.0716748443</v>
          </cell>
        </row>
      </sheetData>
      <sheetData sheetId="21">
        <row r="116">
          <cell r="J116">
            <v>11419839.367531497</v>
          </cell>
          <cell r="K116">
            <v>11400632.572930194</v>
          </cell>
          <cell r="L116">
            <v>11340373.403731745</v>
          </cell>
          <cell r="M116">
            <v>12149321.603898264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9">
          <cell r="K19">
            <v>557197</v>
          </cell>
          <cell r="L19">
            <v>611489</v>
          </cell>
          <cell r="M19">
            <v>643095</v>
          </cell>
          <cell r="N19">
            <v>661044</v>
          </cell>
        </row>
        <row r="20">
          <cell r="K20">
            <v>348331</v>
          </cell>
          <cell r="L20">
            <v>318233</v>
          </cell>
          <cell r="M20">
            <v>358412</v>
          </cell>
          <cell r="N20">
            <v>367953</v>
          </cell>
        </row>
        <row r="21">
          <cell r="K21">
            <v>83803</v>
          </cell>
          <cell r="L21">
            <v>87735</v>
          </cell>
          <cell r="M21">
            <v>87334</v>
          </cell>
          <cell r="N21">
            <v>89851</v>
          </cell>
        </row>
        <row r="22">
          <cell r="K22">
            <v>49928</v>
          </cell>
          <cell r="L22">
            <v>56285</v>
          </cell>
          <cell r="M22">
            <v>58382</v>
          </cell>
          <cell r="N22">
            <v>61906</v>
          </cell>
        </row>
      </sheetData>
      <sheetData sheetId="32">
        <row r="5">
          <cell r="K5">
            <v>6035</v>
          </cell>
          <cell r="L5">
            <v>6610</v>
          </cell>
          <cell r="M5">
            <v>6940</v>
          </cell>
          <cell r="N5">
            <v>7137</v>
          </cell>
        </row>
        <row r="6">
          <cell r="K6">
            <v>3942</v>
          </cell>
          <cell r="L6">
            <v>3565</v>
          </cell>
          <cell r="M6">
            <v>3955</v>
          </cell>
          <cell r="N6">
            <v>4059</v>
          </cell>
        </row>
        <row r="7">
          <cell r="K7">
            <v>1127</v>
          </cell>
          <cell r="L7">
            <v>1169</v>
          </cell>
          <cell r="M7">
            <v>1166</v>
          </cell>
          <cell r="N7">
            <v>1207</v>
          </cell>
        </row>
        <row r="8">
          <cell r="K8">
            <v>760</v>
          </cell>
          <cell r="L8">
            <v>857</v>
          </cell>
          <cell r="M8">
            <v>885</v>
          </cell>
          <cell r="N8">
            <v>945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17 Actuals VS Budget 17~18"/>
      <sheetName val="MTP VS Budget 17~18"/>
      <sheetName val="Assumptions - Numbers"/>
      <sheetName val="Manpower No.s (ALL)"/>
      <sheetName val="KPIs"/>
      <sheetName val="Manpower"/>
      <sheetName val="Assumptions-Cost"/>
      <sheetName val="Summary"/>
      <sheetName val="HO"/>
      <sheetName val="Bawal"/>
      <sheetName val="Chennai"/>
      <sheetName val="Roorkee"/>
      <sheetName val="T-16 Auto"/>
      <sheetName val="BAU"/>
      <sheetName val="NPAU"/>
      <sheetName val="HAU"/>
      <sheetName val="KAU"/>
      <sheetName val="AFM"/>
      <sheetName val="Manpower_month"/>
      <sheetName val="SQM 2017-18"/>
      <sheetName val="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>
            <v>10722361.666666668</v>
          </cell>
        </row>
        <row r="100">
          <cell r="B100">
            <v>69832339.031893045</v>
          </cell>
          <cell r="C100">
            <v>70010481.428333953</v>
          </cell>
          <cell r="D100">
            <v>70471863.888733953</v>
          </cell>
        </row>
      </sheetData>
      <sheetData sheetId="10">
        <row r="25">
          <cell r="B25">
            <v>9839873.4289843123</v>
          </cell>
        </row>
      </sheetData>
      <sheetData sheetId="11">
        <row r="25">
          <cell r="B25">
            <v>2317505.8089440288</v>
          </cell>
        </row>
      </sheetData>
      <sheetData sheetId="12">
        <row r="25">
          <cell r="B25">
            <v>3536747.3345021699</v>
          </cell>
        </row>
      </sheetData>
      <sheetData sheetId="13">
        <row r="25">
          <cell r="B25">
            <v>559793.42966175068</v>
          </cell>
        </row>
      </sheetData>
      <sheetData sheetId="14">
        <row r="25">
          <cell r="B25">
            <v>1046726.1823698577</v>
          </cell>
        </row>
      </sheetData>
      <sheetData sheetId="15">
        <row r="85">
          <cell r="C85">
            <v>0</v>
          </cell>
        </row>
      </sheetData>
      <sheetData sheetId="16">
        <row r="25">
          <cell r="B25">
            <v>532722.41174234066</v>
          </cell>
        </row>
      </sheetData>
      <sheetData sheetId="17">
        <row r="85">
          <cell r="B85">
            <v>244440.54637582056</v>
          </cell>
        </row>
      </sheetData>
      <sheetData sheetId="18"/>
      <sheetData sheetId="19">
        <row r="19">
          <cell r="C19">
            <v>654137.84540805616</v>
          </cell>
          <cell r="D19">
            <v>722478.32644444378</v>
          </cell>
          <cell r="E19">
            <v>610328.89129123301</v>
          </cell>
          <cell r="F19">
            <v>674236.87479192158</v>
          </cell>
          <cell r="G19">
            <v>702444.72580478527</v>
          </cell>
          <cell r="H19">
            <v>689415.81910445855</v>
          </cell>
          <cell r="I19">
            <v>623624.74324295146</v>
          </cell>
          <cell r="J19">
            <v>673791.81519735744</v>
          </cell>
          <cell r="K19">
            <v>591916.49289233587</v>
          </cell>
          <cell r="L19">
            <v>668427.22756302671</v>
          </cell>
          <cell r="M19">
            <v>678925.72081229719</v>
          </cell>
          <cell r="N19">
            <v>702548.81967294798</v>
          </cell>
        </row>
        <row r="20">
          <cell r="C20">
            <v>374531.29251072183</v>
          </cell>
          <cell r="D20">
            <v>340593.75295784179</v>
          </cell>
          <cell r="E20">
            <v>370501.70842784189</v>
          </cell>
          <cell r="F20">
            <v>363142.74319681886</v>
          </cell>
          <cell r="G20">
            <v>331820.73905498651</v>
          </cell>
          <cell r="H20">
            <v>401093.77080456039</v>
          </cell>
          <cell r="I20">
            <v>364551.04005621711</v>
          </cell>
          <cell r="J20">
            <v>400397.13151535438</v>
          </cell>
          <cell r="K20">
            <v>370623.92466467386</v>
          </cell>
          <cell r="L20">
            <v>381889.13232078316</v>
          </cell>
          <cell r="M20">
            <v>397475.99887284235</v>
          </cell>
          <cell r="N20">
            <v>430059.17580894125</v>
          </cell>
        </row>
        <row r="21">
          <cell r="C21">
            <v>87232.785048614882</v>
          </cell>
          <cell r="D21">
            <v>91492.796594614832</v>
          </cell>
          <cell r="E21">
            <v>79949.668127814861</v>
          </cell>
          <cell r="F21">
            <v>81216.520072814863</v>
          </cell>
          <cell r="G21">
            <v>84165.899414814834</v>
          </cell>
          <cell r="H21">
            <v>87148.237063783949</v>
          </cell>
          <cell r="I21">
            <v>76932.840047842168</v>
          </cell>
          <cell r="J21">
            <v>78812.135884069488</v>
          </cell>
          <cell r="K21">
            <v>72443.692929241312</v>
          </cell>
          <cell r="L21">
            <v>83965.322180185787</v>
          </cell>
          <cell r="M21">
            <v>86202.032680827208</v>
          </cell>
          <cell r="N21">
            <v>89392.324162827194</v>
          </cell>
        </row>
        <row r="22">
          <cell r="C22">
            <v>77005.568947598513</v>
          </cell>
          <cell r="D22">
            <v>86380.584741758532</v>
          </cell>
          <cell r="E22">
            <v>82681.471462918504</v>
          </cell>
          <cell r="F22">
            <v>87571.664381418566</v>
          </cell>
          <cell r="G22">
            <v>76183.381897758474</v>
          </cell>
          <cell r="H22">
            <v>82952.26503925852</v>
          </cell>
          <cell r="I22">
            <v>81670.431635313013</v>
          </cell>
          <cell r="J22">
            <v>85971.871483972966</v>
          </cell>
          <cell r="K22">
            <v>86085.184371472962</v>
          </cell>
          <cell r="L22">
            <v>86961.085118132949</v>
          </cell>
          <cell r="M22">
            <v>81289.053187413941</v>
          </cell>
          <cell r="N22">
            <v>81602.409497073982</v>
          </cell>
        </row>
      </sheetData>
      <sheetData sheetId="20">
        <row r="5">
          <cell r="C5">
            <v>7146.7323899835064</v>
          </cell>
          <cell r="D5">
            <v>7842.3633732752223</v>
          </cell>
          <cell r="E5">
            <v>6777.0949517773088</v>
          </cell>
          <cell r="F5">
            <v>7378.6771196196487</v>
          </cell>
          <cell r="G5">
            <v>7615.224287109977</v>
          </cell>
          <cell r="H5">
            <v>7553.9209261467158</v>
          </cell>
          <cell r="I5">
            <v>6930.6909064915953</v>
          </cell>
          <cell r="J5">
            <v>7445.096662221099</v>
          </cell>
          <cell r="K5">
            <v>6540.596563857106</v>
          </cell>
          <cell r="L5">
            <v>7331.8827636167689</v>
          </cell>
          <cell r="M5">
            <v>7458.8157933684488</v>
          </cell>
          <cell r="N5">
            <v>7643.6523346858712</v>
          </cell>
        </row>
        <row r="6">
          <cell r="C6">
            <v>4288.1024071594693</v>
          </cell>
          <cell r="D6">
            <v>3955.3140951588493</v>
          </cell>
          <cell r="E6">
            <v>4196.3448167059933</v>
          </cell>
          <cell r="F6">
            <v>4133.0909477486757</v>
          </cell>
          <cell r="G6">
            <v>3876.9182821850532</v>
          </cell>
          <cell r="H6">
            <v>4499.048393504082</v>
          </cell>
          <cell r="I6">
            <v>4122.2129175107339</v>
          </cell>
          <cell r="J6">
            <v>4515.0449557993898</v>
          </cell>
          <cell r="K6">
            <v>4185.6239204296562</v>
          </cell>
          <cell r="L6">
            <v>4333.5412441327471</v>
          </cell>
          <cell r="M6">
            <v>4519.8374644466658</v>
          </cell>
          <cell r="N6">
            <v>4873.2447346158642</v>
          </cell>
        </row>
        <row r="7">
          <cell r="C7">
            <v>1117.7360555020491</v>
          </cell>
          <cell r="D7">
            <v>1213.7377273731961</v>
          </cell>
          <cell r="E7">
            <v>1099.048641347797</v>
          </cell>
          <cell r="F7">
            <v>1086.7928881799737</v>
          </cell>
          <cell r="G7">
            <v>1134.9754781209367</v>
          </cell>
          <cell r="H7">
            <v>1154.7558096166558</v>
          </cell>
          <cell r="I7">
            <v>952.86313908457669</v>
          </cell>
          <cell r="J7">
            <v>970.04786747301523</v>
          </cell>
          <cell r="K7">
            <v>914.84746810803176</v>
          </cell>
          <cell r="L7">
            <v>1030.4242913127703</v>
          </cell>
          <cell r="M7">
            <v>1060.3021165096618</v>
          </cell>
          <cell r="N7">
            <v>1108.3842020066977</v>
          </cell>
        </row>
        <row r="8">
          <cell r="C8">
            <v>1200.3843192306072</v>
          </cell>
          <cell r="D8">
            <v>1331.3754294850271</v>
          </cell>
          <cell r="E8">
            <v>1267.6212504087023</v>
          </cell>
          <cell r="F8">
            <v>1367.3829255684429</v>
          </cell>
          <cell r="G8">
            <v>1236.2331689425685</v>
          </cell>
          <cell r="H8">
            <v>1350.0062270642645</v>
          </cell>
          <cell r="I8">
            <v>1336.2120247052262</v>
          </cell>
          <cell r="J8">
            <v>1412.8396414621081</v>
          </cell>
          <cell r="K8">
            <v>1402.7333107240256</v>
          </cell>
          <cell r="L8">
            <v>1426.5053848126388</v>
          </cell>
          <cell r="M8">
            <v>1321.1886372205511</v>
          </cell>
          <cell r="N8">
            <v>1341.8163558058668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17 Actuals VS Budget 17~18"/>
      <sheetName val="MTP VS Budget 17~18"/>
      <sheetName val="Assumptions - Numbers"/>
      <sheetName val="Manpower No.s (ALL)"/>
      <sheetName val="KPIs"/>
      <sheetName val="Manpower"/>
      <sheetName val="Assumptions-Cost"/>
      <sheetName val="Summary"/>
      <sheetName val="HO"/>
      <sheetName val="Bawal"/>
      <sheetName val="Chennai"/>
      <sheetName val="Roorkee"/>
      <sheetName val="T-16 Auto"/>
      <sheetName val="BAU"/>
      <sheetName val="NPAU"/>
      <sheetName val="HAU"/>
      <sheetName val="KAU"/>
      <sheetName val="AFM"/>
      <sheetName val="Gujarat"/>
      <sheetName val="Manpower_month"/>
      <sheetName val="SQM 2017-18"/>
      <sheetName val="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5">
          <cell r="N85">
            <v>1910526203.633383</v>
          </cell>
        </row>
      </sheetData>
      <sheetData sheetId="8">
        <row r="25">
          <cell r="G25">
            <v>13754829.127012497</v>
          </cell>
        </row>
        <row r="85">
          <cell r="B85">
            <v>10369408.866251631</v>
          </cell>
          <cell r="C85">
            <v>9838785.6778458338</v>
          </cell>
          <cell r="D85">
            <v>9675341.1995849647</v>
          </cell>
          <cell r="E85">
            <v>10212363.566734722</v>
          </cell>
          <cell r="F85">
            <v>14405926.286859736</v>
          </cell>
          <cell r="G85">
            <v>14392328.323679164</v>
          </cell>
          <cell r="H85">
            <v>14584205.845418295</v>
          </cell>
          <cell r="I85">
            <v>14601091.823679164</v>
          </cell>
          <cell r="J85">
            <v>14471177.286859736</v>
          </cell>
          <cell r="K85">
            <v>14680493.212568052</v>
          </cell>
          <cell r="L85">
            <v>14411235.845418295</v>
          </cell>
          <cell r="M85">
            <v>15253144.138493979</v>
          </cell>
        </row>
      </sheetData>
      <sheetData sheetId="9">
        <row r="25">
          <cell r="B25">
            <v>15703656.65875593</v>
          </cell>
        </row>
        <row r="85">
          <cell r="E85">
            <v>69702372.486240998</v>
          </cell>
          <cell r="F85">
            <v>72024579.812255964</v>
          </cell>
          <cell r="G85">
            <v>71997472.009366855</v>
          </cell>
          <cell r="H85">
            <v>71208941.443909168</v>
          </cell>
          <cell r="I85">
            <v>73561293.034794584</v>
          </cell>
          <cell r="J85">
            <v>69651148.991490424</v>
          </cell>
          <cell r="K85">
            <v>94195119.706727043</v>
          </cell>
          <cell r="L85">
            <v>93583566.507573262</v>
          </cell>
          <cell r="M85">
            <v>98508329.507573262</v>
          </cell>
        </row>
      </sheetData>
      <sheetData sheetId="10">
        <row r="25">
          <cell r="F25">
            <v>11696962.25398431</v>
          </cell>
        </row>
        <row r="100">
          <cell r="B100">
            <v>45115550.921767421</v>
          </cell>
          <cell r="C100">
            <v>46088554.601077281</v>
          </cell>
          <cell r="D100">
            <v>45947162.51456742</v>
          </cell>
          <cell r="E100">
            <v>46041311.956954196</v>
          </cell>
          <cell r="F100">
            <v>47378009.972385719</v>
          </cell>
          <cell r="G100">
            <v>47273795.308929518</v>
          </cell>
          <cell r="H100">
            <v>48411563.805406362</v>
          </cell>
          <cell r="I100">
            <v>46775431.246234089</v>
          </cell>
          <cell r="J100">
            <v>46307391.692210615</v>
          </cell>
          <cell r="K100">
            <v>46170125.789646506</v>
          </cell>
          <cell r="L100">
            <v>44610390.871234089</v>
          </cell>
          <cell r="M100">
            <v>44353989.740287542</v>
          </cell>
        </row>
      </sheetData>
      <sheetData sheetId="11">
        <row r="25">
          <cell r="F25">
            <v>2342505.8089440288</v>
          </cell>
        </row>
        <row r="100">
          <cell r="B100">
            <v>7683184.2128592897</v>
          </cell>
          <cell r="C100">
            <v>7637675.1818592902</v>
          </cell>
          <cell r="D100">
            <v>7793631.5766092902</v>
          </cell>
          <cell r="E100">
            <v>7660105.289395215</v>
          </cell>
          <cell r="F100">
            <v>7685433.3323952155</v>
          </cell>
          <cell r="G100">
            <v>7668816.9992609555</v>
          </cell>
          <cell r="H100">
            <v>8598530.4728609566</v>
          </cell>
          <cell r="I100">
            <v>7662391.3142709564</v>
          </cell>
          <cell r="J100">
            <v>7433201.7812709576</v>
          </cell>
          <cell r="K100">
            <v>7609615.5822709557</v>
          </cell>
          <cell r="L100">
            <v>7453422.1712709572</v>
          </cell>
          <cell r="M100">
            <v>7560364.5192709574</v>
          </cell>
        </row>
      </sheetData>
      <sheetData sheetId="12">
        <row r="25">
          <cell r="F25">
            <v>3536747.3345021699</v>
          </cell>
        </row>
        <row r="98">
          <cell r="B98">
            <v>15166352.229078529</v>
          </cell>
          <cell r="C98">
            <v>14919571.088822762</v>
          </cell>
          <cell r="D98">
            <v>14757460.752155451</v>
          </cell>
          <cell r="E98">
            <v>14907003.510223718</v>
          </cell>
          <cell r="F98">
            <v>14945100.363646796</v>
          </cell>
          <cell r="G98">
            <v>14784802.699041989</v>
          </cell>
          <cell r="H98">
            <v>15119377.510223718</v>
          </cell>
          <cell r="I98">
            <v>14789393.699041989</v>
          </cell>
          <cell r="J98">
            <v>14846774.510223718</v>
          </cell>
          <cell r="K98">
            <v>15159817.783093913</v>
          </cell>
          <cell r="L98">
            <v>14852850.987932375</v>
          </cell>
          <cell r="M98">
            <v>15035385.513170838</v>
          </cell>
        </row>
      </sheetData>
      <sheetData sheetId="13">
        <row r="25">
          <cell r="F25">
            <v>559793.42966175068</v>
          </cell>
        </row>
      </sheetData>
      <sheetData sheetId="14">
        <row r="85">
          <cell r="D85">
            <v>3043921.7027416527</v>
          </cell>
        </row>
      </sheetData>
      <sheetData sheetId="15">
        <row r="85">
          <cell r="D85">
            <v>0</v>
          </cell>
        </row>
      </sheetData>
      <sheetData sheetId="16">
        <row r="85">
          <cell r="D85">
            <v>1917883.1743423408</v>
          </cell>
        </row>
      </sheetData>
      <sheetData sheetId="17">
        <row r="85">
          <cell r="D85">
            <v>238540.20651889747</v>
          </cell>
        </row>
      </sheetData>
      <sheetData sheetId="18">
        <row r="25">
          <cell r="F25">
            <v>308333.33333333331</v>
          </cell>
        </row>
        <row r="85">
          <cell r="F85">
            <v>334956.52626811591</v>
          </cell>
          <cell r="G85">
            <v>334956.52626811591</v>
          </cell>
          <cell r="H85">
            <v>334956.52626811591</v>
          </cell>
          <cell r="I85">
            <v>334956.52626811591</v>
          </cell>
          <cell r="J85">
            <v>334956.52626811591</v>
          </cell>
          <cell r="K85">
            <v>334956.52626811591</v>
          </cell>
          <cell r="L85">
            <v>334956.52626811591</v>
          </cell>
          <cell r="M85">
            <v>334956.52626811591</v>
          </cell>
          <cell r="N85">
            <v>2679652.2101449273</v>
          </cell>
        </row>
      </sheetData>
      <sheetData sheetId="19"/>
      <sheetData sheetId="20"/>
      <sheetData sheetId="2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Cost Vs Productivitywith HO"/>
      <sheetName val="Main Sheet"/>
      <sheetName val="Prod Annualized"/>
    </sheetNames>
    <sheetDataSet>
      <sheetData sheetId="0"/>
      <sheetData sheetId="1">
        <row r="12">
          <cell r="Q12">
            <v>56319</v>
          </cell>
        </row>
        <row r="30">
          <cell r="D30">
            <v>14722551</v>
          </cell>
        </row>
      </sheetData>
      <sheetData sheetId="2">
        <row r="10">
          <cell r="C10">
            <v>257.16666666666669</v>
          </cell>
        </row>
      </sheetData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18 Actuals VS Budget 18~19"/>
      <sheetName val="MTP VS Budget 18~19"/>
      <sheetName val="Assumptions - Numbers"/>
      <sheetName val="Manpower No.s (ALL)"/>
      <sheetName val="KPIs"/>
      <sheetName val="Manpower"/>
      <sheetName val="Assumptions-Cost"/>
      <sheetName val="Summary"/>
      <sheetName val="HO"/>
      <sheetName val="Bawal"/>
      <sheetName val="Chennai"/>
      <sheetName val="Roorkee"/>
      <sheetName val="T-16 Auto"/>
      <sheetName val="BAU"/>
      <sheetName val="NPAU"/>
      <sheetName val="AFM Kolkata"/>
      <sheetName val="KAU"/>
      <sheetName val="AFM"/>
      <sheetName val="Gujarat"/>
      <sheetName val="Bawal Sub Assembly"/>
      <sheetName val="Manpower_month"/>
      <sheetName val="SQM 2018-19"/>
      <sheetName val="Sales"/>
    </sheetNames>
    <sheetDataSet>
      <sheetData sheetId="0" refreshError="1">
        <row r="4">
          <cell r="J4">
            <v>-220.24898547098155</v>
          </cell>
        </row>
        <row r="52">
          <cell r="E52">
            <v>1499.9601311064698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">
          <cell r="O5">
            <v>93828</v>
          </cell>
        </row>
        <row r="6">
          <cell r="O6">
            <v>56319</v>
          </cell>
        </row>
        <row r="7">
          <cell r="O7">
            <v>15424</v>
          </cell>
        </row>
        <row r="8">
          <cell r="O8">
            <v>16612</v>
          </cell>
        </row>
        <row r="9">
          <cell r="O9">
            <v>0</v>
          </cell>
        </row>
        <row r="10">
          <cell r="O10">
            <v>182183</v>
          </cell>
        </row>
        <row r="18">
          <cell r="C18">
            <v>6786.2602552714025</v>
          </cell>
          <cell r="D18">
            <v>7240.7036089343301</v>
          </cell>
          <cell r="E18">
            <v>6652.3656758793022</v>
          </cell>
          <cell r="F18">
            <v>7845.0656695264461</v>
          </cell>
          <cell r="G18">
            <v>7895.0775401599667</v>
          </cell>
          <cell r="H18">
            <v>7635.6412564393104</v>
          </cell>
          <cell r="I18">
            <v>7305.0822209224689</v>
          </cell>
          <cell r="J18">
            <v>7716.097759610434</v>
          </cell>
          <cell r="K18">
            <v>6684.998312785141</v>
          </cell>
          <cell r="L18">
            <v>7331.8827636167689</v>
          </cell>
          <cell r="M18">
            <v>7458.8157933684488</v>
          </cell>
          <cell r="N18">
            <v>7643.6523346858712</v>
          </cell>
        </row>
        <row r="19">
          <cell r="C19">
            <v>4131.1432036348651</v>
          </cell>
          <cell r="D19">
            <v>3783.9071120131439</v>
          </cell>
          <cell r="E19">
            <v>4139.902397071799</v>
          </cell>
          <cell r="F19">
            <v>3965.7383087504427</v>
          </cell>
          <cell r="G19">
            <v>4127.8931790340312</v>
          </cell>
          <cell r="H19">
            <v>4063.9073664524567</v>
          </cell>
          <cell r="I19">
            <v>4019.5512838867235</v>
          </cell>
          <cell r="J19">
            <v>4296.1810169138871</v>
          </cell>
          <cell r="K19">
            <v>3989.2326330529008</v>
          </cell>
          <cell r="L19">
            <v>4333.5412441327471</v>
          </cell>
          <cell r="M19">
            <v>4519.8374644466658</v>
          </cell>
          <cell r="N19">
            <v>4873.2447346158642</v>
          </cell>
        </row>
        <row r="20">
          <cell r="C20">
            <v>12409.33258626142</v>
          </cell>
          <cell r="D20">
            <v>1052.13058553104</v>
          </cell>
          <cell r="E20">
            <v>1220.7570504326743</v>
          </cell>
          <cell r="F20">
            <v>1267.5683075730153</v>
          </cell>
          <cell r="G20">
            <v>1079.6565976502695</v>
          </cell>
          <cell r="H20">
            <v>1058.8106156234708</v>
          </cell>
          <cell r="I20">
            <v>1106.1641401309939</v>
          </cell>
          <cell r="J20">
            <v>1122.0407036580843</v>
          </cell>
          <cell r="K20">
            <v>1040.0744468870337</v>
          </cell>
          <cell r="L20">
            <v>1030.4242913127703</v>
          </cell>
          <cell r="M20">
            <v>1060.3021165096618</v>
          </cell>
          <cell r="N20">
            <v>1108.3842020066977</v>
          </cell>
        </row>
        <row r="21">
          <cell r="C21">
            <v>1222.8234726603941</v>
          </cell>
          <cell r="D21">
            <v>1284.156308591547</v>
          </cell>
          <cell r="E21">
            <v>1249.4650091001774</v>
          </cell>
          <cell r="F21">
            <v>1378.0723883199164</v>
          </cell>
          <cell r="G21">
            <v>1301.4385654912626</v>
          </cell>
          <cell r="H21">
            <v>1349.6086121420619</v>
          </cell>
          <cell r="I21">
            <v>1362.8380360247525</v>
          </cell>
          <cell r="J21">
            <v>1241.8698691254078</v>
          </cell>
          <cell r="K21">
            <v>1114.4908608378428</v>
          </cell>
          <cell r="L21">
            <v>1426.5053848126388</v>
          </cell>
          <cell r="M21">
            <v>1321.1886372205511</v>
          </cell>
          <cell r="N21">
            <v>1341.8163558058668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H5">
            <v>249</v>
          </cell>
          <cell r="I5">
            <v>3</v>
          </cell>
          <cell r="J5">
            <v>464</v>
          </cell>
          <cell r="K5">
            <v>1402</v>
          </cell>
        </row>
        <row r="6">
          <cell r="H6">
            <v>157</v>
          </cell>
          <cell r="I6">
            <v>3</v>
          </cell>
          <cell r="J6">
            <v>221</v>
          </cell>
          <cell r="K6">
            <v>758</v>
          </cell>
        </row>
        <row r="7">
          <cell r="H7">
            <v>44.3</v>
          </cell>
          <cell r="I7">
            <v>0</v>
          </cell>
          <cell r="J7">
            <v>49</v>
          </cell>
          <cell r="K7">
            <v>277</v>
          </cell>
        </row>
        <row r="8">
          <cell r="H8">
            <v>60</v>
          </cell>
          <cell r="I8">
            <v>0</v>
          </cell>
          <cell r="J8">
            <v>32</v>
          </cell>
          <cell r="K8">
            <v>208</v>
          </cell>
        </row>
        <row r="9">
          <cell r="H9">
            <v>15</v>
          </cell>
          <cell r="J9">
            <v>11</v>
          </cell>
          <cell r="K9">
            <v>79</v>
          </cell>
        </row>
        <row r="10">
          <cell r="H10">
            <v>13</v>
          </cell>
          <cell r="I10">
            <v>2</v>
          </cell>
          <cell r="J10">
            <v>1</v>
          </cell>
          <cell r="K10">
            <v>121</v>
          </cell>
        </row>
        <row r="11">
          <cell r="H11">
            <v>14</v>
          </cell>
          <cell r="I11">
            <v>1</v>
          </cell>
          <cell r="K11">
            <v>105</v>
          </cell>
        </row>
        <row r="12">
          <cell r="H12">
            <v>64</v>
          </cell>
          <cell r="I12">
            <v>3</v>
          </cell>
          <cell r="K12">
            <v>15</v>
          </cell>
        </row>
        <row r="14">
          <cell r="H14">
            <v>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fication"/>
      <sheetName val="Manpower Strength Mar'19"/>
      <sheetName val="Manpower Strength Feb'19"/>
      <sheetName val="Manpower Strength Jan'19"/>
      <sheetName val="Manpower Strength Dec'18"/>
      <sheetName val="Manpower Strength Nov'18"/>
      <sheetName val="Manpower Strength Nov'18-Auto"/>
      <sheetName val="Manpower Strength Oct'18"/>
      <sheetName val="Manpower Strength Oct'18-Auto"/>
      <sheetName val="Manpower Strength Sep'18"/>
      <sheetName val="Manpower Strength Sep'18-Auto"/>
      <sheetName val="Manpower Strength Aug'18"/>
      <sheetName val="Manpower Strength Aug'18-BSK"/>
      <sheetName val="Manpower Strength Jul'18"/>
      <sheetName val="Manpower Strength Jun'18"/>
      <sheetName val="Gender"/>
      <sheetName val="Manpower Strength Auto"/>
      <sheetName val="Qualification (2)"/>
      <sheetName val="Qualification Auto"/>
    </sheetNames>
    <sheetDataSet>
      <sheetData sheetId="0"/>
      <sheetData sheetId="1">
        <row r="4">
          <cell r="B4">
            <v>250</v>
          </cell>
          <cell r="C4">
            <v>5</v>
          </cell>
          <cell r="D4">
            <v>451</v>
          </cell>
          <cell r="E4">
            <v>1170</v>
          </cell>
        </row>
        <row r="5">
          <cell r="B5">
            <v>161</v>
          </cell>
          <cell r="C5">
            <v>1</v>
          </cell>
          <cell r="D5">
            <v>212</v>
          </cell>
          <cell r="E5">
            <v>684</v>
          </cell>
        </row>
        <row r="6">
          <cell r="B6">
            <v>40.299999999999997</v>
          </cell>
          <cell r="C6">
            <v>0</v>
          </cell>
          <cell r="D6">
            <v>49</v>
          </cell>
          <cell r="E6">
            <v>272</v>
          </cell>
        </row>
        <row r="7">
          <cell r="B7">
            <v>64</v>
          </cell>
          <cell r="C7">
            <v>0</v>
          </cell>
          <cell r="D7">
            <v>27</v>
          </cell>
          <cell r="E7">
            <v>202</v>
          </cell>
        </row>
        <row r="8">
          <cell r="B8">
            <v>16</v>
          </cell>
          <cell r="D8">
            <v>11</v>
          </cell>
          <cell r="E8">
            <v>59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83</v>
          </cell>
        </row>
        <row r="10">
          <cell r="B10">
            <v>11</v>
          </cell>
          <cell r="E10">
            <v>129</v>
          </cell>
        </row>
        <row r="11">
          <cell r="B11">
            <v>63</v>
          </cell>
          <cell r="C11">
            <v>2</v>
          </cell>
          <cell r="E11">
            <v>15</v>
          </cell>
        </row>
        <row r="13">
          <cell r="B13">
            <v>2</v>
          </cell>
          <cell r="E13">
            <v>1</v>
          </cell>
        </row>
      </sheetData>
      <sheetData sheetId="2">
        <row r="4">
          <cell r="B4">
            <v>252</v>
          </cell>
          <cell r="C4">
            <v>5</v>
          </cell>
          <cell r="D4">
            <v>453</v>
          </cell>
          <cell r="E4">
            <v>1217</v>
          </cell>
        </row>
        <row r="5">
          <cell r="B5">
            <v>157</v>
          </cell>
          <cell r="C5">
            <v>2</v>
          </cell>
          <cell r="D5">
            <v>212</v>
          </cell>
          <cell r="E5">
            <v>666</v>
          </cell>
        </row>
        <row r="6">
          <cell r="B6">
            <v>44.3</v>
          </cell>
          <cell r="C6">
            <v>0</v>
          </cell>
          <cell r="D6">
            <v>49</v>
          </cell>
          <cell r="E6">
            <v>273</v>
          </cell>
        </row>
        <row r="7">
          <cell r="B7">
            <v>64</v>
          </cell>
          <cell r="C7">
            <v>0</v>
          </cell>
          <cell r="D7">
            <v>29</v>
          </cell>
          <cell r="E7">
            <v>208</v>
          </cell>
        </row>
        <row r="8">
          <cell r="B8">
            <v>16</v>
          </cell>
          <cell r="D8">
            <v>11</v>
          </cell>
          <cell r="E8">
            <v>60</v>
          </cell>
        </row>
        <row r="9">
          <cell r="B9">
            <v>15</v>
          </cell>
          <cell r="C9">
            <v>2</v>
          </cell>
          <cell r="D9">
            <v>0</v>
          </cell>
          <cell r="E9">
            <v>91</v>
          </cell>
        </row>
        <row r="10">
          <cell r="B10">
            <v>11</v>
          </cell>
          <cell r="E10">
            <v>114</v>
          </cell>
        </row>
        <row r="11">
          <cell r="B11">
            <v>62</v>
          </cell>
          <cell r="C11">
            <v>2</v>
          </cell>
          <cell r="E11">
            <v>15</v>
          </cell>
        </row>
        <row r="13">
          <cell r="B13">
            <v>2</v>
          </cell>
          <cell r="E13">
            <v>1</v>
          </cell>
        </row>
      </sheetData>
      <sheetData sheetId="3">
        <row r="4">
          <cell r="B4">
            <v>252</v>
          </cell>
          <cell r="C4">
            <v>5</v>
          </cell>
          <cell r="D4">
            <v>455</v>
          </cell>
          <cell r="E4">
            <v>1158.0384615384614</v>
          </cell>
        </row>
        <row r="5">
          <cell r="B5">
            <v>157</v>
          </cell>
          <cell r="C5">
            <v>2</v>
          </cell>
          <cell r="D5">
            <v>212</v>
          </cell>
          <cell r="E5">
            <v>598</v>
          </cell>
        </row>
        <row r="6">
          <cell r="B6">
            <v>44.3</v>
          </cell>
          <cell r="C6">
            <v>0</v>
          </cell>
          <cell r="D6">
            <v>49</v>
          </cell>
          <cell r="E6">
            <v>236</v>
          </cell>
        </row>
        <row r="7">
          <cell r="B7">
            <v>66</v>
          </cell>
          <cell r="C7">
            <v>0</v>
          </cell>
          <cell r="D7">
            <v>31</v>
          </cell>
          <cell r="E7">
            <v>200</v>
          </cell>
        </row>
        <row r="8">
          <cell r="B8">
            <v>15</v>
          </cell>
          <cell r="D8">
            <v>11</v>
          </cell>
          <cell r="E8">
            <v>64</v>
          </cell>
        </row>
        <row r="9">
          <cell r="B9">
            <v>14</v>
          </cell>
          <cell r="C9">
            <v>2</v>
          </cell>
          <cell r="D9">
            <v>1</v>
          </cell>
          <cell r="E9">
            <v>96</v>
          </cell>
        </row>
        <row r="10">
          <cell r="B10">
            <v>11</v>
          </cell>
          <cell r="E10">
            <v>112</v>
          </cell>
        </row>
        <row r="11">
          <cell r="B11">
            <v>61</v>
          </cell>
          <cell r="C11">
            <v>2</v>
          </cell>
          <cell r="E11">
            <v>15</v>
          </cell>
        </row>
        <row r="13">
          <cell r="B13">
            <v>2</v>
          </cell>
          <cell r="E13">
            <v>1</v>
          </cell>
        </row>
      </sheetData>
      <sheetData sheetId="4">
        <row r="4">
          <cell r="B4">
            <v>253</v>
          </cell>
          <cell r="C4">
            <v>5</v>
          </cell>
          <cell r="D4">
            <v>455</v>
          </cell>
          <cell r="E4">
            <v>1272.9807692307691</v>
          </cell>
        </row>
        <row r="5">
          <cell r="B5">
            <v>159</v>
          </cell>
          <cell r="C5">
            <v>2</v>
          </cell>
          <cell r="D5">
            <v>213</v>
          </cell>
          <cell r="E5">
            <v>652</v>
          </cell>
        </row>
        <row r="6">
          <cell r="B6">
            <v>44.3</v>
          </cell>
          <cell r="C6">
            <v>0</v>
          </cell>
          <cell r="D6">
            <v>49</v>
          </cell>
          <cell r="E6">
            <v>248</v>
          </cell>
        </row>
        <row r="7">
          <cell r="B7">
            <v>60</v>
          </cell>
          <cell r="C7">
            <v>0</v>
          </cell>
          <cell r="D7">
            <v>32</v>
          </cell>
          <cell r="E7">
            <v>193</v>
          </cell>
        </row>
        <row r="8">
          <cell r="B8">
            <v>15</v>
          </cell>
          <cell r="D8">
            <v>11</v>
          </cell>
          <cell r="E8">
            <v>65</v>
          </cell>
        </row>
        <row r="9">
          <cell r="B9">
            <v>14</v>
          </cell>
          <cell r="C9">
            <v>2</v>
          </cell>
          <cell r="D9">
            <v>1</v>
          </cell>
          <cell r="E9">
            <v>86</v>
          </cell>
        </row>
        <row r="10">
          <cell r="B10">
            <v>11</v>
          </cell>
          <cell r="E10">
            <v>111</v>
          </cell>
        </row>
        <row r="11">
          <cell r="B11">
            <v>60</v>
          </cell>
          <cell r="C11">
            <v>3</v>
          </cell>
          <cell r="E11">
            <v>15</v>
          </cell>
        </row>
        <row r="13">
          <cell r="B13">
            <v>2</v>
          </cell>
          <cell r="E13">
            <v>1</v>
          </cell>
        </row>
      </sheetData>
      <sheetData sheetId="5">
        <row r="4">
          <cell r="B4">
            <v>255</v>
          </cell>
          <cell r="C4">
            <v>4</v>
          </cell>
          <cell r="D4">
            <v>458</v>
          </cell>
          <cell r="E4">
            <v>1248</v>
          </cell>
        </row>
        <row r="5">
          <cell r="B5">
            <v>162</v>
          </cell>
          <cell r="C5">
            <v>2</v>
          </cell>
          <cell r="D5">
            <v>213</v>
          </cell>
          <cell r="E5">
            <v>727</v>
          </cell>
        </row>
        <row r="6">
          <cell r="B6">
            <v>44.3</v>
          </cell>
          <cell r="C6">
            <v>0</v>
          </cell>
          <cell r="D6">
            <v>49</v>
          </cell>
          <cell r="E6">
            <v>282</v>
          </cell>
        </row>
        <row r="7">
          <cell r="B7">
            <v>63</v>
          </cell>
          <cell r="C7">
            <v>0</v>
          </cell>
          <cell r="D7">
            <v>32</v>
          </cell>
          <cell r="E7">
            <v>208</v>
          </cell>
        </row>
        <row r="8">
          <cell r="B8">
            <v>15</v>
          </cell>
          <cell r="D8">
            <v>11</v>
          </cell>
          <cell r="E8">
            <v>73</v>
          </cell>
        </row>
        <row r="9">
          <cell r="B9">
            <v>14</v>
          </cell>
          <cell r="C9">
            <v>2</v>
          </cell>
          <cell r="D9">
            <v>1</v>
          </cell>
          <cell r="E9">
            <v>109</v>
          </cell>
        </row>
        <row r="10">
          <cell r="B10">
            <v>11</v>
          </cell>
          <cell r="E10">
            <v>108</v>
          </cell>
        </row>
        <row r="11">
          <cell r="B11">
            <v>60</v>
          </cell>
          <cell r="C11">
            <v>3</v>
          </cell>
          <cell r="E11">
            <v>15</v>
          </cell>
        </row>
        <row r="13">
          <cell r="B13">
            <v>2</v>
          </cell>
          <cell r="E13">
            <v>1</v>
          </cell>
        </row>
      </sheetData>
      <sheetData sheetId="6"/>
      <sheetData sheetId="7">
        <row r="4">
          <cell r="B4">
            <v>252</v>
          </cell>
          <cell r="C4">
            <v>2</v>
          </cell>
          <cell r="D4">
            <v>460</v>
          </cell>
          <cell r="E4">
            <v>1339</v>
          </cell>
        </row>
        <row r="5">
          <cell r="B5">
            <v>162</v>
          </cell>
          <cell r="C5">
            <v>2</v>
          </cell>
          <cell r="D5">
            <v>214</v>
          </cell>
          <cell r="E5">
            <v>797</v>
          </cell>
        </row>
        <row r="6">
          <cell r="B6">
            <v>46.3</v>
          </cell>
          <cell r="C6">
            <v>0</v>
          </cell>
          <cell r="D6">
            <v>49</v>
          </cell>
          <cell r="E6">
            <v>297</v>
          </cell>
        </row>
        <row r="7">
          <cell r="B7">
            <v>63</v>
          </cell>
          <cell r="C7">
            <v>0</v>
          </cell>
          <cell r="D7">
            <v>32</v>
          </cell>
          <cell r="E7">
            <v>206</v>
          </cell>
        </row>
        <row r="8">
          <cell r="B8">
            <v>15</v>
          </cell>
          <cell r="D8">
            <v>11</v>
          </cell>
          <cell r="E8">
            <v>78</v>
          </cell>
        </row>
        <row r="9">
          <cell r="B9">
            <v>12</v>
          </cell>
          <cell r="C9">
            <v>2</v>
          </cell>
          <cell r="D9">
            <v>1</v>
          </cell>
          <cell r="E9">
            <v>121</v>
          </cell>
        </row>
        <row r="10">
          <cell r="B10">
            <v>12</v>
          </cell>
          <cell r="E10">
            <v>112</v>
          </cell>
        </row>
        <row r="11">
          <cell r="B11">
            <v>59</v>
          </cell>
          <cell r="C11">
            <v>3</v>
          </cell>
          <cell r="E11">
            <v>15</v>
          </cell>
        </row>
        <row r="13">
          <cell r="B13">
            <v>2</v>
          </cell>
          <cell r="E13">
            <v>1</v>
          </cell>
        </row>
      </sheetData>
      <sheetData sheetId="8"/>
      <sheetData sheetId="9">
        <row r="4">
          <cell r="B4">
            <v>251</v>
          </cell>
          <cell r="C4">
            <v>2</v>
          </cell>
          <cell r="D4">
            <v>462</v>
          </cell>
          <cell r="E4">
            <v>1299</v>
          </cell>
        </row>
        <row r="5">
          <cell r="B5">
            <v>157</v>
          </cell>
          <cell r="C5">
            <v>2</v>
          </cell>
          <cell r="D5">
            <v>221</v>
          </cell>
          <cell r="E5">
            <v>815</v>
          </cell>
        </row>
        <row r="6">
          <cell r="B6">
            <v>46.3</v>
          </cell>
          <cell r="C6">
            <v>0</v>
          </cell>
          <cell r="D6">
            <v>49</v>
          </cell>
          <cell r="E6">
            <v>277</v>
          </cell>
        </row>
        <row r="7">
          <cell r="B7">
            <v>62</v>
          </cell>
          <cell r="C7">
            <v>0</v>
          </cell>
          <cell r="D7">
            <v>32</v>
          </cell>
          <cell r="E7">
            <v>202</v>
          </cell>
        </row>
        <row r="8">
          <cell r="B8">
            <v>15</v>
          </cell>
          <cell r="D8">
            <v>11</v>
          </cell>
          <cell r="E8">
            <v>81</v>
          </cell>
        </row>
        <row r="9">
          <cell r="B9">
            <v>12</v>
          </cell>
          <cell r="C9">
            <v>2</v>
          </cell>
          <cell r="D9">
            <v>1</v>
          </cell>
          <cell r="E9">
            <v>121</v>
          </cell>
        </row>
        <row r="10">
          <cell r="B10">
            <v>12</v>
          </cell>
          <cell r="E10">
            <v>112</v>
          </cell>
        </row>
        <row r="11">
          <cell r="B11">
            <v>61</v>
          </cell>
          <cell r="C11">
            <v>3</v>
          </cell>
          <cell r="E11">
            <v>15</v>
          </cell>
        </row>
        <row r="13">
          <cell r="B13">
            <v>2</v>
          </cell>
          <cell r="E13">
            <v>1</v>
          </cell>
        </row>
      </sheetData>
      <sheetData sheetId="10"/>
      <sheetData sheetId="11">
        <row r="4">
          <cell r="B4">
            <v>255</v>
          </cell>
          <cell r="C4">
            <v>3</v>
          </cell>
          <cell r="D4">
            <v>464</v>
          </cell>
          <cell r="E4">
            <v>1388</v>
          </cell>
        </row>
        <row r="5">
          <cell r="B5">
            <v>157</v>
          </cell>
          <cell r="C5">
            <v>2</v>
          </cell>
          <cell r="D5">
            <v>221</v>
          </cell>
          <cell r="E5">
            <v>748</v>
          </cell>
        </row>
        <row r="6">
          <cell r="B6">
            <v>46.3</v>
          </cell>
          <cell r="C6">
            <v>0</v>
          </cell>
          <cell r="D6">
            <v>49</v>
          </cell>
          <cell r="E6">
            <v>276</v>
          </cell>
        </row>
        <row r="7">
          <cell r="B7">
            <v>62</v>
          </cell>
          <cell r="C7">
            <v>0</v>
          </cell>
          <cell r="D7">
            <v>32</v>
          </cell>
          <cell r="E7">
            <v>212</v>
          </cell>
        </row>
        <row r="8">
          <cell r="B8">
            <v>15</v>
          </cell>
          <cell r="D8">
            <v>11</v>
          </cell>
          <cell r="E8">
            <v>79</v>
          </cell>
        </row>
        <row r="9">
          <cell r="B9">
            <v>12</v>
          </cell>
          <cell r="C9">
            <v>2</v>
          </cell>
          <cell r="D9">
            <v>1</v>
          </cell>
          <cell r="E9">
            <v>121</v>
          </cell>
        </row>
        <row r="10">
          <cell r="B10">
            <v>13</v>
          </cell>
          <cell r="C10">
            <v>0</v>
          </cell>
          <cell r="E10">
            <v>153</v>
          </cell>
        </row>
        <row r="11">
          <cell r="B11">
            <v>63</v>
          </cell>
          <cell r="C11">
            <v>3</v>
          </cell>
          <cell r="E11">
            <v>15</v>
          </cell>
        </row>
        <row r="13">
          <cell r="B13">
            <v>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ized manpower"/>
      <sheetName val="Department Wise Manpower"/>
      <sheetName val="Sheet2"/>
      <sheetName val="Staff"/>
    </sheetNames>
    <sheetDataSet>
      <sheetData sheetId="0" refreshError="1">
        <row r="26">
          <cell r="C26">
            <v>465</v>
          </cell>
          <cell r="D26">
            <v>1271.5</v>
          </cell>
          <cell r="F26">
            <v>465</v>
          </cell>
          <cell r="G26">
            <v>1330</v>
          </cell>
          <cell r="I26">
            <v>464</v>
          </cell>
          <cell r="J26">
            <v>1314</v>
          </cell>
        </row>
      </sheetData>
      <sheetData sheetId="1" refreshError="1">
        <row r="23">
          <cell r="C23">
            <v>8</v>
          </cell>
          <cell r="D23">
            <v>8</v>
          </cell>
          <cell r="E23">
            <v>8</v>
          </cell>
        </row>
        <row r="60">
          <cell r="C60">
            <v>19</v>
          </cell>
          <cell r="D60">
            <v>19</v>
          </cell>
          <cell r="E60">
            <v>19</v>
          </cell>
        </row>
        <row r="97">
          <cell r="C97">
            <v>283.05769230769232</v>
          </cell>
          <cell r="D97">
            <v>322</v>
          </cell>
          <cell r="E97">
            <v>333</v>
          </cell>
        </row>
        <row r="110">
          <cell r="C110">
            <v>108</v>
          </cell>
          <cell r="D110">
            <v>110</v>
          </cell>
          <cell r="E110">
            <v>83</v>
          </cell>
        </row>
      </sheetData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ized manpower"/>
      <sheetName val="Department Wise Manpower"/>
      <sheetName val="Sheet2"/>
      <sheetName val="Staff"/>
    </sheetNames>
    <sheetDataSet>
      <sheetData sheetId="0" refreshError="1"/>
      <sheetData sheetId="1">
        <row r="23">
          <cell r="F23">
            <v>8</v>
          </cell>
        </row>
        <row r="60">
          <cell r="F60">
            <v>19</v>
          </cell>
        </row>
        <row r="97">
          <cell r="F97">
            <v>338</v>
          </cell>
        </row>
        <row r="110">
          <cell r="F110">
            <v>112</v>
          </cell>
        </row>
      </sheetData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ized manpower"/>
      <sheetName val="Department Wise Manpower"/>
      <sheetName val="Sheet2"/>
      <sheetName val="Staff"/>
    </sheetNames>
    <sheetDataSet>
      <sheetData sheetId="0">
        <row r="5">
          <cell r="S5">
            <v>1299</v>
          </cell>
        </row>
      </sheetData>
      <sheetData sheetId="1" refreshError="1">
        <row r="23">
          <cell r="G23">
            <v>11</v>
          </cell>
          <cell r="H23">
            <v>11</v>
          </cell>
        </row>
        <row r="60">
          <cell r="G60">
            <v>19</v>
          </cell>
          <cell r="H60">
            <v>19</v>
          </cell>
        </row>
        <row r="97">
          <cell r="G97">
            <v>329</v>
          </cell>
          <cell r="H97">
            <v>295</v>
          </cell>
        </row>
        <row r="110">
          <cell r="G110">
            <v>108</v>
          </cell>
          <cell r="H110">
            <v>103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L93"/>
  <sheetViews>
    <sheetView showGridLines="0" tabSelected="1" topLeftCell="K1" zoomScaleNormal="100" workbookViewId="0">
      <pane xSplit="15" ySplit="2" topLeftCell="AM3" activePane="bottomRight" state="frozen"/>
      <selection activeCell="K1" sqref="K1"/>
      <selection pane="topRight" activeCell="Z1" sqref="Z1"/>
      <selection pane="bottomLeft" activeCell="K3" sqref="K3"/>
      <selection pane="bottomRight" activeCell="AZ6" sqref="AZ6"/>
    </sheetView>
  </sheetViews>
  <sheetFormatPr defaultRowHeight="12" outlineLevelCol="1"/>
  <cols>
    <col min="1" max="1" width="9.140625" style="115" hidden="1" customWidth="1"/>
    <col min="2" max="2" width="24.5703125" style="115" hidden="1" customWidth="1"/>
    <col min="3" max="5" width="9.140625" style="115" hidden="1" customWidth="1"/>
    <col min="6" max="7" width="9.5703125" style="115" hidden="1" customWidth="1"/>
    <col min="8" max="8" width="11" style="115" hidden="1" customWidth="1"/>
    <col min="9" max="9" width="9.5703125" style="115" hidden="1" customWidth="1"/>
    <col min="10" max="10" width="9.140625" style="115" hidden="1" customWidth="1"/>
    <col min="11" max="11" width="24.5703125" style="115" bestFit="1" customWidth="1"/>
    <col min="12" max="12" width="9.140625" style="116"/>
    <col min="13" max="13" width="9.140625" style="115" hidden="1" customWidth="1"/>
    <col min="14" max="15" width="9.140625" style="116" hidden="1" customWidth="1" outlineLevel="1"/>
    <col min="16" max="16" width="10" style="116" hidden="1" customWidth="1" outlineLevel="1"/>
    <col min="17" max="18" width="9.140625" style="116" hidden="1" customWidth="1" outlineLevel="1"/>
    <col min="19" max="25" width="9.140625" style="115" hidden="1" customWidth="1" outlineLevel="1"/>
    <col min="26" max="26" width="10.42578125" style="116" hidden="1" customWidth="1" collapsed="1"/>
    <col min="27" max="28" width="9.140625" style="115" hidden="1" customWidth="1" outlineLevel="1"/>
    <col min="29" max="36" width="8.5703125" style="115" hidden="1" customWidth="1" outlineLevel="1"/>
    <col min="37" max="37" width="8.85546875" style="115" hidden="1" customWidth="1" outlineLevel="1"/>
    <col min="38" max="38" width="8.5703125" style="115" hidden="1" customWidth="1" outlineLevel="1"/>
    <col min="39" max="39" width="10.7109375" style="115" bestFit="1" customWidth="1" collapsed="1"/>
    <col min="40" max="40" width="9.140625" style="115" hidden="1" customWidth="1" outlineLevel="1"/>
    <col min="41" max="41" width="7.42578125" style="115" hidden="1" customWidth="1" outlineLevel="1"/>
    <col min="42" max="42" width="9.42578125" style="115" hidden="1" customWidth="1" outlineLevel="1"/>
    <col min="43" max="46" width="8.5703125" style="115" hidden="1" customWidth="1" outlineLevel="1"/>
    <col min="47" max="47" width="7.140625" style="115" hidden="1" customWidth="1" outlineLevel="1"/>
    <col min="48" max="50" width="8.5703125" style="115" hidden="1" customWidth="1" outlineLevel="1"/>
    <col min="51" max="51" width="7.140625" style="115" hidden="1" customWidth="1" outlineLevel="1"/>
    <col min="52" max="52" width="9.85546875" style="115" customWidth="1" collapsed="1"/>
    <col min="53" max="53" width="16.7109375" style="115" hidden="1" customWidth="1"/>
    <col min="54" max="54" width="12.28515625" style="115" hidden="1" customWidth="1"/>
    <col min="55" max="55" width="27.5703125" style="115" hidden="1" customWidth="1"/>
    <col min="56" max="64" width="9.140625" style="115" hidden="1" customWidth="1"/>
    <col min="65" max="71" width="10.5703125" style="115" hidden="1" customWidth="1"/>
    <col min="72" max="73" width="9.140625" style="115" hidden="1" customWidth="1"/>
    <col min="74" max="74" width="10.5703125" style="115" hidden="1" customWidth="1"/>
    <col min="75" max="75" width="9.140625" style="115" hidden="1" customWidth="1"/>
    <col min="76" max="76" width="9.28515625" style="115" hidden="1" customWidth="1" outlineLevel="1"/>
    <col min="77" max="78" width="6.5703125" style="115" hidden="1" customWidth="1" outlineLevel="1"/>
    <col min="79" max="87" width="9.140625" style="115" hidden="1" customWidth="1" outlineLevel="1"/>
    <col min="88" max="88" width="9.140625" style="116" collapsed="1"/>
    <col min="89" max="89" width="21.7109375" style="115" hidden="1" customWidth="1"/>
    <col min="90" max="92" width="7.7109375" style="115" hidden="1" customWidth="1"/>
    <col min="93" max="93" width="6.140625" style="115" hidden="1" customWidth="1"/>
    <col min="94" max="94" width="0" style="115" hidden="1" customWidth="1"/>
    <col min="95" max="101" width="9.140625" style="115" hidden="1" customWidth="1"/>
    <col min="102" max="102" width="14.42578125" style="115" hidden="1" customWidth="1"/>
    <col min="103" max="103" width="0" style="115" hidden="1" customWidth="1"/>
    <col min="104" max="104" width="14.42578125" style="115" hidden="1" customWidth="1"/>
    <col min="105" max="105" width="19" style="115" hidden="1" customWidth="1"/>
    <col min="106" max="108" width="0" style="115" hidden="1" customWidth="1"/>
    <col min="109" max="109" width="12.28515625" style="115" hidden="1" customWidth="1"/>
    <col min="110" max="115" width="9.140625" style="115" hidden="1" customWidth="1"/>
    <col min="116" max="129" width="0" style="115" hidden="1" customWidth="1"/>
    <col min="130" max="16384" width="9.140625" style="115"/>
  </cols>
  <sheetData>
    <row r="1" spans="2:116">
      <c r="R1" s="116">
        <f>159</f>
        <v>159</v>
      </c>
      <c r="S1" s="116">
        <f>159</f>
        <v>159</v>
      </c>
      <c r="T1" s="116">
        <f>159</f>
        <v>159</v>
      </c>
      <c r="Z1" s="117" t="s">
        <v>79</v>
      </c>
      <c r="AM1" s="117" t="s">
        <v>103</v>
      </c>
      <c r="AZ1" s="117"/>
      <c r="BB1" s="115" t="s">
        <v>107</v>
      </c>
      <c r="BC1" s="118">
        <f>(V4-V3)</f>
        <v>71.709945888195648</v>
      </c>
      <c r="BR1" s="115" t="s">
        <v>117</v>
      </c>
      <c r="BU1" s="119" t="str">
        <f>BB1</f>
        <v>Jul'17</v>
      </c>
      <c r="BV1" s="119" t="str">
        <f>BR1</f>
        <v>YTD Jul'17</v>
      </c>
      <c r="CH1" s="127"/>
      <c r="CL1" s="115" t="s">
        <v>127</v>
      </c>
      <c r="CM1" s="115" t="s">
        <v>128</v>
      </c>
      <c r="CN1" s="115" t="s">
        <v>159</v>
      </c>
      <c r="CO1" s="116" t="s">
        <v>130</v>
      </c>
      <c r="CP1" s="116" t="s">
        <v>131</v>
      </c>
      <c r="CQ1" s="116" t="s">
        <v>132</v>
      </c>
      <c r="CR1" s="116" t="s">
        <v>133</v>
      </c>
      <c r="CS1" s="116" t="s">
        <v>134</v>
      </c>
      <c r="CT1" s="116" t="s">
        <v>135</v>
      </c>
      <c r="CU1" s="116" t="s">
        <v>136</v>
      </c>
      <c r="CV1" s="116" t="s">
        <v>137</v>
      </c>
      <c r="CW1" s="116" t="s">
        <v>138</v>
      </c>
      <c r="CX1" s="116" t="s">
        <v>169</v>
      </c>
      <c r="DK1" s="179" t="s">
        <v>0</v>
      </c>
    </row>
    <row r="2" spans="2:116" ht="12.75" thickBot="1">
      <c r="B2" s="120" t="s">
        <v>98</v>
      </c>
      <c r="C2" s="121" t="s">
        <v>1</v>
      </c>
      <c r="D2" s="121" t="s">
        <v>2</v>
      </c>
      <c r="E2" s="121" t="s">
        <v>3</v>
      </c>
      <c r="F2" s="121" t="s">
        <v>4</v>
      </c>
      <c r="G2" s="122" t="s">
        <v>5</v>
      </c>
      <c r="H2" s="122" t="s">
        <v>6</v>
      </c>
      <c r="I2" s="122" t="s">
        <v>7</v>
      </c>
      <c r="K2" s="123" t="s">
        <v>0</v>
      </c>
      <c r="L2" s="124"/>
      <c r="M2" s="125"/>
      <c r="N2" s="126" t="s">
        <v>22</v>
      </c>
      <c r="O2" s="126" t="s">
        <v>23</v>
      </c>
      <c r="P2" s="126" t="s">
        <v>24</v>
      </c>
      <c r="Q2" s="126" t="s">
        <v>25</v>
      </c>
      <c r="R2" s="126" t="s">
        <v>26</v>
      </c>
      <c r="S2" s="126" t="s">
        <v>27</v>
      </c>
      <c r="T2" s="126" t="s">
        <v>28</v>
      </c>
      <c r="U2" s="126" t="s">
        <v>29</v>
      </c>
      <c r="V2" s="126" t="s">
        <v>30</v>
      </c>
      <c r="W2" s="126" t="s">
        <v>31</v>
      </c>
      <c r="X2" s="126" t="s">
        <v>32</v>
      </c>
      <c r="Y2" s="126" t="s">
        <v>33</v>
      </c>
      <c r="Z2" s="126" t="s">
        <v>77</v>
      </c>
      <c r="AA2" s="126" t="s">
        <v>81</v>
      </c>
      <c r="AB2" s="126" t="s">
        <v>82</v>
      </c>
      <c r="AC2" s="126" t="s">
        <v>83</v>
      </c>
      <c r="AD2" s="126" t="s">
        <v>84</v>
      </c>
      <c r="AE2" s="126" t="s">
        <v>85</v>
      </c>
      <c r="AF2" s="126" t="s">
        <v>86</v>
      </c>
      <c r="AG2" s="126" t="s">
        <v>87</v>
      </c>
      <c r="AH2" s="126" t="s">
        <v>88</v>
      </c>
      <c r="AI2" s="126" t="s">
        <v>89</v>
      </c>
      <c r="AJ2" s="126" t="s">
        <v>90</v>
      </c>
      <c r="AK2" s="126" t="s">
        <v>91</v>
      </c>
      <c r="AL2" s="126" t="s">
        <v>92</v>
      </c>
      <c r="AM2" s="126" t="s">
        <v>93</v>
      </c>
      <c r="AN2" s="126" t="s">
        <v>104</v>
      </c>
      <c r="AO2" s="126" t="s">
        <v>105</v>
      </c>
      <c r="AP2" s="126" t="s">
        <v>106</v>
      </c>
      <c r="AQ2" s="126" t="s">
        <v>107</v>
      </c>
      <c r="AR2" s="126" t="s">
        <v>108</v>
      </c>
      <c r="AS2" s="126" t="s">
        <v>109</v>
      </c>
      <c r="AT2" s="126" t="s">
        <v>110</v>
      </c>
      <c r="AU2" s="126" t="s">
        <v>111</v>
      </c>
      <c r="AV2" s="126" t="s">
        <v>112</v>
      </c>
      <c r="AW2" s="126" t="s">
        <v>113</v>
      </c>
      <c r="AX2" s="126" t="s">
        <v>114</v>
      </c>
      <c r="AY2" s="126" t="s">
        <v>115</v>
      </c>
      <c r="AZ2" s="126" t="s">
        <v>126</v>
      </c>
      <c r="BA2" s="127"/>
      <c r="BB2" s="115">
        <v>245</v>
      </c>
      <c r="BU2" s="128">
        <f>BB4</f>
        <v>6.8573141584515357E-2</v>
      </c>
      <c r="BV2" s="128">
        <f>BR4</f>
        <v>0.11217833021197235</v>
      </c>
      <c r="BX2" s="126" t="s">
        <v>127</v>
      </c>
      <c r="BY2" s="126" t="s">
        <v>128</v>
      </c>
      <c r="BZ2" s="126" t="s">
        <v>129</v>
      </c>
      <c r="CA2" s="129" t="s">
        <v>130</v>
      </c>
      <c r="CB2" s="129" t="s">
        <v>131</v>
      </c>
      <c r="CC2" s="129" t="s">
        <v>132</v>
      </c>
      <c r="CD2" s="129" t="s">
        <v>133</v>
      </c>
      <c r="CE2" s="129" t="s">
        <v>134</v>
      </c>
      <c r="CF2" s="129" t="s">
        <v>135</v>
      </c>
      <c r="CG2" s="129" t="s">
        <v>136</v>
      </c>
      <c r="CH2" s="129" t="s">
        <v>137</v>
      </c>
      <c r="CI2" s="129" t="s">
        <v>138</v>
      </c>
      <c r="CJ2" s="129" t="s">
        <v>168</v>
      </c>
      <c r="CL2" s="116">
        <f>0</f>
        <v>0</v>
      </c>
      <c r="CM2" s="116">
        <f>0</f>
        <v>0</v>
      </c>
      <c r="CN2" s="116">
        <f>0</f>
        <v>0</v>
      </c>
      <c r="CO2" s="116">
        <f>97.21</f>
        <v>97.21</v>
      </c>
      <c r="CP2" s="116">
        <f>CO2</f>
        <v>97.21</v>
      </c>
      <c r="CQ2" s="116">
        <f>CP2</f>
        <v>97.21</v>
      </c>
      <c r="CR2" s="116">
        <f>0</f>
        <v>0</v>
      </c>
      <c r="CS2" s="116">
        <f>0</f>
        <v>0</v>
      </c>
      <c r="CT2" s="116">
        <f>0</f>
        <v>0</v>
      </c>
      <c r="CU2" s="177">
        <f>'[1]Monthly BvsA'!$BG$45/100000</f>
        <v>311.99783688831911</v>
      </c>
      <c r="CV2" s="177">
        <f>'[1]Monthly BvsA'!$BM$45/100000</f>
        <v>311.99783688831911</v>
      </c>
      <c r="CW2" s="177">
        <f>'[1]Monthly BvsA'!$BS$45/10^5</f>
        <v>311.99783688831911</v>
      </c>
      <c r="CX2" s="177">
        <f>SUM(CL2:CW2)</f>
        <v>1227.6235106649574</v>
      </c>
      <c r="CZ2" s="167" t="s">
        <v>127</v>
      </c>
      <c r="DA2" s="167" t="s">
        <v>128</v>
      </c>
      <c r="DB2" s="167" t="s">
        <v>129</v>
      </c>
      <c r="DC2" s="167" t="s">
        <v>130</v>
      </c>
      <c r="DD2" s="167" t="s">
        <v>131</v>
      </c>
      <c r="DE2" s="167" t="s">
        <v>132</v>
      </c>
      <c r="DF2" s="167" t="s">
        <v>133</v>
      </c>
      <c r="DG2" s="167" t="s">
        <v>134</v>
      </c>
      <c r="DH2" s="167" t="s">
        <v>135</v>
      </c>
      <c r="DI2" s="167" t="s">
        <v>136</v>
      </c>
      <c r="DJ2" s="167" t="s">
        <v>137</v>
      </c>
      <c r="DK2" s="167" t="s">
        <v>138</v>
      </c>
      <c r="DL2" s="167" t="s">
        <v>169</v>
      </c>
    </row>
    <row r="3" spans="2:116" ht="13.5" thickTop="1" thickBot="1">
      <c r="B3" s="119" t="s">
        <v>100</v>
      </c>
      <c r="C3" s="130">
        <v>3208.1638964714966</v>
      </c>
      <c r="D3" s="130">
        <v>3907</v>
      </c>
      <c r="E3" s="130">
        <v>4390</v>
      </c>
      <c r="F3" s="130">
        <v>5065.9129614956846</v>
      </c>
      <c r="G3" s="130">
        <v>5639.5944769502867</v>
      </c>
      <c r="H3" s="130">
        <v>6060.5395956818047</v>
      </c>
      <c r="I3" s="130"/>
      <c r="K3" s="110" t="s">
        <v>101</v>
      </c>
      <c r="L3" s="131" t="s">
        <v>39</v>
      </c>
      <c r="M3" s="110"/>
      <c r="N3" s="109">
        <f>'Production in Sqm'!B18</f>
        <v>536.49142545437894</v>
      </c>
      <c r="O3" s="109">
        <f>'Production in Sqm'!C18</f>
        <v>548.69628782001655</v>
      </c>
      <c r="P3" s="109">
        <f>'Production in Sqm'!D18</f>
        <v>539.0735064599271</v>
      </c>
      <c r="Q3" s="109">
        <f>'Production in Sqm'!E18</f>
        <v>545.35596664573814</v>
      </c>
      <c r="R3" s="132">
        <f>'Production in Sqm'!F18</f>
        <v>714.98060370200199</v>
      </c>
      <c r="S3" s="132">
        <f>'Production in Sqm'!G18</f>
        <v>703.30326863885682</v>
      </c>
      <c r="T3" s="132">
        <f>'Production in Sqm'!H18</f>
        <v>698.93589092125205</v>
      </c>
      <c r="U3" s="109">
        <f>'Production in Sqm'!I18</f>
        <v>565.92894676258061</v>
      </c>
      <c r="V3" s="109">
        <f>'Production in Sqm'!J18</f>
        <v>531.67139271776557</v>
      </c>
      <c r="W3" s="109">
        <f>'Production in Sqm'!K18</f>
        <v>534.34276928197642</v>
      </c>
      <c r="X3" s="109">
        <f>'Production in Sqm'!L18</f>
        <v>527.74075313549929</v>
      </c>
      <c r="Y3" s="109">
        <f>'Production in Sqm'!M18</f>
        <v>593.18394335229823</v>
      </c>
      <c r="Z3" s="111">
        <f>SUM(N3:Y3)</f>
        <v>7039.7047548922919</v>
      </c>
      <c r="AA3" s="109">
        <f>'Production in Sqm'!N18</f>
        <v>628.53673274101743</v>
      </c>
      <c r="AB3" s="109">
        <f>'Production in Sqm'!O18</f>
        <v>641.96244022962037</v>
      </c>
      <c r="AC3" s="109">
        <f>'Production in Sqm'!P18</f>
        <v>640.06627404497874</v>
      </c>
      <c r="AD3" s="109">
        <f>'Production in Sqm'!Q18</f>
        <v>637.37837984515488</v>
      </c>
      <c r="AE3" s="109">
        <f>'Production in Sqm'!R18</f>
        <v>841.79242679771164</v>
      </c>
      <c r="AF3" s="109">
        <f>'Production in Sqm'!S18</f>
        <v>836.07528724466533</v>
      </c>
      <c r="AG3" s="109">
        <f>'Production in Sqm'!T18</f>
        <v>837.18554314330368</v>
      </c>
      <c r="AH3" s="109">
        <f>'Production in Sqm'!U18</f>
        <v>635.55683436247671</v>
      </c>
      <c r="AI3" s="109">
        <f>'Production in Sqm'!V18</f>
        <v>600.02404403985656</v>
      </c>
      <c r="AJ3" s="109">
        <f>'Production in Sqm'!W18</f>
        <v>611.54729816801341</v>
      </c>
      <c r="AK3" s="109">
        <f>'Production in Sqm'!X18</f>
        <v>609.13426697030661</v>
      </c>
      <c r="AL3" s="109">
        <f>'Production in Sqm'!Y18</f>
        <v>671.55124946052774</v>
      </c>
      <c r="AM3" s="111">
        <f>SUM(AA3:AL3)</f>
        <v>8190.8107770476327</v>
      </c>
      <c r="AN3" s="133">
        <f>'Production in Sqm'!AA18</f>
        <v>752.20809312154699</v>
      </c>
      <c r="AO3" s="133">
        <f>'Production in Sqm'!AB18</f>
        <v>753.90141109161971</v>
      </c>
      <c r="AP3" s="133">
        <f>'Production in Sqm'!AC18</f>
        <v>753.87168760317115</v>
      </c>
      <c r="AQ3" s="133">
        <f>'Production in Sqm'!AD18</f>
        <v>750.97907083010216</v>
      </c>
      <c r="AR3" s="133">
        <f>'Production in Sqm'!AE18</f>
        <v>801.21837615226002</v>
      </c>
      <c r="AS3" s="133">
        <f>'Production in Sqm'!AF18</f>
        <v>796.39373243170974</v>
      </c>
      <c r="AT3" s="133">
        <f>'Production in Sqm'!AG18</f>
        <v>789.5892389227979</v>
      </c>
      <c r="AU3" s="133">
        <f>'Production in Sqm'!AH18</f>
        <v>813.1421068787115</v>
      </c>
      <c r="AV3" s="133">
        <f>'Production in Sqm'!AI18</f>
        <v>770.75437815636269</v>
      </c>
      <c r="AW3" s="133">
        <f>'Production in Sqm'!AJ18</f>
        <v>1019.9066990979486</v>
      </c>
      <c r="AX3" s="133">
        <f>'Production in Sqm'!AK18</f>
        <v>1012.4290003971295</v>
      </c>
      <c r="AY3" s="133">
        <f>'Production in Sqm'!AL18</f>
        <v>1064.6912625040172</v>
      </c>
      <c r="AZ3" s="111">
        <f>SUM(AN3:AY3)</f>
        <v>10079.085057187376</v>
      </c>
      <c r="BA3" s="127">
        <f>Z3-479</f>
        <v>6560.7047548922919</v>
      </c>
      <c r="BB3" s="118">
        <f>AQ3-BB2</f>
        <v>505.97907083010216</v>
      </c>
      <c r="BC3" s="118">
        <f>R3-R1</f>
        <v>555.98060370200199</v>
      </c>
      <c r="BD3" s="118">
        <f>S3-S1</f>
        <v>544.30326863885682</v>
      </c>
      <c r="BE3" s="118">
        <f>T3-T1</f>
        <v>539.93589092125205</v>
      </c>
      <c r="BF3" s="118">
        <f>U3</f>
        <v>565.92894676258061</v>
      </c>
      <c r="BG3" s="118">
        <f>V3</f>
        <v>531.67139271776557</v>
      </c>
      <c r="BH3" s="118">
        <f>W3</f>
        <v>534.34276928197642</v>
      </c>
      <c r="BI3" s="118">
        <f>X3</f>
        <v>527.74075313549929</v>
      </c>
      <c r="BJ3" s="118">
        <f>Y3</f>
        <v>593.18394335229823</v>
      </c>
      <c r="BK3" s="118"/>
      <c r="BL3" s="118"/>
      <c r="BM3" s="118"/>
      <c r="BN3" s="118"/>
      <c r="BO3" s="118"/>
      <c r="BP3" s="118"/>
      <c r="BQ3" s="118"/>
      <c r="BR3" s="127">
        <f>AZ3-(BB2+BK2+BL2)</f>
        <v>9834.0850571873762</v>
      </c>
      <c r="BS3" s="127"/>
      <c r="BU3" s="127">
        <f>AZ3-AZ4</f>
        <v>-192.37676547000774</v>
      </c>
      <c r="BX3" s="133">
        <f>'Production in Sqm'!AO18</f>
        <v>809.89946240887025</v>
      </c>
      <c r="BY3" s="133">
        <f>'Production in Sqm'!AP18</f>
        <v>802.91083187975289</v>
      </c>
      <c r="BZ3" s="133">
        <f>'Production in Sqm'!AQ18</f>
        <v>792.10634205585325</v>
      </c>
      <c r="CA3" s="133">
        <f>'Production in Sqm'!AR18</f>
        <v>916.19313927211101</v>
      </c>
      <c r="CB3" s="133">
        <f>'Production in Sqm'!AS18</f>
        <v>913.9806591638287</v>
      </c>
      <c r="CC3" s="133">
        <f>'Production in Sqm'!AT18</f>
        <v>900.94002352887969</v>
      </c>
      <c r="CD3" s="133">
        <f>'Production in Sqm'!AU18</f>
        <v>799.87777054713411</v>
      </c>
      <c r="CE3" s="133">
        <f>'Production in Sqm'!AV18</f>
        <v>835.30141181151487</v>
      </c>
      <c r="CF3" s="133">
        <f>'Production in Sqm'!AW18</f>
        <v>802.59205607310673</v>
      </c>
      <c r="CG3" s="133">
        <f>'Production in Sqm'!AX18</f>
        <v>1088.6700389275586</v>
      </c>
      <c r="CH3" s="133">
        <f>'Production in Sqm'!AY18</f>
        <v>1087.3729763897447</v>
      </c>
      <c r="CI3" s="133">
        <f>'Production in Sqm'!AZ18</f>
        <v>1138.4563730861082</v>
      </c>
      <c r="CJ3" s="111">
        <f>SUM(BX3:CI3)</f>
        <v>10888.301085144463</v>
      </c>
      <c r="CK3" s="166" t="s">
        <v>155</v>
      </c>
      <c r="CL3" s="171">
        <f t="shared" ref="CL3:CM3" si="0">BX3-CL2</f>
        <v>809.89946240887025</v>
      </c>
      <c r="CM3" s="171">
        <f t="shared" si="0"/>
        <v>802.91083187975289</v>
      </c>
      <c r="CN3" s="171">
        <f t="shared" ref="CN3:CW3" si="1">BZ3-CN2</f>
        <v>792.10634205585325</v>
      </c>
      <c r="CO3" s="171">
        <f t="shared" si="1"/>
        <v>818.98313927211098</v>
      </c>
      <c r="CP3" s="171">
        <f t="shared" si="1"/>
        <v>816.77065916382867</v>
      </c>
      <c r="CQ3" s="171">
        <f t="shared" si="1"/>
        <v>803.73002352887966</v>
      </c>
      <c r="CR3" s="171">
        <f t="shared" si="1"/>
        <v>799.87777054713411</v>
      </c>
      <c r="CS3" s="171">
        <f t="shared" si="1"/>
        <v>835.30141181151487</v>
      </c>
      <c r="CT3" s="171">
        <f t="shared" si="1"/>
        <v>802.59205607310673</v>
      </c>
      <c r="CU3" s="171">
        <f t="shared" si="1"/>
        <v>776.67220203923944</v>
      </c>
      <c r="CV3" s="171">
        <f t="shared" si="1"/>
        <v>775.37513950142556</v>
      </c>
      <c r="CW3" s="171">
        <f t="shared" si="1"/>
        <v>826.45853619778904</v>
      </c>
      <c r="CX3" s="171">
        <f>SUM(CL3:CW3)</f>
        <v>9660.6775744795068</v>
      </c>
      <c r="CY3" s="127"/>
      <c r="CZ3" s="168">
        <f t="shared" ref="CZ3:DK3" si="2">CL4</f>
        <v>0.10141490889166921</v>
      </c>
      <c r="DA3" s="168">
        <f t="shared" si="2"/>
        <v>9.6596587088516955E-2</v>
      </c>
      <c r="DB3" s="168">
        <f t="shared" si="2"/>
        <v>0.11920336223564383</v>
      </c>
      <c r="DC3" s="168">
        <f t="shared" si="2"/>
        <v>9.6215124444561914E-2</v>
      </c>
      <c r="DD3" s="168">
        <f t="shared" si="2"/>
        <v>9.7350495728704245E-2</v>
      </c>
      <c r="DE3" s="168">
        <f t="shared" si="2"/>
        <v>0.10032830152651101</v>
      </c>
      <c r="DF3" s="168">
        <f t="shared" si="2"/>
        <v>0.10330334115292963</v>
      </c>
      <c r="DG3" s="168">
        <f t="shared" si="2"/>
        <v>0.11266541837220324</v>
      </c>
      <c r="DH3" s="168">
        <f t="shared" si="2"/>
        <v>0.10915164641277121</v>
      </c>
      <c r="DI3" s="168">
        <f t="shared" si="2"/>
        <v>0.10365303643924188</v>
      </c>
      <c r="DJ3" s="168">
        <f t="shared" si="2"/>
        <v>9.7286717628786143E-2</v>
      </c>
      <c r="DK3" s="168">
        <f t="shared" si="2"/>
        <v>0.10332023205373035</v>
      </c>
      <c r="DL3" s="168">
        <f t="shared" ref="DL3" si="3">CX4</f>
        <v>0.10296156344033239</v>
      </c>
    </row>
    <row r="4" spans="2:116" ht="13.5" thickTop="1" thickBot="1">
      <c r="B4" s="119" t="s">
        <v>102</v>
      </c>
      <c r="C4" s="134">
        <v>33739.543543246749</v>
      </c>
      <c r="D4" s="134">
        <v>41858</v>
      </c>
      <c r="E4" s="134">
        <v>40694</v>
      </c>
      <c r="F4" s="134">
        <v>45067.229087089625</v>
      </c>
      <c r="G4" s="134">
        <v>52815.308685495722</v>
      </c>
      <c r="H4" s="134">
        <f>'Production in Sqm'!C3</f>
        <v>58012</v>
      </c>
      <c r="I4" s="134"/>
      <c r="K4" s="110"/>
      <c r="L4" s="131" t="s">
        <v>78</v>
      </c>
      <c r="M4" s="110"/>
      <c r="N4" s="109">
        <f>'Production in Sqm'!B14</f>
        <v>535.23526357705475</v>
      </c>
      <c r="O4" s="109">
        <f>'Production in Sqm'!C14</f>
        <v>538.25542474458211</v>
      </c>
      <c r="P4" s="109">
        <f>'Production in Sqm'!D14</f>
        <v>550.32574295161908</v>
      </c>
      <c r="Q4" s="109">
        <f>'Production in Sqm'!E14</f>
        <v>563.9685724162465</v>
      </c>
      <c r="R4" s="109">
        <f>'Production in Sqm'!F14</f>
        <v>578.04469350899819</v>
      </c>
      <c r="S4" s="109">
        <f>'Production in Sqm'!G14</f>
        <v>587.44426792769377</v>
      </c>
      <c r="T4" s="109">
        <f>'Production in Sqm'!H14</f>
        <v>623.50854300443814</v>
      </c>
      <c r="U4" s="109">
        <f>'Production in Sqm'!I14</f>
        <v>633.71490816863331</v>
      </c>
      <c r="V4" s="109">
        <f>'Production in Sqm'!J14</f>
        <v>603.38133860596122</v>
      </c>
      <c r="W4" s="109">
        <f>'Production in Sqm'!K14</f>
        <v>598.01880263472583</v>
      </c>
      <c r="X4" s="109">
        <f>'Production in Sqm'!L14</f>
        <v>605.12268953636885</v>
      </c>
      <c r="Y4" s="109">
        <f>'Production in Sqm'!M14</f>
        <v>722.45461506806703</v>
      </c>
      <c r="Z4" s="111">
        <f>SUM(N4:Y4)</f>
        <v>7139.4748621443887</v>
      </c>
      <c r="AA4" s="109">
        <f>'Production in Sqm'!N14</f>
        <v>637.95573661083597</v>
      </c>
      <c r="AB4" s="109">
        <f>'Production in Sqm'!O14</f>
        <v>650.87051171667838</v>
      </c>
      <c r="AC4" s="109">
        <f>'Production in Sqm'!P14</f>
        <v>663.40558947531952</v>
      </c>
      <c r="AD4" s="109">
        <f>'Production in Sqm'!Q14</f>
        <v>655.64670951017388</v>
      </c>
      <c r="AE4" s="109">
        <f>'Production in Sqm'!R14</f>
        <v>651.52299718181621</v>
      </c>
      <c r="AF4" s="109">
        <f>'Production in Sqm'!S14</f>
        <v>780.81594727446122</v>
      </c>
      <c r="AG4" s="109">
        <f>'Production in Sqm'!T14</f>
        <v>837.54406656039441</v>
      </c>
      <c r="AH4" s="109">
        <f>'Production in Sqm'!U14</f>
        <v>726.89339124534729</v>
      </c>
      <c r="AI4" s="109">
        <f>'Production in Sqm'!V14</f>
        <v>686.88747770047041</v>
      </c>
      <c r="AJ4" s="109">
        <f>'Production in Sqm'!W14</f>
        <v>711.07600292837765</v>
      </c>
      <c r="AK4" s="109">
        <f>'Production in Sqm'!X14</f>
        <v>718.31924047069936</v>
      </c>
      <c r="AL4" s="109">
        <f>'Production in Sqm'!Y14</f>
        <v>969.60175406303165</v>
      </c>
      <c r="AM4" s="111">
        <f>SUM(AA4:AL4)+30</f>
        <v>8720.5394247376062</v>
      </c>
      <c r="AN4" s="133">
        <f>'Production in Sqm'!AA14</f>
        <v>754.03067853711707</v>
      </c>
      <c r="AO4" s="133">
        <f>'Production in Sqm'!AB14</f>
        <v>762.14719217334266</v>
      </c>
      <c r="AP4" s="133">
        <f>'Production in Sqm'!AC14</f>
        <v>782.11861026736528</v>
      </c>
      <c r="AQ4" s="133">
        <f>'Production in Sqm'!AD14</f>
        <v>792.96160045763656</v>
      </c>
      <c r="AR4" s="133">
        <f>'Production in Sqm'!AE14</f>
        <v>815.95579469087522</v>
      </c>
      <c r="AS4" s="133">
        <f>'Production in Sqm'!AF14</f>
        <v>824.24688876536061</v>
      </c>
      <c r="AT4" s="133">
        <f>'Production in Sqm'!AG14</f>
        <v>844.51026329051967</v>
      </c>
      <c r="AU4" s="133">
        <f>'Production in Sqm'!AH14</f>
        <v>834.90569738947215</v>
      </c>
      <c r="AV4" s="133">
        <f>'Production in Sqm'!AI14</f>
        <v>821.65321464788406</v>
      </c>
      <c r="AW4" s="133">
        <f>'Production in Sqm'!AJ14</f>
        <v>1195.3759157601335</v>
      </c>
      <c r="AX4" s="133">
        <f>'Production in Sqm'!AK14</f>
        <v>930.24</v>
      </c>
      <c r="AY4" s="133">
        <f>'Production in Sqm'!AL14</f>
        <v>913.31596667767644</v>
      </c>
      <c r="AZ4" s="111">
        <f>SUM(AN4:AY4)</f>
        <v>10271.461822657384</v>
      </c>
      <c r="BA4" s="135">
        <f>BA3/Z5</f>
        <v>9.7023140415443535E-2</v>
      </c>
      <c r="BB4" s="135">
        <f>BB3/AQ5</f>
        <v>6.8573141584515357E-2</v>
      </c>
      <c r="BC4" s="118"/>
      <c r="BD4" s="135">
        <f t="shared" ref="BD4:BJ4" si="4">BD3/S5</f>
        <v>9.8267425282335591E-2</v>
      </c>
      <c r="BE4" s="135">
        <f t="shared" si="4"/>
        <v>9.4925437925677231E-2</v>
      </c>
      <c r="BF4" s="135">
        <f t="shared" si="4"/>
        <v>9.8938627056395209E-2</v>
      </c>
      <c r="BG4" s="135">
        <f t="shared" si="4"/>
        <v>9.2288039006728967E-2</v>
      </c>
      <c r="BH4" s="135">
        <f t="shared" si="4"/>
        <v>8.8262763343570597E-2</v>
      </c>
      <c r="BI4" s="135">
        <f t="shared" si="4"/>
        <v>8.3701943399761974E-2</v>
      </c>
      <c r="BJ4" s="135">
        <f t="shared" si="4"/>
        <v>8.9173773805216211E-2</v>
      </c>
      <c r="BK4" s="135"/>
      <c r="BL4" s="135"/>
      <c r="BM4" s="135"/>
      <c r="BN4" s="136"/>
      <c r="BO4" s="136"/>
      <c r="BP4" s="136"/>
      <c r="BQ4" s="136"/>
      <c r="BR4" s="135">
        <f>BR3/AZ5</f>
        <v>0.11217833021197235</v>
      </c>
      <c r="BS4" s="135"/>
      <c r="BX4" s="133">
        <f>'Production in Sqm'!AO14</f>
        <v>801.75793588075646</v>
      </c>
      <c r="BY4" s="133">
        <f>'Production in Sqm'!AP14</f>
        <v>824.08365910253951</v>
      </c>
      <c r="BZ4" s="133">
        <f>'Production in Sqm'!AQ14</f>
        <v>809.94922607691274</v>
      </c>
      <c r="CA4" s="133">
        <f>'Production in Sqm'!AR14</f>
        <v>825.54018888245355</v>
      </c>
      <c r="CB4" s="133">
        <f>'Production in Sqm'!AS14</f>
        <v>828.90160755441229</v>
      </c>
      <c r="CC4" s="133">
        <f>'Production in Sqm'!AT14</f>
        <v>841.72845902569861</v>
      </c>
      <c r="CD4" s="133">
        <f>'Production in Sqm'!AU14</f>
        <v>863.96423812715693</v>
      </c>
      <c r="CE4" s="133">
        <f>'Production in Sqm'!AV14</f>
        <v>863.48849180299385</v>
      </c>
      <c r="CF4" s="133">
        <f>'Production in Sqm'!AW14</f>
        <v>797.02343380372986</v>
      </c>
      <c r="CG4" s="133">
        <f>'Production in Sqm'!AX14</f>
        <v>778.95417445268504</v>
      </c>
      <c r="CH4" s="133">
        <f>'Production in Sqm'!AY14</f>
        <v>809.04442589967039</v>
      </c>
      <c r="CI4" s="133">
        <f>'Production in Sqm'!AZ14</f>
        <v>947.4243117973183</v>
      </c>
      <c r="CJ4" s="111">
        <f>SUM(BX4:CI4)</f>
        <v>9991.860152406327</v>
      </c>
      <c r="CK4" s="166" t="s">
        <v>156</v>
      </c>
      <c r="CL4" s="151">
        <f t="shared" ref="CL4:CN4" si="5">CL3/BX5</f>
        <v>0.10141490889166921</v>
      </c>
      <c r="CM4" s="151">
        <f t="shared" si="5"/>
        <v>9.6596587088516955E-2</v>
      </c>
      <c r="CN4" s="151">
        <f t="shared" si="5"/>
        <v>0.11920336223564383</v>
      </c>
      <c r="CO4" s="151">
        <f t="shared" ref="CO4:CW4" si="6">CO3/CA5</f>
        <v>9.6215124444561914E-2</v>
      </c>
      <c r="CP4" s="151">
        <f t="shared" si="6"/>
        <v>9.7350495728704245E-2</v>
      </c>
      <c r="CQ4" s="151">
        <f t="shared" si="6"/>
        <v>0.10032830152651101</v>
      </c>
      <c r="CR4" s="151">
        <f t="shared" si="6"/>
        <v>0.10330334115292963</v>
      </c>
      <c r="CS4" s="151">
        <f t="shared" si="6"/>
        <v>0.11266541837220324</v>
      </c>
      <c r="CT4" s="151">
        <f t="shared" si="6"/>
        <v>0.10915164641277121</v>
      </c>
      <c r="CU4" s="151">
        <f t="shared" si="6"/>
        <v>0.10365303643924188</v>
      </c>
      <c r="CV4" s="151">
        <f t="shared" si="6"/>
        <v>9.7286717628786143E-2</v>
      </c>
      <c r="CW4" s="151">
        <f t="shared" si="6"/>
        <v>0.10332023205373035</v>
      </c>
      <c r="CX4" s="151">
        <f>CX3/CJ5</f>
        <v>0.10296156344033239</v>
      </c>
    </row>
    <row r="5" spans="2:116" ht="13.5" thickTop="1" thickBot="1">
      <c r="B5" s="119" t="s">
        <v>8</v>
      </c>
      <c r="C5" s="137">
        <f t="shared" ref="C5:I5" si="7">C3/C4</f>
        <v>9.5086167729546464E-2</v>
      </c>
      <c r="D5" s="137">
        <f t="shared" si="7"/>
        <v>9.3339385541593003E-2</v>
      </c>
      <c r="E5" s="137">
        <f t="shared" si="7"/>
        <v>0.107878311298963</v>
      </c>
      <c r="F5" s="137">
        <f t="shared" si="7"/>
        <v>0.11240790845397045</v>
      </c>
      <c r="G5" s="137">
        <f t="shared" si="7"/>
        <v>0.10677954209323871</v>
      </c>
      <c r="H5" s="137">
        <f t="shared" si="7"/>
        <v>0.10447044741918576</v>
      </c>
      <c r="I5" s="137" t="e">
        <f t="shared" si="7"/>
        <v>#DIV/0!</v>
      </c>
      <c r="K5" s="110" t="str">
        <f>B4</f>
        <v>Sales(Rs Lakhs)</v>
      </c>
      <c r="L5" s="131" t="s">
        <v>39</v>
      </c>
      <c r="M5" s="110"/>
      <c r="N5" s="109">
        <f>'Production in Sqm'!B17</f>
        <v>5144</v>
      </c>
      <c r="O5" s="109">
        <f>'Production in Sqm'!C17</f>
        <v>5287</v>
      </c>
      <c r="P5" s="109">
        <f>'Production in Sqm'!D17</f>
        <v>4530</v>
      </c>
      <c r="Q5" s="109">
        <f>'Production in Sqm'!E17</f>
        <v>5578</v>
      </c>
      <c r="R5" s="109">
        <f>'Production in Sqm'!F17</f>
        <v>5362</v>
      </c>
      <c r="S5" s="109">
        <f>'Production in Sqm'!G17</f>
        <v>5539</v>
      </c>
      <c r="T5" s="109">
        <f>'Production in Sqm'!H17</f>
        <v>5688</v>
      </c>
      <c r="U5" s="109">
        <f>'Production in Sqm'!I17</f>
        <v>5720</v>
      </c>
      <c r="V5" s="109">
        <f>'Production in Sqm'!J17</f>
        <v>5761</v>
      </c>
      <c r="W5" s="109">
        <f>'Production in Sqm'!K17</f>
        <v>6054</v>
      </c>
      <c r="X5" s="109">
        <f>'Production in Sqm'!L17</f>
        <v>6305</v>
      </c>
      <c r="Y5" s="109">
        <f>'Production in Sqm'!M17</f>
        <v>6652</v>
      </c>
      <c r="Z5" s="111">
        <f>SUM(N5:Y5)</f>
        <v>67620</v>
      </c>
      <c r="AA5" s="109">
        <f>'Production in Sqm'!N17</f>
        <v>6570</v>
      </c>
      <c r="AB5" s="109">
        <f>'Production in Sqm'!O17</f>
        <v>6411</v>
      </c>
      <c r="AC5" s="109">
        <f>'Production in Sqm'!P17</f>
        <v>6417</v>
      </c>
      <c r="AD5" s="109">
        <f>'Production in Sqm'!Q17</f>
        <v>6767</v>
      </c>
      <c r="AE5" s="109">
        <f>'Production in Sqm'!R17</f>
        <v>6684</v>
      </c>
      <c r="AF5" s="109">
        <f>'Production in Sqm'!S17</f>
        <v>7038</v>
      </c>
      <c r="AG5" s="109">
        <f>'Production in Sqm'!T17</f>
        <v>6349</v>
      </c>
      <c r="AH5" s="109">
        <f>'Production in Sqm'!U17</f>
        <v>6446</v>
      </c>
      <c r="AI5" s="109">
        <f>'Production in Sqm'!V17</f>
        <v>6035</v>
      </c>
      <c r="AJ5" s="109">
        <f>'Production in Sqm'!W17</f>
        <v>6610</v>
      </c>
      <c r="AK5" s="109">
        <f>'Production in Sqm'!X17</f>
        <v>6940</v>
      </c>
      <c r="AL5" s="109">
        <f>'Production in Sqm'!Y17</f>
        <v>7137</v>
      </c>
      <c r="AM5" s="111">
        <f>SUM(AA5:AL5)</f>
        <v>79404</v>
      </c>
      <c r="AN5" s="133">
        <f>'Production in Sqm'!AA17</f>
        <v>7146.7323899835064</v>
      </c>
      <c r="AO5" s="133">
        <f>'Production in Sqm'!AB17</f>
        <v>7842.3633732752223</v>
      </c>
      <c r="AP5" s="133">
        <f>'Production in Sqm'!AC17</f>
        <v>6777.0949517773088</v>
      </c>
      <c r="AQ5" s="133">
        <f>'Production in Sqm'!AD17</f>
        <v>7378.6771196196487</v>
      </c>
      <c r="AR5" s="133">
        <f>'Production in Sqm'!AE17</f>
        <v>7615.224287109977</v>
      </c>
      <c r="AS5" s="133">
        <f>'Production in Sqm'!AF17</f>
        <v>7553.9209261467158</v>
      </c>
      <c r="AT5" s="133">
        <f>'Production in Sqm'!AG17</f>
        <v>6930.6909064915953</v>
      </c>
      <c r="AU5" s="133">
        <f>'Production in Sqm'!AH17</f>
        <v>7445.096662221099</v>
      </c>
      <c r="AV5" s="133">
        <f>'Production in Sqm'!AI17</f>
        <v>6540.596563857106</v>
      </c>
      <c r="AW5" s="133">
        <f>'Production in Sqm'!AJ17</f>
        <v>7331.8827636167689</v>
      </c>
      <c r="AX5" s="133">
        <f>'Production in Sqm'!AK17</f>
        <v>7458.8157933684488</v>
      </c>
      <c r="AY5" s="133">
        <f>'Production in Sqm'!AL17</f>
        <v>7643.6523346858712</v>
      </c>
      <c r="AZ5" s="111">
        <f>SUM(AN5:AY5)</f>
        <v>87664.748072153277</v>
      </c>
      <c r="BA5" s="138">
        <f>(AX6-AX5)/AX5</f>
        <v>2.3218726863522676E-2</v>
      </c>
      <c r="BB5" s="139" t="s">
        <v>97</v>
      </c>
      <c r="BX5" s="133">
        <f>'Production in Sqm'!AO17</f>
        <v>7986</v>
      </c>
      <c r="BY5" s="133">
        <f>'Production in Sqm'!AP17</f>
        <v>8312</v>
      </c>
      <c r="BZ5" s="133">
        <f>'Production in Sqm'!AQ17</f>
        <v>6645</v>
      </c>
      <c r="CA5" s="133">
        <f>'Production in Sqm'!AR17</f>
        <v>8512</v>
      </c>
      <c r="CB5" s="133">
        <f>'Production in Sqm'!AS17</f>
        <v>8390</v>
      </c>
      <c r="CC5" s="133">
        <f>'Production in Sqm'!AT17</f>
        <v>8011</v>
      </c>
      <c r="CD5" s="133">
        <f>'Production in Sqm'!AU17</f>
        <v>7743</v>
      </c>
      <c r="CE5" s="133">
        <f>'Production in Sqm'!AV17</f>
        <v>7414</v>
      </c>
      <c r="CF5" s="133">
        <f>'Production in Sqm'!AW17</f>
        <v>7353</v>
      </c>
      <c r="CG5" s="133">
        <f>'Production in Sqm'!AX17</f>
        <v>7493</v>
      </c>
      <c r="CH5" s="133">
        <f>'Production in Sqm'!AY17</f>
        <v>7970</v>
      </c>
      <c r="CI5" s="133">
        <f>'Production in Sqm'!AZ17</f>
        <v>7999</v>
      </c>
      <c r="CJ5" s="111">
        <f>SUM(BX5:CI5)</f>
        <v>93828</v>
      </c>
      <c r="CX5" s="127">
        <f>CX3-CJ4</f>
        <v>-331.18257792682016</v>
      </c>
    </row>
    <row r="6" spans="2:116" ht="13.5" thickTop="1" thickBot="1">
      <c r="B6" s="119" t="s">
        <v>9</v>
      </c>
      <c r="C6" s="134">
        <v>1334.25</v>
      </c>
      <c r="D6" s="134">
        <v>1463</v>
      </c>
      <c r="E6" s="134">
        <v>1683</v>
      </c>
      <c r="F6" s="134">
        <v>1872.75</v>
      </c>
      <c r="G6" s="134">
        <v>1842.75</v>
      </c>
      <c r="H6" s="134">
        <f>'Production in Sqm'!E3</f>
        <v>1819</v>
      </c>
      <c r="I6" s="134"/>
      <c r="K6" s="110"/>
      <c r="L6" s="131" t="s">
        <v>78</v>
      </c>
      <c r="M6" s="110"/>
      <c r="N6" s="109">
        <f>'Production in Sqm'!B13</f>
        <v>5209.4699238701269</v>
      </c>
      <c r="O6" s="109">
        <f>'Production in Sqm'!C13</f>
        <v>5554.9664768336224</v>
      </c>
      <c r="P6" s="109">
        <f>'Production in Sqm'!D13</f>
        <v>4922.9037894380181</v>
      </c>
      <c r="Q6" s="109">
        <f>'Production in Sqm'!E13</f>
        <v>5948.2839382808688</v>
      </c>
      <c r="R6" s="109">
        <f>'Production in Sqm'!F13</f>
        <v>5666.7388844194738</v>
      </c>
      <c r="S6" s="109">
        <f>'Production in Sqm'!G13</f>
        <v>5715.9293708784535</v>
      </c>
      <c r="T6" s="109">
        <f>'Production in Sqm'!H13</f>
        <v>5790.4793709433643</v>
      </c>
      <c r="U6" s="109">
        <f>'Production in Sqm'!I13</f>
        <v>5028.374183929338</v>
      </c>
      <c r="V6" s="109">
        <f>'Production in Sqm'!J13</f>
        <v>5416.3454451096441</v>
      </c>
      <c r="W6" s="109">
        <f>'Production in Sqm'!K13</f>
        <v>5654.5825153236792</v>
      </c>
      <c r="X6" s="109">
        <f>'Production in Sqm'!L13</f>
        <v>5955.2691215633413</v>
      </c>
      <c r="Y6" s="109">
        <f>'Production in Sqm'!M13</f>
        <v>6548.0302010008445</v>
      </c>
      <c r="Z6" s="111">
        <f>SUM(N6:Y6)</f>
        <v>67411.373221590766</v>
      </c>
      <c r="AA6" s="109">
        <f>'Production in Sqm'!N13</f>
        <v>6573.3940132191274</v>
      </c>
      <c r="AB6" s="109">
        <f>'Production in Sqm'!O13</f>
        <v>6455.7749961157369</v>
      </c>
      <c r="AC6" s="109">
        <f>'Production in Sqm'!P13</f>
        <v>5497.3931216443825</v>
      </c>
      <c r="AD6" s="109">
        <f>'Production in Sqm'!Q13</f>
        <v>7010.5145441167997</v>
      </c>
      <c r="AE6" s="109">
        <f>'Production in Sqm'!R13</f>
        <v>6545.1280281982454</v>
      </c>
      <c r="AF6" s="109">
        <f>'Production in Sqm'!S13</f>
        <v>7146.043662312024</v>
      </c>
      <c r="AG6" s="109">
        <f>'Production in Sqm'!T13</f>
        <v>6545.7741685344854</v>
      </c>
      <c r="AH6" s="109">
        <f>'Production in Sqm'!U13</f>
        <v>7120.3811194385171</v>
      </c>
      <c r="AI6" s="109">
        <f>'Production in Sqm'!V13</f>
        <v>5845.6023723764565</v>
      </c>
      <c r="AJ6" s="109">
        <f>'Production in Sqm'!W13</f>
        <v>7379.9162184210154</v>
      </c>
      <c r="AK6" s="109">
        <f>'Production in Sqm'!X13</f>
        <v>7032.1927492331615</v>
      </c>
      <c r="AL6" s="109">
        <f>'Production in Sqm'!Y13</f>
        <v>7526.8158273268591</v>
      </c>
      <c r="AM6" s="111">
        <f>SUM(AA6:AL6)</f>
        <v>80678.930820936832</v>
      </c>
      <c r="AN6" s="133">
        <f>'Production in Sqm'!AA13</f>
        <v>6786.2602552714025</v>
      </c>
      <c r="AO6" s="133">
        <f>'Production in Sqm'!AB13</f>
        <v>7240.7036089343301</v>
      </c>
      <c r="AP6" s="133">
        <f>'Production in Sqm'!AC13</f>
        <v>6652.3656758793022</v>
      </c>
      <c r="AQ6" s="133">
        <f>'Production in Sqm'!AD13</f>
        <v>7845.0656695264461</v>
      </c>
      <c r="AR6" s="133">
        <f>'Production in Sqm'!AE13</f>
        <v>7895.0775401599667</v>
      </c>
      <c r="AS6" s="133">
        <f>'Production in Sqm'!AF13</f>
        <v>7635.6412564393104</v>
      </c>
      <c r="AT6" s="133">
        <f>'Production in Sqm'!AG13</f>
        <v>7305.0822209224689</v>
      </c>
      <c r="AU6" s="133">
        <f>'Production in Sqm'!AH13</f>
        <v>7716.097759610434</v>
      </c>
      <c r="AV6" s="133">
        <f>'Production in Sqm'!AI13</f>
        <v>6684.998312785141</v>
      </c>
      <c r="AW6" s="133">
        <f>'Production in Sqm'!AJ13</f>
        <v>7771.5194239234243</v>
      </c>
      <c r="AX6" s="133">
        <f>'Production in Sqm'!AK13</f>
        <v>7632</v>
      </c>
      <c r="AY6" s="133">
        <f>'Production in Sqm'!AL13</f>
        <v>8025.5313428201571</v>
      </c>
      <c r="AZ6" s="111">
        <f>SUM(AN6:AY6)</f>
        <v>89190.343066272399</v>
      </c>
      <c r="BB6" s="127">
        <f>AZ3-BB2</f>
        <v>9834.0850571873762</v>
      </c>
      <c r="BK6" s="127">
        <f>BB6-AZ4</f>
        <v>-437.37676547000774</v>
      </c>
      <c r="BL6" s="115">
        <f>224.64+134+69+243+29</f>
        <v>699.64</v>
      </c>
      <c r="BM6" s="127">
        <f>BL6+BK6</f>
        <v>262.26323452999225</v>
      </c>
      <c r="BR6" s="127">
        <f>AZ4-BB6</f>
        <v>437.37676547000774</v>
      </c>
      <c r="BX6" s="133">
        <f>'Production in Sqm'!AO13</f>
        <v>8060.8739213077397</v>
      </c>
      <c r="BY6" s="133">
        <f>'Production in Sqm'!AP13</f>
        <v>8592.6371780066092</v>
      </c>
      <c r="BZ6" s="133">
        <f>'Production in Sqm'!AQ13</f>
        <v>6950.1950409083302</v>
      </c>
      <c r="CA6" s="133">
        <f>'Production in Sqm'!AR13</f>
        <v>8586.6641796708318</v>
      </c>
      <c r="CB6" s="133">
        <f>'Production in Sqm'!AS13</f>
        <v>7836.571936439741</v>
      </c>
      <c r="CC6" s="133">
        <f>'Production in Sqm'!AT13</f>
        <v>7574.6248366513864</v>
      </c>
      <c r="CD6" s="133">
        <f>'Production in Sqm'!AU13</f>
        <v>7441.6447068903581</v>
      </c>
      <c r="CE6" s="133">
        <f>'Production in Sqm'!AV13</f>
        <v>6443.1899128734822</v>
      </c>
      <c r="CF6" s="133">
        <f>'Production in Sqm'!AW13</f>
        <v>6674.5918956929145</v>
      </c>
      <c r="CG6" s="133">
        <f>'Production in Sqm'!AX13</f>
        <v>6850.6975107376693</v>
      </c>
      <c r="CH6" s="133">
        <f>'Production in Sqm'!AY13</f>
        <v>6814.6285622577043</v>
      </c>
      <c r="CI6" s="133">
        <f>'Production in Sqm'!AZ13</f>
        <v>6882.5556844953835</v>
      </c>
      <c r="CJ6" s="111">
        <f>SUM(BX6:CI6)</f>
        <v>88708.875365932137</v>
      </c>
      <c r="CK6" s="172"/>
      <c r="CL6" s="172"/>
      <c r="CM6" s="172"/>
      <c r="CN6" s="172"/>
      <c r="CZ6" s="179" t="s">
        <v>166</v>
      </c>
      <c r="DA6" s="179" t="s">
        <v>130</v>
      </c>
      <c r="DB6" s="179" t="s">
        <v>131</v>
      </c>
      <c r="DC6" s="179" t="s">
        <v>132</v>
      </c>
      <c r="DD6" s="179" t="s">
        <v>133</v>
      </c>
      <c r="DE6" s="179" t="s">
        <v>134</v>
      </c>
      <c r="DF6" s="179" t="s">
        <v>135</v>
      </c>
      <c r="DG6" s="179" t="s">
        <v>136</v>
      </c>
      <c r="DH6" s="179" t="s">
        <v>137</v>
      </c>
      <c r="DI6" s="179" t="s">
        <v>138</v>
      </c>
    </row>
    <row r="7" spans="2:116" ht="13.5" thickTop="1" thickBot="1">
      <c r="B7" s="119" t="s">
        <v>10</v>
      </c>
      <c r="C7" s="134">
        <v>3180.3989932303543</v>
      </c>
      <c r="D7" s="134">
        <v>3667</v>
      </c>
      <c r="E7" s="134">
        <v>3046</v>
      </c>
      <c r="F7" s="134">
        <v>2915.5687135203789</v>
      </c>
      <c r="G7" s="134">
        <v>2852.0079023362368</v>
      </c>
      <c r="H7" s="134">
        <f>'Production in Sqm'!H3</f>
        <v>3188.3007146783948</v>
      </c>
      <c r="I7" s="134"/>
      <c r="K7" s="110" t="str">
        <f>B5</f>
        <v>% to Sales</v>
      </c>
      <c r="L7" s="131" t="s">
        <v>39</v>
      </c>
      <c r="M7" s="110"/>
      <c r="N7" s="112">
        <f t="shared" ref="N7:W7" si="8">N3/N5</f>
        <v>0.10429460059377507</v>
      </c>
      <c r="O7" s="112">
        <f t="shared" si="8"/>
        <v>0.10378216149423426</v>
      </c>
      <c r="P7" s="112">
        <f t="shared" si="8"/>
        <v>0.11900077405296404</v>
      </c>
      <c r="Q7" s="112">
        <f t="shared" si="8"/>
        <v>9.7769086885216586E-2</v>
      </c>
      <c r="R7" s="140">
        <f t="shared" si="8"/>
        <v>0.13334214914248452</v>
      </c>
      <c r="S7" s="140">
        <f t="shared" si="8"/>
        <v>0.12697296779903536</v>
      </c>
      <c r="T7" s="140">
        <f t="shared" si="8"/>
        <v>0.12287902442356752</v>
      </c>
      <c r="U7" s="112">
        <f t="shared" si="8"/>
        <v>9.8938627056395209E-2</v>
      </c>
      <c r="V7" s="112">
        <f t="shared" si="8"/>
        <v>9.2288039006728967E-2</v>
      </c>
      <c r="W7" s="112">
        <f t="shared" si="8"/>
        <v>8.8262763343570597E-2</v>
      </c>
      <c r="X7" s="112">
        <f t="shared" ref="X7:AB8" si="9">X3/X5</f>
        <v>8.3701943399761974E-2</v>
      </c>
      <c r="Y7" s="112">
        <f t="shared" si="9"/>
        <v>8.9173773805216211E-2</v>
      </c>
      <c r="Z7" s="112">
        <f>Z3/Z5</f>
        <v>0.1041068434618795</v>
      </c>
      <c r="AA7" s="112">
        <f t="shared" si="9"/>
        <v>9.5667691436988958E-2</v>
      </c>
      <c r="AB7" s="112">
        <f t="shared" si="9"/>
        <v>0.10013452507091256</v>
      </c>
      <c r="AC7" s="112">
        <f t="shared" ref="AC7:AI8" si="10">AC3/AC5</f>
        <v>9.9745406583291063E-2</v>
      </c>
      <c r="AD7" s="112">
        <f t="shared" si="10"/>
        <v>9.4189209375669408E-2</v>
      </c>
      <c r="AE7" s="112">
        <f t="shared" si="10"/>
        <v>0.12594141633718009</v>
      </c>
      <c r="AF7" s="112">
        <f t="shared" si="10"/>
        <v>0.11879444263209227</v>
      </c>
      <c r="AG7" s="112">
        <f t="shared" si="10"/>
        <v>0.13186100852784749</v>
      </c>
      <c r="AH7" s="112">
        <f t="shared" si="10"/>
        <v>9.8597088793434179E-2</v>
      </c>
      <c r="AI7" s="112">
        <f t="shared" si="10"/>
        <v>9.9424033809421136E-2</v>
      </c>
      <c r="AJ7" s="112">
        <f t="shared" ref="AJ7:AK7" si="11">AJ3/AJ5</f>
        <v>9.2518501992135155E-2</v>
      </c>
      <c r="AK7" s="112">
        <f t="shared" si="11"/>
        <v>8.7771508208977903E-2</v>
      </c>
      <c r="AL7" s="112">
        <f t="shared" ref="AL7" si="12">AL3/AL5</f>
        <v>9.4094332276940973E-2</v>
      </c>
      <c r="AM7" s="112">
        <f>AM3/AM5</f>
        <v>0.10315362925101547</v>
      </c>
      <c r="AN7" s="141">
        <f>IFERROR(AN3/AN5,"")</f>
        <v>0.1052520301691726</v>
      </c>
      <c r="AO7" s="141">
        <f t="shared" ref="AO7:AZ7" si="13">IFERROR(AO3/AO5,"")</f>
        <v>9.6131915241357446E-2</v>
      </c>
      <c r="AP7" s="141">
        <f t="shared" si="13"/>
        <v>0.11123817697219464</v>
      </c>
      <c r="AQ7" s="141">
        <f t="shared" ref="AQ7" si="14">IFERROR(AQ3/AQ5,"")</f>
        <v>0.10177692541028455</v>
      </c>
      <c r="AR7" s="141">
        <f t="shared" si="13"/>
        <v>0.10521270890319728</v>
      </c>
      <c r="AS7" s="141">
        <f t="shared" si="13"/>
        <v>0.10542786192997035</v>
      </c>
      <c r="AT7" s="141">
        <f t="shared" ref="AT7:AU7" si="15">IFERROR(AT3/AT5,"")</f>
        <v>0.11392648288256994</v>
      </c>
      <c r="AU7" s="141">
        <f t="shared" si="15"/>
        <v>0.10921847543026077</v>
      </c>
      <c r="AV7" s="141">
        <f t="shared" ref="AV7:AW7" si="16">IFERROR(AV3/AV5,"")</f>
        <v>0.11784160215835651</v>
      </c>
      <c r="AW7" s="141">
        <f t="shared" si="16"/>
        <v>0.13910570203864464</v>
      </c>
      <c r="AX7" s="141">
        <f t="shared" ref="AX7:AY7" si="17">IFERROR(AX3/AX5,"")</f>
        <v>0.13573589004534325</v>
      </c>
      <c r="AY7" s="141">
        <f t="shared" si="17"/>
        <v>0.1392909064783848</v>
      </c>
      <c r="AZ7" s="112">
        <f t="shared" si="13"/>
        <v>0.11497306818119973</v>
      </c>
      <c r="BA7" s="138">
        <f>(AZ5-AZ6)/AZ5</f>
        <v>-1.7402605125420152E-2</v>
      </c>
      <c r="BX7" s="141">
        <f t="shared" ref="BX7:BY7" si="18">IFERROR(BX3/BX5,"")</f>
        <v>0.10141490889166921</v>
      </c>
      <c r="BY7" s="141">
        <f t="shared" si="18"/>
        <v>9.6596587088516955E-2</v>
      </c>
      <c r="BZ7" s="141">
        <f t="shared" ref="BZ7:CA7" si="19">IFERROR(BZ3/BZ5,"")</f>
        <v>0.11920336223564383</v>
      </c>
      <c r="CA7" s="141">
        <f t="shared" si="19"/>
        <v>0.10763547218892282</v>
      </c>
      <c r="CB7" s="141">
        <f t="shared" ref="CB7:CD7" si="20">IFERROR(CB3/CB5,"")</f>
        <v>0.10893690812441344</v>
      </c>
      <c r="CC7" s="141">
        <f t="shared" si="20"/>
        <v>0.11246286649967291</v>
      </c>
      <c r="CD7" s="141">
        <f t="shared" si="20"/>
        <v>0.10330334115292963</v>
      </c>
      <c r="CE7" s="141">
        <f t="shared" ref="CE7" si="21">IFERROR(CE3/CE5,"")</f>
        <v>0.11266541837220324</v>
      </c>
      <c r="CF7" s="141">
        <f t="shared" ref="CF7:CG7" si="22">IFERROR(CF3/CF5,"")</f>
        <v>0.10915164641277121</v>
      </c>
      <c r="CG7" s="141">
        <f t="shared" si="22"/>
        <v>0.14529161069365523</v>
      </c>
      <c r="CH7" s="141">
        <f t="shared" ref="CH7:CI7" si="23">IFERROR(CH3/CH5,"")</f>
        <v>0.13643324672393284</v>
      </c>
      <c r="CI7" s="141">
        <f t="shared" si="23"/>
        <v>0.14232483724041858</v>
      </c>
      <c r="CJ7" s="112">
        <f>IFERROR(CJ3/CJ5,"")</f>
        <v>0.11604532852820547</v>
      </c>
      <c r="CK7" s="173"/>
      <c r="CL7" s="173"/>
      <c r="CM7" s="173"/>
      <c r="CN7" s="173"/>
      <c r="CO7" s="127">
        <f>CP3-CB4</f>
        <v>-12.130948390583626</v>
      </c>
      <c r="CP7" s="127">
        <f>CQ3-CC4</f>
        <v>-37.998435496818956</v>
      </c>
      <c r="CQ7" s="127">
        <f>CR3-CD4</f>
        <v>-64.086467580022827</v>
      </c>
      <c r="CX7" s="155">
        <f>SUM(CO2:CQ2)</f>
        <v>291.63</v>
      </c>
      <c r="CZ7" s="179">
        <f>66736</f>
        <v>66736</v>
      </c>
      <c r="DA7" s="167">
        <f>5</f>
        <v>5</v>
      </c>
      <c r="DB7" s="167">
        <f>10</f>
        <v>10</v>
      </c>
      <c r="DC7" s="167">
        <f>15</f>
        <v>15</v>
      </c>
      <c r="DD7" s="167">
        <f>15</f>
        <v>15</v>
      </c>
      <c r="DE7" s="167">
        <f>15</f>
        <v>15</v>
      </c>
      <c r="DF7" s="167">
        <f>15</f>
        <v>15</v>
      </c>
      <c r="DG7" s="167">
        <f>15</f>
        <v>15</v>
      </c>
      <c r="DH7" s="167">
        <f>15</f>
        <v>15</v>
      </c>
      <c r="DI7" s="167">
        <f>15</f>
        <v>15</v>
      </c>
    </row>
    <row r="8" spans="2:116" ht="13.5" thickTop="1" thickBot="1">
      <c r="B8" s="119" t="s">
        <v>11</v>
      </c>
      <c r="C8" s="134">
        <v>1129.25</v>
      </c>
      <c r="D8" s="134">
        <v>1246</v>
      </c>
      <c r="E8" s="134">
        <v>1310</v>
      </c>
      <c r="F8" s="134">
        <v>1440.75</v>
      </c>
      <c r="G8" s="134">
        <v>1414.75</v>
      </c>
      <c r="H8" s="134">
        <f>'Production in Sqm'!F3</f>
        <v>1376</v>
      </c>
      <c r="I8" s="134"/>
      <c r="K8" s="110" t="s">
        <v>8</v>
      </c>
      <c r="L8" s="131" t="s">
        <v>78</v>
      </c>
      <c r="M8" s="110"/>
      <c r="N8" s="112">
        <f t="shared" ref="N8:W8" si="24">N4/N6</f>
        <v>0.10274274953092104</v>
      </c>
      <c r="O8" s="112">
        <f t="shared" si="24"/>
        <v>9.6896250767545988E-2</v>
      </c>
      <c r="P8" s="112">
        <f t="shared" si="24"/>
        <v>0.11178884790158419</v>
      </c>
      <c r="Q8" s="112">
        <f t="shared" si="24"/>
        <v>9.481197909648556E-2</v>
      </c>
      <c r="R8" s="112">
        <f t="shared" si="24"/>
        <v>0.10200658708632482</v>
      </c>
      <c r="S8" s="112">
        <f t="shared" si="24"/>
        <v>0.10277318521824427</v>
      </c>
      <c r="T8" s="112">
        <f t="shared" si="24"/>
        <v>0.10767822542175094</v>
      </c>
      <c r="U8" s="142">
        <f t="shared" si="24"/>
        <v>0.12602779446962867</v>
      </c>
      <c r="V8" s="142">
        <f t="shared" si="24"/>
        <v>0.11140008419343846</v>
      </c>
      <c r="W8" s="142">
        <f t="shared" si="24"/>
        <v>0.10575825907821138</v>
      </c>
      <c r="X8" s="142">
        <f>X4/X6</f>
        <v>0.10161130877281255</v>
      </c>
      <c r="Y8" s="142">
        <f>Y4/Y6</f>
        <v>0.11033159482948662</v>
      </c>
      <c r="Z8" s="142">
        <f>Z4/Z6</f>
        <v>0.10590905541526235</v>
      </c>
      <c r="AA8" s="112">
        <f t="shared" si="9"/>
        <v>9.7051193847182124E-2</v>
      </c>
      <c r="AB8" s="112">
        <f t="shared" si="9"/>
        <v>0.10081988794657332</v>
      </c>
      <c r="AC8" s="142">
        <f t="shared" si="10"/>
        <v>0.12067639602912032</v>
      </c>
      <c r="AD8" s="142">
        <f t="shared" si="10"/>
        <v>9.3523336323492884E-2</v>
      </c>
      <c r="AE8" s="112">
        <f t="shared" si="10"/>
        <v>9.9543201351428509E-2</v>
      </c>
      <c r="AF8" s="112">
        <f t="shared" si="10"/>
        <v>0.10926548789401558</v>
      </c>
      <c r="AG8" s="112">
        <f t="shared" si="10"/>
        <v>0.12795187322325691</v>
      </c>
      <c r="AH8" s="112">
        <f t="shared" si="10"/>
        <v>0.10208630395653133</v>
      </c>
      <c r="AI8" s="112">
        <f t="shared" si="10"/>
        <v>0.11750499502777931</v>
      </c>
      <c r="AJ8" s="112">
        <f t="shared" ref="AJ8:AK8" si="25">AJ4/AJ6</f>
        <v>9.6352855761893369E-2</v>
      </c>
      <c r="AK8" s="112">
        <f t="shared" si="25"/>
        <v>0.10214726275087238</v>
      </c>
      <c r="AL8" s="112">
        <f t="shared" ref="AL8" si="26">AL4/AL6</f>
        <v>0.1288196464888639</v>
      </c>
      <c r="AM8" s="143">
        <f>AM4/AM6</f>
        <v>0.1080894272643801</v>
      </c>
      <c r="AN8" s="144">
        <f>IFERROR(AN4/AN6,"")</f>
        <v>0.11111137064798013</v>
      </c>
      <c r="AO8" s="144">
        <f t="shared" ref="AO8:AZ8" si="27">IFERROR(AO4/AO6,"")</f>
        <v>0.10525871977868649</v>
      </c>
      <c r="AP8" s="144">
        <f t="shared" si="27"/>
        <v>0.11756999665596191</v>
      </c>
      <c r="AQ8" s="145">
        <f t="shared" ref="AQ8" si="28">IFERROR(AQ4/AQ6,"")</f>
        <v>0.1010777517819685</v>
      </c>
      <c r="AR8" s="145">
        <f t="shared" si="27"/>
        <v>0.10334994058517412</v>
      </c>
      <c r="AS8" s="144">
        <f t="shared" si="27"/>
        <v>0.107947304107596</v>
      </c>
      <c r="AT8" s="144">
        <f t="shared" ref="AT8:AU8" si="29">IFERROR(AT4/AT6,"")</f>
        <v>0.11560585326086541</v>
      </c>
      <c r="AU8" s="145">
        <f t="shared" si="29"/>
        <v>0.10820309998659534</v>
      </c>
      <c r="AV8" s="145">
        <f t="shared" ref="AV8:AW8" si="30">IFERROR(AV4/AV6,"")</f>
        <v>0.12291001077389388</v>
      </c>
      <c r="AW8" s="144">
        <f t="shared" si="30"/>
        <v>0.15381495568039796</v>
      </c>
      <c r="AX8" s="145">
        <f t="shared" ref="AX8:AY8" si="31">IFERROR(AX4/AX6,"")</f>
        <v>0.12188679245283018</v>
      </c>
      <c r="AY8" s="145">
        <f t="shared" si="31"/>
        <v>0.11380130830773616</v>
      </c>
      <c r="AZ8" s="143">
        <f t="shared" si="27"/>
        <v>0.11516338506541263</v>
      </c>
      <c r="BA8" s="136">
        <f>AZ8-AZ7</f>
        <v>1.9031688421289328E-4</v>
      </c>
      <c r="BX8" s="145">
        <f t="shared" ref="BX8:BY8" si="32">IFERROR(BX4/BX6,"")</f>
        <v>9.9462904854699039E-2</v>
      </c>
      <c r="BY8" s="145">
        <f t="shared" si="32"/>
        <v>9.5905790274938299E-2</v>
      </c>
      <c r="BZ8" s="145">
        <f t="shared" ref="BZ8:CA8" si="33">IFERROR(BZ4/BZ6,"")</f>
        <v>0.11653618658319831</v>
      </c>
      <c r="CA8" s="145">
        <f t="shared" si="33"/>
        <v>9.6142130588610084E-2</v>
      </c>
      <c r="CB8" s="145">
        <f t="shared" ref="CB8:CD8" si="34">IFERROR(CB4/CB6,"")</f>
        <v>0.10577349564036458</v>
      </c>
      <c r="CC8" s="145">
        <f t="shared" si="34"/>
        <v>0.11112477214090151</v>
      </c>
      <c r="CD8" s="144">
        <f t="shared" si="34"/>
        <v>0.11609856048719933</v>
      </c>
      <c r="CE8" s="144">
        <f t="shared" ref="CE8" si="35">IFERROR(CE4/CE6,"")</f>
        <v>0.13401568221320706</v>
      </c>
      <c r="CF8" s="144">
        <f t="shared" ref="CF8:CG8" si="36">IFERROR(CF4/CF6,"")</f>
        <v>0.11941156047578665</v>
      </c>
      <c r="CG8" s="145">
        <f t="shared" si="36"/>
        <v>0.11370435977238307</v>
      </c>
      <c r="CH8" s="145">
        <f t="shared" ref="CH8:CI8" si="37">IFERROR(CH4/CH6,"")</f>
        <v>0.11872172026814501</v>
      </c>
      <c r="CI8" s="145">
        <f t="shared" si="37"/>
        <v>0.13765588761332073</v>
      </c>
      <c r="CJ8" s="144">
        <f>IFERROR(CJ4/CJ6,"")</f>
        <v>0.11263653282931387</v>
      </c>
      <c r="CQ8" s="127">
        <f>CD3-CD4</f>
        <v>-64.086467580022827</v>
      </c>
      <c r="CR8" s="127">
        <f>CE3-CE4</f>
        <v>-28.187079991478981</v>
      </c>
      <c r="CX8" s="155">
        <f>CU2*3</f>
        <v>935.99351066495728</v>
      </c>
      <c r="DA8" s="167">
        <f>DA7*$CZ$7</f>
        <v>333680</v>
      </c>
      <c r="DB8" s="167">
        <f t="shared" ref="DB8:DI8" si="38">DB7*$CZ$7</f>
        <v>667360</v>
      </c>
      <c r="DC8" s="167">
        <f t="shared" si="38"/>
        <v>1001040</v>
      </c>
      <c r="DD8" s="167">
        <f t="shared" si="38"/>
        <v>1001040</v>
      </c>
      <c r="DE8" s="167">
        <f t="shared" si="38"/>
        <v>1001040</v>
      </c>
      <c r="DF8" s="167">
        <f t="shared" si="38"/>
        <v>1001040</v>
      </c>
      <c r="DG8" s="167">
        <f t="shared" si="38"/>
        <v>1001040</v>
      </c>
      <c r="DH8" s="167">
        <f t="shared" si="38"/>
        <v>1001040</v>
      </c>
      <c r="DI8" s="167">
        <f t="shared" si="38"/>
        <v>1001040</v>
      </c>
    </row>
    <row r="9" spans="2:116" ht="13.5" thickTop="1" thickBot="1">
      <c r="B9" s="119" t="s">
        <v>12</v>
      </c>
      <c r="C9" s="134">
        <v>3757.7572341975651</v>
      </c>
      <c r="D9" s="134">
        <v>4306</v>
      </c>
      <c r="E9" s="134">
        <v>3914</v>
      </c>
      <c r="F9" s="134">
        <v>3789.7840071110804</v>
      </c>
      <c r="G9" s="134">
        <v>3714.8171493409436</v>
      </c>
      <c r="H9" s="134">
        <f>'Production in Sqm'!I3</f>
        <v>4214.7667151162786</v>
      </c>
      <c r="I9" s="134"/>
      <c r="K9" s="110" t="str">
        <f>B6</f>
        <v>Manpower No</v>
      </c>
      <c r="L9" s="131" t="s">
        <v>39</v>
      </c>
      <c r="M9" s="110"/>
      <c r="N9" s="111">
        <f>'Manpower Backup'!C13</f>
        <v>1982.5</v>
      </c>
      <c r="O9" s="111">
        <f>'Manpower Backup'!D13</f>
        <v>1984.5</v>
      </c>
      <c r="P9" s="111">
        <f>'Manpower Backup'!E13</f>
        <v>1979</v>
      </c>
      <c r="Q9" s="111">
        <f>'Manpower Backup'!F13</f>
        <v>1949.5</v>
      </c>
      <c r="R9" s="111">
        <f>'Manpower Backup'!G13</f>
        <v>1964.5</v>
      </c>
      <c r="S9" s="111">
        <f>'Manpower Backup'!H13</f>
        <v>1925</v>
      </c>
      <c r="T9" s="111">
        <f>'Manpower Backup'!I13</f>
        <v>1915</v>
      </c>
      <c r="U9" s="111">
        <f>'Manpower Backup'!J13</f>
        <v>1937</v>
      </c>
      <c r="V9" s="111">
        <f>'Manpower Backup'!K13</f>
        <v>1937</v>
      </c>
      <c r="W9" s="111">
        <f>'Manpower Backup'!L13</f>
        <v>1914.5</v>
      </c>
      <c r="X9" s="111">
        <f>'Manpower Backup'!M13</f>
        <v>1879.5</v>
      </c>
      <c r="Y9" s="111">
        <f>'Manpower Backup'!N13</f>
        <v>1876</v>
      </c>
      <c r="Z9" s="111">
        <f>AVERAGE(N9:Y9)</f>
        <v>1937</v>
      </c>
      <c r="AA9" s="111">
        <f>'Manpower Backup'!CN13</f>
        <v>1978</v>
      </c>
      <c r="AB9" s="111">
        <f>'Manpower Backup'!CO13</f>
        <v>1990</v>
      </c>
      <c r="AC9" s="111">
        <f>'Manpower Backup'!CP13</f>
        <v>2024</v>
      </c>
      <c r="AD9" s="111">
        <f>'Manpower Backup'!CQ13</f>
        <v>1978</v>
      </c>
      <c r="AE9" s="111">
        <f>'Manpower Backup'!CR13</f>
        <v>1972</v>
      </c>
      <c r="AF9" s="111">
        <f>'Manpower Backup'!CS13</f>
        <v>1950</v>
      </c>
      <c r="AG9" s="111">
        <f>'Manpower Backup'!CT13</f>
        <v>1950</v>
      </c>
      <c r="AH9" s="111">
        <f>'Manpower Backup'!CU13</f>
        <v>1950</v>
      </c>
      <c r="AI9" s="111">
        <f>'Manpower Backup'!CV13</f>
        <v>1944</v>
      </c>
      <c r="AJ9" s="111">
        <f>'Manpower Backup'!CW13</f>
        <v>1930</v>
      </c>
      <c r="AK9" s="111">
        <f>'Manpower Backup'!CX13</f>
        <v>1928</v>
      </c>
      <c r="AL9" s="111">
        <f>'Manpower Backup'!CY13</f>
        <v>1925</v>
      </c>
      <c r="AM9" s="111">
        <f>AVERAGE(AA9:AL9)</f>
        <v>1959.9166666666667</v>
      </c>
      <c r="AN9" s="133">
        <f>'Manpower Backup'!FO13</f>
        <v>2097</v>
      </c>
      <c r="AO9" s="133">
        <f>'Manpower Backup'!FP13</f>
        <v>2086</v>
      </c>
      <c r="AP9" s="133">
        <f>'Manpower Backup'!FQ13</f>
        <v>2085</v>
      </c>
      <c r="AQ9" s="133">
        <f>'Manpower Backup'!FR13</f>
        <v>2082</v>
      </c>
      <c r="AR9" s="133">
        <f>'Manpower Backup'!FS13</f>
        <v>2080</v>
      </c>
      <c r="AS9" s="133">
        <f>'Manpower Backup'!FT13</f>
        <v>2076</v>
      </c>
      <c r="AT9" s="133">
        <f>'Manpower Backup'!FU13</f>
        <v>2018</v>
      </c>
      <c r="AU9" s="133">
        <f>'Manpower Backup'!FV13</f>
        <v>2018</v>
      </c>
      <c r="AV9" s="133">
        <f>'Manpower Backup'!FW13</f>
        <v>2005</v>
      </c>
      <c r="AW9" s="133">
        <f>'Manpower Backup'!FX13</f>
        <v>2003</v>
      </c>
      <c r="AX9" s="133">
        <f>'Manpower Backup'!FY13</f>
        <v>1976</v>
      </c>
      <c r="AY9" s="133">
        <f>'Manpower Backup'!FZ13</f>
        <v>1996</v>
      </c>
      <c r="AZ9" s="111">
        <f>AVERAGE(AN9:AY9)</f>
        <v>2043.5</v>
      </c>
      <c r="BX9" s="133">
        <f>'Manpower Backup'!HP13</f>
        <v>2115</v>
      </c>
      <c r="BY9" s="133">
        <f>'Manpower Backup'!HQ13</f>
        <v>2158</v>
      </c>
      <c r="BZ9" s="133">
        <f>'Manpower Backup'!HR13</f>
        <v>2147</v>
      </c>
      <c r="CA9" s="133">
        <f>'Manpower Backup'!HS13</f>
        <v>2136.5</v>
      </c>
      <c r="CB9" s="133">
        <f>'Manpower Backup'!HT13</f>
        <v>2144.5</v>
      </c>
      <c r="CC9" s="133">
        <f>'Manpower Backup'!HU13</f>
        <v>2151.5</v>
      </c>
      <c r="CD9" s="133">
        <f>'Manpower Backup'!HV13</f>
        <v>2142.5</v>
      </c>
      <c r="CE9" s="133">
        <f>'Manpower Backup'!HW13</f>
        <v>2099.625</v>
      </c>
      <c r="CF9" s="133">
        <f>'Manpower Backup'!HX13</f>
        <v>2095.625</v>
      </c>
      <c r="CG9" s="133">
        <f>'Manpower Backup'!HY13</f>
        <v>2092.625</v>
      </c>
      <c r="CH9" s="133">
        <f>'Manpower Backup'!HZ13</f>
        <v>2092.40625</v>
      </c>
      <c r="CI9" s="133">
        <f>'Manpower Backup'!IA13</f>
        <v>2070.5062499999999</v>
      </c>
      <c r="CJ9" s="111">
        <f t="shared" ref="CJ9:CJ16" si="39">AVERAGE(BX9:CI9)</f>
        <v>2120.4822916666667</v>
      </c>
      <c r="CK9" s="138">
        <f>(CD5-CD6)/CD5</f>
        <v>3.8919707233584129E-2</v>
      </c>
      <c r="CL9" s="138"/>
      <c r="CM9" s="138"/>
      <c r="CN9" s="138"/>
      <c r="CO9" s="176">
        <f>(CF5-CF6)/CF5</f>
        <v>9.2262764083650958E-2</v>
      </c>
      <c r="CP9" s="176">
        <f>(CG5-CG6)/CG5</f>
        <v>8.5720337550024117E-2</v>
      </c>
      <c r="CS9" s="204">
        <f>(CJ5-CJ6)/CJ5</f>
        <v>5.4558603338746028E-2</v>
      </c>
      <c r="CX9" s="186">
        <f>SUM(CX7:CX8)</f>
        <v>1227.6235106649574</v>
      </c>
      <c r="DI9" s="195">
        <f>SUM(DA8:DI8)/100000</f>
        <v>80.083200000000005</v>
      </c>
    </row>
    <row r="10" spans="2:116" ht="13.5" thickTop="1" thickBot="1">
      <c r="K10" s="110"/>
      <c r="L10" s="131" t="s">
        <v>78</v>
      </c>
      <c r="M10" s="110"/>
      <c r="N10" s="111">
        <f>'Manpower Backup'!C7</f>
        <v>1964</v>
      </c>
      <c r="O10" s="111">
        <f>'Manpower Backup'!D7</f>
        <v>1957</v>
      </c>
      <c r="P10" s="111">
        <f>'Manpower Backup'!E7</f>
        <v>1960</v>
      </c>
      <c r="Q10" s="111">
        <f>'Manpower Backup'!F7</f>
        <v>1868</v>
      </c>
      <c r="R10" s="111">
        <f>'Manpower Backup'!G7</f>
        <v>1965</v>
      </c>
      <c r="S10" s="111">
        <f>'Manpower Backup'!H7</f>
        <v>2026</v>
      </c>
      <c r="T10" s="111">
        <f>'Manpower Backup'!I7</f>
        <v>2128</v>
      </c>
      <c r="U10" s="111">
        <f>'Manpower Backup'!J7</f>
        <v>2111</v>
      </c>
      <c r="V10" s="111">
        <f>'Manpower Backup'!K7</f>
        <v>2098</v>
      </c>
      <c r="W10" s="111">
        <f>'Manpower Backup'!L7</f>
        <v>2045</v>
      </c>
      <c r="X10" s="111">
        <f>'Manpower Backup'!M7</f>
        <v>2012</v>
      </c>
      <c r="Y10" s="111">
        <f>'Manpower Backup'!N7</f>
        <v>2111</v>
      </c>
      <c r="Z10" s="111">
        <f>AVERAGE(N10:Y10)</f>
        <v>2020.4166666666667</v>
      </c>
      <c r="AA10" s="111">
        <f>'Manpower Backup'!CN7</f>
        <v>1892</v>
      </c>
      <c r="AB10" s="111">
        <f>'Manpower Backup'!CO7</f>
        <v>1910</v>
      </c>
      <c r="AC10" s="111">
        <f>'Manpower Backup'!CP7</f>
        <v>1863</v>
      </c>
      <c r="AD10" s="111">
        <f>'Manpower Backup'!CQ7</f>
        <v>1890</v>
      </c>
      <c r="AE10" s="111">
        <f>'Manpower Backup'!CR7</f>
        <v>1936</v>
      </c>
      <c r="AF10" s="111">
        <f>'Manpower Backup'!CS7</f>
        <v>1992</v>
      </c>
      <c r="AG10" s="111">
        <f>'Manpower Backup'!CT7</f>
        <v>1967</v>
      </c>
      <c r="AH10" s="111">
        <f>'Manpower Backup'!CU7</f>
        <v>1970</v>
      </c>
      <c r="AI10" s="111">
        <f>'Manpower Backup'!CV7</f>
        <v>1981</v>
      </c>
      <c r="AJ10" s="111">
        <f>'Manpower Backup'!CW7</f>
        <v>2003</v>
      </c>
      <c r="AK10" s="111">
        <f>'Manpower Backup'!CX7</f>
        <v>1986</v>
      </c>
      <c r="AL10" s="111">
        <f>'Manpower Backup'!CY7</f>
        <v>1994</v>
      </c>
      <c r="AM10" s="111">
        <f>[2]Sheet1!$M$8</f>
        <v>1951.3333333333335</v>
      </c>
      <c r="AN10" s="133">
        <f>'Manpower Backup'!FO7</f>
        <v>2053</v>
      </c>
      <c r="AO10" s="133">
        <f>'Manpower Backup'!FP7</f>
        <v>2056</v>
      </c>
      <c r="AP10" s="133">
        <f>'Manpower Backup'!FQ7</f>
        <v>2096</v>
      </c>
      <c r="AQ10" s="133">
        <f>'Manpower Backup'!FR7</f>
        <v>2164</v>
      </c>
      <c r="AR10" s="133">
        <f>'Manpower Backup'!FS7</f>
        <v>2082</v>
      </c>
      <c r="AS10" s="133">
        <f>'Manpower Backup'!FT7</f>
        <v>2136</v>
      </c>
      <c r="AT10" s="133">
        <f>'Manpower Backup'!FU7</f>
        <v>2093</v>
      </c>
      <c r="AU10" s="133">
        <f>'Manpower Backup'!FV7</f>
        <v>2070</v>
      </c>
      <c r="AV10" s="133">
        <f>'Manpower Backup'!FW7</f>
        <v>2100</v>
      </c>
      <c r="AW10" s="133">
        <f>'Manpower Backup'!FX7</f>
        <v>2109</v>
      </c>
      <c r="AX10" s="133">
        <f>'Manpower Backup'!FY7</f>
        <v>2089</v>
      </c>
      <c r="AY10" s="133">
        <f>'Manpower Backup'!FZ7</f>
        <v>2050</v>
      </c>
      <c r="AZ10" s="111">
        <f>AVERAGE(AN10:AY10)</f>
        <v>2091.5</v>
      </c>
      <c r="BA10" s="138">
        <f>(AY10-AY9)/AY9</f>
        <v>2.7054108216432865E-2</v>
      </c>
      <c r="BB10" s="115">
        <f>32.4+4+5.5</f>
        <v>41.9</v>
      </c>
      <c r="BU10" s="115">
        <f>38+7.6+1.25+1.4+2.4</f>
        <v>50.65</v>
      </c>
      <c r="BX10" s="133">
        <f>'Manpower Backup'!HP7</f>
        <v>1996.5</v>
      </c>
      <c r="BY10" s="133">
        <f>'Manpower Backup'!HQ7</f>
        <v>2051</v>
      </c>
      <c r="BZ10" s="133">
        <f>'Manpower Backup'!HR7</f>
        <v>2031</v>
      </c>
      <c r="CA10" s="133">
        <f>'Manpower Backup'!HS7</f>
        <v>2118</v>
      </c>
      <c r="CB10" s="133">
        <f>'Manpower Backup'!HT7</f>
        <v>2110</v>
      </c>
      <c r="CC10" s="133">
        <f>'Manpower Backup'!HU7</f>
        <v>2014</v>
      </c>
      <c r="CD10" s="133">
        <f>'Manpower Backup'!HV7</f>
        <v>2053</v>
      </c>
      <c r="CE10" s="133">
        <f>'Manpower Backup'!HW7</f>
        <v>1965</v>
      </c>
      <c r="CF10" s="133">
        <f>'Manpower Backup'!HX7</f>
        <v>1985.9807692307691</v>
      </c>
      <c r="CG10" s="133">
        <f>'Manpower Backup'!HY7</f>
        <v>1870.0384615384614</v>
      </c>
      <c r="CH10" s="133">
        <f>'Manpower Backup'!HZ7</f>
        <v>1927</v>
      </c>
      <c r="CI10" s="133">
        <f>'Manpower Backup'!IA7</f>
        <v>1876</v>
      </c>
      <c r="CJ10" s="111">
        <f t="shared" si="39"/>
        <v>1999.7932692307693</v>
      </c>
      <c r="CX10" s="155"/>
      <c r="DA10" s="179" t="s">
        <v>160</v>
      </c>
      <c r="DB10" s="179" t="s">
        <v>78</v>
      </c>
      <c r="DC10" s="179" t="s">
        <v>161</v>
      </c>
      <c r="DD10" s="179" t="s">
        <v>162</v>
      </c>
      <c r="DE10" s="179" t="s">
        <v>163</v>
      </c>
      <c r="DF10" s="116"/>
    </row>
    <row r="11" spans="2:116" ht="13.5" thickTop="1" thickBot="1">
      <c r="B11" s="121" t="s">
        <v>13</v>
      </c>
      <c r="C11" s="121" t="s">
        <v>1</v>
      </c>
      <c r="D11" s="121" t="s">
        <v>2</v>
      </c>
      <c r="E11" s="121" t="s">
        <v>3</v>
      </c>
      <c r="F11" s="121" t="s">
        <v>4</v>
      </c>
      <c r="G11" s="122" t="s">
        <v>5</v>
      </c>
      <c r="H11" s="122" t="s">
        <v>6</v>
      </c>
      <c r="I11" s="122" t="s">
        <v>7</v>
      </c>
      <c r="K11" s="110" t="str">
        <f>B7</f>
        <v>Productivity in Sqm(PP)</v>
      </c>
      <c r="L11" s="131" t="s">
        <v>39</v>
      </c>
      <c r="M11" s="110"/>
      <c r="N11" s="111">
        <f>'Production in Sqm'!B16/'Main Sheet'!N9*12</f>
        <v>3016.1614123581339</v>
      </c>
      <c r="O11" s="111">
        <f>'Production in Sqm'!C16/'Main Sheet'!O9*12</f>
        <v>3098.3522297808013</v>
      </c>
      <c r="P11" s="111">
        <f>'Production in Sqm'!D16/'Main Sheet'!P9*12</f>
        <v>2614.4780192016169</v>
      </c>
      <c r="Q11" s="111">
        <f>'Production in Sqm'!E16/'Main Sheet'!Q9*12</f>
        <v>3359.4090792510897</v>
      </c>
      <c r="R11" s="111">
        <f>'Production in Sqm'!F16/'Main Sheet'!R9*12</f>
        <v>3210.5085263425808</v>
      </c>
      <c r="S11" s="111">
        <f>'Production in Sqm'!G16/'Main Sheet'!S9*12</f>
        <v>3375.5844155844156</v>
      </c>
      <c r="T11" s="111">
        <f>'Production in Sqm'!H16/'Main Sheet'!T9*12</f>
        <v>3481.2845953002616</v>
      </c>
      <c r="U11" s="111">
        <f>'Production in Sqm'!I16/'Main Sheet'!U9*12</f>
        <v>3439.2111512648426</v>
      </c>
      <c r="V11" s="111">
        <f>'Production in Sqm'!J16/'Main Sheet'!V9*12</f>
        <v>3480.1362932369639</v>
      </c>
      <c r="W11" s="111">
        <f>'Production in Sqm'!K16/'Main Sheet'!W9*12</f>
        <v>3688.00208931836</v>
      </c>
      <c r="X11" s="111">
        <f>'Production in Sqm'!L16/'Main Sheet'!X9*12</f>
        <v>3912.2553870710294</v>
      </c>
      <c r="Y11" s="111">
        <f>'Production in Sqm'!M16/'Main Sheet'!Y9*12</f>
        <v>4126.8614072494674</v>
      </c>
      <c r="Z11" s="111">
        <f t="shared" ref="Z11:Z16" si="40">AVERAGE(N11:Y11)</f>
        <v>3400.18705049663</v>
      </c>
      <c r="AA11" s="111">
        <f>'Production in Sqm'!N16/AA9*12</f>
        <v>3694.8594539939336</v>
      </c>
      <c r="AB11" s="111">
        <f>'Production in Sqm'!O16/AB9*12</f>
        <v>3580.43216080402</v>
      </c>
      <c r="AC11" s="111">
        <f>'Production in Sqm'!P16/AC9*12</f>
        <v>3451.0138339920945</v>
      </c>
      <c r="AD11" s="111">
        <f>'Production in Sqm'!Q16/AD9*12</f>
        <v>3776.1597573306367</v>
      </c>
      <c r="AE11" s="111">
        <f>'Production in Sqm'!R16/AE9*12</f>
        <v>3758.6166328600407</v>
      </c>
      <c r="AF11" s="111">
        <f>'Production in Sqm'!S16/AF9*12</f>
        <v>4021.6246153846155</v>
      </c>
      <c r="AG11" s="111">
        <f>'Production in Sqm'!T16/AG9*12</f>
        <v>3588.873846153846</v>
      </c>
      <c r="AH11" s="111">
        <f>'Production in Sqm'!U16/AH9*12</f>
        <v>3665.4584615384615</v>
      </c>
      <c r="AI11" s="111">
        <f>'Production in Sqm'!V16/AI9*12</f>
        <v>3439.4876543209875</v>
      </c>
      <c r="AJ11" s="111">
        <f>'Production in Sqm'!W16/AJ9*12</f>
        <v>3802.0041450777198</v>
      </c>
      <c r="AK11" s="111">
        <f>'Production in Sqm'!X16/AK9*12</f>
        <v>4002.6659751037346</v>
      </c>
      <c r="AL11" s="111">
        <f>'Production in Sqm'!Y16/AL9*12</f>
        <v>4120.7937662337663</v>
      </c>
      <c r="AM11" s="111">
        <f t="shared" ref="AM11:AM16" si="41">AVERAGE(AA11:AL11)</f>
        <v>3741.8325252328214</v>
      </c>
      <c r="AN11" s="133">
        <f>IFERROR('Production in Sqm'!AA16/AN9*12,"")</f>
        <v>3743.2780853107652</v>
      </c>
      <c r="AO11" s="133">
        <f>IFERROR('Production in Sqm'!AB16/AO9*12,"")</f>
        <v>4156.1552815596006</v>
      </c>
      <c r="AP11" s="133">
        <f>IFERROR('Production in Sqm'!AC16/AP9*12,"")</f>
        <v>3512.6842664243632</v>
      </c>
      <c r="AQ11" s="133">
        <f>IFERROR('Production in Sqm'!AD16/AQ9*12,"")</f>
        <v>3886.0914973597783</v>
      </c>
      <c r="AR11" s="133">
        <f>IFERROR('Production in Sqm'!AE16/AR9*12,"")</f>
        <v>4052.5657257968378</v>
      </c>
      <c r="AS11" s="133">
        <f>IFERROR('Production in Sqm'!AF16/AS9*12,"")</f>
        <v>3985.062538176061</v>
      </c>
      <c r="AT11" s="133">
        <f>IFERROR('Production in Sqm'!AG16/AT9*12,"")</f>
        <v>3708.3731015438143</v>
      </c>
      <c r="AU11" s="133">
        <f>IFERROR('Production in Sqm'!AH16/AU9*12,"")</f>
        <v>4006.6906751081715</v>
      </c>
      <c r="AV11" s="133">
        <f>IFERROR('Production in Sqm'!AI16/AV9*12,"")</f>
        <v>3542.6423514753269</v>
      </c>
      <c r="AW11" s="133">
        <f>IFERROR('Production in Sqm'!AJ16/AW9*12,"")</f>
        <v>4004.5565305822865</v>
      </c>
      <c r="AX11" s="133">
        <f>IFERROR('Production in Sqm'!AK16/AX9*12,"")</f>
        <v>4123.0306931920886</v>
      </c>
      <c r="AY11" s="133">
        <f>IFERROR('Production in Sqm'!AL16/AY9*12,"")</f>
        <v>4223.740398835359</v>
      </c>
      <c r="AZ11" s="111">
        <f t="shared" ref="AZ11:AZ16" si="42">AVERAGE(AN11:AY11)</f>
        <v>3912.0725954470381</v>
      </c>
      <c r="BA11" s="138">
        <f>(AX12-AX11)/AX11</f>
        <v>-3.3765626050477837E-2</v>
      </c>
      <c r="BB11" s="127">
        <f>AR3-AR4</f>
        <v>-14.737418538615202</v>
      </c>
      <c r="BU11" s="127">
        <f>AS3-AS4</f>
        <v>-27.853156333650873</v>
      </c>
      <c r="BX11" s="133">
        <f>IFERROR('Production in Sqm'!AO16/'Main Sheet'!BX9*12,"")</f>
        <v>4125.1744680851061</v>
      </c>
      <c r="BY11" s="133">
        <f>IFERROR('Production in Sqm'!AP16/'Main Sheet'!BY9*12,"")</f>
        <v>4152.7784986098241</v>
      </c>
      <c r="BZ11" s="133">
        <f>IFERROR('Production in Sqm'!AQ16/'Main Sheet'!BZ9*12,"")</f>
        <v>3298.8486259897527</v>
      </c>
      <c r="CA11" s="133">
        <f>IFERROR('Production in Sqm'!AR16/'Main Sheet'!CA9*12,"")</f>
        <v>4232.5822607067639</v>
      </c>
      <c r="CB11" s="133">
        <f>IFERROR('Production in Sqm'!AS16/'Main Sheet'!CB9*12,"")</f>
        <v>4260.3833061319656</v>
      </c>
      <c r="CC11" s="133">
        <f>IFERROR('Production in Sqm'!AT16/'Main Sheet'!CC9*12,"")</f>
        <v>4004.2128747385545</v>
      </c>
      <c r="CD11" s="133">
        <f>IFERROR('Production in Sqm'!AU16/'Main Sheet'!CD9*12,"")</f>
        <v>3880.4723453908982</v>
      </c>
      <c r="CE11" s="133">
        <f>IFERROR('Production in Sqm'!AV16/'Main Sheet'!CE9*12,"")</f>
        <v>3656.2814788355063</v>
      </c>
      <c r="CF11" s="133">
        <f>IFERROR('Production in Sqm'!AW16/'Main Sheet'!CF9*12,"")</f>
        <v>3775.7518640023859</v>
      </c>
      <c r="CG11" s="133">
        <f>IFERROR('Production in Sqm'!AX16/'Main Sheet'!CG9*12,"")</f>
        <v>3841.6801863687951</v>
      </c>
      <c r="CH11" s="133">
        <f>IFERROR('Production in Sqm'!AY16/'Main Sheet'!CH9*12,"")</f>
        <v>4114.8682288633008</v>
      </c>
      <c r="CI11" s="133">
        <f>IFERROR('Production in Sqm'!AZ16/'Main Sheet'!CI9*12,"")</f>
        <v>4186.9876026696365</v>
      </c>
      <c r="CJ11" s="111">
        <f t="shared" si="39"/>
        <v>3960.8351450327077</v>
      </c>
      <c r="CZ11" s="194" t="s">
        <v>164</v>
      </c>
      <c r="DA11" s="167">
        <f>18+30</f>
        <v>48</v>
      </c>
      <c r="DB11" s="167">
        <f>8+2</f>
        <v>10</v>
      </c>
      <c r="DC11" s="167">
        <f>DA11-DB11</f>
        <v>38</v>
      </c>
      <c r="DD11" s="167">
        <f>15</f>
        <v>15</v>
      </c>
      <c r="DE11" s="179">
        <f>DC11+DD11</f>
        <v>53</v>
      </c>
      <c r="DF11" s="116"/>
    </row>
    <row r="12" spans="2:116" ht="13.5" thickTop="1" thickBot="1">
      <c r="B12" s="119" t="s">
        <v>100</v>
      </c>
      <c r="C12" s="130">
        <v>2015.2934038910257</v>
      </c>
      <c r="D12" s="130">
        <v>2787</v>
      </c>
      <c r="E12" s="130">
        <v>3130</v>
      </c>
      <c r="F12" s="130">
        <v>3544.735514009602</v>
      </c>
      <c r="G12" s="130">
        <v>4064.1842760882569</v>
      </c>
      <c r="H12" s="130">
        <v>4420.5436477990415</v>
      </c>
      <c r="I12" s="130"/>
      <c r="K12" s="110" t="s">
        <v>10</v>
      </c>
      <c r="L12" s="131" t="s">
        <v>78</v>
      </c>
      <c r="M12" s="110"/>
      <c r="N12" s="111">
        <f>'Production in Sqm'!B12/'Main Sheet'!N10*12</f>
        <v>3192.8274260852768</v>
      </c>
      <c r="O12" s="111">
        <f>'Production in Sqm'!C12/'Main Sheet'!O10*12</f>
        <v>3340.7933579793257</v>
      </c>
      <c r="P12" s="111">
        <f>'Production in Sqm'!D12/'Main Sheet'!P10*12</f>
        <v>3215.9406922797916</v>
      </c>
      <c r="Q12" s="111">
        <f>'Production in Sqm'!E12/'Main Sheet'!Q10*12</f>
        <v>3661.6698747360269</v>
      </c>
      <c r="R12" s="111">
        <f>'Production in Sqm'!F12/'Main Sheet'!R10*12</f>
        <v>3471.035993916395</v>
      </c>
      <c r="S12" s="111">
        <f>'Production in Sqm'!G12/'Main Sheet'!S10*12</f>
        <v>3252.311565127286</v>
      </c>
      <c r="T12" s="146">
        <f>'Production in Sqm'!H12/'Main Sheet'!T10*12</f>
        <v>3096.4206912349055</v>
      </c>
      <c r="U12" s="146">
        <f>'Production in Sqm'!I12/'Main Sheet'!U10*12</f>
        <v>3405.1386016273063</v>
      </c>
      <c r="V12" s="146">
        <f>'Production in Sqm'!J12/'Main Sheet'!V10*12</f>
        <v>3161.0526929918105</v>
      </c>
      <c r="W12" s="146">
        <f>'Production in Sqm'!K12/'Main Sheet'!W10*12</f>
        <v>2904.051431673236</v>
      </c>
      <c r="X12" s="146">
        <f>'Production in Sqm'!L12/'Main Sheet'!X10*12</f>
        <v>3392.5945785266595</v>
      </c>
      <c r="Y12" s="146">
        <f>'Production in Sqm'!M12/'Main Sheet'!Y10*12</f>
        <v>3283.2601121882694</v>
      </c>
      <c r="Z12" s="146">
        <f t="shared" si="40"/>
        <v>3281.4247515305237</v>
      </c>
      <c r="AA12" s="111">
        <f>'Production in Sqm'!N12/AA10*12</f>
        <v>3863.3473069970883</v>
      </c>
      <c r="AB12" s="111">
        <f>'Production in Sqm'!O12/AB10*12</f>
        <v>3778.8050351462944</v>
      </c>
      <c r="AC12" s="146">
        <f>'Production in Sqm'!P12/AC10*12</f>
        <v>3612.1973077888056</v>
      </c>
      <c r="AD12" s="147">
        <f>'Production in Sqm'!Q12/AD10*12</f>
        <v>4135.9154450326205</v>
      </c>
      <c r="AE12" s="111">
        <f>'Production in Sqm'!R12/AE10*12</f>
        <v>3738.2105245678868</v>
      </c>
      <c r="AF12" s="111">
        <f>'Production in Sqm'!S12/AF10*12</f>
        <v>3914.9253654364215</v>
      </c>
      <c r="AG12" s="147">
        <f>'Production in Sqm'!T12/AG10*12</f>
        <v>3938.6999214826747</v>
      </c>
      <c r="AH12" s="147">
        <f>'Production in Sqm'!U12/AH10*12</f>
        <v>3995.6070985423703</v>
      </c>
      <c r="AI12" s="147">
        <f>'Production in Sqm'!V12/AI10*12</f>
        <v>4002.3682375955141</v>
      </c>
      <c r="AJ12" s="111">
        <f>'Production in Sqm'!W12/AJ10*12</f>
        <v>3685.9598095087358</v>
      </c>
      <c r="AK12" s="111">
        <f>'Production in Sqm'!X12/AK10*12</f>
        <v>3901.5621024196398</v>
      </c>
      <c r="AL12" s="111">
        <f>'Production in Sqm'!Y12/AL10*12</f>
        <v>3885.9088943858569</v>
      </c>
      <c r="AM12" s="148">
        <f t="shared" si="41"/>
        <v>3871.1255874086596</v>
      </c>
      <c r="AN12" s="149">
        <f>'Production in Sqm'!AA12/AN10*12</f>
        <v>4066.3791514469531</v>
      </c>
      <c r="AO12" s="150">
        <f>'Production in Sqm'!AB12/AO10*12</f>
        <v>4021.5087781670886</v>
      </c>
      <c r="AP12" s="149">
        <f>'Production in Sqm'!AC12/AP10*12</f>
        <v>3933.4775531151854</v>
      </c>
      <c r="AQ12" s="149">
        <f>'Production in Sqm'!AD12/AQ10*12</f>
        <v>4049.7403220643869</v>
      </c>
      <c r="AR12" s="149">
        <f>'Production in Sqm'!AE12/AR10*12</f>
        <v>4093.9371636822598</v>
      </c>
      <c r="AS12" s="149">
        <f>'Production in Sqm'!AF12/AS10*12</f>
        <v>4046.0218962300787</v>
      </c>
      <c r="AT12" s="149">
        <f>'Production in Sqm'!AG12/AT10*12</f>
        <v>4182.8533565752323</v>
      </c>
      <c r="AU12" s="149">
        <f>'Production in Sqm'!AH12/AU10*12</f>
        <v>4410.809582115352</v>
      </c>
      <c r="AV12" s="149">
        <f>'Production in Sqm'!AI12/AV10*12</f>
        <v>4257.9255253999672</v>
      </c>
      <c r="AW12" s="149">
        <f>'Production in Sqm'!AJ12/AW10*12</f>
        <v>4115.0335403463459</v>
      </c>
      <c r="AX12" s="150">
        <f>'Production in Sqm'!AK12/AX10*12</f>
        <v>3983.8139806111221</v>
      </c>
      <c r="AY12" s="150">
        <f>'Production in Sqm'!AL12/AY10*12</f>
        <v>4186.4987037832989</v>
      </c>
      <c r="AZ12" s="148">
        <f t="shared" si="42"/>
        <v>4112.3332961281058</v>
      </c>
      <c r="BX12" s="148">
        <f>IFERROR('Production in Sqm'!AO12/'Main Sheet'!BX10*12,"")</f>
        <v>4463.2210483273666</v>
      </c>
      <c r="BY12" s="148">
        <f>IFERROR('Production in Sqm'!AP12/'Main Sheet'!BY10*12,"")</f>
        <v>4436.4046867071411</v>
      </c>
      <c r="BZ12" s="148">
        <f>IFERROR('Production in Sqm'!AQ12/'Main Sheet'!BZ10*12,"")</f>
        <v>4269.6580108036742</v>
      </c>
      <c r="CA12" s="148">
        <f>IFERROR('Production in Sqm'!AR12/'Main Sheet'!CA10*12,"")</f>
        <v>4421.8464125034434</v>
      </c>
      <c r="CB12" s="148">
        <f>IFERROR('Production in Sqm'!AS12/'Main Sheet'!CB10*12,"")</f>
        <v>4443.5610164954351</v>
      </c>
      <c r="CC12" s="148">
        <f>IFERROR('Production in Sqm'!AT12/'Main Sheet'!CC10*12,"")</f>
        <v>4391.3546359355259</v>
      </c>
      <c r="CD12" s="148">
        <f>IFERROR('Production in Sqm'!AU12/'Main Sheet'!CD10*12,"")</f>
        <v>4274.5639187185789</v>
      </c>
      <c r="CE12" s="148">
        <f>IFERROR('Production in Sqm'!AV12/'Main Sheet'!CE10*12,"")</f>
        <v>4021.3734967021555</v>
      </c>
      <c r="CF12" s="152">
        <f>IFERROR('Production in Sqm'!AW12/'Main Sheet'!CF10*12,"")</f>
        <v>3482.8695460868439</v>
      </c>
      <c r="CG12" s="152">
        <f>IFERROR('Production in Sqm'!AX12/'Main Sheet'!CG10*12,"")</f>
        <v>3480.1557934645607</v>
      </c>
      <c r="CH12" s="152">
        <f>IFERROR('Production in Sqm'!AY12/'Main Sheet'!CH10*12,"")</f>
        <v>4036.1104963786174</v>
      </c>
      <c r="CI12" s="148">
        <f>IFERROR('Production in Sqm'!AZ12/'Main Sheet'!CI10*12,"")</f>
        <v>4241.7566680809796</v>
      </c>
      <c r="CJ12" s="148">
        <f t="shared" si="39"/>
        <v>4163.5729775170266</v>
      </c>
      <c r="CO12" s="127"/>
      <c r="CZ12" s="194" t="s">
        <v>170</v>
      </c>
      <c r="DA12" s="167">
        <f>214.23</f>
        <v>214.23</v>
      </c>
    </row>
    <row r="13" spans="2:116" ht="13.5" thickTop="1" thickBot="1">
      <c r="B13" s="119" t="s">
        <v>102</v>
      </c>
      <c r="C13" s="134">
        <v>28314.380930823285</v>
      </c>
      <c r="D13" s="134">
        <v>32697</v>
      </c>
      <c r="E13" s="134">
        <v>35261</v>
      </c>
      <c r="F13" s="134">
        <v>38251.523016744773</v>
      </c>
      <c r="G13" s="134">
        <v>34254.346178325432</v>
      </c>
      <c r="H13" s="134">
        <f>'Production in Sqm'!C4</f>
        <v>41426</v>
      </c>
      <c r="I13" s="134"/>
      <c r="K13" s="110" t="str">
        <f>B8</f>
        <v>Manpower w/o sub assm</v>
      </c>
      <c r="L13" s="131" t="s">
        <v>39</v>
      </c>
      <c r="M13" s="110"/>
      <c r="N13" s="111">
        <f>'Manpower Backup'!R13</f>
        <v>1519.5</v>
      </c>
      <c r="O13" s="111">
        <f>'Manpower Backup'!S13</f>
        <v>1519.5</v>
      </c>
      <c r="P13" s="111">
        <f>'Manpower Backup'!T13</f>
        <v>1514</v>
      </c>
      <c r="Q13" s="111">
        <f>'Manpower Backup'!U13</f>
        <v>1482.5</v>
      </c>
      <c r="R13" s="111">
        <f>'Manpower Backup'!V13</f>
        <v>1497.5</v>
      </c>
      <c r="S13" s="111">
        <f>'Manpower Backup'!W13</f>
        <v>1458</v>
      </c>
      <c r="T13" s="111">
        <f>'Manpower Backup'!X13</f>
        <v>1448</v>
      </c>
      <c r="U13" s="111">
        <f>'Manpower Backup'!Y13</f>
        <v>1470</v>
      </c>
      <c r="V13" s="111">
        <f>'Manpower Backup'!Z13</f>
        <v>1470</v>
      </c>
      <c r="W13" s="111">
        <f>'Manpower Backup'!AA13</f>
        <v>1449.5</v>
      </c>
      <c r="X13" s="111">
        <f>'Manpower Backup'!AB13</f>
        <v>1414.5</v>
      </c>
      <c r="Y13" s="111">
        <f>'Manpower Backup'!AC13</f>
        <v>1411</v>
      </c>
      <c r="Z13" s="111">
        <f t="shared" si="40"/>
        <v>1471.1666666666667</v>
      </c>
      <c r="AA13" s="111">
        <f>'Manpower Backup'!DA13</f>
        <v>1560.5</v>
      </c>
      <c r="AB13" s="111">
        <f>'Manpower Backup'!DB13</f>
        <v>1572.5</v>
      </c>
      <c r="AC13" s="111">
        <f>'Manpower Backup'!DC13</f>
        <v>1612.5</v>
      </c>
      <c r="AD13" s="111">
        <f>'Manpower Backup'!DD13</f>
        <v>1566.5</v>
      </c>
      <c r="AE13" s="111">
        <f>'Manpower Backup'!DE13</f>
        <v>1560.5</v>
      </c>
      <c r="AF13" s="111">
        <f>'Manpower Backup'!DF13</f>
        <v>1538.5</v>
      </c>
      <c r="AG13" s="111">
        <f>'Manpower Backup'!DG13</f>
        <v>1538.5</v>
      </c>
      <c r="AH13" s="111">
        <f>'Manpower Backup'!DH13</f>
        <v>1538.5</v>
      </c>
      <c r="AI13" s="111">
        <f>'Manpower Backup'!DI13</f>
        <v>1532.5</v>
      </c>
      <c r="AJ13" s="111">
        <f>'Manpower Backup'!DJ13</f>
        <v>1518.5</v>
      </c>
      <c r="AK13" s="111">
        <f>'Manpower Backup'!DK13</f>
        <v>1516.5</v>
      </c>
      <c r="AL13" s="111">
        <f>'Manpower Backup'!DL13</f>
        <v>1513.5</v>
      </c>
      <c r="AM13" s="111">
        <f t="shared" si="41"/>
        <v>1547.4166666666667</v>
      </c>
      <c r="AN13" s="133">
        <f>'Manpower Backup'!GB13</f>
        <v>1595</v>
      </c>
      <c r="AO13" s="133">
        <f>'Manpower Backup'!GC13</f>
        <v>1584</v>
      </c>
      <c r="AP13" s="133">
        <f>'Manpower Backup'!GD13</f>
        <v>1583</v>
      </c>
      <c r="AQ13" s="133">
        <f>'Manpower Backup'!GE13</f>
        <v>1580</v>
      </c>
      <c r="AR13" s="133">
        <f>'Manpower Backup'!GF13</f>
        <v>1578</v>
      </c>
      <c r="AS13" s="133">
        <f>'Manpower Backup'!GG13</f>
        <v>1574</v>
      </c>
      <c r="AT13" s="133">
        <f>'Manpower Backup'!GH13</f>
        <v>1516</v>
      </c>
      <c r="AU13" s="133">
        <f>'Manpower Backup'!GI13</f>
        <v>1516</v>
      </c>
      <c r="AV13" s="133">
        <f>'Manpower Backup'!GJ13</f>
        <v>1503</v>
      </c>
      <c r="AW13" s="133">
        <f>'Manpower Backup'!GK13</f>
        <v>1501</v>
      </c>
      <c r="AX13" s="133">
        <f>'Manpower Backup'!GL13</f>
        <v>1474</v>
      </c>
      <c r="AY13" s="133">
        <f>'Manpower Backup'!GM13</f>
        <v>1494</v>
      </c>
      <c r="AZ13" s="111">
        <f t="shared" si="42"/>
        <v>1541.5</v>
      </c>
      <c r="BX13" s="133">
        <f>'Manpower Backup'!IC13</f>
        <v>1635.3333333333333</v>
      </c>
      <c r="BY13" s="133">
        <f>'Manpower Backup'!ID13</f>
        <v>1656.3333333333333</v>
      </c>
      <c r="BZ13" s="133">
        <f>'Manpower Backup'!IE13</f>
        <v>1663.3333333333333</v>
      </c>
      <c r="CA13" s="133">
        <f>'Manpower Backup'!IF13</f>
        <v>1649.3333333333333</v>
      </c>
      <c r="CB13" s="133">
        <f>'Manpower Backup'!IG13</f>
        <v>1645.3333333333333</v>
      </c>
      <c r="CC13" s="133">
        <f>'Manpower Backup'!IH13</f>
        <v>1652.3333333333333</v>
      </c>
      <c r="CD13" s="133">
        <f>'Manpower Backup'!II13</f>
        <v>1649.3333333333333</v>
      </c>
      <c r="CE13" s="133">
        <f>'Manpower Backup'!IJ13</f>
        <v>1651.4583333333333</v>
      </c>
      <c r="CF13" s="133">
        <f>'Manpower Backup'!IK13</f>
        <v>1646.4583333333333</v>
      </c>
      <c r="CG13" s="133">
        <f>'Manpower Backup'!IL13</f>
        <v>1643.4583333333333</v>
      </c>
      <c r="CH13" s="133">
        <f>'Manpower Backup'!IM13</f>
        <v>1643.2395833333333</v>
      </c>
      <c r="CI13" s="133">
        <f>'Manpower Backup'!IN13</f>
        <v>1643.239583333333</v>
      </c>
      <c r="CJ13" s="111">
        <f t="shared" si="39"/>
        <v>1648.265625</v>
      </c>
      <c r="CZ13" s="194" t="s">
        <v>165</v>
      </c>
      <c r="DA13" s="192">
        <f>DI9</f>
        <v>80.083200000000005</v>
      </c>
    </row>
    <row r="14" spans="2:116" ht="13.5" thickTop="1" thickBot="1">
      <c r="B14" s="119" t="s">
        <v>8</v>
      </c>
      <c r="C14" s="137">
        <f t="shared" ref="C14:I14" si="43">C12/C13</f>
        <v>7.1175612449896772E-2</v>
      </c>
      <c r="D14" s="137">
        <f t="shared" si="43"/>
        <v>8.5237177722726862E-2</v>
      </c>
      <c r="E14" s="137">
        <f t="shared" si="43"/>
        <v>8.8766626017413003E-2</v>
      </c>
      <c r="F14" s="137">
        <f t="shared" si="43"/>
        <v>9.2669134048803184E-2</v>
      </c>
      <c r="G14" s="137">
        <f t="shared" si="43"/>
        <v>0.11864725880127541</v>
      </c>
      <c r="H14" s="137">
        <f t="shared" si="43"/>
        <v>0.10670940104762809</v>
      </c>
      <c r="I14" s="137" t="e">
        <f t="shared" si="43"/>
        <v>#DIV/0!</v>
      </c>
      <c r="K14" s="110"/>
      <c r="L14" s="131" t="s">
        <v>78</v>
      </c>
      <c r="M14" s="110"/>
      <c r="N14" s="111">
        <f>'Manpower Backup'!R7</f>
        <v>1497</v>
      </c>
      <c r="O14" s="111">
        <f>'Manpower Backup'!S7</f>
        <v>1494</v>
      </c>
      <c r="P14" s="111">
        <f>'Manpower Backup'!T7</f>
        <v>1492</v>
      </c>
      <c r="Q14" s="111">
        <f>'Manpower Backup'!U7</f>
        <v>1399</v>
      </c>
      <c r="R14" s="111">
        <f>'Manpower Backup'!V7</f>
        <v>1461</v>
      </c>
      <c r="S14" s="111">
        <f>'Manpower Backup'!W7</f>
        <v>1517</v>
      </c>
      <c r="T14" s="111">
        <f>'Manpower Backup'!X7</f>
        <v>1623</v>
      </c>
      <c r="U14" s="111">
        <f>'Manpower Backup'!Y7</f>
        <v>1590</v>
      </c>
      <c r="V14" s="111">
        <f>'Manpower Backup'!Z7</f>
        <v>1577</v>
      </c>
      <c r="W14" s="111">
        <f>'Manpower Backup'!AA7</f>
        <v>1526</v>
      </c>
      <c r="X14" s="111">
        <f>'Manpower Backup'!AB7</f>
        <v>1489</v>
      </c>
      <c r="Y14" s="111">
        <f>'Manpower Backup'!AC7</f>
        <v>1594</v>
      </c>
      <c r="Z14" s="111">
        <f t="shared" si="40"/>
        <v>1521.5833333333333</v>
      </c>
      <c r="AA14" s="111">
        <f>'Manpower Backup'!DA7</f>
        <v>1555</v>
      </c>
      <c r="AB14" s="111">
        <f>'Manpower Backup'!DB7</f>
        <v>1563</v>
      </c>
      <c r="AC14" s="111">
        <f>'Manpower Backup'!DC7</f>
        <v>1495</v>
      </c>
      <c r="AD14" s="111">
        <f>'Manpower Backup'!DD7</f>
        <v>1494</v>
      </c>
      <c r="AE14" s="111">
        <f>'Manpower Backup'!DE7</f>
        <v>1533</v>
      </c>
      <c r="AF14" s="111">
        <f>'Manpower Backup'!DF7</f>
        <v>1572</v>
      </c>
      <c r="AG14" s="111">
        <f>'Manpower Backup'!DG7</f>
        <v>1539</v>
      </c>
      <c r="AH14" s="111">
        <f>'Manpower Backup'!DH7</f>
        <v>1569</v>
      </c>
      <c r="AI14" s="111">
        <f>'Manpower Backup'!DI7</f>
        <v>1579</v>
      </c>
      <c r="AJ14" s="111">
        <f>'Manpower Backup'!DJ7</f>
        <v>1602</v>
      </c>
      <c r="AK14" s="111">
        <f>'Manpower Backup'!DK7</f>
        <v>1564</v>
      </c>
      <c r="AL14" s="111">
        <f>'Manpower Backup'!DL7</f>
        <v>1587</v>
      </c>
      <c r="AM14" s="111">
        <f t="shared" si="41"/>
        <v>1554.3333333333333</v>
      </c>
      <c r="AN14" s="133">
        <f>'Manpower Backup'!GB7</f>
        <v>1632</v>
      </c>
      <c r="AO14" s="133">
        <f>'Manpower Backup'!GC7</f>
        <v>1588</v>
      </c>
      <c r="AP14" s="133">
        <f>'Manpower Backup'!GD7</f>
        <v>1630</v>
      </c>
      <c r="AQ14" s="133">
        <f>'Manpower Backup'!GE7</f>
        <v>1670</v>
      </c>
      <c r="AR14" s="133">
        <f>'Manpower Backup'!GF7</f>
        <v>1626</v>
      </c>
      <c r="AS14" s="133">
        <f>'Manpower Backup'!GG7</f>
        <v>1670</v>
      </c>
      <c r="AT14" s="133">
        <f>'Manpower Backup'!GH7</f>
        <v>1645</v>
      </c>
      <c r="AU14" s="133">
        <f>'Manpower Backup'!GI7</f>
        <v>1625</v>
      </c>
      <c r="AV14" s="133">
        <f>'Manpower Backup'!GJ7</f>
        <v>1644</v>
      </c>
      <c r="AW14" s="133">
        <f>'Manpower Backup'!GK7</f>
        <v>1671</v>
      </c>
      <c r="AX14" s="133">
        <f>'Manpower Backup'!GL7</f>
        <v>1651</v>
      </c>
      <c r="AY14" s="133">
        <f>'Manpower Backup'!GM7</f>
        <v>1611</v>
      </c>
      <c r="AZ14" s="111">
        <f t="shared" si="42"/>
        <v>1638.5833333333333</v>
      </c>
      <c r="BA14" s="127">
        <f>AX14-AX13</f>
        <v>177</v>
      </c>
      <c r="BX14" s="133">
        <f>'Manpower Backup'!IC7</f>
        <v>1578.4423076923076</v>
      </c>
      <c r="BY14" s="133">
        <f>'Manpower Backup'!ID7</f>
        <v>1592</v>
      </c>
      <c r="BZ14" s="133">
        <f>'Manpower Backup'!IE7</f>
        <v>1588</v>
      </c>
      <c r="CA14" s="133">
        <f>'Manpower Backup'!IF7</f>
        <v>1641</v>
      </c>
      <c r="CB14" s="133">
        <f>'Manpower Backup'!IG7</f>
        <v>1643</v>
      </c>
      <c r="CC14" s="133">
        <f>'Manpower Backup'!IH7</f>
        <v>1586</v>
      </c>
      <c r="CD14" s="133">
        <f>'Manpower Backup'!II7</f>
        <v>1601</v>
      </c>
      <c r="CE14" s="133">
        <f>'Manpower Backup'!IJ7</f>
        <v>1624</v>
      </c>
      <c r="CF14" s="133">
        <f>'Manpower Backup'!IK7</f>
        <v>1544.3653846153843</v>
      </c>
      <c r="CG14" s="133">
        <f>'Manpower Backup'!IL7</f>
        <v>1522</v>
      </c>
      <c r="CH14" s="133">
        <f>'Manpower Backup'!IM7</f>
        <v>1569</v>
      </c>
      <c r="CI14" s="133">
        <f>'Manpower Backup'!IN7</f>
        <v>1525</v>
      </c>
      <c r="CJ14" s="111">
        <f t="shared" si="39"/>
        <v>1584.4839743589746</v>
      </c>
      <c r="CZ14" s="194" t="s">
        <v>21</v>
      </c>
      <c r="DA14" s="200">
        <f>SUM(DA12:DA13)</f>
        <v>294.31319999999999</v>
      </c>
    </row>
    <row r="15" spans="2:116" ht="13.5" thickTop="1" thickBot="1">
      <c r="B15" s="119" t="s">
        <v>9</v>
      </c>
      <c r="C15" s="134">
        <v>883.41666666666674</v>
      </c>
      <c r="D15" s="134">
        <v>1137</v>
      </c>
      <c r="E15" s="134">
        <v>1197</v>
      </c>
      <c r="F15" s="134">
        <v>1253.9166666666665</v>
      </c>
      <c r="G15" s="134">
        <v>1185.9166666666667</v>
      </c>
      <c r="H15" s="134">
        <f>'Production in Sqm'!E4</f>
        <v>1198.5</v>
      </c>
      <c r="I15" s="134"/>
      <c r="K15" s="110" t="str">
        <f>B9</f>
        <v>Productivity w/o sub assm</v>
      </c>
      <c r="L15" s="131" t="s">
        <v>39</v>
      </c>
      <c r="M15" s="110"/>
      <c r="N15" s="111">
        <f>'Production in Sqm'!B16/'Main Sheet'!N13*12</f>
        <v>3935.202369200395</v>
      </c>
      <c r="O15" s="111">
        <f>'Production in Sqm'!C16/'Main Sheet'!O13*12</f>
        <v>4046.5153010858835</v>
      </c>
      <c r="P15" s="111">
        <f>'Production in Sqm'!D16/'Main Sheet'!P13*12</f>
        <v>3417.4715984147952</v>
      </c>
      <c r="Q15" s="111">
        <f>'Production in Sqm'!E16/'Main Sheet'!Q13*12</f>
        <v>4417.651264755481</v>
      </c>
      <c r="R15" s="111">
        <f>'Production in Sqm'!F16/'Main Sheet'!R13*12</f>
        <v>4211.7155258764615</v>
      </c>
      <c r="S15" s="111">
        <f>'Production in Sqm'!G16/'Main Sheet'!S13*12</f>
        <v>4456.7901234567908</v>
      </c>
      <c r="T15" s="111">
        <f>'Production in Sqm'!H16/'Main Sheet'!T13*12</f>
        <v>4604.0469613259665</v>
      </c>
      <c r="U15" s="111">
        <f>'Production in Sqm'!I16/'Main Sheet'!U13*12</f>
        <v>4531.8040816326529</v>
      </c>
      <c r="V15" s="111">
        <f>'Production in Sqm'!J16/'Main Sheet'!V13*12</f>
        <v>4585.7306122448981</v>
      </c>
      <c r="W15" s="111">
        <f>'Production in Sqm'!K16/'Main Sheet'!W13*12</f>
        <v>4871.1141773025183</v>
      </c>
      <c r="X15" s="111">
        <f>'Production in Sqm'!L16/'Main Sheet'!X13*12</f>
        <v>5198.3626723223751</v>
      </c>
      <c r="Y15" s="111">
        <f>'Production in Sqm'!M16/'Main Sheet'!Y13*12</f>
        <v>5486.8830616583982</v>
      </c>
      <c r="Z15" s="111">
        <f t="shared" si="40"/>
        <v>4480.2739791063841</v>
      </c>
      <c r="AA15" s="111">
        <f>'Production in Sqm'!N16/AA13*12</f>
        <v>4683.3912207625763</v>
      </c>
      <c r="AB15" s="111">
        <f>'Production in Sqm'!O16/AB13*12</f>
        <v>4531.0397456279807</v>
      </c>
      <c r="AC15" s="111">
        <f>'Production in Sqm'!P16/AC13*12</f>
        <v>4331.6911627906975</v>
      </c>
      <c r="AD15" s="111">
        <f>'Production in Sqm'!Q16/AD13*12</f>
        <v>4768.1097989147784</v>
      </c>
      <c r="AE15" s="111">
        <f>'Production in Sqm'!R16/AE13*12</f>
        <v>4749.7545658442805</v>
      </c>
      <c r="AF15" s="111">
        <f>'Production in Sqm'!S16/AF13*12</f>
        <v>5097.2817679558011</v>
      </c>
      <c r="AG15" s="111">
        <f>'Production in Sqm'!T16/AG13*12</f>
        <v>4548.7838804029898</v>
      </c>
      <c r="AH15" s="111">
        <f>'Production in Sqm'!U16/AH13*12</f>
        <v>4645.852453688658</v>
      </c>
      <c r="AI15" s="111">
        <f>'Production in Sqm'!V16/AI13*12</f>
        <v>4363.0433931484504</v>
      </c>
      <c r="AJ15" s="111">
        <f>'Production in Sqm'!W16/AJ13*12</f>
        <v>4832.3134672374053</v>
      </c>
      <c r="AK15" s="111">
        <f>'Production in Sqm'!X16/AK13*12</f>
        <v>5088.7833827893173</v>
      </c>
      <c r="AL15" s="111">
        <f>'Production in Sqm'!Y16/AL13*12</f>
        <v>5241.1813676907823</v>
      </c>
      <c r="AM15" s="111">
        <f t="shared" si="41"/>
        <v>4740.1021839044761</v>
      </c>
      <c r="AN15" s="133">
        <f>IFERROR('Production in Sqm'!AA16/AN13*12,"")</f>
        <v>4921.4132569885096</v>
      </c>
      <c r="AO15" s="133">
        <f>IFERROR('Production in Sqm'!AB16/AO13*12,"")</f>
        <v>5473.3206548821499</v>
      </c>
      <c r="AP15" s="133">
        <f>IFERROR('Production in Sqm'!AC16/AP13*12,"")</f>
        <v>4626.6245707484504</v>
      </c>
      <c r="AQ15" s="133">
        <f>IFERROR('Production in Sqm'!AD16/AQ13*12,"")</f>
        <v>5120.7863908247209</v>
      </c>
      <c r="AR15" s="133">
        <f>IFERROR('Production in Sqm'!AE16/AR13*12,"")</f>
        <v>5341.7849871086328</v>
      </c>
      <c r="AS15" s="133">
        <f>IFERROR('Production in Sqm'!AF16/AS13*12,"")</f>
        <v>5256.0291164253513</v>
      </c>
      <c r="AT15" s="133">
        <f>IFERROR('Production in Sqm'!AG16/AT13*12,"")</f>
        <v>4936.3436140603026</v>
      </c>
      <c r="AU15" s="133">
        <f>IFERROR('Production in Sqm'!AH16/AU13*12,"")</f>
        <v>5333.4444474724869</v>
      </c>
      <c r="AV15" s="133">
        <f>IFERROR('Production in Sqm'!AI16/AV13*12,"")</f>
        <v>4725.8801827731404</v>
      </c>
      <c r="AW15" s="133">
        <f>IFERROR('Production in Sqm'!AJ16/AW13*12,"")</f>
        <v>5343.8552503373221</v>
      </c>
      <c r="AX15" s="133">
        <f>IFERROR('Production in Sqm'!AK16/AX13*12,"")</f>
        <v>5527.2107528816596</v>
      </c>
      <c r="AY15" s="133">
        <f>IFERROR('Production in Sqm'!AL16/AY13*12,"")</f>
        <v>5642.9624070116306</v>
      </c>
      <c r="AZ15" s="111">
        <f t="shared" si="42"/>
        <v>5187.471302626197</v>
      </c>
      <c r="BA15" s="138">
        <f>(AX16-AX15)/AX15</f>
        <v>-8.8021933405550465E-2</v>
      </c>
      <c r="BX15" s="133">
        <f>IFERROR('Production in Sqm'!AO16/'Main Sheet'!BX13*12,"")</f>
        <v>5335.1471667346104</v>
      </c>
      <c r="BY15" s="133">
        <f>IFERROR('Production in Sqm'!AP16/'Main Sheet'!BY13*12,"")</f>
        <v>5410.5630911652243</v>
      </c>
      <c r="BZ15" s="133">
        <f>IFERROR('Production in Sqm'!AQ16/'Main Sheet'!BZ13*12,"")</f>
        <v>4258.0929859719436</v>
      </c>
      <c r="CA15" s="133">
        <f>IFERROR('Production in Sqm'!AR16/'Main Sheet'!CA13*12,"")</f>
        <v>5482.7679870654811</v>
      </c>
      <c r="CB15" s="133">
        <f>IFERROR('Production in Sqm'!AS16/'Main Sheet'!CB13*12,"")</f>
        <v>5552.9124797406803</v>
      </c>
      <c r="CC15" s="133">
        <f>IFERROR('Production in Sqm'!AT16/'Main Sheet'!CC13*12,"")</f>
        <v>5213.8777486382896</v>
      </c>
      <c r="CD15" s="133">
        <f>IFERROR('Production in Sqm'!AU16/'Main Sheet'!CD13*12,"")</f>
        <v>5040.7712206952301</v>
      </c>
      <c r="CE15" s="133">
        <f>IFERROR('Production in Sqm'!AV16/'Main Sheet'!CE13*12,"")</f>
        <v>4648.5096505613728</v>
      </c>
      <c r="CF15" s="133">
        <f>IFERROR('Production in Sqm'!AW16/'Main Sheet'!CF13*12,"")</f>
        <v>4805.8064026319116</v>
      </c>
      <c r="CG15" s="133">
        <f>IFERROR('Production in Sqm'!AX16/'Main Sheet'!CG13*12,"")</f>
        <v>4891.6335978500629</v>
      </c>
      <c r="CH15" s="133">
        <f>IFERROR('Production in Sqm'!AY16/'Main Sheet'!CH13*12,"")</f>
        <v>5239.6352225976389</v>
      </c>
      <c r="CI15" s="133">
        <f>IFERROR('Production in Sqm'!AZ16/'Main Sheet'!CI13*12,"")</f>
        <v>5275.6664870587201</v>
      </c>
      <c r="CJ15" s="111">
        <f t="shared" si="39"/>
        <v>5096.2820033925973</v>
      </c>
      <c r="CZ15" s="119"/>
      <c r="DA15" s="196">
        <f>CX2-DA14</f>
        <v>933.31031066495734</v>
      </c>
    </row>
    <row r="16" spans="2:116" ht="13.5" thickTop="1" thickBot="1">
      <c r="B16" s="119" t="s">
        <v>10</v>
      </c>
      <c r="C16" s="134">
        <v>3626.0943051598751</v>
      </c>
      <c r="D16" s="134">
        <v>3296</v>
      </c>
      <c r="E16" s="134">
        <v>3271</v>
      </c>
      <c r="F16" s="134">
        <v>3146.5754184473644</v>
      </c>
      <c r="G16" s="134">
        <v>2940.8059470137864</v>
      </c>
      <c r="H16" s="134">
        <f>'Production in Sqm'!H4</f>
        <v>3451.8840216937838</v>
      </c>
      <c r="I16" s="134"/>
      <c r="K16" s="110" t="s">
        <v>12</v>
      </c>
      <c r="L16" s="131" t="s">
        <v>78</v>
      </c>
      <c r="M16" s="110"/>
      <c r="N16" s="111">
        <f>'Production in Sqm'!B12/'Main Sheet'!N14*12</f>
        <v>4188.8530827197619</v>
      </c>
      <c r="O16" s="111">
        <f>'Production in Sqm'!C12/'Main Sheet'!O14*12</f>
        <v>4376.1262393343641</v>
      </c>
      <c r="P16" s="111">
        <f>'Production in Sqm'!D12/'Main Sheet'!P14*12</f>
        <v>4224.6942070163477</v>
      </c>
      <c r="Q16" s="111">
        <f>'Production in Sqm'!E12/'Main Sheet'!Q14*12</f>
        <v>4889.20609435804</v>
      </c>
      <c r="R16" s="111">
        <f>'Production in Sqm'!F12/'Main Sheet'!R14*12</f>
        <v>4668.436501057985</v>
      </c>
      <c r="S16" s="111">
        <f>'Production in Sqm'!G12/'Main Sheet'!S14*12</f>
        <v>4343.5617870454062</v>
      </c>
      <c r="T16" s="111">
        <f>'Production in Sqm'!H12/'Main Sheet'!T14*12</f>
        <v>4059.8787621367092</v>
      </c>
      <c r="U16" s="111">
        <f>'Production in Sqm'!I12/'Main Sheet'!U14*12</f>
        <v>4520.9104327265686</v>
      </c>
      <c r="V16" s="111">
        <f>'Production in Sqm'!J12/'Main Sheet'!V14*12</f>
        <v>4205.3827202896755</v>
      </c>
      <c r="W16" s="111">
        <f>'Production in Sqm'!K12/'Main Sheet'!W14*12</f>
        <v>3891.7334061413944</v>
      </c>
      <c r="X16" s="111">
        <f>'Production in Sqm'!L12/'Main Sheet'!X14*12</f>
        <v>4584.2177918036523</v>
      </c>
      <c r="Y16" s="111">
        <f>'Production in Sqm'!M12/'Main Sheet'!Y14*12</f>
        <v>4348.1568988892323</v>
      </c>
      <c r="Z16" s="111">
        <f t="shared" si="40"/>
        <v>4358.4298269599285</v>
      </c>
      <c r="AA16" s="111">
        <f>'Production in Sqm'!N12/AA14*12</f>
        <v>4700.6129291565867</v>
      </c>
      <c r="AB16" s="111">
        <f>'Production in Sqm'!O12/AB14*12</f>
        <v>4617.7336002107622</v>
      </c>
      <c r="AC16" s="146">
        <f>'Production in Sqm'!P12/AC14*12</f>
        <v>4501.3535681675894</v>
      </c>
      <c r="AD16" s="147">
        <f>'Production in Sqm'!Q12/AD14*12</f>
        <v>5232.1821894990981</v>
      </c>
      <c r="AE16" s="111">
        <f>'Production in Sqm'!R12/AE14*12</f>
        <v>4720.9234021940174</v>
      </c>
      <c r="AF16" s="111">
        <f>'Production in Sqm'!S12/AF14*12</f>
        <v>4960.8977913163817</v>
      </c>
      <c r="AG16" s="147">
        <f>'Production in Sqm'!T12/AG14*12</f>
        <v>5034.0628626097596</v>
      </c>
      <c r="AH16" s="147">
        <f>'Production in Sqm'!U12/AH14*12</f>
        <v>5016.7915768823896</v>
      </c>
      <c r="AI16" s="147">
        <f>'Production in Sqm'!V12/AI14*12</f>
        <v>5021.3372252544095</v>
      </c>
      <c r="AJ16" s="111">
        <f>'Production in Sqm'!W12/AJ14*12</f>
        <v>4608.6001862958783</v>
      </c>
      <c r="AK16" s="111">
        <f>'Production in Sqm'!X12/AK14*12</f>
        <v>4954.285380693992</v>
      </c>
      <c r="AL16" s="111">
        <f>'Production in Sqm'!Y12/AL14*12</f>
        <v>4882.4841432926269</v>
      </c>
      <c r="AM16" s="148">
        <f t="shared" si="41"/>
        <v>4854.2720712977907</v>
      </c>
      <c r="AN16" s="149">
        <f>'Production in Sqm'!AA12/AN14*12</f>
        <v>5115.3654399023253</v>
      </c>
      <c r="AO16" s="150">
        <f>'Production in Sqm'!AB12/AO14*12</f>
        <v>5206.6889470475653</v>
      </c>
      <c r="AP16" s="149">
        <f>'Production in Sqm'!AC12/AP14*12</f>
        <v>5058.0177615517978</v>
      </c>
      <c r="AQ16" s="149">
        <f>'Production in Sqm'!AD12/AQ14*12</f>
        <v>5247.6874592498998</v>
      </c>
      <c r="AR16" s="150">
        <f>'Production in Sqm'!AE12/AR14*12</f>
        <v>5242.0523830175061</v>
      </c>
      <c r="AS16" s="150">
        <f>'Production in Sqm'!AF12/AS14*12</f>
        <v>5175.0315990104482</v>
      </c>
      <c r="AT16" s="149">
        <f>'Production in Sqm'!AG12/AT14*12</f>
        <v>5322.0134196425297</v>
      </c>
      <c r="AU16" s="149">
        <f>'Production in Sqm'!AH12/AU14*12</f>
        <v>5618.6928215254029</v>
      </c>
      <c r="AV16" s="149">
        <f>'Production in Sqm'!AI12/AV14*12</f>
        <v>5438.9559631021475</v>
      </c>
      <c r="AW16" s="150">
        <f>'Production in Sqm'!AJ12/AW14*12</f>
        <v>5193.6599261462861</v>
      </c>
      <c r="AX16" s="150">
        <f>'Production in Sqm'!AK12/AX14*12</f>
        <v>5040.6949760730677</v>
      </c>
      <c r="AY16" s="150">
        <f>'Production in Sqm'!AL12/AY14*12</f>
        <v>5327.3260973033912</v>
      </c>
      <c r="AZ16" s="148">
        <f t="shared" si="42"/>
        <v>5248.8488994643631</v>
      </c>
      <c r="BX16" s="148">
        <f>IFERROR('Production in Sqm'!AO12/'Main Sheet'!BX14*12,"")</f>
        <v>5645.3256350010433</v>
      </c>
      <c r="BY16" s="148">
        <f>IFERROR('Production in Sqm'!AP12/'Main Sheet'!BY14*12,"")</f>
        <v>5715.4937264047394</v>
      </c>
      <c r="BZ16" s="148">
        <f>IFERROR('Production in Sqm'!AQ12/'Main Sheet'!BZ14*12,"")</f>
        <v>5460.7527833389559</v>
      </c>
      <c r="CA16" s="148">
        <f>IFERROR('Production in Sqm'!AR12/'Main Sheet'!CA14*12,"")</f>
        <v>5707.1728834139503</v>
      </c>
      <c r="CB16" s="148">
        <f>IFERROR('Production in Sqm'!AS12/'Main Sheet'!CB14*12,"")</f>
        <v>5706.5817071243873</v>
      </c>
      <c r="CC16" s="148">
        <f>IFERROR('Production in Sqm'!AT12/'Main Sheet'!CC14*12,"")</f>
        <v>5576.4112463897545</v>
      </c>
      <c r="CD16" s="148">
        <f>IFERROR('Production in Sqm'!AU12/'Main Sheet'!CD14*12,"")</f>
        <v>5481.3739694748538</v>
      </c>
      <c r="CE16" s="148">
        <f>IFERROR('Production in Sqm'!AV12/'Main Sheet'!CE14*12,"")</f>
        <v>4865.7628824013154</v>
      </c>
      <c r="CF16" s="152">
        <f>IFERROR('Production in Sqm'!AW12/'Main Sheet'!CF14*12,"")</f>
        <v>4478.8053456602102</v>
      </c>
      <c r="CG16" s="152">
        <f>IFERROR('Production in Sqm'!AX12/'Main Sheet'!CG14*12,"")</f>
        <v>4275.9692417376018</v>
      </c>
      <c r="CH16" s="152">
        <f>IFERROR('Production in Sqm'!AY12/'Main Sheet'!CH14*12,"")</f>
        <v>4957.0330952973836</v>
      </c>
      <c r="CI16" s="152">
        <f>IFERROR('Production in Sqm'!AZ12/'Main Sheet'!CI14*12,"")</f>
        <v>5218.0560716851924</v>
      </c>
      <c r="CJ16" s="148">
        <f t="shared" si="39"/>
        <v>5257.3948823274477</v>
      </c>
      <c r="CZ16" s="197" t="s">
        <v>167</v>
      </c>
      <c r="DA16" s="195">
        <f>CJ3-DA15</f>
        <v>9954.9907744795055</v>
      </c>
    </row>
    <row r="17" spans="2:105" ht="12.75" thickTop="1">
      <c r="B17" s="119" t="s">
        <v>11</v>
      </c>
      <c r="C17" s="134">
        <v>767.41666666666674</v>
      </c>
      <c r="D17" s="134">
        <v>968</v>
      </c>
      <c r="E17" s="134">
        <v>984</v>
      </c>
      <c r="F17" s="134">
        <v>939.41666666666652</v>
      </c>
      <c r="G17" s="134">
        <v>887.91666666666674</v>
      </c>
      <c r="H17" s="134">
        <f>'Production in Sqm'!F4</f>
        <v>899</v>
      </c>
      <c r="I17" s="134"/>
      <c r="U17" s="136"/>
      <c r="CZ17" s="198" t="s">
        <v>78</v>
      </c>
      <c r="DA17" s="195">
        <f>CJ4</f>
        <v>9991.860152406327</v>
      </c>
    </row>
    <row r="18" spans="2:105" ht="12.75" thickBot="1">
      <c r="B18" s="119" t="s">
        <v>12</v>
      </c>
      <c r="C18" s="134">
        <v>4174.2019468997541</v>
      </c>
      <c r="D18" s="134">
        <v>3872</v>
      </c>
      <c r="E18" s="134">
        <v>3979</v>
      </c>
      <c r="F18" s="134">
        <v>4199.992931906103</v>
      </c>
      <c r="G18" s="134">
        <v>3927.7906552748191</v>
      </c>
      <c r="H18" s="134">
        <f>'Production in Sqm'!I4</f>
        <v>4601.8720800889878</v>
      </c>
      <c r="I18" s="134"/>
      <c r="K18" s="123" t="s">
        <v>13</v>
      </c>
      <c r="L18" s="124"/>
      <c r="M18" s="125"/>
      <c r="N18" s="126" t="s">
        <v>22</v>
      </c>
      <c r="O18" s="126" t="s">
        <v>23</v>
      </c>
      <c r="P18" s="126" t="s">
        <v>24</v>
      </c>
      <c r="Q18" s="126" t="s">
        <v>25</v>
      </c>
      <c r="R18" s="126" t="s">
        <v>26</v>
      </c>
      <c r="S18" s="126" t="s">
        <v>27</v>
      </c>
      <c r="T18" s="126" t="s">
        <v>28</v>
      </c>
      <c r="U18" s="126" t="s">
        <v>29</v>
      </c>
      <c r="V18" s="126" t="s">
        <v>30</v>
      </c>
      <c r="W18" s="126" t="s">
        <v>31</v>
      </c>
      <c r="X18" s="126" t="s">
        <v>32</v>
      </c>
      <c r="Y18" s="126" t="s">
        <v>33</v>
      </c>
      <c r="Z18" s="126" t="s">
        <v>77</v>
      </c>
      <c r="AA18" s="126" t="s">
        <v>81</v>
      </c>
      <c r="AB18" s="126" t="s">
        <v>82</v>
      </c>
      <c r="AC18" s="126" t="s">
        <v>83</v>
      </c>
      <c r="AD18" s="126" t="s">
        <v>84</v>
      </c>
      <c r="AE18" s="126" t="s">
        <v>85</v>
      </c>
      <c r="AF18" s="126" t="s">
        <v>86</v>
      </c>
      <c r="AG18" s="126" t="s">
        <v>87</v>
      </c>
      <c r="AH18" s="126" t="s">
        <v>88</v>
      </c>
      <c r="AI18" s="126" t="s">
        <v>89</v>
      </c>
      <c r="AJ18" s="126" t="s">
        <v>90</v>
      </c>
      <c r="AK18" s="126" t="s">
        <v>91</v>
      </c>
      <c r="AL18" s="126" t="s">
        <v>92</v>
      </c>
      <c r="AM18" s="126" t="str">
        <f>AM2</f>
        <v>FY 16~17</v>
      </c>
      <c r="AN18" s="126" t="str">
        <f>AN2</f>
        <v>Apr'17</v>
      </c>
      <c r="AO18" s="126" t="str">
        <f t="shared" ref="AO18:AY18" si="44">AO2</f>
        <v>May'17</v>
      </c>
      <c r="AP18" s="126" t="str">
        <f t="shared" si="44"/>
        <v>Jun'17</v>
      </c>
      <c r="AQ18" s="126" t="str">
        <f t="shared" si="44"/>
        <v>Jul'17</v>
      </c>
      <c r="AR18" s="126" t="str">
        <f t="shared" si="44"/>
        <v>Aug'17</v>
      </c>
      <c r="AS18" s="126" t="str">
        <f t="shared" si="44"/>
        <v>Sep'17</v>
      </c>
      <c r="AT18" s="126" t="str">
        <f t="shared" si="44"/>
        <v>Oct'17</v>
      </c>
      <c r="AU18" s="126" t="str">
        <f t="shared" si="44"/>
        <v>Nov'17</v>
      </c>
      <c r="AV18" s="126" t="str">
        <f t="shared" si="44"/>
        <v>Dec'17</v>
      </c>
      <c r="AW18" s="126" t="str">
        <f t="shared" si="44"/>
        <v>Jan'18</v>
      </c>
      <c r="AX18" s="126" t="str">
        <f t="shared" si="44"/>
        <v>Feb'18</v>
      </c>
      <c r="AY18" s="126" t="str">
        <f t="shared" si="44"/>
        <v>Mar'18</v>
      </c>
      <c r="AZ18" s="126" t="str">
        <f>AZ2</f>
        <v>FY 1718</v>
      </c>
      <c r="BA18" s="127">
        <f>AX19-AX20</f>
        <v>-2.882634231866291</v>
      </c>
      <c r="BX18" s="126" t="s">
        <v>127</v>
      </c>
      <c r="BY18" s="126" t="s">
        <v>128</v>
      </c>
      <c r="BZ18" s="126" t="str">
        <f>BZ2</f>
        <v>Jun'18</v>
      </c>
      <c r="CA18" s="129" t="s">
        <v>130</v>
      </c>
      <c r="CB18" s="129" t="s">
        <v>131</v>
      </c>
      <c r="CC18" s="129" t="s">
        <v>132</v>
      </c>
      <c r="CD18" s="129" t="s">
        <v>133</v>
      </c>
      <c r="CE18" s="129" t="s">
        <v>134</v>
      </c>
      <c r="CF18" s="129" t="s">
        <v>135</v>
      </c>
      <c r="CG18" s="129" t="s">
        <v>136</v>
      </c>
      <c r="CH18" s="129" t="s">
        <v>137</v>
      </c>
      <c r="CI18" s="129" t="s">
        <v>138</v>
      </c>
      <c r="CJ18" s="129" t="str">
        <f>CJ2</f>
        <v>FY 1819</v>
      </c>
      <c r="CZ18" s="198" t="s">
        <v>161</v>
      </c>
      <c r="DA18" s="199">
        <f>DA16-DA17</f>
        <v>-36.869377926821471</v>
      </c>
    </row>
    <row r="19" spans="2:105" ht="13.5" thickTop="1" thickBot="1">
      <c r="K19" s="110" t="s">
        <v>101</v>
      </c>
      <c r="L19" s="131" t="s">
        <v>39</v>
      </c>
      <c r="M19" s="110"/>
      <c r="N19" s="109">
        <f>'Production in Sqm'!B27</f>
        <v>404.0897906782547</v>
      </c>
      <c r="O19" s="109">
        <f>'Production in Sqm'!C27</f>
        <v>403.73470057013714</v>
      </c>
      <c r="P19" s="109">
        <f>'Production in Sqm'!D27</f>
        <v>396.85378218021322</v>
      </c>
      <c r="Q19" s="109">
        <f>'Production in Sqm'!E27</f>
        <v>389.94013714766146</v>
      </c>
      <c r="R19" s="132">
        <f>'Production in Sqm'!F27</f>
        <v>397.41875638495537</v>
      </c>
      <c r="S19" s="132">
        <f>'Production in Sqm'!G27</f>
        <v>396.29088934587242</v>
      </c>
      <c r="T19" s="132">
        <f>'Production in Sqm'!H27</f>
        <v>401.03517276725358</v>
      </c>
      <c r="U19" s="109">
        <f>'Production in Sqm'!I27</f>
        <v>393.16023866347456</v>
      </c>
      <c r="V19" s="109">
        <f>'Production in Sqm'!J27</f>
        <v>387.14778173985059</v>
      </c>
      <c r="W19" s="109">
        <f>'Production in Sqm'!K27</f>
        <v>380.52479546498671</v>
      </c>
      <c r="X19" s="109">
        <f>'Production in Sqm'!L27</f>
        <v>370.66108632400756</v>
      </c>
      <c r="Y19" s="109">
        <f>'Production in Sqm'!M27</f>
        <v>377.89421455839852</v>
      </c>
      <c r="Z19" s="111">
        <f>SUM(N19:Y19)</f>
        <v>4698.751345825066</v>
      </c>
      <c r="AA19" s="109">
        <f>'Production in Sqm'!N27</f>
        <v>456.25302232971603</v>
      </c>
      <c r="AB19" s="109">
        <f>'Production in Sqm'!O27</f>
        <v>460.39176748648481</v>
      </c>
      <c r="AC19" s="109">
        <f>'Production in Sqm'!P27</f>
        <v>446.34706524028201</v>
      </c>
      <c r="AD19" s="109">
        <f>'Production in Sqm'!Q27</f>
        <v>442.56168007438441</v>
      </c>
      <c r="AE19" s="109">
        <f>'Production in Sqm'!R27</f>
        <v>446.69468882483221</v>
      </c>
      <c r="AF19" s="109">
        <f>'Production in Sqm'!S27</f>
        <v>448.23573618853612</v>
      </c>
      <c r="AG19" s="109">
        <f>'Production in Sqm'!T27</f>
        <v>459.28583480787239</v>
      </c>
      <c r="AH19" s="109">
        <f>'Production in Sqm'!U27</f>
        <v>435.39167258458133</v>
      </c>
      <c r="AI19" s="109">
        <f>'Production in Sqm'!V27</f>
        <v>433.2293474405123</v>
      </c>
      <c r="AJ19" s="109">
        <f>'Production in Sqm'!W27</f>
        <v>427.20829940558616</v>
      </c>
      <c r="AK19" s="109">
        <f>'Production in Sqm'!X27</f>
        <v>418.96414272068705</v>
      </c>
      <c r="AL19" s="109">
        <f>'Production in Sqm'!Y27</f>
        <v>422.38284778254945</v>
      </c>
      <c r="AM19" s="111">
        <f>SUM(AA19:AL19)</f>
        <v>5296.9461048860239</v>
      </c>
      <c r="AN19" s="133">
        <f>'Production in Sqm'!AA27</f>
        <v>483.48680570231926</v>
      </c>
      <c r="AO19" s="133">
        <f>'Production in Sqm'!AB27</f>
        <v>488.0179839634028</v>
      </c>
      <c r="AP19" s="133">
        <f>'Production in Sqm'!AC27</f>
        <v>489.90695808281771</v>
      </c>
      <c r="AQ19" s="133">
        <f>'Production in Sqm'!AD27</f>
        <v>490.63565788996272</v>
      </c>
      <c r="AR19" s="133">
        <f>'Production in Sqm'!AE27</f>
        <v>515.00331998414151</v>
      </c>
      <c r="AS19" s="133">
        <f>'Production in Sqm'!AF27</f>
        <v>518.25243994374159</v>
      </c>
      <c r="AT19" s="133">
        <f>'Production in Sqm'!AG27</f>
        <v>530.21072177685915</v>
      </c>
      <c r="AU19" s="133">
        <f>'Production in Sqm'!AH27</f>
        <v>514.77152839706105</v>
      </c>
      <c r="AV19" s="133">
        <f>'Production in Sqm'!AI27</f>
        <v>510.58530306422551</v>
      </c>
      <c r="AW19" s="133">
        <f>'Production in Sqm'!AJ27</f>
        <v>507.77719693539922</v>
      </c>
      <c r="AX19" s="133">
        <f>'Production in Sqm'!AK27</f>
        <v>492.51736576813369</v>
      </c>
      <c r="AY19" s="133">
        <f>'Production in Sqm'!AL27</f>
        <v>494.29431310842733</v>
      </c>
      <c r="AZ19" s="111">
        <f>SUM(AN19:AY19)</f>
        <v>6035.4595946164909</v>
      </c>
      <c r="BA19" s="138">
        <f>(AM19-AM20)/AM19</f>
        <v>-6.5615322406768678E-2</v>
      </c>
      <c r="BB19" s="138">
        <f>(AJ19-AJ20)/AJ19</f>
        <v>-0.12151886051778417</v>
      </c>
      <c r="BL19" s="115">
        <f>BL20+BL6</f>
        <v>1006.64</v>
      </c>
      <c r="BX19" s="133">
        <f>'Production in Sqm'!AO27</f>
        <v>525.49812761820283</v>
      </c>
      <c r="BY19" s="133">
        <f>'Production in Sqm'!AP27</f>
        <v>515.92884579875192</v>
      </c>
      <c r="BZ19" s="133">
        <f>'Production in Sqm'!AQ27</f>
        <v>526.08085634348458</v>
      </c>
      <c r="CA19" s="133">
        <f>'Production in Sqm'!AR27</f>
        <v>528.55793954817477</v>
      </c>
      <c r="CB19" s="133">
        <f>'Production in Sqm'!AS27</f>
        <v>528.97731642050212</v>
      </c>
      <c r="CC19" s="133">
        <f>'Production in Sqm'!AT27</f>
        <v>524.29975727427654</v>
      </c>
      <c r="CD19" s="133">
        <f>'Production in Sqm'!AU27</f>
        <v>545.38974587407824</v>
      </c>
      <c r="CE19" s="133">
        <f>'Production in Sqm'!AV27</f>
        <v>545.88305398527098</v>
      </c>
      <c r="CF19" s="133">
        <f>'Production in Sqm'!AW27</f>
        <v>555.73020693920557</v>
      </c>
      <c r="CG19" s="133">
        <f>'Production in Sqm'!AX27</f>
        <v>547.34247526758941</v>
      </c>
      <c r="CH19" s="133">
        <f>'Production in Sqm'!AY27</f>
        <v>534.92869915434869</v>
      </c>
      <c r="CI19" s="133">
        <f>'Production in Sqm'!AZ27</f>
        <v>527.56798457880222</v>
      </c>
      <c r="CJ19" s="111">
        <f>SUM(BX19:CI19)</f>
        <v>6406.1850088026877</v>
      </c>
      <c r="CZ19" s="197" t="s">
        <v>156</v>
      </c>
      <c r="DA19" s="151">
        <f>DA16/CJ5</f>
        <v>0.10609829448010727</v>
      </c>
    </row>
    <row r="20" spans="2:105" ht="13.5" thickTop="1" thickBot="1">
      <c r="B20" s="121" t="s">
        <v>14</v>
      </c>
      <c r="C20" s="121" t="s">
        <v>1</v>
      </c>
      <c r="D20" s="121" t="s">
        <v>2</v>
      </c>
      <c r="E20" s="121" t="s">
        <v>3</v>
      </c>
      <c r="F20" s="121" t="s">
        <v>4</v>
      </c>
      <c r="G20" s="122" t="s">
        <v>5</v>
      </c>
      <c r="H20" s="122" t="s">
        <v>6</v>
      </c>
      <c r="I20" s="122" t="s">
        <v>7</v>
      </c>
      <c r="K20" s="110"/>
      <c r="L20" s="131" t="s">
        <v>78</v>
      </c>
      <c r="M20" s="110"/>
      <c r="N20" s="109">
        <f>'Production in Sqm'!B23</f>
        <v>391.60596823543852</v>
      </c>
      <c r="O20" s="109">
        <f>'Production in Sqm'!C23</f>
        <v>390.97315562433465</v>
      </c>
      <c r="P20" s="109">
        <f>'Production in Sqm'!D23</f>
        <v>394.85643251959874</v>
      </c>
      <c r="Q20" s="109">
        <f>'Production in Sqm'!E23</f>
        <v>413.17978468434603</v>
      </c>
      <c r="R20" s="109">
        <f>'Production in Sqm'!F23</f>
        <v>378.30820474479191</v>
      </c>
      <c r="S20" s="109">
        <f>'Production in Sqm'!G23</f>
        <v>396.26144403631673</v>
      </c>
      <c r="T20" s="109">
        <f>'Production in Sqm'!H23</f>
        <v>444.33933082214236</v>
      </c>
      <c r="U20" s="109">
        <f>'Production in Sqm'!I23</f>
        <v>402.46392581295135</v>
      </c>
      <c r="V20" s="109">
        <f>'Production in Sqm'!J23</f>
        <v>389.65294634710028</v>
      </c>
      <c r="W20" s="109">
        <f>'Production in Sqm'!K23</f>
        <v>387.85851263331352</v>
      </c>
      <c r="X20" s="109">
        <f>'Production in Sqm'!L23</f>
        <v>390.37126279129592</v>
      </c>
      <c r="Y20" s="109">
        <f>'Production in Sqm'!M23</f>
        <v>756.71611093323941</v>
      </c>
      <c r="Z20" s="111">
        <f>SUM(N20:Y20)</f>
        <v>5136.5870791848693</v>
      </c>
      <c r="AA20" s="109">
        <f>'Production in Sqm'!N23</f>
        <v>432.23407566358298</v>
      </c>
      <c r="AB20" s="109">
        <f>'Production in Sqm'!O23</f>
        <v>465.03239718448827</v>
      </c>
      <c r="AC20" s="109">
        <f>'Production in Sqm'!P23</f>
        <v>480.41851886219843</v>
      </c>
      <c r="AD20" s="109">
        <f>'Production in Sqm'!Q23</f>
        <v>476.19543764725142</v>
      </c>
      <c r="AE20" s="109">
        <f>'Production in Sqm'!R23</f>
        <v>481.42459469075055</v>
      </c>
      <c r="AF20" s="109">
        <f>'Production in Sqm'!S23</f>
        <v>475.04165810358194</v>
      </c>
      <c r="AG20" s="109">
        <f>'Production in Sqm'!T23</f>
        <v>501.87742752922264</v>
      </c>
      <c r="AH20" s="109">
        <f>'Production in Sqm'!U23</f>
        <v>492.11520351085352</v>
      </c>
      <c r="AI20" s="109">
        <f>'Production in Sqm'!V23</f>
        <v>482.390722439858</v>
      </c>
      <c r="AJ20" s="109">
        <f>'Production in Sqm'!W23</f>
        <v>479.12216515309336</v>
      </c>
      <c r="AK20" s="109">
        <f>'Production in Sqm'!X23</f>
        <v>442.38405857162803</v>
      </c>
      <c r="AL20" s="109">
        <f>'Production in Sqm'!Y23</f>
        <v>436.27067197288932</v>
      </c>
      <c r="AM20" s="111">
        <f>SUM(AA20:AL20)</f>
        <v>5644.506931329398</v>
      </c>
      <c r="AN20" s="133">
        <f>'Production in Sqm'!AA23</f>
        <v>489.23954161725408</v>
      </c>
      <c r="AO20" s="133">
        <f>'Production in Sqm'!AB23</f>
        <v>499.81585130550479</v>
      </c>
      <c r="AP20" s="133">
        <f>'Production in Sqm'!AC23</f>
        <v>498.11804023471058</v>
      </c>
      <c r="AQ20" s="133">
        <f>'Production in Sqm'!AD23</f>
        <v>518.31753289707001</v>
      </c>
      <c r="AR20" s="133">
        <f>'Production in Sqm'!AE23</f>
        <v>500.18264580016643</v>
      </c>
      <c r="AS20" s="133">
        <f>'Production in Sqm'!AF23</f>
        <v>489.0669760287675</v>
      </c>
      <c r="AT20" s="133">
        <f>'Production in Sqm'!AG23</f>
        <v>504.25926874584542</v>
      </c>
      <c r="AU20" s="133">
        <f>'Production in Sqm'!AH23</f>
        <v>503.56228536644011</v>
      </c>
      <c r="AV20" s="133">
        <f>'Production in Sqm'!AI23</f>
        <v>538.57573176131223</v>
      </c>
      <c r="AW20" s="133">
        <f>'Production in Sqm'!AJ23</f>
        <v>494.26260331863733</v>
      </c>
      <c r="AX20" s="133">
        <f>'Production in Sqm'!AK23</f>
        <v>495.4</v>
      </c>
      <c r="AY20" s="133">
        <f>'Production in Sqm'!AL23</f>
        <v>535.65839300200435</v>
      </c>
      <c r="AZ20" s="111">
        <f>SUM(AN20:AY20)</f>
        <v>6066.4588700777122</v>
      </c>
      <c r="BA20" s="127">
        <f>AM19-AM20</f>
        <v>-347.56082644337403</v>
      </c>
      <c r="BB20" s="127">
        <f>AZ19-AZ20</f>
        <v>-30.999275461221259</v>
      </c>
      <c r="BK20" s="127">
        <f>AM19-AM20</f>
        <v>-347.56082644337403</v>
      </c>
      <c r="BL20" s="115">
        <f>133+72+90+24-12</f>
        <v>307</v>
      </c>
      <c r="BM20" s="127">
        <f>BL20+BK20</f>
        <v>-40.560826443374026</v>
      </c>
      <c r="BX20" s="133">
        <f>'Production in Sqm'!AO23</f>
        <v>536.55198443419749</v>
      </c>
      <c r="BY20" s="133">
        <f>'Production in Sqm'!AP23</f>
        <v>552.07618232045309</v>
      </c>
      <c r="BZ20" s="133">
        <f>'Production in Sqm'!AQ23</f>
        <v>563.68278851106015</v>
      </c>
      <c r="CA20" s="133">
        <f>'Production in Sqm'!AR23</f>
        <v>560.42067863683496</v>
      </c>
      <c r="CB20" s="133">
        <f>'Production in Sqm'!AS23</f>
        <v>547.02202510572624</v>
      </c>
      <c r="CC20" s="133">
        <f>'Production in Sqm'!AT23</f>
        <v>543.42362534560698</v>
      </c>
      <c r="CD20" s="133">
        <f>'Production in Sqm'!AU23</f>
        <v>602.93787480436094</v>
      </c>
      <c r="CE20" s="133">
        <f>'Production in Sqm'!AV23</f>
        <v>524.1233758447961</v>
      </c>
      <c r="CF20" s="133">
        <f>'Production in Sqm'!AW23</f>
        <v>509.6311870260206</v>
      </c>
      <c r="CG20" s="133">
        <f>'Production in Sqm'!AX23</f>
        <v>486.32398175827166</v>
      </c>
      <c r="CH20" s="133">
        <f>'Production in Sqm'!AY23</f>
        <v>481.97820958150714</v>
      </c>
      <c r="CI20" s="133">
        <f>'Production in Sqm'!AZ23</f>
        <v>528.0429169885565</v>
      </c>
      <c r="CJ20" s="111">
        <f>SUM(BX20:CI20)</f>
        <v>6436.2148303573922</v>
      </c>
      <c r="CK20" s="191"/>
      <c r="CL20" s="164"/>
      <c r="CM20" s="164"/>
      <c r="CN20" s="164"/>
      <c r="CO20" s="135"/>
      <c r="CZ20" s="193"/>
      <c r="DA20" s="203">
        <f>DA19-CJ8</f>
        <v>-6.538238349206596E-3</v>
      </c>
    </row>
    <row r="21" spans="2:105" ht="13.5" thickTop="1" thickBot="1">
      <c r="B21" s="119" t="s">
        <v>100</v>
      </c>
      <c r="C21" s="130">
        <v>386.68801117081114</v>
      </c>
      <c r="D21" s="130">
        <v>525</v>
      </c>
      <c r="E21" s="130">
        <v>650</v>
      </c>
      <c r="F21" s="130">
        <v>697.15644864797923</v>
      </c>
      <c r="G21" s="130">
        <v>737.70414472058951</v>
      </c>
      <c r="H21" s="130">
        <v>819.44397879465441</v>
      </c>
      <c r="I21" s="130"/>
      <c r="K21" s="110" t="s">
        <v>102</v>
      </c>
      <c r="L21" s="131" t="s">
        <v>39</v>
      </c>
      <c r="M21" s="110"/>
      <c r="N21" s="109">
        <f>'Production in Sqm'!B26</f>
        <v>3458</v>
      </c>
      <c r="O21" s="109">
        <f>'Production in Sqm'!C26</f>
        <v>3433</v>
      </c>
      <c r="P21" s="109">
        <f>'Production in Sqm'!D26</f>
        <v>3479</v>
      </c>
      <c r="Q21" s="109">
        <f>'Production in Sqm'!E26</f>
        <v>3703</v>
      </c>
      <c r="R21" s="109">
        <f>'Production in Sqm'!F26</f>
        <v>3866</v>
      </c>
      <c r="S21" s="109">
        <f>'Production in Sqm'!G26</f>
        <v>3786</v>
      </c>
      <c r="T21" s="109">
        <f>'Production in Sqm'!H26</f>
        <v>3778</v>
      </c>
      <c r="U21" s="109">
        <f>'Production in Sqm'!I26</f>
        <v>3656</v>
      </c>
      <c r="V21" s="109">
        <f>'Production in Sqm'!J26</f>
        <v>3752</v>
      </c>
      <c r="W21" s="109">
        <f>'Production in Sqm'!K26</f>
        <v>3790</v>
      </c>
      <c r="X21" s="109">
        <f>'Production in Sqm'!L26</f>
        <v>3798</v>
      </c>
      <c r="Y21" s="109">
        <f>'Production in Sqm'!M26</f>
        <v>4025</v>
      </c>
      <c r="Z21" s="111">
        <f>SUM(N21:Y21)</f>
        <v>44524</v>
      </c>
      <c r="AA21" s="109">
        <f>'Production in Sqm'!N26</f>
        <v>3660</v>
      </c>
      <c r="AB21" s="109">
        <f>'Production in Sqm'!O26</f>
        <v>3675</v>
      </c>
      <c r="AC21" s="109">
        <f>'Production in Sqm'!P26</f>
        <v>3976</v>
      </c>
      <c r="AD21" s="109">
        <f>'Production in Sqm'!Q26</f>
        <v>4091</v>
      </c>
      <c r="AE21" s="109">
        <f>'Production in Sqm'!R26</f>
        <v>4037</v>
      </c>
      <c r="AF21" s="109">
        <f>'Production in Sqm'!S26</f>
        <v>4000</v>
      </c>
      <c r="AG21" s="109">
        <f>'Production in Sqm'!T26</f>
        <v>3799</v>
      </c>
      <c r="AH21" s="109">
        <f>'Production in Sqm'!U26</f>
        <v>4006</v>
      </c>
      <c r="AI21" s="109">
        <f>'Production in Sqm'!V26</f>
        <v>3942</v>
      </c>
      <c r="AJ21" s="109">
        <f>'Production in Sqm'!W26</f>
        <v>3565</v>
      </c>
      <c r="AK21" s="109">
        <f>'Production in Sqm'!X26</f>
        <v>3955</v>
      </c>
      <c r="AL21" s="109">
        <f>'Production in Sqm'!Y26</f>
        <v>4059</v>
      </c>
      <c r="AM21" s="111">
        <f>SUM(AA21:AL21)</f>
        <v>46765</v>
      </c>
      <c r="AN21" s="133">
        <f>'Production in Sqm'!AA26</f>
        <v>4288.1024071594693</v>
      </c>
      <c r="AO21" s="133">
        <f>'Production in Sqm'!AB26</f>
        <v>3955.3140951588493</v>
      </c>
      <c r="AP21" s="133">
        <f>'Production in Sqm'!AC26</f>
        <v>4196.3448167059933</v>
      </c>
      <c r="AQ21" s="133">
        <f>'Production in Sqm'!AD26</f>
        <v>4133.0909477486757</v>
      </c>
      <c r="AR21" s="133">
        <f>'Production in Sqm'!AE26</f>
        <v>3876.9182821850532</v>
      </c>
      <c r="AS21" s="133">
        <f>'Production in Sqm'!AF26</f>
        <v>4499.048393504082</v>
      </c>
      <c r="AT21" s="133">
        <f>'Production in Sqm'!AG26</f>
        <v>4122.2129175107339</v>
      </c>
      <c r="AU21" s="133">
        <f>'Production in Sqm'!AH26</f>
        <v>4515.0449557993898</v>
      </c>
      <c r="AV21" s="133">
        <f>'Production in Sqm'!AI26</f>
        <v>4185.6239204296562</v>
      </c>
      <c r="AW21" s="133">
        <f>'Production in Sqm'!AJ26</f>
        <v>4333.5412441327471</v>
      </c>
      <c r="AX21" s="133">
        <f>'Production in Sqm'!AK26</f>
        <v>4519.8374644466658</v>
      </c>
      <c r="AY21" s="133">
        <f>'Production in Sqm'!AL26</f>
        <v>4873.2447346158642</v>
      </c>
      <c r="AZ21" s="111">
        <f>SUM(AN21:AY21)</f>
        <v>51498.32417939719</v>
      </c>
      <c r="BX21" s="133">
        <f>'Production in Sqm'!AO26</f>
        <v>4412</v>
      </c>
      <c r="BY21" s="133">
        <f>'Production in Sqm'!AP26</f>
        <v>4577</v>
      </c>
      <c r="BZ21" s="133">
        <f>'Production in Sqm'!AQ26</f>
        <v>4725</v>
      </c>
      <c r="CA21" s="133">
        <f>'Production in Sqm'!AR26</f>
        <v>4736</v>
      </c>
      <c r="CB21" s="133">
        <f>'Production in Sqm'!AS26</f>
        <v>5025</v>
      </c>
      <c r="CC21" s="133">
        <f>'Production in Sqm'!AT26</f>
        <v>4995</v>
      </c>
      <c r="CD21" s="133">
        <f>'Production in Sqm'!AU26</f>
        <v>4809</v>
      </c>
      <c r="CE21" s="133">
        <f>'Production in Sqm'!AV26</f>
        <v>4519</v>
      </c>
      <c r="CF21" s="133">
        <f>'Production in Sqm'!AW26</f>
        <v>4440</v>
      </c>
      <c r="CG21" s="133">
        <f>'Production in Sqm'!AX26</f>
        <v>4500</v>
      </c>
      <c r="CH21" s="133">
        <f>'Production in Sqm'!AY26</f>
        <v>4757</v>
      </c>
      <c r="CI21" s="133">
        <f>'Production in Sqm'!AZ26</f>
        <v>4824</v>
      </c>
      <c r="CJ21" s="111">
        <f>SUM(BX21:CI21)</f>
        <v>56319</v>
      </c>
    </row>
    <row r="22" spans="2:105" ht="13.5" thickTop="1" thickBot="1">
      <c r="B22" s="119" t="s">
        <v>102</v>
      </c>
      <c r="C22" s="134">
        <v>7656.9519185590125</v>
      </c>
      <c r="D22" s="134">
        <v>8694</v>
      </c>
      <c r="E22" s="134">
        <v>11464</v>
      </c>
      <c r="F22" s="134">
        <v>11996.806575663086</v>
      </c>
      <c r="G22" s="134">
        <v>9945.7009029834771</v>
      </c>
      <c r="H22" s="134">
        <f>'Production in Sqm'!C5</f>
        <v>11455</v>
      </c>
      <c r="I22" s="134"/>
      <c r="K22" s="110"/>
      <c r="L22" s="131" t="s">
        <v>78</v>
      </c>
      <c r="M22" s="110"/>
      <c r="N22" s="109">
        <f>'Production in Sqm'!B22</f>
        <v>3735.4736161709056</v>
      </c>
      <c r="O22" s="109">
        <f>'Production in Sqm'!C22</f>
        <v>3345.5621911635249</v>
      </c>
      <c r="P22" s="109">
        <f>'Production in Sqm'!D22</f>
        <v>3701.4954035534447</v>
      </c>
      <c r="Q22" s="109">
        <f>'Production in Sqm'!E22</f>
        <v>4149.2904489504972</v>
      </c>
      <c r="R22" s="109">
        <f>'Production in Sqm'!F22</f>
        <v>3903.8991263550806</v>
      </c>
      <c r="S22" s="109">
        <f>'Production in Sqm'!G22</f>
        <v>3793.3044275045186</v>
      </c>
      <c r="T22" s="109">
        <f>'Production in Sqm'!H22</f>
        <v>3908.4667211176543</v>
      </c>
      <c r="U22" s="109">
        <f>'Production in Sqm'!I22</f>
        <v>3505.6199399121515</v>
      </c>
      <c r="V22" s="109">
        <f>'Production in Sqm'!J22</f>
        <v>3693.9315403965006</v>
      </c>
      <c r="W22" s="109">
        <f>'Production in Sqm'!K22</f>
        <v>3522.4921658716212</v>
      </c>
      <c r="X22" s="109">
        <f>'Production in Sqm'!L22</f>
        <v>3936.2960568890935</v>
      </c>
      <c r="Y22" s="109">
        <f>'Production in Sqm'!M22</f>
        <v>3430.250771909145</v>
      </c>
      <c r="Z22" s="111">
        <f>SUM(N22:Y22)</f>
        <v>44626.082409794129</v>
      </c>
      <c r="AA22" s="109">
        <f>'Production in Sqm'!N22</f>
        <v>3608.9400639089881</v>
      </c>
      <c r="AB22" s="109">
        <f>'Production in Sqm'!O22</f>
        <v>3533.5461330384896</v>
      </c>
      <c r="AC22" s="109">
        <f>'Production in Sqm'!P22</f>
        <v>4297.2119813857025</v>
      </c>
      <c r="AD22" s="109">
        <f>'Production in Sqm'!Q22</f>
        <v>4039.1390589797788</v>
      </c>
      <c r="AE22" s="109">
        <f>'Production in Sqm'!R22</f>
        <v>4135.3555441738854</v>
      </c>
      <c r="AF22" s="109">
        <f>'Production in Sqm'!S22</f>
        <v>3755.7551736201276</v>
      </c>
      <c r="AG22" s="109">
        <f>'Production in Sqm'!T22</f>
        <v>3424.0795639554071</v>
      </c>
      <c r="AH22" s="109">
        <f>'Production in Sqm'!U22</f>
        <v>3941.06856785318</v>
      </c>
      <c r="AI22" s="109">
        <f>'Production in Sqm'!V22</f>
        <v>3511.0375520143621</v>
      </c>
      <c r="AJ22" s="109">
        <f>'Production in Sqm'!W22</f>
        <v>3203.7765539926058</v>
      </c>
      <c r="AK22" s="109">
        <f>'Production in Sqm'!X22</f>
        <v>3822.558228169456</v>
      </c>
      <c r="AL22" s="109">
        <f>'Production in Sqm'!Y22</f>
        <v>4235.1546165585141</v>
      </c>
      <c r="AM22" s="111">
        <f>SUM(AA22:AL22)</f>
        <v>45507.623037650505</v>
      </c>
      <c r="AN22" s="133">
        <f>'Production in Sqm'!AA22</f>
        <v>4131.1432036348651</v>
      </c>
      <c r="AO22" s="133">
        <f>'Production in Sqm'!AB22</f>
        <v>3783.9071120131439</v>
      </c>
      <c r="AP22" s="133">
        <f>'Production in Sqm'!AC22</f>
        <v>4139.902397071799</v>
      </c>
      <c r="AQ22" s="133">
        <f>'Production in Sqm'!AD22</f>
        <v>3965.7383087504427</v>
      </c>
      <c r="AR22" s="133">
        <f>'Production in Sqm'!AE22</f>
        <v>4127.8931790340312</v>
      </c>
      <c r="AS22" s="133">
        <f>'Production in Sqm'!AF22</f>
        <v>4063.9073664524567</v>
      </c>
      <c r="AT22" s="133">
        <f>'Production in Sqm'!AG22</f>
        <v>4019.5512838867235</v>
      </c>
      <c r="AU22" s="133">
        <f>'Production in Sqm'!AH22</f>
        <v>4296.1810169138871</v>
      </c>
      <c r="AV22" s="133">
        <f>'Production in Sqm'!AI22</f>
        <v>3989.2326330529008</v>
      </c>
      <c r="AW22" s="133">
        <f>'Production in Sqm'!AJ22</f>
        <v>3930.7075229104621</v>
      </c>
      <c r="AX22" s="133">
        <f>'Production in Sqm'!AK22</f>
        <v>4085</v>
      </c>
      <c r="AY22" s="133">
        <f>'Production in Sqm'!AL22</f>
        <v>4811.0523096257339</v>
      </c>
      <c r="AZ22" s="111">
        <f>SUM(AN22:AY22)</f>
        <v>49344.216333346441</v>
      </c>
      <c r="BA22" s="138">
        <f>(AY22-AY21)/AY21</f>
        <v>-1.2762015531122857E-2</v>
      </c>
      <c r="BB22" s="151">
        <f>(Z22-Z21)/Z21</f>
        <v>2.2927501975143626E-3</v>
      </c>
      <c r="BX22" s="133">
        <f>'Production in Sqm'!AO22</f>
        <v>4677.3061655001711</v>
      </c>
      <c r="BY22" s="133">
        <f>'Production in Sqm'!AP22</f>
        <v>4563.3793349211373</v>
      </c>
      <c r="BZ22" s="133">
        <f>'Production in Sqm'!AQ22</f>
        <v>4731.0423308574982</v>
      </c>
      <c r="CA22" s="133">
        <f>'Production in Sqm'!AR22</f>
        <v>4953.1277967149354</v>
      </c>
      <c r="CB22" s="133">
        <f>'Production in Sqm'!AS22</f>
        <v>4848.82301328417</v>
      </c>
      <c r="CC22" s="133">
        <f>'Production in Sqm'!AT22</f>
        <v>4568.4014088498889</v>
      </c>
      <c r="CD22" s="133">
        <f>'Production in Sqm'!AU22</f>
        <v>4657.9371164704535</v>
      </c>
      <c r="CE22" s="133">
        <f>'Production in Sqm'!AV22</f>
        <v>3902.3356553810754</v>
      </c>
      <c r="CF22" s="133">
        <f>'Production in Sqm'!AW22</f>
        <v>4164.8868889627274</v>
      </c>
      <c r="CG22" s="133">
        <f>'Production in Sqm'!AX22</f>
        <v>4041.3809774736387</v>
      </c>
      <c r="CH22" s="133">
        <f>'Production in Sqm'!AY22</f>
        <v>4405.1115374783849</v>
      </c>
      <c r="CI22" s="133">
        <f>'Production in Sqm'!AZ22</f>
        <v>4797.8917996763794</v>
      </c>
      <c r="CJ22" s="111">
        <f>SUM(BX22:CI22)</f>
        <v>54311.624025570454</v>
      </c>
      <c r="CO22" s="127"/>
      <c r="CP22" s="135"/>
    </row>
    <row r="23" spans="2:105" ht="13.5" thickTop="1" thickBot="1">
      <c r="B23" s="119" t="s">
        <v>8</v>
      </c>
      <c r="C23" s="137">
        <f t="shared" ref="C23:I23" si="45">C21/C22</f>
        <v>5.0501559273678089E-2</v>
      </c>
      <c r="D23" s="137">
        <f t="shared" si="45"/>
        <v>6.0386473429951688E-2</v>
      </c>
      <c r="E23" s="137">
        <f t="shared" si="45"/>
        <v>5.6699232379623168E-2</v>
      </c>
      <c r="F23" s="137">
        <f t="shared" si="45"/>
        <v>5.8111835366441766E-2</v>
      </c>
      <c r="G23" s="137">
        <f t="shared" si="45"/>
        <v>7.4173168077002555E-2</v>
      </c>
      <c r="H23" s="137">
        <f t="shared" si="45"/>
        <v>7.1535921326464816E-2</v>
      </c>
      <c r="I23" s="137" t="e">
        <f t="shared" si="45"/>
        <v>#DIV/0!</v>
      </c>
      <c r="K23" s="110" t="s">
        <v>8</v>
      </c>
      <c r="L23" s="131" t="s">
        <v>39</v>
      </c>
      <c r="M23" s="110"/>
      <c r="N23" s="112">
        <f t="shared" ref="N23:X23" si="46">N19/N21</f>
        <v>0.11685650395553925</v>
      </c>
      <c r="O23" s="112">
        <f t="shared" si="46"/>
        <v>0.11760404910286547</v>
      </c>
      <c r="P23" s="112">
        <f t="shared" si="46"/>
        <v>0.11407122224208485</v>
      </c>
      <c r="Q23" s="112">
        <f t="shared" si="46"/>
        <v>0.10530384476037306</v>
      </c>
      <c r="R23" s="140">
        <f t="shared" si="46"/>
        <v>0.10279843672657925</v>
      </c>
      <c r="S23" s="140">
        <f t="shared" si="46"/>
        <v>0.10467271245268685</v>
      </c>
      <c r="T23" s="140">
        <f t="shared" si="46"/>
        <v>0.10615012513691201</v>
      </c>
      <c r="U23" s="112">
        <f t="shared" si="46"/>
        <v>0.107538358496574</v>
      </c>
      <c r="V23" s="112">
        <f t="shared" si="46"/>
        <v>0.10318437679633545</v>
      </c>
      <c r="W23" s="112">
        <f t="shared" si="46"/>
        <v>0.10040232070316273</v>
      </c>
      <c r="X23" s="112">
        <f t="shared" si="46"/>
        <v>9.7593756272777138E-2</v>
      </c>
      <c r="Y23" s="112">
        <f t="shared" ref="Y23:AB24" si="47">Y19/Y21</f>
        <v>9.3886761380968575E-2</v>
      </c>
      <c r="Z23" s="112">
        <f>Z19/Z21</f>
        <v>0.10553300120890005</v>
      </c>
      <c r="AA23" s="112">
        <f t="shared" si="47"/>
        <v>0.12465929571850165</v>
      </c>
      <c r="AB23" s="112">
        <f t="shared" si="47"/>
        <v>0.12527667142489382</v>
      </c>
      <c r="AC23" s="112">
        <f t="shared" ref="AC23:AI24" si="48">AC19/AC21</f>
        <v>0.11226032827974899</v>
      </c>
      <c r="AD23" s="112">
        <f t="shared" si="48"/>
        <v>0.10817934003284879</v>
      </c>
      <c r="AE23" s="112">
        <f t="shared" si="48"/>
        <v>0.11065015824246525</v>
      </c>
      <c r="AF23" s="112">
        <f t="shared" si="48"/>
        <v>0.11205893404713403</v>
      </c>
      <c r="AG23" s="112">
        <f t="shared" si="48"/>
        <v>0.12089650824108249</v>
      </c>
      <c r="AH23" s="112">
        <f t="shared" si="48"/>
        <v>0.10868489080993043</v>
      </c>
      <c r="AI23" s="112">
        <f t="shared" si="48"/>
        <v>0.10990089990880576</v>
      </c>
      <c r="AJ23" s="112">
        <f t="shared" ref="AJ23:AK23" si="49">AJ19/AJ21</f>
        <v>0.11983402507870579</v>
      </c>
      <c r="AK23" s="112">
        <f t="shared" si="49"/>
        <v>0.10593277944897271</v>
      </c>
      <c r="AL23" s="112">
        <f t="shared" ref="AL23" si="50">AL19/AL21</f>
        <v>0.10406081492548644</v>
      </c>
      <c r="AM23" s="112">
        <f>AM19/AM21</f>
        <v>0.11326731754273546</v>
      </c>
      <c r="AN23" s="141">
        <f>IFERROR(AN19/AN21,"")</f>
        <v>0.11275076007865009</v>
      </c>
      <c r="AO23" s="141">
        <f t="shared" ref="AO23:AP23" si="51">IFERROR(AO19/AO21,"")</f>
        <v>0.12338286472892705</v>
      </c>
      <c r="AP23" s="141">
        <f t="shared" si="51"/>
        <v>0.11674611584168629</v>
      </c>
      <c r="AQ23" s="141">
        <f t="shared" ref="AQ23:AS23" si="52">IFERROR(AQ19/AQ21,"")</f>
        <v>0.11870913659841323</v>
      </c>
      <c r="AR23" s="141">
        <f t="shared" si="52"/>
        <v>0.13283832221861605</v>
      </c>
      <c r="AS23" s="141">
        <f t="shared" si="52"/>
        <v>0.11519156821962986</v>
      </c>
      <c r="AT23" s="141">
        <f t="shared" ref="AT23:AU23" si="53">IFERROR(AT19/AT21,"")</f>
        <v>0.12862283739022282</v>
      </c>
      <c r="AU23" s="141">
        <f t="shared" si="53"/>
        <v>0.11401249233096963</v>
      </c>
      <c r="AV23" s="141">
        <f t="shared" ref="AV23:AW23" si="54">IFERROR(AV19/AV21,"")</f>
        <v>0.12198547045091755</v>
      </c>
      <c r="AW23" s="141">
        <f t="shared" si="54"/>
        <v>0.11717373121183215</v>
      </c>
      <c r="AX23" s="141">
        <f t="shared" ref="AX23:AY23" si="55">IFERROR(AX19/AX21,"")</f>
        <v>0.10896793737436516</v>
      </c>
      <c r="AY23" s="141">
        <f t="shared" si="55"/>
        <v>0.10143022565588229</v>
      </c>
      <c r="AZ23" s="112">
        <f>AZ19/AZ21</f>
        <v>0.11719720380786842</v>
      </c>
      <c r="BA23" s="138">
        <f>(AZ21-AZ22)/AZ21</f>
        <v>4.182869793096175E-2</v>
      </c>
      <c r="BB23" s="151">
        <f>(U21-U22)/U21</f>
        <v>4.1132401555757252E-2</v>
      </c>
      <c r="BX23" s="141">
        <f t="shared" ref="BX23:BY24" si="56">IFERROR(BX19/BX21,"")</f>
        <v>0.11910655657710853</v>
      </c>
      <c r="BY23" s="141">
        <f t="shared" si="56"/>
        <v>0.11272205501392876</v>
      </c>
      <c r="BZ23" s="141">
        <f t="shared" ref="BZ23:CA23" si="57">IFERROR(BZ19/BZ21,"")</f>
        <v>0.11133986377639886</v>
      </c>
      <c r="CA23" s="141">
        <f t="shared" si="57"/>
        <v>0.11160429466811123</v>
      </c>
      <c r="CB23" s="141">
        <f t="shared" ref="CB23:CD23" si="58">IFERROR(CB19/CB21,"")</f>
        <v>0.10526911769562232</v>
      </c>
      <c r="CC23" s="141">
        <f t="shared" si="58"/>
        <v>0.10496491637122654</v>
      </c>
      <c r="CD23" s="141">
        <f t="shared" si="58"/>
        <v>0.11341021956208738</v>
      </c>
      <c r="CE23" s="141">
        <f t="shared" ref="CE23:CF23" si="59">IFERROR(CE19/CE21,"")</f>
        <v>0.12079731223396127</v>
      </c>
      <c r="CF23" s="141">
        <f t="shared" si="59"/>
        <v>0.1251644610223436</v>
      </c>
      <c r="CG23" s="141">
        <f t="shared" ref="CG23:CH23" si="60">IFERROR(CG19/CG21,"")</f>
        <v>0.12163166117057542</v>
      </c>
      <c r="CH23" s="141">
        <f t="shared" si="60"/>
        <v>0.11245085119914836</v>
      </c>
      <c r="CI23" s="141">
        <f t="shared" ref="CI23" si="61">IFERROR(CI19/CI21,"")</f>
        <v>0.10936318088283628</v>
      </c>
      <c r="CJ23" s="112">
        <f>IFERROR(CJ19/CJ21,"")</f>
        <v>0.11374820236159533</v>
      </c>
      <c r="CK23" s="138">
        <f>(CD21-CD22)/CD21</f>
        <v>3.1412535564472141E-2</v>
      </c>
      <c r="CL23" s="138"/>
      <c r="CM23" s="138"/>
      <c r="CN23" s="138"/>
      <c r="CO23" s="138">
        <f>(CE21-CE22)/CE21</f>
        <v>0.13646035508274498</v>
      </c>
      <c r="CQ23" s="115">
        <f>0.83%*BY21</f>
        <v>37.989100000000001</v>
      </c>
      <c r="CR23" s="135"/>
      <c r="CS23" s="135"/>
      <c r="CT23" s="135"/>
      <c r="CU23" s="135"/>
      <c r="CV23" s="135"/>
      <c r="CW23" s="135"/>
    </row>
    <row r="24" spans="2:105" ht="13.5" thickTop="1" thickBot="1">
      <c r="B24" s="119" t="s">
        <v>9</v>
      </c>
      <c r="C24" s="134">
        <v>235.625</v>
      </c>
      <c r="D24" s="134">
        <v>287</v>
      </c>
      <c r="E24" s="134">
        <v>339</v>
      </c>
      <c r="F24" s="134">
        <v>344.20833333333331</v>
      </c>
      <c r="G24" s="134">
        <v>297.83333333333337</v>
      </c>
      <c r="H24" s="134">
        <f>'Production in Sqm'!E5</f>
        <v>333.1</v>
      </c>
      <c r="I24" s="134"/>
      <c r="K24" s="110" t="s">
        <v>8</v>
      </c>
      <c r="L24" s="131" t="s">
        <v>78</v>
      </c>
      <c r="M24" s="110"/>
      <c r="N24" s="112">
        <f t="shared" ref="N24:X24" si="62">N20/N22</f>
        <v>0.10483435528500912</v>
      </c>
      <c r="O24" s="112">
        <f t="shared" si="62"/>
        <v>0.11686321559258218</v>
      </c>
      <c r="P24" s="112">
        <f t="shared" si="62"/>
        <v>0.10667484069831225</v>
      </c>
      <c r="Q24" s="112">
        <f t="shared" si="62"/>
        <v>9.9578419435268475E-2</v>
      </c>
      <c r="R24" s="112">
        <f t="shared" si="62"/>
        <v>9.6905220268333009E-2</v>
      </c>
      <c r="S24" s="112">
        <f t="shared" si="62"/>
        <v>0.10446339111701698</v>
      </c>
      <c r="T24" s="112">
        <f t="shared" si="62"/>
        <v>0.11368635388945574</v>
      </c>
      <c r="U24" s="142">
        <f t="shared" si="62"/>
        <v>0.11480535046906334</v>
      </c>
      <c r="V24" s="142">
        <f t="shared" si="62"/>
        <v>0.10548461499242499</v>
      </c>
      <c r="W24" s="142">
        <f t="shared" si="62"/>
        <v>0.11010912001200721</v>
      </c>
      <c r="X24" s="142">
        <f t="shared" si="62"/>
        <v>9.9172231242131578E-2</v>
      </c>
      <c r="Y24" s="142">
        <f>Y20/Y22</f>
        <v>0.22060081354112793</v>
      </c>
      <c r="Z24" s="142">
        <f>Z20/Z22</f>
        <v>0.11510280091396814</v>
      </c>
      <c r="AA24" s="112">
        <f t="shared" si="47"/>
        <v>0.11976759602801851</v>
      </c>
      <c r="AB24" s="112">
        <f t="shared" si="47"/>
        <v>0.13160501651201248</v>
      </c>
      <c r="AC24" s="142">
        <f t="shared" si="48"/>
        <v>0.11179772395293379</v>
      </c>
      <c r="AD24" s="142">
        <f t="shared" si="48"/>
        <v>0.1178952818147169</v>
      </c>
      <c r="AE24" s="112">
        <f t="shared" si="48"/>
        <v>0.11641673600931553</v>
      </c>
      <c r="AF24" s="112">
        <f t="shared" si="48"/>
        <v>0.12648365938232736</v>
      </c>
      <c r="AG24" s="112">
        <f t="shared" si="48"/>
        <v>0.14657294556247605</v>
      </c>
      <c r="AH24" s="112">
        <f t="shared" si="48"/>
        <v>0.12486847032426124</v>
      </c>
      <c r="AI24" s="112">
        <f t="shared" si="48"/>
        <v>0.13739264114765717</v>
      </c>
      <c r="AJ24" s="112">
        <f t="shared" ref="AJ24:AK24" si="63">AJ20/AJ22</f>
        <v>0.14954918268441736</v>
      </c>
      <c r="AK24" s="112">
        <f t="shared" si="63"/>
        <v>0.11572984168339971</v>
      </c>
      <c r="AL24" s="112">
        <f t="shared" ref="AL24" si="64">AL20/AL22</f>
        <v>0.10301174608057233</v>
      </c>
      <c r="AM24" s="143">
        <f>AM20/AM22</f>
        <v>0.12403431677060882</v>
      </c>
      <c r="AN24" s="144">
        <f>IFERROR(AN20/AN22,"")</f>
        <v>0.11842715623771825</v>
      </c>
      <c r="AO24" s="144">
        <f t="shared" ref="AO24:AP24" si="65">IFERROR(AO20/AO22,"")</f>
        <v>0.13208988395055735</v>
      </c>
      <c r="AP24" s="144">
        <f t="shared" si="65"/>
        <v>0.1203212038494036</v>
      </c>
      <c r="AQ24" s="144">
        <f t="shared" ref="AQ24:AS24" si="66">IFERROR(AQ20/AQ22,"")</f>
        <v>0.1306988743441283</v>
      </c>
      <c r="AR24" s="145">
        <f t="shared" si="66"/>
        <v>0.1211714121723504</v>
      </c>
      <c r="AS24" s="144">
        <f t="shared" si="66"/>
        <v>0.12034402655582505</v>
      </c>
      <c r="AT24" s="145">
        <f t="shared" ref="AT24:AU24" si="67">IFERROR(AT20/AT22,"")</f>
        <v>0.12545163206830628</v>
      </c>
      <c r="AU24" s="144">
        <f t="shared" si="67"/>
        <v>0.11721160802674194</v>
      </c>
      <c r="AV24" s="144">
        <f t="shared" ref="AV24:AW24" si="68">IFERROR(AV20/AV22,"")</f>
        <v>0.13500735136349976</v>
      </c>
      <c r="AW24" s="144">
        <f t="shared" si="68"/>
        <v>0.12574392789028077</v>
      </c>
      <c r="AX24" s="144">
        <f t="shared" ref="AX24:AY24" si="69">IFERROR(AX20/AX22,"")</f>
        <v>0.12127294981640147</v>
      </c>
      <c r="AY24" s="144">
        <f t="shared" si="69"/>
        <v>0.11133913300636608</v>
      </c>
      <c r="AZ24" s="143">
        <f>AZ20/AZ22</f>
        <v>0.12294163978804637</v>
      </c>
      <c r="BA24" s="136">
        <f>AZ24-AZ23</f>
        <v>5.7444359801779449E-3</v>
      </c>
      <c r="BX24" s="145">
        <f t="shared" si="56"/>
        <v>0.11471388988640664</v>
      </c>
      <c r="BY24" s="144">
        <f t="shared" si="56"/>
        <v>0.12097968233666331</v>
      </c>
      <c r="BZ24" s="144">
        <f t="shared" ref="BZ24:CA24" si="70">IFERROR(BZ20/BZ22,"")</f>
        <v>0.1191455812674779</v>
      </c>
      <c r="CA24" s="144">
        <f t="shared" si="70"/>
        <v>0.1131448049873704</v>
      </c>
      <c r="CB24" s="144">
        <f t="shared" ref="CB24:CD24" si="71">IFERROR(CB20/CB22,"")</f>
        <v>0.11281542419821614</v>
      </c>
      <c r="CC24" s="144">
        <f t="shared" si="71"/>
        <v>0.11895268754030434</v>
      </c>
      <c r="CD24" s="144">
        <f t="shared" si="71"/>
        <v>0.1294431117741745</v>
      </c>
      <c r="CE24" s="144">
        <f t="shared" ref="CE24:CF24" si="72">IFERROR(CE20/CE22,"")</f>
        <v>0.13431017270953177</v>
      </c>
      <c r="CF24" s="145">
        <f t="shared" si="72"/>
        <v>0.12236375215292945</v>
      </c>
      <c r="CG24" s="145">
        <f t="shared" ref="CG24:CH24" si="73">IFERROR(CG20/CG22,"")</f>
        <v>0.1203360891905529</v>
      </c>
      <c r="CH24" s="145">
        <f t="shared" si="73"/>
        <v>0.10941339520710652</v>
      </c>
      <c r="CI24" s="144">
        <f t="shared" ref="CI24" si="74">IFERROR(CI20/CI22,"")</f>
        <v>0.11005727912083664</v>
      </c>
      <c r="CJ24" s="144">
        <f>IFERROR(CJ20/CJ22,"")</f>
        <v>0.11850529137790389</v>
      </c>
      <c r="CO24" s="127">
        <f>CB19-CB20</f>
        <v>-18.044708685224123</v>
      </c>
      <c r="CP24" s="127">
        <f>CC19-CC20</f>
        <v>-19.123868071330435</v>
      </c>
      <c r="CQ24" s="136"/>
      <c r="CR24" s="136"/>
      <c r="CS24" s="136"/>
      <c r="CT24" s="136"/>
      <c r="CU24" s="136"/>
      <c r="CV24" s="136"/>
      <c r="CW24" s="136"/>
    </row>
    <row r="25" spans="2:105" ht="13.5" thickTop="1" thickBot="1">
      <c r="B25" s="119" t="s">
        <v>10</v>
      </c>
      <c r="C25" s="134">
        <v>3135.8631195374001</v>
      </c>
      <c r="D25" s="134">
        <v>3123</v>
      </c>
      <c r="E25" s="134">
        <v>3025</v>
      </c>
      <c r="F25" s="134">
        <v>3085.5579409708271</v>
      </c>
      <c r="G25" s="134">
        <v>2936.6297499820921</v>
      </c>
      <c r="H25" s="134">
        <f>'Production in Sqm'!H5</f>
        <v>2712.3686580606422</v>
      </c>
      <c r="I25" s="134"/>
      <c r="K25" s="110" t="s">
        <v>9</v>
      </c>
      <c r="L25" s="131" t="s">
        <v>39</v>
      </c>
      <c r="M25" s="110"/>
      <c r="N25" s="111">
        <f>'Manpower Backup'!C26</f>
        <v>1193</v>
      </c>
      <c r="O25" s="111">
        <f>'Manpower Backup'!D26</f>
        <v>1194</v>
      </c>
      <c r="P25" s="111">
        <f>'Manpower Backup'!E26</f>
        <v>1194</v>
      </c>
      <c r="Q25" s="111">
        <f>'Manpower Backup'!F26</f>
        <v>1194</v>
      </c>
      <c r="R25" s="111">
        <f>'Manpower Backup'!G26</f>
        <v>1194</v>
      </c>
      <c r="S25" s="111">
        <f>'Manpower Backup'!H26</f>
        <v>1191</v>
      </c>
      <c r="T25" s="111">
        <f>'Manpower Backup'!I26</f>
        <v>1183</v>
      </c>
      <c r="U25" s="111">
        <f>'Manpower Backup'!J26</f>
        <v>1183</v>
      </c>
      <c r="V25" s="111">
        <f>'Manpower Backup'!K26</f>
        <v>1143</v>
      </c>
      <c r="W25" s="111">
        <f>'Manpower Backup'!L26</f>
        <v>1122</v>
      </c>
      <c r="X25" s="111">
        <f>'Manpower Backup'!M26</f>
        <v>1122</v>
      </c>
      <c r="Y25" s="111">
        <f>'Manpower Backup'!N26</f>
        <v>1123</v>
      </c>
      <c r="Z25" s="111">
        <f>AVERAGE(N25:Y25)</f>
        <v>1169.6666666666667</v>
      </c>
      <c r="AA25" s="111">
        <f>'Manpower Backup'!CN26</f>
        <v>1207</v>
      </c>
      <c r="AB25" s="111">
        <f>'Manpower Backup'!CO26</f>
        <v>1211</v>
      </c>
      <c r="AC25" s="111">
        <f>'Manpower Backup'!CP26</f>
        <v>1175</v>
      </c>
      <c r="AD25" s="111">
        <f>'Manpower Backup'!CQ26</f>
        <v>1165</v>
      </c>
      <c r="AE25" s="111">
        <f>'Manpower Backup'!CR26</f>
        <v>1152</v>
      </c>
      <c r="AF25" s="111">
        <f>'Manpower Backup'!CS26</f>
        <v>1147</v>
      </c>
      <c r="AG25" s="111">
        <f>'Manpower Backup'!CT26</f>
        <v>1147</v>
      </c>
      <c r="AH25" s="111">
        <f>'Manpower Backup'!CU26</f>
        <v>1142</v>
      </c>
      <c r="AI25" s="111">
        <f>'Manpower Backup'!CV26</f>
        <v>1141.5</v>
      </c>
      <c r="AJ25" s="111">
        <f>'Manpower Backup'!CW26</f>
        <v>1133</v>
      </c>
      <c r="AK25" s="111">
        <f>'Manpower Backup'!CX26</f>
        <v>1133</v>
      </c>
      <c r="AL25" s="111">
        <f>'Manpower Backup'!CY26</f>
        <v>1130</v>
      </c>
      <c r="AM25" s="111">
        <f>AVERAGE(AA25:AL25)</f>
        <v>1156.9583333333333</v>
      </c>
      <c r="AN25" s="133">
        <f>'Manpower Backup'!FO26</f>
        <v>1229</v>
      </c>
      <c r="AO25" s="133">
        <f>'Manpower Backup'!FP26</f>
        <v>1227</v>
      </c>
      <c r="AP25" s="133">
        <f>'Manpower Backup'!FQ26</f>
        <v>1215</v>
      </c>
      <c r="AQ25" s="133">
        <f>'Manpower Backup'!FR26</f>
        <v>1210.5</v>
      </c>
      <c r="AR25" s="133">
        <f>'Manpower Backup'!FS26</f>
        <v>1197</v>
      </c>
      <c r="AS25" s="133">
        <f>'Manpower Backup'!FT26</f>
        <v>1197</v>
      </c>
      <c r="AT25" s="133">
        <f>'Manpower Backup'!FU26</f>
        <v>1197</v>
      </c>
      <c r="AU25" s="133">
        <f>'Manpower Backup'!FV26</f>
        <v>1197</v>
      </c>
      <c r="AV25" s="133">
        <f>'Manpower Backup'!FW26</f>
        <v>1197</v>
      </c>
      <c r="AW25" s="133">
        <f>'Manpower Backup'!FX26</f>
        <v>1191</v>
      </c>
      <c r="AX25" s="133">
        <f>'Manpower Backup'!FY26</f>
        <v>1191</v>
      </c>
      <c r="AY25" s="133">
        <f>'Manpower Backup'!FZ26</f>
        <v>1191</v>
      </c>
      <c r="AZ25" s="111">
        <f>AVERAGE(AN25:AY25)</f>
        <v>1203.2916666666667</v>
      </c>
      <c r="BA25" s="127"/>
      <c r="BB25" s="127">
        <f>AM26-AM25</f>
        <v>106.625</v>
      </c>
      <c r="BK25" s="135">
        <f>BB25/AM25</f>
        <v>9.2159757986098614E-2</v>
      </c>
      <c r="BU25" s="127">
        <f>AS19-AS20</f>
        <v>29.185463914974093</v>
      </c>
      <c r="BX25" s="133">
        <f>'Manpower Backup'!HP26</f>
        <v>1193.5</v>
      </c>
      <c r="BY25" s="133">
        <f>'Manpower Backup'!HQ26</f>
        <v>1201.5</v>
      </c>
      <c r="BZ25" s="133">
        <f>'Manpower Backup'!HR26</f>
        <v>1197</v>
      </c>
      <c r="CA25" s="133">
        <f>'Manpower Backup'!HS26</f>
        <v>1188.5</v>
      </c>
      <c r="CB25" s="133">
        <f>'Manpower Backup'!HT26</f>
        <v>1197.5</v>
      </c>
      <c r="CC25" s="133">
        <f>'Manpower Backup'!HU26</f>
        <v>1193.5</v>
      </c>
      <c r="CD25" s="133">
        <f>'Manpower Backup'!HV26</f>
        <v>1212</v>
      </c>
      <c r="CE25" s="133">
        <f>'Manpower Backup'!HW26</f>
        <v>1212</v>
      </c>
      <c r="CF25" s="133">
        <f>'Manpower Backup'!HX26</f>
        <v>1212</v>
      </c>
      <c r="CG25" s="133">
        <f>'Manpower Backup'!HY26</f>
        <v>1211</v>
      </c>
      <c r="CH25" s="133">
        <f>'Manpower Backup'!HZ26</f>
        <v>1211</v>
      </c>
      <c r="CI25" s="133">
        <f>'Manpower Backup'!IA26</f>
        <v>1200.5</v>
      </c>
      <c r="CJ25" s="111">
        <f t="shared" ref="CJ25:CJ32" si="75">AVERAGE(BX25:CI25)</f>
        <v>1202.5</v>
      </c>
    </row>
    <row r="26" spans="2:105" ht="13.5" thickTop="1" thickBot="1">
      <c r="B26" s="119" t="s">
        <v>11</v>
      </c>
      <c r="C26" s="134">
        <v>229.625</v>
      </c>
      <c r="D26" s="134">
        <v>271</v>
      </c>
      <c r="E26" s="134">
        <v>324</v>
      </c>
      <c r="F26" s="134">
        <v>331.20833333333331</v>
      </c>
      <c r="G26" s="134">
        <v>286.83333333333337</v>
      </c>
      <c r="H26" s="134">
        <f>'Production in Sqm'!F5</f>
        <v>318.10000000000002</v>
      </c>
      <c r="I26" s="134"/>
      <c r="K26" s="110"/>
      <c r="L26" s="131" t="s">
        <v>78</v>
      </c>
      <c r="M26" s="110"/>
      <c r="N26" s="111">
        <f>'Manpower Backup'!C20</f>
        <v>1173</v>
      </c>
      <c r="O26" s="111">
        <f>'Manpower Backup'!D20</f>
        <v>1195</v>
      </c>
      <c r="P26" s="111">
        <f>'Manpower Backup'!E20</f>
        <v>1206</v>
      </c>
      <c r="Q26" s="111">
        <f>'Manpower Backup'!F20</f>
        <v>1200</v>
      </c>
      <c r="R26" s="111">
        <f>'Manpower Backup'!G20</f>
        <v>1209</v>
      </c>
      <c r="S26" s="111">
        <f>'Manpower Backup'!H20</f>
        <v>1204</v>
      </c>
      <c r="T26" s="111">
        <f>'Manpower Backup'!I20</f>
        <v>1229</v>
      </c>
      <c r="U26" s="111">
        <f>'Manpower Backup'!J20</f>
        <v>1186</v>
      </c>
      <c r="V26" s="111">
        <f>'Manpower Backup'!K20</f>
        <v>1135</v>
      </c>
      <c r="W26" s="111">
        <f>'Manpower Backup'!L20</f>
        <v>1146</v>
      </c>
      <c r="X26" s="111">
        <f>'Manpower Backup'!M20</f>
        <v>1202</v>
      </c>
      <c r="Y26" s="111">
        <f>'Manpower Backup'!N20</f>
        <v>1212</v>
      </c>
      <c r="Z26" s="111">
        <f>AVERAGE(N26:Y26)</f>
        <v>1191.4166666666667</v>
      </c>
      <c r="AA26" s="111">
        <f>'Manpower Backup'!CN20</f>
        <v>1213</v>
      </c>
      <c r="AB26" s="111">
        <f>'Manpower Backup'!CO20</f>
        <v>1281</v>
      </c>
      <c r="AC26" s="111">
        <f>'Manpower Backup'!CP20</f>
        <v>1353</v>
      </c>
      <c r="AD26" s="111">
        <f>'Manpower Backup'!CQ20</f>
        <v>1345</v>
      </c>
      <c r="AE26" s="111">
        <f>'Manpower Backup'!CR20</f>
        <v>1320</v>
      </c>
      <c r="AF26" s="111">
        <f>'Manpower Backup'!CS20</f>
        <v>1220</v>
      </c>
      <c r="AG26" s="111">
        <f>'Manpower Backup'!CT20</f>
        <v>1242</v>
      </c>
      <c r="AH26" s="111">
        <f>'Manpower Backup'!CU20</f>
        <v>1227</v>
      </c>
      <c r="AI26" s="111">
        <f>'Manpower Backup'!CV20</f>
        <v>1239</v>
      </c>
      <c r="AJ26" s="111">
        <f>'Manpower Backup'!CW20</f>
        <v>1211</v>
      </c>
      <c r="AK26" s="111">
        <f>'Manpower Backup'!CX20</f>
        <v>1161</v>
      </c>
      <c r="AL26" s="111">
        <f>'Manpower Backup'!CY20</f>
        <v>1193</v>
      </c>
      <c r="AM26" s="111">
        <f>[2]Sheet1!$M$15+[2]Sheet1!$M$43</f>
        <v>1263.5833333333333</v>
      </c>
      <c r="AN26" s="133">
        <f>'Manpower Backup'!FO20</f>
        <v>1169</v>
      </c>
      <c r="AO26" s="133">
        <f>'Manpower Backup'!FP20</f>
        <v>1178</v>
      </c>
      <c r="AP26" s="133">
        <f>'Manpower Backup'!FQ20</f>
        <v>1265</v>
      </c>
      <c r="AQ26" s="133">
        <f>'Manpower Backup'!FR20</f>
        <v>1306</v>
      </c>
      <c r="AR26" s="133">
        <f>'Manpower Backup'!FS20</f>
        <v>1274</v>
      </c>
      <c r="AS26" s="133">
        <f>'Manpower Backup'!FT20</f>
        <v>1218</v>
      </c>
      <c r="AT26" s="133">
        <f>'Manpower Backup'!FU20</f>
        <v>1254</v>
      </c>
      <c r="AU26" s="133">
        <f>'Manpower Backup'!FV20</f>
        <v>1244</v>
      </c>
      <c r="AV26" s="133">
        <f>'Manpower Backup'!FW20</f>
        <v>1237</v>
      </c>
      <c r="AW26" s="133">
        <f>'Manpower Backup'!FX20</f>
        <v>1230</v>
      </c>
      <c r="AX26" s="133">
        <f>'Manpower Backup'!FY20</f>
        <v>1208</v>
      </c>
      <c r="AY26" s="133">
        <f>'Manpower Backup'!FZ20</f>
        <v>1211</v>
      </c>
      <c r="AZ26" s="111">
        <f>AVERAGE(AN26:AY26)</f>
        <v>1232.8333333333333</v>
      </c>
      <c r="BA26" s="138">
        <f>(AY26-AY25)/AY25</f>
        <v>1.6792611251049538E-2</v>
      </c>
      <c r="BB26" s="127">
        <f>V25-V26</f>
        <v>8</v>
      </c>
      <c r="BC26" s="135"/>
      <c r="BX26" s="133">
        <f>'Manpower Backup'!HP20</f>
        <v>1206</v>
      </c>
      <c r="BY26" s="133">
        <f>'Manpower Backup'!HQ20</f>
        <v>1259</v>
      </c>
      <c r="BZ26" s="133">
        <f>'Manpower Backup'!HR20</f>
        <v>1304</v>
      </c>
      <c r="CA26" s="133">
        <f>'Manpower Backup'!HS20</f>
        <v>1244</v>
      </c>
      <c r="CB26" s="133">
        <f>'Manpower Backup'!HT20</f>
        <v>1233</v>
      </c>
      <c r="CC26" s="133">
        <f>'Manpower Backup'!HU20</f>
        <v>1302</v>
      </c>
      <c r="CD26" s="133">
        <f>'Manpower Backup'!HV20</f>
        <v>1279</v>
      </c>
      <c r="CE26" s="133">
        <f>'Manpower Backup'!HW20</f>
        <v>1203</v>
      </c>
      <c r="CF26" s="133">
        <f>'Manpower Backup'!HX20</f>
        <v>1117</v>
      </c>
      <c r="CG26" s="133">
        <f>'Manpower Backup'!HY20</f>
        <v>1059</v>
      </c>
      <c r="CH26" s="133">
        <f>'Manpower Backup'!HZ20</f>
        <v>1124</v>
      </c>
      <c r="CI26" s="133">
        <f>'Manpower Backup'!IA20</f>
        <v>1144</v>
      </c>
      <c r="CJ26" s="111">
        <f t="shared" si="75"/>
        <v>1206.1666666666667</v>
      </c>
    </row>
    <row r="27" spans="2:105" ht="13.5" thickTop="1" thickBot="1">
      <c r="B27" s="119" t="s">
        <v>12</v>
      </c>
      <c r="C27" s="134">
        <v>3217.8018401350023</v>
      </c>
      <c r="D27" s="134">
        <v>3307</v>
      </c>
      <c r="E27" s="134">
        <v>3165</v>
      </c>
      <c r="F27" s="134">
        <v>3206.6667694502453</v>
      </c>
      <c r="G27" s="134">
        <v>3049.2489036711204</v>
      </c>
      <c r="H27" s="134">
        <f>'Production in Sqm'!I5</f>
        <v>2840.2703552342027</v>
      </c>
      <c r="I27" s="134"/>
      <c r="K27" s="110" t="s">
        <v>10</v>
      </c>
      <c r="L27" s="131" t="s">
        <v>39</v>
      </c>
      <c r="M27" s="110"/>
      <c r="N27" s="111">
        <f>'Production in Sqm'!B25/'Main Sheet'!N25*12</f>
        <v>3239.014249790444</v>
      </c>
      <c r="O27" s="111">
        <f>'Production in Sqm'!C25/'Main Sheet'!O25*12</f>
        <v>3176.291457286432</v>
      </c>
      <c r="P27" s="111">
        <f>'Production in Sqm'!D25/'Main Sheet'!P25*12</f>
        <v>3214.572864321608</v>
      </c>
      <c r="Q27" s="111">
        <f>'Production in Sqm'!E25/'Main Sheet'!Q25*12</f>
        <v>3432.86432160804</v>
      </c>
      <c r="R27" s="111">
        <f>'Production in Sqm'!F25/'Main Sheet'!R25*12</f>
        <v>3590.8341708542712</v>
      </c>
      <c r="S27" s="111">
        <f>'Production in Sqm'!G25/'Main Sheet'!S25*12</f>
        <v>3509.6120906801007</v>
      </c>
      <c r="T27" s="111">
        <f>'Production in Sqm'!H25/'Main Sheet'!T25*12</f>
        <v>3531.7430262045646</v>
      </c>
      <c r="U27" s="111">
        <f>'Production in Sqm'!I25/'Main Sheet'!U25*12</f>
        <v>3407.2290786136937</v>
      </c>
      <c r="V27" s="111">
        <f>'Production in Sqm'!J25/'Main Sheet'!V25*12</f>
        <v>3571.8215223097113</v>
      </c>
      <c r="W27" s="111">
        <f>'Production in Sqm'!K25/'Main Sheet'!W25*12</f>
        <v>3712.7379679144383</v>
      </c>
      <c r="X27" s="111">
        <f>'Production in Sqm'!L25/'Main Sheet'!X25*12</f>
        <v>3717.0481283422459</v>
      </c>
      <c r="Y27" s="111">
        <f>'Production in Sqm'!M25/'Main Sheet'!Y25*12</f>
        <v>3935.2947462154939</v>
      </c>
      <c r="Z27" s="111">
        <f t="shared" ref="Z27:Z32" si="76">AVERAGE(N27:Y27)</f>
        <v>3503.2553020117534</v>
      </c>
      <c r="AA27" s="111">
        <f>'Production in Sqm'!N25/AA25*12</f>
        <v>3197.8558409279203</v>
      </c>
      <c r="AB27" s="111">
        <f>'Production in Sqm'!O25/AB25*12</f>
        <v>3219.5474814203135</v>
      </c>
      <c r="AC27" s="111">
        <f>'Production in Sqm'!P25/AC25*12</f>
        <v>3658.8051063829789</v>
      </c>
      <c r="AD27" s="111">
        <f>'Production in Sqm'!Q25/AD25*12</f>
        <v>3761.3459227467811</v>
      </c>
      <c r="AE27" s="111">
        <f>'Production in Sqm'!R25/AE25*12</f>
        <v>3783.4791666666665</v>
      </c>
      <c r="AF27" s="111">
        <f>'Production in Sqm'!S25/AF25*12</f>
        <v>3761.858761987794</v>
      </c>
      <c r="AG27" s="111">
        <f>'Production in Sqm'!T25/AG25*12</f>
        <v>3555.7872711421101</v>
      </c>
      <c r="AH27" s="111">
        <f>'Production in Sqm'!U25/AH25*12</f>
        <v>3738.0840630472858</v>
      </c>
      <c r="AI27" s="111">
        <f>'Production in Sqm'!V25/AI25*12</f>
        <v>3661.8239159001314</v>
      </c>
      <c r="AJ27" s="111">
        <f>'Production in Sqm'!W25/AJ25*12</f>
        <v>3370.5172109443956</v>
      </c>
      <c r="AK27" s="111">
        <f>'Production in Sqm'!X25/AK25*12</f>
        <v>3796.0670785525153</v>
      </c>
      <c r="AL27" s="111">
        <f>'Production in Sqm'!Y25/AL25*12</f>
        <v>3907.4654867256641</v>
      </c>
      <c r="AM27" s="111">
        <f t="shared" ref="AM27:AM32" si="77">AVERAGE(AA27:AL27)</f>
        <v>3617.7197755370457</v>
      </c>
      <c r="AN27" s="133">
        <f>IFERROR('Production in Sqm'!AA25/AN25*12,"")</f>
        <v>3656.9369488435004</v>
      </c>
      <c r="AO27" s="133">
        <f>IFERROR('Production in Sqm'!AB25/AO25*12,"")</f>
        <v>3330.9902489764481</v>
      </c>
      <c r="AP27" s="133">
        <f>IFERROR('Production in Sqm'!AC25/AP25*12,"")</f>
        <v>3659.276132620661</v>
      </c>
      <c r="AQ27" s="133">
        <f>IFERROR('Production in Sqm'!AD25/AQ25*12,"")</f>
        <v>3599.9280614306699</v>
      </c>
      <c r="AR27" s="133">
        <f>IFERROR('Production in Sqm'!AE25/AR25*12,"")</f>
        <v>3326.5236997993634</v>
      </c>
      <c r="AS27" s="133">
        <f>IFERROR('Production in Sqm'!AF25/AS25*12,"")</f>
        <v>4020.9901835043647</v>
      </c>
      <c r="AT27" s="133">
        <f>IFERROR('Production in Sqm'!AG25/AT25*12,"")</f>
        <v>3654.6470181074396</v>
      </c>
      <c r="AU27" s="133">
        <f>IFERROR('Production in Sqm'!AH25/AU25*12,"")</f>
        <v>4014.0063309809962</v>
      </c>
      <c r="AV27" s="133">
        <f>IFERROR('Production in Sqm'!AI25/AV25*12,"")</f>
        <v>3715.528066813773</v>
      </c>
      <c r="AW27" s="133">
        <f>IFERROR('Production in Sqm'!AJ25/AW25*12,"")</f>
        <v>3847.7494440381174</v>
      </c>
      <c r="AX27" s="133">
        <f>IFERROR('Production in Sqm'!AK25/AX25*12,"")</f>
        <v>4004.7959584165474</v>
      </c>
      <c r="AY27" s="133">
        <f>IFERROR('Production in Sqm'!AL25/AY25*12,"")</f>
        <v>4333.0899325837909</v>
      </c>
      <c r="AZ27" s="111">
        <f t="shared" ref="AZ27:AZ32" si="78">AVERAGE(AN27:AY27)</f>
        <v>3763.7051688429729</v>
      </c>
      <c r="BB27" s="127">
        <f>AL26-AL25</f>
        <v>63</v>
      </c>
      <c r="BK27" s="135">
        <f>BB27/AL25</f>
        <v>5.575221238938053E-2</v>
      </c>
      <c r="BX27" s="133">
        <f>IFERROR('Production in Sqm'!AO25/'Main Sheet'!BX25*12,"")</f>
        <v>3796.7255969836615</v>
      </c>
      <c r="BY27" s="133">
        <f>IFERROR('Production in Sqm'!AP25/'Main Sheet'!BY25*12,"")</f>
        <v>3885.0137328339579</v>
      </c>
      <c r="BZ27" s="133">
        <f>IFERROR('Production in Sqm'!AQ25/'Main Sheet'!BZ25*12,"")</f>
        <v>4050.4661654135339</v>
      </c>
      <c r="CA27" s="133">
        <f>IFERROR('Production in Sqm'!AR25/'Main Sheet'!CA25*12,"")</f>
        <v>4053.5262936474546</v>
      </c>
      <c r="CB27" s="133">
        <f>IFERROR('Production in Sqm'!AS25/'Main Sheet'!CB25*12,"")</f>
        <v>4274.9661795407101</v>
      </c>
      <c r="CC27" s="133">
        <f>IFERROR('Production in Sqm'!AT25/'Main Sheet'!CC25*12,"")</f>
        <v>4249.4478424801009</v>
      </c>
      <c r="CD27" s="133">
        <f>IFERROR('Production in Sqm'!AU25/'Main Sheet'!CD25*12,"")</f>
        <v>4031.0792079207922</v>
      </c>
      <c r="CE27" s="133">
        <f>IFERROR('Production in Sqm'!AV25/'Main Sheet'!CE25*12,"")</f>
        <v>3775.3267326732675</v>
      </c>
      <c r="CF27" s="133">
        <f>IFERROR('Production in Sqm'!AW25/'Main Sheet'!CF25*12,"")</f>
        <v>3711.7623762376238</v>
      </c>
      <c r="CG27" s="133">
        <f>IFERROR('Production in Sqm'!AX25/'Main Sheet'!CG25*12,"")</f>
        <v>3755.7919075144509</v>
      </c>
      <c r="CH27" s="133">
        <f>IFERROR('Production in Sqm'!AY25/'Main Sheet'!CH25*12,"")</f>
        <v>3965.3905862923207</v>
      </c>
      <c r="CI27" s="133">
        <f>IFERROR('Production in Sqm'!AZ25/'Main Sheet'!CI25*12,"")</f>
        <v>4065.3860891295299</v>
      </c>
      <c r="CJ27" s="111">
        <f t="shared" si="75"/>
        <v>3967.906892555618</v>
      </c>
      <c r="CK27" s="127"/>
      <c r="CL27" s="127"/>
      <c r="CM27" s="127"/>
      <c r="CN27" s="127"/>
      <c r="CO27" s="170">
        <f>(CJ26-CJ25)/CJ25</f>
        <v>3.0492030492031124E-3</v>
      </c>
    </row>
    <row r="28" spans="2:105" ht="13.5" thickTop="1" thickBot="1">
      <c r="K28" s="110" t="s">
        <v>10</v>
      </c>
      <c r="L28" s="131" t="s">
        <v>78</v>
      </c>
      <c r="M28" s="110"/>
      <c r="N28" s="111">
        <f>'Production in Sqm'!B21/'Main Sheet'!N26*12</f>
        <v>3544.8228148964718</v>
      </c>
      <c r="O28" s="111">
        <f>'Production in Sqm'!C21/'Main Sheet'!O26*12</f>
        <v>3430.0973337072801</v>
      </c>
      <c r="P28" s="111">
        <f>'Production in Sqm'!D21/'Main Sheet'!P26*12</f>
        <v>3209.3056591166164</v>
      </c>
      <c r="Q28" s="111">
        <f>'Production in Sqm'!E21/'Main Sheet'!Q26*12</f>
        <v>3408.7751016379998</v>
      </c>
      <c r="R28" s="111">
        <f>'Production in Sqm'!F21/'Main Sheet'!R26*12</f>
        <v>3843.6112479918611</v>
      </c>
      <c r="S28" s="111">
        <f>'Production in Sqm'!G21/'Main Sheet'!S26*12</f>
        <v>3784.523581668539</v>
      </c>
      <c r="T28" s="146">
        <f>'Production in Sqm'!H21/'Main Sheet'!T26*12</f>
        <v>3600.4300784787638</v>
      </c>
      <c r="U28" s="146">
        <f>'Production in Sqm'!I21/'Main Sheet'!U26*12</f>
        <v>2978.8005665894775</v>
      </c>
      <c r="V28" s="146">
        <f>'Production in Sqm'!J21/'Main Sheet'!V26*12</f>
        <v>3638.540998484827</v>
      </c>
      <c r="W28" s="146">
        <f>'Production in Sqm'!K21/'Main Sheet'!W26*12</f>
        <v>3353.9464199108888</v>
      </c>
      <c r="X28" s="146">
        <f>'Production in Sqm'!L21/'Main Sheet'!X26*12</f>
        <v>3154.4043653572721</v>
      </c>
      <c r="Y28" s="146">
        <f>'Production in Sqm'!M21/'Main Sheet'!Y26*12</f>
        <v>3521.6831322372263</v>
      </c>
      <c r="Z28" s="146">
        <f t="shared" si="76"/>
        <v>3455.7451083397686</v>
      </c>
      <c r="AA28" s="111">
        <f>'Production in Sqm'!N21/AA26*12</f>
        <v>3086.195591670371</v>
      </c>
      <c r="AB28" s="111">
        <f>'Production in Sqm'!O21/AB26*12</f>
        <v>2980.6326838955511</v>
      </c>
      <c r="AC28" s="146">
        <f>'Production in Sqm'!P21/AC26*12</f>
        <v>3034.0647709249665</v>
      </c>
      <c r="AD28" s="147">
        <f>'Production in Sqm'!Q21/AD26*12</f>
        <v>3320.9992592692643</v>
      </c>
      <c r="AE28" s="111">
        <f>'Production in Sqm'!R21/AE26*12</f>
        <v>3632.1181902254552</v>
      </c>
      <c r="AF28" s="111">
        <f>'Production in Sqm'!S21/AF26*12</f>
        <v>3441.6060735182955</v>
      </c>
      <c r="AG28" s="147">
        <f>'Production in Sqm'!T21/AG26*12</f>
        <v>3286.7187866483118</v>
      </c>
      <c r="AH28" s="147">
        <f>'Production in Sqm'!U21/AH26*12</f>
        <v>3482.4338165608788</v>
      </c>
      <c r="AI28" s="147">
        <f>'Production in Sqm'!V21/AI26*12</f>
        <v>3331.3891472153987</v>
      </c>
      <c r="AJ28" s="111">
        <f>'Production in Sqm'!W21/AJ26*12</f>
        <v>3376.8044092978344</v>
      </c>
      <c r="AK28" s="111">
        <f>'Production in Sqm'!X21/AK26*12</f>
        <v>3676.9230427380885</v>
      </c>
      <c r="AL28" s="111">
        <f>'Production in Sqm'!Y21/AL26*12</f>
        <v>4072.6164366915318</v>
      </c>
      <c r="AM28" s="152">
        <f t="shared" si="77"/>
        <v>3393.5418507213294</v>
      </c>
      <c r="AN28" s="149">
        <f>IFERROR('Production in Sqm'!AA21/AN26*12,"")</f>
        <v>4007.1562420894434</v>
      </c>
      <c r="AO28" s="149">
        <f>IFERROR('Production in Sqm'!AB21/AO26*12,"")</f>
        <v>3347.7376028655699</v>
      </c>
      <c r="AP28" s="150">
        <f>IFERROR('Production in Sqm'!AC21/AP26*12,"")</f>
        <v>3167.610381165724</v>
      </c>
      <c r="AQ28" s="150">
        <f>IFERROR('Production in Sqm'!AD21/AQ26*12,"")</f>
        <v>3507.5423554533545</v>
      </c>
      <c r="AR28" s="149">
        <f>IFERROR('Production in Sqm'!AE21/AR26*12,"")</f>
        <v>3517.5319577099544</v>
      </c>
      <c r="AS28" s="150">
        <f>IFERROR('Production in Sqm'!AF21/AS26*12,"")</f>
        <v>3606.4572360010857</v>
      </c>
      <c r="AT28" s="150">
        <f>IFERROR('Production in Sqm'!AG21/AT26*12,"")</f>
        <v>3471.5745175582788</v>
      </c>
      <c r="AU28" s="150">
        <f>IFERROR('Production in Sqm'!AH21/AU26*12,"")</f>
        <v>3813.0976254044381</v>
      </c>
      <c r="AV28" s="149">
        <f>IFERROR('Production in Sqm'!AI21/AV26*12,"")</f>
        <v>4007.7843507388516</v>
      </c>
      <c r="AW28" s="150">
        <f>IFERROR('Production in Sqm'!AJ21/AW26*12,"")</f>
        <v>3014.5694603869283</v>
      </c>
      <c r="AX28" s="150">
        <f>IFERROR('Production in Sqm'!AK21/AX26*12,"")</f>
        <v>3432.4829490040711</v>
      </c>
      <c r="AY28" s="150">
        <f>IFERROR('Production in Sqm'!AL21/AY26*12,"")</f>
        <v>3797.9297162481234</v>
      </c>
      <c r="AZ28" s="152">
        <f t="shared" si="78"/>
        <v>3557.6228662188187</v>
      </c>
      <c r="BA28" s="127"/>
      <c r="BX28" s="149">
        <f>IFERROR('Production in Sqm'!AO21/'Main Sheet'!BX26*12,"")</f>
        <v>4007.3143938273638</v>
      </c>
      <c r="BY28" s="150">
        <f>IFERROR('Production in Sqm'!AP21/'Main Sheet'!BY26*12,"")</f>
        <v>3668.4359303576816</v>
      </c>
      <c r="BZ28" s="150">
        <f>IFERROR('Production in Sqm'!AQ21/'Main Sheet'!BZ26*12,"")</f>
        <v>3581.4393093860426</v>
      </c>
      <c r="CA28" s="149">
        <f>IFERROR('Production in Sqm'!AR21/'Main Sheet'!CA26*12,"")</f>
        <v>4353.2139972024106</v>
      </c>
      <c r="CB28" s="150">
        <f>IFERROR('Production in Sqm'!AS21/'Main Sheet'!CB26*12,"")</f>
        <v>4020.1270672556702</v>
      </c>
      <c r="CC28" s="150">
        <f>IFERROR('Production in Sqm'!AT21/'Main Sheet'!CC26*12,"")</f>
        <v>3993.3629777344695</v>
      </c>
      <c r="CD28" s="149">
        <f>IFERROR('Production in Sqm'!AU21/'Main Sheet'!CD26*12,"")</f>
        <v>4139.840134416545</v>
      </c>
      <c r="CE28" s="150">
        <f>IFERROR('Production in Sqm'!AV21/'Main Sheet'!CE26*12,"")</f>
        <v>3643.6959321762592</v>
      </c>
      <c r="CF28" s="150">
        <f>IFERROR('Production in Sqm'!AW21/'Main Sheet'!CF26*12,"")</f>
        <v>3656.4040706908145</v>
      </c>
      <c r="CG28" s="150">
        <f>IFERROR('Production in Sqm'!AX21/'Main Sheet'!CG26*12,"")</f>
        <v>3357.3555172491797</v>
      </c>
      <c r="CH28" s="150">
        <f>IFERROR('Production in Sqm'!AY21/'Main Sheet'!CH26*12,"")</f>
        <v>3717.8987546037024</v>
      </c>
      <c r="CI28" s="149">
        <f>IFERROR('Production in Sqm'!AZ21/'Main Sheet'!CI26*12,"")</f>
        <v>4207.8769035084933</v>
      </c>
      <c r="CJ28" s="150">
        <f t="shared" si="75"/>
        <v>3862.2470823673852</v>
      </c>
      <c r="CO28" s="138"/>
    </row>
    <row r="29" spans="2:105" ht="13.5" thickTop="1" thickBot="1">
      <c r="B29" s="121" t="s">
        <v>15</v>
      </c>
      <c r="C29" s="121" t="s">
        <v>1</v>
      </c>
      <c r="D29" s="121" t="s">
        <v>2</v>
      </c>
      <c r="E29" s="121" t="s">
        <v>3</v>
      </c>
      <c r="F29" s="121" t="s">
        <v>4</v>
      </c>
      <c r="G29" s="122" t="s">
        <v>5</v>
      </c>
      <c r="H29" s="122" t="s">
        <v>6</v>
      </c>
      <c r="I29" s="122" t="s">
        <v>7</v>
      </c>
      <c r="K29" s="110" t="s">
        <v>11</v>
      </c>
      <c r="L29" s="131" t="s">
        <v>39</v>
      </c>
      <c r="M29" s="110"/>
      <c r="N29" s="111">
        <f>'Manpower Backup'!R26</f>
        <v>876</v>
      </c>
      <c r="O29" s="111">
        <f>'Manpower Backup'!S26</f>
        <v>876</v>
      </c>
      <c r="P29" s="111">
        <f>'Manpower Backup'!T26</f>
        <v>876</v>
      </c>
      <c r="Q29" s="111">
        <f>'Manpower Backup'!U26</f>
        <v>876</v>
      </c>
      <c r="R29" s="111">
        <f>'Manpower Backup'!V26</f>
        <v>876</v>
      </c>
      <c r="S29" s="111">
        <f>'Manpower Backup'!W26</f>
        <v>873</v>
      </c>
      <c r="T29" s="111">
        <f>'Manpower Backup'!X26</f>
        <v>865</v>
      </c>
      <c r="U29" s="111">
        <f>'Manpower Backup'!Y26</f>
        <v>865</v>
      </c>
      <c r="V29" s="111">
        <f>'Manpower Backup'!Z26</f>
        <v>830</v>
      </c>
      <c r="W29" s="111">
        <f>'Manpower Backup'!AA26</f>
        <v>809</v>
      </c>
      <c r="X29" s="111">
        <f>'Manpower Backup'!AB26</f>
        <v>809</v>
      </c>
      <c r="Y29" s="111">
        <f>'Manpower Backup'!AC26</f>
        <v>810</v>
      </c>
      <c r="Z29" s="111">
        <f t="shared" si="76"/>
        <v>853.41666666666663</v>
      </c>
      <c r="AA29" s="111">
        <f>'Manpower Backup'!DA26</f>
        <v>874</v>
      </c>
      <c r="AB29" s="111">
        <f>'Manpower Backup'!DB26</f>
        <v>878</v>
      </c>
      <c r="AC29" s="111">
        <f>'Manpower Backup'!DC26</f>
        <v>842</v>
      </c>
      <c r="AD29" s="111">
        <f>'Manpower Backup'!DD26</f>
        <v>832</v>
      </c>
      <c r="AE29" s="111">
        <f>'Manpower Backup'!DE26</f>
        <v>819</v>
      </c>
      <c r="AF29" s="111">
        <f>'Manpower Backup'!DF26</f>
        <v>814</v>
      </c>
      <c r="AG29" s="111">
        <f>'Manpower Backup'!DG26</f>
        <v>814</v>
      </c>
      <c r="AH29" s="111">
        <f>'Manpower Backup'!DH26</f>
        <v>809</v>
      </c>
      <c r="AI29" s="111">
        <f>'Manpower Backup'!DI26</f>
        <v>808.5</v>
      </c>
      <c r="AJ29" s="111">
        <f>'Manpower Backup'!DJ26</f>
        <v>800</v>
      </c>
      <c r="AK29" s="111">
        <f>'Manpower Backup'!DK26</f>
        <v>800</v>
      </c>
      <c r="AL29" s="111">
        <f>'Manpower Backup'!DL26</f>
        <v>797</v>
      </c>
      <c r="AM29" s="111">
        <f t="shared" si="77"/>
        <v>823.95833333333337</v>
      </c>
      <c r="AN29" s="133">
        <f>'Manpower Backup'!GB26</f>
        <v>924</v>
      </c>
      <c r="AO29" s="133">
        <f>'Manpower Backup'!GC26</f>
        <v>924</v>
      </c>
      <c r="AP29" s="133">
        <f>'Manpower Backup'!GD26</f>
        <v>912</v>
      </c>
      <c r="AQ29" s="133">
        <f>'Manpower Backup'!GE26</f>
        <v>907.5</v>
      </c>
      <c r="AR29" s="133">
        <f>'Manpower Backup'!GF26</f>
        <v>894</v>
      </c>
      <c r="AS29" s="133">
        <f>'Manpower Backup'!GG26</f>
        <v>894</v>
      </c>
      <c r="AT29" s="133">
        <f>'Manpower Backup'!GH26</f>
        <v>894</v>
      </c>
      <c r="AU29" s="133">
        <f>'Manpower Backup'!GI26</f>
        <v>894</v>
      </c>
      <c r="AV29" s="133">
        <f>'Manpower Backup'!GJ26</f>
        <v>894</v>
      </c>
      <c r="AW29" s="133">
        <f>'Manpower Backup'!GK26</f>
        <v>888</v>
      </c>
      <c r="AX29" s="133">
        <f>'Manpower Backup'!GL26</f>
        <v>888</v>
      </c>
      <c r="AY29" s="133">
        <f>'Manpower Backup'!GM26</f>
        <v>888</v>
      </c>
      <c r="AZ29" s="111">
        <f t="shared" si="78"/>
        <v>900.125</v>
      </c>
      <c r="BX29" s="133">
        <f>'Manpower Backup'!IC26</f>
        <v>879.5</v>
      </c>
      <c r="BY29" s="133">
        <f>'Manpower Backup'!ID26</f>
        <v>887.5</v>
      </c>
      <c r="BZ29" s="133">
        <f>'Manpower Backup'!IE26</f>
        <v>883</v>
      </c>
      <c r="CA29" s="133">
        <f>'Manpower Backup'!IF26</f>
        <v>874.5</v>
      </c>
      <c r="CB29" s="133">
        <f>'Manpower Backup'!IG26</f>
        <v>885.5</v>
      </c>
      <c r="CC29" s="133">
        <f>'Manpower Backup'!IH26</f>
        <v>881.5</v>
      </c>
      <c r="CD29" s="133">
        <f>'Manpower Backup'!II26</f>
        <v>902</v>
      </c>
      <c r="CE29" s="133">
        <f>'Manpower Backup'!IJ26</f>
        <v>902</v>
      </c>
      <c r="CF29" s="133">
        <f>'Manpower Backup'!IK26</f>
        <v>902</v>
      </c>
      <c r="CG29" s="133">
        <f>'Manpower Backup'!IL26</f>
        <v>901</v>
      </c>
      <c r="CH29" s="133">
        <f>'Manpower Backup'!IM26</f>
        <v>901</v>
      </c>
      <c r="CI29" s="133">
        <f>'Manpower Backup'!IN26</f>
        <v>890.5</v>
      </c>
      <c r="CJ29" s="111">
        <f t="shared" si="75"/>
        <v>890.83333333333337</v>
      </c>
    </row>
    <row r="30" spans="2:105" ht="13.5" thickTop="1" thickBot="1">
      <c r="B30" s="119" t="s">
        <v>100</v>
      </c>
      <c r="C30" s="130"/>
      <c r="D30" s="130">
        <v>52</v>
      </c>
      <c r="E30" s="130">
        <v>524</v>
      </c>
      <c r="F30" s="130">
        <v>639.71322312128223</v>
      </c>
      <c r="G30" s="130">
        <v>706.01026944086755</v>
      </c>
      <c r="H30" s="130">
        <v>813.09329660588003</v>
      </c>
      <c r="I30" s="130"/>
      <c r="K30" s="110"/>
      <c r="L30" s="131" t="s">
        <v>78</v>
      </c>
      <c r="M30" s="110"/>
      <c r="N30" s="111">
        <f>'Manpower Backup'!R20</f>
        <v>893</v>
      </c>
      <c r="O30" s="111">
        <f>'Manpower Backup'!S20</f>
        <v>883</v>
      </c>
      <c r="P30" s="111">
        <f>'Manpower Backup'!T20</f>
        <v>897</v>
      </c>
      <c r="Q30" s="111">
        <f>'Manpower Backup'!U20</f>
        <v>881</v>
      </c>
      <c r="R30" s="111">
        <f>'Manpower Backup'!V20</f>
        <v>912</v>
      </c>
      <c r="S30" s="111">
        <f>'Manpower Backup'!W20</f>
        <v>891</v>
      </c>
      <c r="T30" s="111">
        <f>'Manpower Backup'!X20</f>
        <v>914</v>
      </c>
      <c r="U30" s="111">
        <f>'Manpower Backup'!Y20</f>
        <v>877</v>
      </c>
      <c r="V30" s="111">
        <f>'Manpower Backup'!Z20</f>
        <v>835</v>
      </c>
      <c r="W30" s="111">
        <f>'Manpower Backup'!AA20</f>
        <v>858</v>
      </c>
      <c r="X30" s="111">
        <f>'Manpower Backup'!AB20</f>
        <v>872</v>
      </c>
      <c r="Y30" s="111">
        <f>'Manpower Backup'!AC20</f>
        <v>884</v>
      </c>
      <c r="Z30" s="111">
        <f t="shared" si="76"/>
        <v>883.08333333333337</v>
      </c>
      <c r="AA30" s="111">
        <f>'Manpower Backup'!DA20</f>
        <v>898</v>
      </c>
      <c r="AB30" s="111">
        <f>'Manpower Backup'!DB20</f>
        <v>945</v>
      </c>
      <c r="AC30" s="111">
        <f>'Manpower Backup'!DC20</f>
        <v>972</v>
      </c>
      <c r="AD30" s="111">
        <f>'Manpower Backup'!DD20</f>
        <v>963</v>
      </c>
      <c r="AE30" s="111">
        <f>'Manpower Backup'!DE20</f>
        <v>938</v>
      </c>
      <c r="AF30" s="111">
        <f>'Manpower Backup'!DF20</f>
        <v>869</v>
      </c>
      <c r="AG30" s="111">
        <f>'Manpower Backup'!DG20</f>
        <v>891</v>
      </c>
      <c r="AH30" s="111">
        <f>'Manpower Backup'!DH20</f>
        <v>882</v>
      </c>
      <c r="AI30" s="111">
        <f>'Manpower Backup'!DI20</f>
        <v>893</v>
      </c>
      <c r="AJ30" s="111">
        <f>'Manpower Backup'!DJ20</f>
        <v>895</v>
      </c>
      <c r="AK30" s="111">
        <f>'Manpower Backup'!DK20</f>
        <v>850</v>
      </c>
      <c r="AL30" s="111">
        <f>'Manpower Backup'!DL20</f>
        <v>883</v>
      </c>
      <c r="AM30" s="111">
        <f t="shared" si="77"/>
        <v>906.58333333333337</v>
      </c>
      <c r="AN30" s="133">
        <f>'Manpower Backup'!GB20</f>
        <v>858</v>
      </c>
      <c r="AO30" s="133">
        <f>'Manpower Backup'!GC20</f>
        <v>863</v>
      </c>
      <c r="AP30" s="133">
        <f>'Manpower Backup'!GD20</f>
        <v>935</v>
      </c>
      <c r="AQ30" s="133">
        <f>'Manpower Backup'!GE20</f>
        <v>946</v>
      </c>
      <c r="AR30" s="133">
        <f>'Manpower Backup'!GF20</f>
        <v>920</v>
      </c>
      <c r="AS30" s="133">
        <f>'Manpower Backup'!GG20</f>
        <v>889</v>
      </c>
      <c r="AT30" s="133">
        <f>'Manpower Backup'!GH20</f>
        <v>917</v>
      </c>
      <c r="AU30" s="133">
        <f>'Manpower Backup'!GI20</f>
        <v>888</v>
      </c>
      <c r="AV30" s="133">
        <f>'Manpower Backup'!GJ20</f>
        <v>904</v>
      </c>
      <c r="AW30" s="133">
        <f>'Manpower Backup'!GK20</f>
        <v>900</v>
      </c>
      <c r="AX30" s="133">
        <f>'Manpower Backup'!GL20</f>
        <v>878</v>
      </c>
      <c r="AY30" s="133">
        <f>'Manpower Backup'!GM20</f>
        <v>884</v>
      </c>
      <c r="AZ30" s="111">
        <f t="shared" si="78"/>
        <v>898.5</v>
      </c>
      <c r="BX30" s="133">
        <f>'Manpower Backup'!IC20</f>
        <v>890</v>
      </c>
      <c r="BY30" s="133">
        <f>'Manpower Backup'!ID20</f>
        <v>956</v>
      </c>
      <c r="BZ30" s="133">
        <f>'Manpower Backup'!IE20</f>
        <v>989</v>
      </c>
      <c r="CA30" s="133">
        <f>'Manpower Backup'!IF20</f>
        <v>928</v>
      </c>
      <c r="CB30" s="133">
        <f>'Manpower Backup'!IG20</f>
        <v>917</v>
      </c>
      <c r="CC30" s="133">
        <f>'Manpower Backup'!IH20</f>
        <v>984</v>
      </c>
      <c r="CD30" s="133">
        <f>'Manpower Backup'!II20</f>
        <v>964</v>
      </c>
      <c r="CE30" s="133">
        <f>'Manpower Backup'!IJ20</f>
        <v>893</v>
      </c>
      <c r="CF30" s="133">
        <f>'Manpower Backup'!IK20</f>
        <v>815</v>
      </c>
      <c r="CG30" s="133">
        <f>'Manpower Backup'!IL20</f>
        <v>758</v>
      </c>
      <c r="CH30" s="133">
        <f>'Manpower Backup'!IM20</f>
        <v>826</v>
      </c>
      <c r="CI30" s="133">
        <f>'Manpower Backup'!IN20</f>
        <v>847</v>
      </c>
      <c r="CJ30" s="111">
        <f t="shared" si="75"/>
        <v>897.25</v>
      </c>
      <c r="CO30" s="138">
        <f>(CE27-CE28)/CE27</f>
        <v>3.4866068506818206E-2</v>
      </c>
    </row>
    <row r="31" spans="2:105" ht="13.5" thickTop="1" thickBot="1">
      <c r="B31" s="119" t="s">
        <v>102</v>
      </c>
      <c r="C31" s="134"/>
      <c r="D31" s="134">
        <v>272</v>
      </c>
      <c r="E31" s="134">
        <v>4719</v>
      </c>
      <c r="F31" s="134">
        <v>9843.7107832587571</v>
      </c>
      <c r="G31" s="134">
        <v>10624.874603495346</v>
      </c>
      <c r="H31" s="134">
        <f>'Production in Sqm'!C6</f>
        <v>9943</v>
      </c>
      <c r="I31" s="134"/>
      <c r="K31" s="110" t="s">
        <v>12</v>
      </c>
      <c r="L31" s="131" t="s">
        <v>39</v>
      </c>
      <c r="M31" s="110"/>
      <c r="N31" s="111">
        <f>'Production in Sqm'!B25/'Main Sheet'!N29*12</f>
        <v>4411.1232876712329</v>
      </c>
      <c r="O31" s="111">
        <f>'Production in Sqm'!C25/'Main Sheet'!O29*12</f>
        <v>4329.3287671232874</v>
      </c>
      <c r="P31" s="111">
        <f>'Production in Sqm'!D25/'Main Sheet'!P29*12</f>
        <v>4381.5068493150684</v>
      </c>
      <c r="Q31" s="111">
        <f>'Production in Sqm'!E25/'Main Sheet'!Q29*12</f>
        <v>4679.0410958904113</v>
      </c>
      <c r="R31" s="111">
        <f>'Production in Sqm'!F25/'Main Sheet'!R29*12</f>
        <v>4894.3561643835619</v>
      </c>
      <c r="S31" s="111">
        <f>'Production in Sqm'!G25/'Main Sheet'!S29*12</f>
        <v>4788.027491408935</v>
      </c>
      <c r="T31" s="111">
        <f>'Production in Sqm'!H25/'Main Sheet'!T29*12</f>
        <v>4830.1179190751445</v>
      </c>
      <c r="U31" s="111">
        <f>'Production in Sqm'!I25/'Main Sheet'!U29*12</f>
        <v>4659.828901734104</v>
      </c>
      <c r="V31" s="111">
        <f>'Production in Sqm'!J25/'Main Sheet'!V29*12</f>
        <v>4918.7855421686745</v>
      </c>
      <c r="W31" s="111">
        <f>'Production in Sqm'!K25/'Main Sheet'!W29*12</f>
        <v>5149.1866501854138</v>
      </c>
      <c r="X31" s="111">
        <f>'Production in Sqm'!L25/'Main Sheet'!X29*12</f>
        <v>5155.1644004944374</v>
      </c>
      <c r="Y31" s="111">
        <f>'Production in Sqm'!M25/'Main Sheet'!Y29*12</f>
        <v>5455.9703703703708</v>
      </c>
      <c r="Z31" s="111">
        <f t="shared" si="76"/>
        <v>4804.3697866517205</v>
      </c>
      <c r="AA31" s="111">
        <f>'Production in Sqm'!N25/AA29*12</f>
        <v>4416.2608695652179</v>
      </c>
      <c r="AB31" s="111">
        <f>'Production in Sqm'!O25/AB29*12</f>
        <v>4440.6287015945327</v>
      </c>
      <c r="AC31" s="111">
        <f>'Production in Sqm'!P25/AC29*12</f>
        <v>5105.8147268408557</v>
      </c>
      <c r="AD31" s="111">
        <f>'Production in Sqm'!Q25/AD29*12</f>
        <v>5266.788461538461</v>
      </c>
      <c r="AE31" s="111">
        <f>'Production in Sqm'!R25/AE29*12</f>
        <v>5321.8168498168498</v>
      </c>
      <c r="AF31" s="111">
        <f>'Production in Sqm'!S25/AF29*12</f>
        <v>5300.8009828009835</v>
      </c>
      <c r="AG31" s="111">
        <f>'Production in Sqm'!T25/AG29*12</f>
        <v>5010.4275184275184</v>
      </c>
      <c r="AH31" s="111">
        <f>'Production in Sqm'!U25/AH29*12</f>
        <v>5276.7515451174295</v>
      </c>
      <c r="AI31" s="111">
        <f>'Production in Sqm'!V25/AI29*12</f>
        <v>5170.0333951762523</v>
      </c>
      <c r="AJ31" s="111">
        <f>'Production in Sqm'!W25/AJ29*12</f>
        <v>4773.4949999999999</v>
      </c>
      <c r="AK31" s="111">
        <f>'Production in Sqm'!X25/AK29*12</f>
        <v>5376.18</v>
      </c>
      <c r="AL31" s="111">
        <f>'Production in Sqm'!Y25/AL29*12</f>
        <v>5540.0702634880809</v>
      </c>
      <c r="AM31" s="111">
        <f t="shared" si="77"/>
        <v>5083.2556928638487</v>
      </c>
      <c r="AN31" s="133">
        <f>IFERROR('Production in Sqm'!AA25/AN29*12,"")</f>
        <v>4864.042759879504</v>
      </c>
      <c r="AO31" s="133">
        <f>IFERROR('Production in Sqm'!AB25/AO29*12,"")</f>
        <v>4423.2954929589841</v>
      </c>
      <c r="AP31" s="133">
        <f>IFERROR('Production in Sqm'!AC25/AP29*12,"")</f>
        <v>4875.0224793137095</v>
      </c>
      <c r="AQ31" s="133">
        <f>IFERROR('Production in Sqm'!AD25/AQ29*12,"")</f>
        <v>4801.8875133463644</v>
      </c>
      <c r="AR31" s="133">
        <f>IFERROR('Production in Sqm'!AE25/AR29*12,"")</f>
        <v>4453.9696517447856</v>
      </c>
      <c r="AS31" s="133">
        <f>IFERROR('Production in Sqm'!AF25/AS29*12,"")</f>
        <v>5383.8090040880597</v>
      </c>
      <c r="AT31" s="133">
        <f>IFERROR('Production in Sqm'!AG25/AT29*12,"")</f>
        <v>4893.3025510901625</v>
      </c>
      <c r="AU31" s="133">
        <f>IFERROR('Production in Sqm'!AH25/AU29*12,"")</f>
        <v>5374.4581411456966</v>
      </c>
      <c r="AV31" s="133">
        <f>IFERROR('Production in Sqm'!AI25/AV29*12,"")</f>
        <v>4974.817780733877</v>
      </c>
      <c r="AW31" s="133">
        <f>IFERROR('Production in Sqm'!AJ25/AW29*12,"")</f>
        <v>5160.6639502808539</v>
      </c>
      <c r="AX31" s="133">
        <f>IFERROR('Production in Sqm'!AK25/AX29*12,"")</f>
        <v>5371.2972820654377</v>
      </c>
      <c r="AY31" s="133">
        <f>IFERROR('Production in Sqm'!AL25/AY29*12,"")</f>
        <v>5811.610483904612</v>
      </c>
      <c r="AZ31" s="111">
        <f t="shared" si="78"/>
        <v>5032.3480908793372</v>
      </c>
      <c r="BX31" s="133">
        <f>IFERROR('Production in Sqm'!AO25/'Main Sheet'!BX29*12,"")</f>
        <v>5152.2364980102338</v>
      </c>
      <c r="BY31" s="133">
        <f>IFERROR('Production in Sqm'!AP25/'Main Sheet'!BY29*12,"")</f>
        <v>5259.542535211267</v>
      </c>
      <c r="BZ31" s="133">
        <f>IFERROR('Production in Sqm'!AQ25/'Main Sheet'!BZ29*12,"")</f>
        <v>5490.8357870894679</v>
      </c>
      <c r="CA31" s="133">
        <f>IFERROR('Production in Sqm'!AR25/'Main Sheet'!CA29*12,"")</f>
        <v>5508.9948542024013</v>
      </c>
      <c r="CB31" s="133">
        <f>IFERROR('Production in Sqm'!AS25/'Main Sheet'!CB29*12,"")</f>
        <v>5781.2219085262559</v>
      </c>
      <c r="CC31" s="133">
        <f>IFERROR('Production in Sqm'!AT25/'Main Sheet'!CC29*12,"")</f>
        <v>5753.5065229722059</v>
      </c>
      <c r="CD31" s="133">
        <f>IFERROR('Production in Sqm'!AU25/'Main Sheet'!CD29*12,"")</f>
        <v>5416.4833702882479</v>
      </c>
      <c r="CE31" s="133">
        <f>IFERROR('Production in Sqm'!AV25/'Main Sheet'!CE29*12,"")</f>
        <v>5072.8337028824835</v>
      </c>
      <c r="CF31" s="133">
        <f>IFERROR('Production in Sqm'!AW25/'Main Sheet'!CF29*12,"")</f>
        <v>4987.4235033259429</v>
      </c>
      <c r="CG31" s="133">
        <f>IFERROR('Production in Sqm'!AX25/'Main Sheet'!CG29*12,"")</f>
        <v>5048.0177580466152</v>
      </c>
      <c r="CH31" s="133">
        <f>IFERROR('Production in Sqm'!AY25/'Main Sheet'!CH29*12,"")</f>
        <v>5329.7314095449501</v>
      </c>
      <c r="CI31" s="133">
        <f>IFERROR('Production in Sqm'!AZ25/'Main Sheet'!CI29*12,"")</f>
        <v>5480.6243683323974</v>
      </c>
      <c r="CJ31" s="111">
        <f t="shared" si="75"/>
        <v>5356.7876848693713</v>
      </c>
      <c r="CO31" s="138"/>
    </row>
    <row r="32" spans="2:105" ht="13.5" thickTop="1" thickBot="1">
      <c r="B32" s="119" t="s">
        <v>8</v>
      </c>
      <c r="C32" s="153"/>
      <c r="D32" s="137">
        <f t="shared" ref="D32:I32" si="79">D30/D31</f>
        <v>0.19117647058823528</v>
      </c>
      <c r="E32" s="137">
        <f t="shared" si="79"/>
        <v>0.11104047467683831</v>
      </c>
      <c r="F32" s="137">
        <f t="shared" si="79"/>
        <v>6.4986999029801373E-2</v>
      </c>
      <c r="G32" s="137">
        <f t="shared" si="79"/>
        <v>6.6448809589583865E-2</v>
      </c>
      <c r="H32" s="137">
        <f t="shared" si="79"/>
        <v>8.177544972401489E-2</v>
      </c>
      <c r="I32" s="137" t="e">
        <f t="shared" si="79"/>
        <v>#DIV/0!</v>
      </c>
      <c r="K32" s="110" t="s">
        <v>12</v>
      </c>
      <c r="L32" s="131" t="s">
        <v>78</v>
      </c>
      <c r="M32" s="110"/>
      <c r="N32" s="111">
        <f>'Production in Sqm'!B21/'Main Sheet'!N30*12</f>
        <v>4656.3014130722968</v>
      </c>
      <c r="O32" s="111">
        <f>'Production in Sqm'!C21/'Main Sheet'!O30*12</f>
        <v>4642.0909555834651</v>
      </c>
      <c r="P32" s="111">
        <f>'Production in Sqm'!D21/'Main Sheet'!P30*12</f>
        <v>4314.8524246317056</v>
      </c>
      <c r="Q32" s="111">
        <f>'Production in Sqm'!E21/'Main Sheet'!Q30*12</f>
        <v>4643.0534869076046</v>
      </c>
      <c r="R32" s="111">
        <f>'Production in Sqm'!F21/'Main Sheet'!R30*12</f>
        <v>5095.3135951997374</v>
      </c>
      <c r="S32" s="111">
        <f>'Production in Sqm'!G21/'Main Sheet'!S30*12</f>
        <v>5113.9914616486194</v>
      </c>
      <c r="T32" s="111">
        <f>'Production in Sqm'!H21/'Main Sheet'!T30*12</f>
        <v>4841.2785190923423</v>
      </c>
      <c r="U32" s="111">
        <f>'Production in Sqm'!I21/'Main Sheet'!U30*12</f>
        <v>4028.3437536774463</v>
      </c>
      <c r="V32" s="111">
        <f>'Production in Sqm'!J21/'Main Sheet'!V30*12</f>
        <v>4945.8012374614118</v>
      </c>
      <c r="W32" s="111">
        <f>'Production in Sqm'!K21/'Main Sheet'!W30*12</f>
        <v>4479.7466168040537</v>
      </c>
      <c r="X32" s="111">
        <f>'Production in Sqm'!L21/'Main Sheet'!X30*12</f>
        <v>4348.1583109626617</v>
      </c>
      <c r="Y32" s="111">
        <f>'Production in Sqm'!M21/'Main Sheet'!Y30*12</f>
        <v>4828.370991257374</v>
      </c>
      <c r="Z32" s="111">
        <f t="shared" si="76"/>
        <v>4661.4418971915602</v>
      </c>
      <c r="AA32" s="111">
        <f>'Production in Sqm'!N21/AA30*12</f>
        <v>4168.7697691493986</v>
      </c>
      <c r="AB32" s="111">
        <f>'Production in Sqm'!O21/AB30*12</f>
        <v>4040.4131937250804</v>
      </c>
      <c r="AC32" s="146">
        <f>'Production in Sqm'!P21/AC30*12</f>
        <v>4223.3432459480246</v>
      </c>
      <c r="AD32" s="147">
        <f>'Production in Sqm'!Q21/AD30*12</f>
        <v>4638.3634514196883</v>
      </c>
      <c r="AE32" s="111">
        <f>'Production in Sqm'!R21/AE30*12</f>
        <v>5111.2963870976546</v>
      </c>
      <c r="AF32" s="111">
        <f>'Production in Sqm'!S21/AF30*12</f>
        <v>4831.7139352040513</v>
      </c>
      <c r="AG32" s="147">
        <f>'Production in Sqm'!T21/AG30*12</f>
        <v>4581.4867935097673</v>
      </c>
      <c r="AH32" s="147">
        <f>'Production in Sqm'!U21/AH30*12</f>
        <v>4844.6103094333321</v>
      </c>
      <c r="AI32" s="147">
        <f>'Production in Sqm'!V21/AI30*12</f>
        <v>4622.1625458005365</v>
      </c>
      <c r="AJ32" s="111">
        <f>'Production in Sqm'!W21/AJ30*12</f>
        <v>4569.0616085582988</v>
      </c>
      <c r="AK32" s="111">
        <f>'Production in Sqm'!X21/AK30*12</f>
        <v>5022.2442971987302</v>
      </c>
      <c r="AL32" s="111">
        <f>'Production in Sqm'!Y21/AL30*12</f>
        <v>5502.4138266964856</v>
      </c>
      <c r="AM32" s="148">
        <f t="shared" si="77"/>
        <v>4679.6566136450883</v>
      </c>
      <c r="AN32" s="149">
        <f>'Production in Sqm'!AA21/AN30*12</f>
        <v>5459.6336212151036</v>
      </c>
      <c r="AO32" s="149">
        <f>'Production in Sqm'!AB21/AO30*12</f>
        <v>4569.6812238419952</v>
      </c>
      <c r="AP32" s="149">
        <f>'Production in Sqm'!AC21/AP30*12</f>
        <v>4285.5905156948029</v>
      </c>
      <c r="AQ32" s="149">
        <f>'Production in Sqm'!AD21/AQ30*12</f>
        <v>4842.3364864926862</v>
      </c>
      <c r="AR32" s="149">
        <f>'Production in Sqm'!AE21/AR30*12</f>
        <v>4871.0170805679154</v>
      </c>
      <c r="AS32" s="150">
        <f>'Production in Sqm'!AF21/AS30*12</f>
        <v>4941.1303863321955</v>
      </c>
      <c r="AT32" s="149">
        <f>'Production in Sqm'!AG21/AT30*12</f>
        <v>4747.3876172498167</v>
      </c>
      <c r="AU32" s="149">
        <f>'Production in Sqm'!AH21/AU30*12</f>
        <v>5341.7718986521631</v>
      </c>
      <c r="AV32" s="149">
        <f>'Production in Sqm'!AI21/AV30*12</f>
        <v>5484.1031436548219</v>
      </c>
      <c r="AW32" s="150">
        <f>'Production in Sqm'!AJ21/AW30*12</f>
        <v>4119.9115958621351</v>
      </c>
      <c r="AX32" s="150">
        <f>'Production in Sqm'!AK21/AX30*12</f>
        <v>4722.5961302926171</v>
      </c>
      <c r="AY32" s="150">
        <f>'Production in Sqm'!AL21/AY30*12</f>
        <v>5202.8200072132104</v>
      </c>
      <c r="AZ32" s="152">
        <f t="shared" si="78"/>
        <v>4882.3316422557882</v>
      </c>
      <c r="BX32" s="149">
        <f>IFERROR('Production in Sqm'!AO21/'Main Sheet'!BX30*12,"")</f>
        <v>5430.1361336582031</v>
      </c>
      <c r="BY32" s="152">
        <f>IFERROR('Production in Sqm'!AP21/'Main Sheet'!BY30*12,"")</f>
        <v>4831.1305819250229</v>
      </c>
      <c r="BZ32" s="152">
        <f>IFERROR('Production in Sqm'!AQ21/'Main Sheet'!BZ30*12,"")</f>
        <v>4722.1404038821029</v>
      </c>
      <c r="CA32" s="148">
        <f>IFERROR('Production in Sqm'!AR21/'Main Sheet'!CA30*12,"")</f>
        <v>5835.558418663576</v>
      </c>
      <c r="CB32" s="152">
        <f>IFERROR('Production in Sqm'!AS21/'Main Sheet'!CB30*12,"")</f>
        <v>5405.4707458301418</v>
      </c>
      <c r="CC32" s="152">
        <f>IFERROR('Production in Sqm'!AT21/'Main Sheet'!CC30*12,"")</f>
        <v>5283.9010132218291</v>
      </c>
      <c r="CD32" s="148">
        <f>IFERROR('Production in Sqm'!AU21/'Main Sheet'!CD30*12,"")</f>
        <v>5492.588726056807</v>
      </c>
      <c r="CE32" s="152">
        <f>IFERROR('Production in Sqm'!AV21/'Main Sheet'!CE30*12,"")</f>
        <v>4908.5847776125865</v>
      </c>
      <c r="CF32" s="148">
        <f>IFERROR('Production in Sqm'!AW21/'Main Sheet'!CF30*12,"")</f>
        <v>5011.2924502596807</v>
      </c>
      <c r="CG32" s="152">
        <f>IFERROR('Production in Sqm'!AX21/'Main Sheet'!CG30*12,"")</f>
        <v>4690.5534205367831</v>
      </c>
      <c r="CH32" s="152">
        <f>IFERROR('Production in Sqm'!AY21/'Main Sheet'!CH30*12,"")</f>
        <v>5059.2230026326415</v>
      </c>
      <c r="CI32" s="148">
        <f>IFERROR('Production in Sqm'!AZ21/'Main Sheet'!CI30*12,"")</f>
        <v>5683.3662073361465</v>
      </c>
      <c r="CJ32" s="150">
        <f t="shared" si="75"/>
        <v>5196.1621568012933</v>
      </c>
    </row>
    <row r="33" spans="2:99" ht="12.75" thickTop="1">
      <c r="B33" s="119" t="s">
        <v>9</v>
      </c>
      <c r="C33" s="134"/>
      <c r="D33" s="134">
        <v>196</v>
      </c>
      <c r="E33" s="134">
        <v>200</v>
      </c>
      <c r="F33" s="134">
        <v>242.14978415849384</v>
      </c>
      <c r="G33" s="134">
        <v>247.33333333333331</v>
      </c>
      <c r="H33" s="134">
        <f>'Production in Sqm'!E6</f>
        <v>276.5</v>
      </c>
      <c r="I33" s="134"/>
    </row>
    <row r="34" spans="2:99" ht="12.75" thickBot="1">
      <c r="B34" s="119" t="s">
        <v>10</v>
      </c>
      <c r="C34" s="134"/>
      <c r="D34" s="134">
        <v>701</v>
      </c>
      <c r="E34" s="134">
        <v>2262</v>
      </c>
      <c r="F34" s="134">
        <v>3284.1021385321164</v>
      </c>
      <c r="G34" s="134">
        <v>2978.7342129380049</v>
      </c>
      <c r="H34" s="134">
        <f>'Production in Sqm'!H6</f>
        <v>2833.9493670886077</v>
      </c>
      <c r="I34" s="134"/>
      <c r="K34" s="123" t="s">
        <v>14</v>
      </c>
      <c r="L34" s="124"/>
      <c r="M34" s="125"/>
      <c r="N34" s="126" t="s">
        <v>22</v>
      </c>
      <c r="O34" s="126" t="s">
        <v>23</v>
      </c>
      <c r="P34" s="126" t="s">
        <v>24</v>
      </c>
      <c r="Q34" s="126" t="s">
        <v>25</v>
      </c>
      <c r="R34" s="126" t="s">
        <v>26</v>
      </c>
      <c r="S34" s="126" t="s">
        <v>27</v>
      </c>
      <c r="T34" s="126" t="s">
        <v>28</v>
      </c>
      <c r="U34" s="126" t="s">
        <v>29</v>
      </c>
      <c r="V34" s="126" t="s">
        <v>30</v>
      </c>
      <c r="W34" s="126" t="s">
        <v>31</v>
      </c>
      <c r="X34" s="126" t="s">
        <v>32</v>
      </c>
      <c r="Y34" s="126" t="s">
        <v>33</v>
      </c>
      <c r="Z34" s="126" t="s">
        <v>77</v>
      </c>
      <c r="AA34" s="126" t="s">
        <v>81</v>
      </c>
      <c r="AB34" s="126" t="s">
        <v>82</v>
      </c>
      <c r="AC34" s="126" t="s">
        <v>83</v>
      </c>
      <c r="AD34" s="126" t="s">
        <v>84</v>
      </c>
      <c r="AE34" s="126" t="s">
        <v>85</v>
      </c>
      <c r="AF34" s="126" t="s">
        <v>86</v>
      </c>
      <c r="AG34" s="126" t="s">
        <v>87</v>
      </c>
      <c r="AH34" s="126" t="s">
        <v>88</v>
      </c>
      <c r="AI34" s="126" t="s">
        <v>89</v>
      </c>
      <c r="AJ34" s="126" t="s">
        <v>90</v>
      </c>
      <c r="AK34" s="126" t="s">
        <v>91</v>
      </c>
      <c r="AL34" s="126" t="s">
        <v>92</v>
      </c>
      <c r="AM34" s="126" t="str">
        <f>AM18</f>
        <v>FY 16~17</v>
      </c>
      <c r="AN34" s="126" t="str">
        <f>AN2</f>
        <v>Apr'17</v>
      </c>
      <c r="AO34" s="126" t="str">
        <f t="shared" ref="AO34:AY34" si="80">AO2</f>
        <v>May'17</v>
      </c>
      <c r="AP34" s="126" t="str">
        <f t="shared" si="80"/>
        <v>Jun'17</v>
      </c>
      <c r="AQ34" s="126" t="str">
        <f t="shared" si="80"/>
        <v>Jul'17</v>
      </c>
      <c r="AR34" s="126" t="str">
        <f t="shared" si="80"/>
        <v>Aug'17</v>
      </c>
      <c r="AS34" s="126" t="str">
        <f t="shared" si="80"/>
        <v>Sep'17</v>
      </c>
      <c r="AT34" s="126" t="str">
        <f t="shared" si="80"/>
        <v>Oct'17</v>
      </c>
      <c r="AU34" s="126" t="str">
        <f t="shared" si="80"/>
        <v>Nov'17</v>
      </c>
      <c r="AV34" s="126" t="str">
        <f t="shared" si="80"/>
        <v>Dec'17</v>
      </c>
      <c r="AW34" s="126" t="str">
        <f t="shared" si="80"/>
        <v>Jan'18</v>
      </c>
      <c r="AX34" s="126" t="str">
        <f t="shared" si="80"/>
        <v>Feb'18</v>
      </c>
      <c r="AY34" s="126" t="str">
        <f t="shared" si="80"/>
        <v>Mar'18</v>
      </c>
      <c r="AZ34" s="126" t="str">
        <f>AZ18</f>
        <v>FY 1718</v>
      </c>
      <c r="BX34" s="126" t="s">
        <v>127</v>
      </c>
      <c r="BY34" s="126" t="s">
        <v>128</v>
      </c>
      <c r="BZ34" s="126" t="str">
        <f>BZ18</f>
        <v>Jun'18</v>
      </c>
      <c r="CA34" s="129" t="s">
        <v>130</v>
      </c>
      <c r="CB34" s="129" t="s">
        <v>131</v>
      </c>
      <c r="CC34" s="129" t="s">
        <v>132</v>
      </c>
      <c r="CD34" s="129" t="s">
        <v>133</v>
      </c>
      <c r="CE34" s="129" t="s">
        <v>134</v>
      </c>
      <c r="CF34" s="129" t="s">
        <v>135</v>
      </c>
      <c r="CG34" s="129" t="s">
        <v>136</v>
      </c>
      <c r="CH34" s="129" t="s">
        <v>137</v>
      </c>
      <c r="CI34" s="129" t="s">
        <v>138</v>
      </c>
      <c r="CJ34" s="129" t="str">
        <f>CJ2</f>
        <v>FY 1819</v>
      </c>
    </row>
    <row r="35" spans="2:99" ht="13.5" thickTop="1" thickBot="1">
      <c r="B35" s="119" t="s">
        <v>11</v>
      </c>
      <c r="C35" s="134"/>
      <c r="D35" s="134">
        <v>152</v>
      </c>
      <c r="E35" s="134">
        <v>161</v>
      </c>
      <c r="F35" s="134">
        <v>232.14978415849384</v>
      </c>
      <c r="G35" s="134">
        <v>237.33333333333331</v>
      </c>
      <c r="H35" s="134">
        <f>'Production in Sqm'!F6</f>
        <v>265.5</v>
      </c>
      <c r="I35" s="134"/>
      <c r="K35" s="110" t="s">
        <v>101</v>
      </c>
      <c r="L35" s="131" t="s">
        <v>39</v>
      </c>
      <c r="M35" s="110"/>
      <c r="N35" s="109">
        <f>'Production in Sqm'!B36</f>
        <v>69.577202836624139</v>
      </c>
      <c r="O35" s="109">
        <f>'Production in Sqm'!C36</f>
        <v>72.622018854542844</v>
      </c>
      <c r="P35" s="109">
        <f>'Production in Sqm'!D36</f>
        <v>71.066635008331886</v>
      </c>
      <c r="Q35" s="109">
        <f>'Production in Sqm'!E36</f>
        <v>69.985428385556318</v>
      </c>
      <c r="R35" s="132">
        <f>'Production in Sqm'!F36</f>
        <v>69.376785443754628</v>
      </c>
      <c r="S35" s="132">
        <f>'Production in Sqm'!G36</f>
        <v>72.873342678331852</v>
      </c>
      <c r="T35" s="132">
        <f>'Production in Sqm'!H36</f>
        <v>74.177607613198873</v>
      </c>
      <c r="U35" s="109">
        <f>'Production in Sqm'!I36</f>
        <v>73.329868415364643</v>
      </c>
      <c r="V35" s="109">
        <f>'Production in Sqm'!J36</f>
        <v>69.318142969527756</v>
      </c>
      <c r="W35" s="109">
        <f>'Production in Sqm'!K36</f>
        <v>71.731720834602015</v>
      </c>
      <c r="X35" s="109">
        <f>'Production in Sqm'!L36</f>
        <v>70.290636976800997</v>
      </c>
      <c r="Y35" s="109">
        <f>'Production in Sqm'!M36</f>
        <v>71.406390357582168</v>
      </c>
      <c r="Z35" s="111">
        <f>SUM(N35:Y35)</f>
        <v>855.75578037421815</v>
      </c>
      <c r="AA35" s="109">
        <f>'Production in Sqm'!N36</f>
        <v>79.357833440641087</v>
      </c>
      <c r="AB35" s="109">
        <f>'Production in Sqm'!O36</f>
        <v>80.559269535944892</v>
      </c>
      <c r="AC35" s="109">
        <f>'Production in Sqm'!P36</f>
        <v>80.908463452702009</v>
      </c>
      <c r="AD35" s="109">
        <f>'Production in Sqm'!Q36</f>
        <v>80.784874925136137</v>
      </c>
      <c r="AE35" s="109">
        <f>'Production in Sqm'!R36</f>
        <v>80.188400762673851</v>
      </c>
      <c r="AF35" s="109">
        <f>'Production in Sqm'!S36</f>
        <v>79.601773667632145</v>
      </c>
      <c r="AG35" s="109">
        <f>'Production in Sqm'!T36</f>
        <v>89.462398068938668</v>
      </c>
      <c r="AH35" s="109">
        <f>'Production in Sqm'!U36</f>
        <v>82.674375405782911</v>
      </c>
      <c r="AI35" s="109">
        <f>'Production in Sqm'!V36</f>
        <v>81.39444692027223</v>
      </c>
      <c r="AJ35" s="109">
        <f>'Production in Sqm'!W36</f>
        <v>82.483384763290175</v>
      </c>
      <c r="AK35" s="109">
        <f>'Production in Sqm'!X36</f>
        <v>81.296861437255785</v>
      </c>
      <c r="AL35" s="109">
        <f>'Production in Sqm'!Y36</f>
        <v>81.652478784136349</v>
      </c>
      <c r="AM35" s="111">
        <f>SUM(AA35:AL35)</f>
        <v>980.36456116440604</v>
      </c>
      <c r="AN35" s="133">
        <f>'Production in Sqm'!AA36</f>
        <v>85.259312457118213</v>
      </c>
      <c r="AO35" s="133">
        <f>'Production in Sqm'!AB36</f>
        <v>84.702680628905711</v>
      </c>
      <c r="AP35" s="133">
        <f>'Production in Sqm'!AC36</f>
        <v>85.907517555890692</v>
      </c>
      <c r="AQ35" s="133">
        <f>'Production in Sqm'!AD36</f>
        <v>84.548044654990278</v>
      </c>
      <c r="AR35" s="133">
        <f>'Production in Sqm'!AE36</f>
        <v>88.922512408250853</v>
      </c>
      <c r="AS35" s="133">
        <f>'Production in Sqm'!AF36</f>
        <v>88.370222177862473</v>
      </c>
      <c r="AT35" s="133">
        <f>'Production in Sqm'!AG36</f>
        <v>96.640335667426911</v>
      </c>
      <c r="AU35" s="133">
        <f>'Production in Sqm'!AH36</f>
        <v>86.725462628592481</v>
      </c>
      <c r="AV35" s="133">
        <f>'Production in Sqm'!AI36</f>
        <v>84.716532079810577</v>
      </c>
      <c r="AW35" s="133">
        <f>'Production in Sqm'!AJ36</f>
        <v>87.052037896070473</v>
      </c>
      <c r="AX35" s="133">
        <f>'Production in Sqm'!AK36</f>
        <v>85.42228729867243</v>
      </c>
      <c r="AY35" s="133">
        <f>'Production in Sqm'!AL36</f>
        <v>87.147369264377559</v>
      </c>
      <c r="AZ35" s="111">
        <f>SUM(AN35:AY35)</f>
        <v>1045.4143147179689</v>
      </c>
      <c r="BX35" s="133">
        <f>'Production in Sqm'!AO36</f>
        <v>95.529403818005733</v>
      </c>
      <c r="BY35" s="133">
        <f>'Production in Sqm'!AP36</f>
        <v>92.63783158680819</v>
      </c>
      <c r="BZ35" s="133">
        <f>'Production in Sqm'!AQ36</f>
        <v>93.320914125362336</v>
      </c>
      <c r="CA35" s="133">
        <f>'Production in Sqm'!AR36</f>
        <v>95.467398684122529</v>
      </c>
      <c r="CB35" s="133">
        <f>'Production in Sqm'!AS36</f>
        <v>97.307480841759286</v>
      </c>
      <c r="CC35" s="133">
        <f>'Production in Sqm'!AT36</f>
        <v>95.980077253410414</v>
      </c>
      <c r="CD35" s="133">
        <f>'Production in Sqm'!AU36</f>
        <v>105.01695786159083</v>
      </c>
      <c r="CE35" s="133">
        <f>'Production in Sqm'!AV36</f>
        <v>96.349282007066165</v>
      </c>
      <c r="CF35" s="133">
        <f>'Production in Sqm'!AW36</f>
        <v>97.095874622325738</v>
      </c>
      <c r="CG35" s="133">
        <f>'Production in Sqm'!AX36</f>
        <v>95.894148496931138</v>
      </c>
      <c r="CH35" s="133">
        <f>'Production in Sqm'!AY36</f>
        <v>94.513983776023409</v>
      </c>
      <c r="CI35" s="133">
        <f>'Production in Sqm'!AZ36</f>
        <v>97.421249651736147</v>
      </c>
      <c r="CJ35" s="111">
        <f>SUM(BX35:CI35)</f>
        <v>1156.5346027251421</v>
      </c>
    </row>
    <row r="36" spans="2:99" ht="13.5" thickTop="1" thickBot="1">
      <c r="B36" s="119" t="s">
        <v>12</v>
      </c>
      <c r="C36" s="134"/>
      <c r="D36" s="134">
        <v>904</v>
      </c>
      <c r="E36" s="134">
        <v>2812</v>
      </c>
      <c r="F36" s="134">
        <v>3425.5669324984974</v>
      </c>
      <c r="G36" s="134">
        <v>3104.242676966292</v>
      </c>
      <c r="H36" s="134">
        <f>'Production in Sqm'!I6</f>
        <v>2951.3634651600755</v>
      </c>
      <c r="I36" s="134"/>
      <c r="K36" s="110"/>
      <c r="L36" s="131" t="s">
        <v>78</v>
      </c>
      <c r="M36" s="110"/>
      <c r="N36" s="109">
        <f>'Production in Sqm'!B32</f>
        <v>73.169465226985736</v>
      </c>
      <c r="O36" s="109">
        <f>'Production in Sqm'!C32</f>
        <v>73.503392195458474</v>
      </c>
      <c r="P36" s="109">
        <f>'Production in Sqm'!D32</f>
        <v>74.093639858126593</v>
      </c>
      <c r="Q36" s="109">
        <f>'Production in Sqm'!E32</f>
        <v>73.340066310403174</v>
      </c>
      <c r="R36" s="109">
        <f>'Production in Sqm'!F32</f>
        <v>67.84327982461285</v>
      </c>
      <c r="S36" s="109">
        <f>'Production in Sqm'!G32</f>
        <v>77.187669803290888</v>
      </c>
      <c r="T36" s="109">
        <f>'Production in Sqm'!H32</f>
        <v>79.56133303044858</v>
      </c>
      <c r="U36" s="109">
        <f>'Production in Sqm'!I32</f>
        <v>79.424435049851382</v>
      </c>
      <c r="V36" s="109">
        <f>'Production in Sqm'!J32</f>
        <v>75.685122356720342</v>
      </c>
      <c r="W36" s="109">
        <f>'Production in Sqm'!K32</f>
        <v>72.202301392861344</v>
      </c>
      <c r="X36" s="109">
        <f>'Production in Sqm'!L32</f>
        <v>75.550791895721815</v>
      </c>
      <c r="Y36" s="109">
        <f>'Production in Sqm'!M32</f>
        <v>72.334762401619031</v>
      </c>
      <c r="Z36" s="111">
        <f>SUM(N36:Y36)</f>
        <v>893.89625934610024</v>
      </c>
      <c r="AA36" s="109">
        <f>'Production in Sqm'!N32</f>
        <v>78.599322209998917</v>
      </c>
      <c r="AB36" s="109">
        <f>'Production in Sqm'!O32</f>
        <v>79.558523502394365</v>
      </c>
      <c r="AC36" s="109">
        <f>'Production in Sqm'!P32</f>
        <v>83.23021011822712</v>
      </c>
      <c r="AD36" s="109">
        <f>'Production in Sqm'!Q32</f>
        <v>78.012276257735081</v>
      </c>
      <c r="AE36" s="109">
        <f>'Production in Sqm'!R32</f>
        <v>83.987829625429029</v>
      </c>
      <c r="AF36" s="109">
        <f>'Production in Sqm'!S32</f>
        <v>80.52992721895086</v>
      </c>
      <c r="AG36" s="109">
        <f>'Production in Sqm'!T32</f>
        <v>84.45959462777914</v>
      </c>
      <c r="AH36" s="109">
        <f>'Production in Sqm'!U32</f>
        <v>79.357628830454331</v>
      </c>
      <c r="AI36" s="109">
        <f>'Production in Sqm'!V32</f>
        <v>77.637317820499092</v>
      </c>
      <c r="AJ36" s="109">
        <f>'Production in Sqm'!W32</f>
        <v>85.090326172970123</v>
      </c>
      <c r="AK36" s="109">
        <f>'Production in Sqm'!X32</f>
        <v>77.456883175530962</v>
      </c>
      <c r="AL36" s="109">
        <f>'Production in Sqm'!Y32</f>
        <v>70.291331586525743</v>
      </c>
      <c r="AM36" s="111">
        <f>SUM(AA36:AL36)</f>
        <v>958.21117114649473</v>
      </c>
      <c r="AN36" s="133">
        <f>'Production in Sqm'!AA32</f>
        <v>84.79575208327104</v>
      </c>
      <c r="AO36" s="133">
        <f>'Production in Sqm'!AB32</f>
        <v>84.78402738033023</v>
      </c>
      <c r="AP36" s="133">
        <f>'Production in Sqm'!AC32</f>
        <v>87.78442002924092</v>
      </c>
      <c r="AQ36" s="133">
        <f>'Production in Sqm'!AD32</f>
        <v>82.283028580189807</v>
      </c>
      <c r="AR36" s="133">
        <f>'Production in Sqm'!AE32</f>
        <v>82.072670252696668</v>
      </c>
      <c r="AS36" s="133">
        <f>'Production in Sqm'!AF32</f>
        <v>86.337006212264342</v>
      </c>
      <c r="AT36" s="133">
        <f>'Production in Sqm'!AG32</f>
        <v>99.555147421627197</v>
      </c>
      <c r="AU36" s="133">
        <f>'Production in Sqm'!AH32</f>
        <v>85.5241619728003</v>
      </c>
      <c r="AV36" s="133">
        <f>'Production in Sqm'!AI32</f>
        <v>87.609874049176682</v>
      </c>
      <c r="AW36" s="133">
        <f>'Production in Sqm'!AJ32</f>
        <v>90.942909995824692</v>
      </c>
      <c r="AX36" s="133">
        <f>'Production in Sqm'!AK32</f>
        <v>89.035430529131958</v>
      </c>
      <c r="AY36" s="133">
        <f>'Production in Sqm'!AL32</f>
        <v>105.9615990268501</v>
      </c>
      <c r="AZ36" s="111">
        <f>SUM(AN36:AY36)</f>
        <v>1066.6860275334041</v>
      </c>
      <c r="BX36" s="133">
        <f>'Production in Sqm'!AO32</f>
        <v>95.965152541739897</v>
      </c>
      <c r="BY36" s="133">
        <f>'Production in Sqm'!AP32</f>
        <v>94.053405780220942</v>
      </c>
      <c r="BZ36" s="133">
        <f>'Production in Sqm'!AQ32</f>
        <v>103.51458175236307</v>
      </c>
      <c r="CA36" s="133">
        <f>'Production in Sqm'!AR32</f>
        <v>115.01703168756433</v>
      </c>
      <c r="CB36" s="133">
        <f>'Production in Sqm'!AS32</f>
        <v>109.91038953659208</v>
      </c>
      <c r="CC36" s="133">
        <f>'Production in Sqm'!AT32</f>
        <v>102.62521536146207</v>
      </c>
      <c r="CD36" s="133">
        <f>'Production in Sqm'!AU32</f>
        <v>117.49171541117565</v>
      </c>
      <c r="CE36" s="133">
        <f>'Production in Sqm'!AV32</f>
        <v>99.499123302276445</v>
      </c>
      <c r="CF36" s="133">
        <f>'Production in Sqm'!AW32</f>
        <v>95.342374958356459</v>
      </c>
      <c r="CG36" s="133">
        <f>'Production in Sqm'!AX32</f>
        <v>92.968800568711799</v>
      </c>
      <c r="CH36" s="133">
        <f>'Production in Sqm'!AY32</f>
        <v>94.570133536869776</v>
      </c>
      <c r="CI36" s="133">
        <f>'Production in Sqm'!AZ32</f>
        <v>93.819687339634072</v>
      </c>
      <c r="CJ36" s="111">
        <f>SUM(BX36:CI36)</f>
        <v>1214.7776117769668</v>
      </c>
      <c r="CK36" s="127">
        <f>CJ35-CJ36</f>
        <v>-58.243009051824629</v>
      </c>
      <c r="CO36" s="127">
        <f>CJ36-CJ35</f>
        <v>58.243009051824629</v>
      </c>
    </row>
    <row r="37" spans="2:99" ht="13.5" thickTop="1" thickBot="1">
      <c r="K37" s="110" t="s">
        <v>102</v>
      </c>
      <c r="L37" s="131" t="s">
        <v>39</v>
      </c>
      <c r="M37" s="110"/>
      <c r="N37" s="109">
        <f>'Production in Sqm'!B35</f>
        <v>968</v>
      </c>
      <c r="O37" s="109">
        <f>'Production in Sqm'!C35</f>
        <v>978</v>
      </c>
      <c r="P37" s="109">
        <f>'Production in Sqm'!D35</f>
        <v>982</v>
      </c>
      <c r="Q37" s="109">
        <f>'Production in Sqm'!E35</f>
        <v>1036</v>
      </c>
      <c r="R37" s="109">
        <f>'Production in Sqm'!F35</f>
        <v>950</v>
      </c>
      <c r="S37" s="109">
        <f>'Production in Sqm'!G35</f>
        <v>907</v>
      </c>
      <c r="T37" s="109">
        <f>'Production in Sqm'!H35</f>
        <v>955</v>
      </c>
      <c r="U37" s="109">
        <f>'Production in Sqm'!I35</f>
        <v>835</v>
      </c>
      <c r="V37" s="109">
        <f>'Production in Sqm'!J35</f>
        <v>880</v>
      </c>
      <c r="W37" s="109">
        <f>'Production in Sqm'!K35</f>
        <v>971</v>
      </c>
      <c r="X37" s="109">
        <f>'Production in Sqm'!L35</f>
        <v>961</v>
      </c>
      <c r="Y37" s="109">
        <f>'Production in Sqm'!M35</f>
        <v>1036</v>
      </c>
      <c r="Z37" s="111">
        <f>SUM(N37:Y37)</f>
        <v>11459</v>
      </c>
      <c r="AA37" s="109">
        <f>'Production in Sqm'!N35</f>
        <v>1099</v>
      </c>
      <c r="AB37" s="109">
        <f>'Production in Sqm'!O35</f>
        <v>1161</v>
      </c>
      <c r="AC37" s="109">
        <f>'Production in Sqm'!P35</f>
        <v>1187</v>
      </c>
      <c r="AD37" s="109">
        <f>'Production in Sqm'!Q35</f>
        <v>1183</v>
      </c>
      <c r="AE37" s="109">
        <f>'Production in Sqm'!R35</f>
        <v>1122</v>
      </c>
      <c r="AF37" s="109">
        <f>'Production in Sqm'!S35</f>
        <v>1137</v>
      </c>
      <c r="AG37" s="109">
        <f>'Production in Sqm'!T35</f>
        <v>1090</v>
      </c>
      <c r="AH37" s="109">
        <f>'Production in Sqm'!U35</f>
        <v>1140</v>
      </c>
      <c r="AI37" s="109">
        <f>'Production in Sqm'!V35</f>
        <v>1127</v>
      </c>
      <c r="AJ37" s="109">
        <f>'Production in Sqm'!W35</f>
        <v>1169</v>
      </c>
      <c r="AK37" s="109">
        <f>'Production in Sqm'!X35</f>
        <v>1166</v>
      </c>
      <c r="AL37" s="109">
        <f>'Production in Sqm'!Y35</f>
        <v>1207</v>
      </c>
      <c r="AM37" s="111">
        <f>SUM(AA37:AL37)</f>
        <v>13788</v>
      </c>
      <c r="AN37" s="133">
        <f>'Production in Sqm'!AA35</f>
        <v>1117.7360555020491</v>
      </c>
      <c r="AO37" s="133">
        <f>'Production in Sqm'!AB35</f>
        <v>1213.7377273731961</v>
      </c>
      <c r="AP37" s="133">
        <f>'Production in Sqm'!AC35</f>
        <v>1099.048641347797</v>
      </c>
      <c r="AQ37" s="133">
        <f>'Production in Sqm'!AD35</f>
        <v>1086.7928881799737</v>
      </c>
      <c r="AR37" s="133">
        <f>'Production in Sqm'!AE35</f>
        <v>1134.9754781209367</v>
      </c>
      <c r="AS37" s="133">
        <f>'Production in Sqm'!AF35</f>
        <v>1154.7558096166558</v>
      </c>
      <c r="AT37" s="133">
        <f>'Production in Sqm'!AG35</f>
        <v>952.86313908457669</v>
      </c>
      <c r="AU37" s="133">
        <f>'Production in Sqm'!AH35</f>
        <v>970.04786747301523</v>
      </c>
      <c r="AV37" s="133">
        <f>'Production in Sqm'!AI35</f>
        <v>914.84746810803176</v>
      </c>
      <c r="AW37" s="133">
        <f>'Production in Sqm'!AJ35</f>
        <v>1030.4242913127703</v>
      </c>
      <c r="AX37" s="133">
        <f>'Production in Sqm'!AK35</f>
        <v>1060.3021165096618</v>
      </c>
      <c r="AY37" s="133">
        <f>'Production in Sqm'!AL35</f>
        <v>1108.3842020066977</v>
      </c>
      <c r="AZ37" s="111">
        <f>SUM(AN37:AY37)</f>
        <v>12843.915684635362</v>
      </c>
      <c r="BA37" s="138">
        <f>(AV37-AV38)/AV37</f>
        <v>0.10761716472795489</v>
      </c>
      <c r="BX37" s="133">
        <f>'Production in Sqm'!AO35</f>
        <v>1128</v>
      </c>
      <c r="BY37" s="133">
        <f>'Production in Sqm'!AP35</f>
        <v>1365</v>
      </c>
      <c r="BZ37" s="133">
        <f>'Production in Sqm'!AQ35</f>
        <v>1232</v>
      </c>
      <c r="CA37" s="133">
        <f>'Production in Sqm'!AR35</f>
        <v>1293</v>
      </c>
      <c r="CB37" s="133">
        <f>'Production in Sqm'!AS35</f>
        <v>1416</v>
      </c>
      <c r="CC37" s="133">
        <f>'Production in Sqm'!AT35</f>
        <v>1387</v>
      </c>
      <c r="CD37" s="133">
        <f>'Production in Sqm'!AU35</f>
        <v>1298</v>
      </c>
      <c r="CE37" s="133">
        <f>'Production in Sqm'!AV35</f>
        <v>1205</v>
      </c>
      <c r="CF37" s="133">
        <f>'Production in Sqm'!AW35</f>
        <v>1182</v>
      </c>
      <c r="CG37" s="133">
        <f>'Production in Sqm'!AX35</f>
        <v>1269</v>
      </c>
      <c r="CH37" s="133">
        <f>'Production in Sqm'!AY35</f>
        <v>1287</v>
      </c>
      <c r="CI37" s="133">
        <f>'Production in Sqm'!AZ35</f>
        <v>1362</v>
      </c>
      <c r="CJ37" s="111">
        <f>SUM(BX37:CI37)</f>
        <v>15424</v>
      </c>
    </row>
    <row r="38" spans="2:99" ht="13.5" thickTop="1" thickBot="1">
      <c r="B38" s="121" t="s">
        <v>16</v>
      </c>
      <c r="C38" s="121" t="s">
        <v>1</v>
      </c>
      <c r="D38" s="121" t="s">
        <v>2</v>
      </c>
      <c r="E38" s="121" t="s">
        <v>3</v>
      </c>
      <c r="F38" s="121" t="s">
        <v>4</v>
      </c>
      <c r="G38" s="122" t="s">
        <v>5</v>
      </c>
      <c r="H38" s="122" t="s">
        <v>6</v>
      </c>
      <c r="I38" s="122" t="s">
        <v>7</v>
      </c>
      <c r="K38" s="110"/>
      <c r="L38" s="131" t="s">
        <v>78</v>
      </c>
      <c r="M38" s="110"/>
      <c r="N38" s="109">
        <f>'Production in Sqm'!B31</f>
        <v>1016.710793990947</v>
      </c>
      <c r="O38" s="109">
        <f>'Production in Sqm'!C31</f>
        <v>1154.415220638816</v>
      </c>
      <c r="P38" s="109">
        <f>'Production in Sqm'!D31</f>
        <v>1038.4092979438371</v>
      </c>
      <c r="Q38" s="109">
        <f>'Production in Sqm'!E31</f>
        <v>883.06345372851001</v>
      </c>
      <c r="R38" s="109">
        <f>'Production in Sqm'!F31</f>
        <v>852.05086216043469</v>
      </c>
      <c r="S38" s="109">
        <f>'Production in Sqm'!G31</f>
        <v>1076.6390176384657</v>
      </c>
      <c r="T38" s="109">
        <f>'Production in Sqm'!H31</f>
        <v>1089.3239040926958</v>
      </c>
      <c r="U38" s="109">
        <f>'Production in Sqm'!I31</f>
        <v>960.50790161921918</v>
      </c>
      <c r="V38" s="109">
        <f>'Production in Sqm'!J31</f>
        <v>1142.1957746743144</v>
      </c>
      <c r="W38" s="109">
        <f>'Production in Sqm'!K31</f>
        <v>956.37292380097176</v>
      </c>
      <c r="X38" s="109">
        <f>'Production in Sqm'!L31</f>
        <v>949.79453069799547</v>
      </c>
      <c r="Y38" s="109">
        <f>'Production in Sqm'!M31</f>
        <v>1081.198793147669</v>
      </c>
      <c r="Z38" s="111">
        <f>SUM(N38:Y38)</f>
        <v>12200.682474133875</v>
      </c>
      <c r="AA38" s="109">
        <f>'Production in Sqm'!N31</f>
        <v>1094.0390402882979</v>
      </c>
      <c r="AB38" s="109">
        <f>'Production in Sqm'!O31</f>
        <v>1007.8127482713865</v>
      </c>
      <c r="AC38" s="109">
        <f>'Production in Sqm'!P31</f>
        <v>1033.6239360552813</v>
      </c>
      <c r="AD38" s="109">
        <f>'Production in Sqm'!Q31</f>
        <v>1011.2027392605087</v>
      </c>
      <c r="AE38" s="109">
        <f>'Production in Sqm'!R31</f>
        <v>978.63509881189691</v>
      </c>
      <c r="AF38" s="109">
        <f>'Production in Sqm'!S31</f>
        <v>1043.5825569879182</v>
      </c>
      <c r="AG38" s="109">
        <f>'Production in Sqm'!T31</f>
        <v>1083.6560312068527</v>
      </c>
      <c r="AH38" s="109">
        <f>'Production in Sqm'!U31</f>
        <v>960.91236370869171</v>
      </c>
      <c r="AI38" s="109">
        <f>'Production in Sqm'!V31</f>
        <v>992.30634803163628</v>
      </c>
      <c r="AJ38" s="109">
        <f>'Production in Sqm'!W31</f>
        <v>1020.4990422318116</v>
      </c>
      <c r="AK38" s="109">
        <f>'Production in Sqm'!X31</f>
        <v>1065.3667556171367</v>
      </c>
      <c r="AL38" s="109">
        <f>'Production in Sqm'!Y31</f>
        <v>1117.6959257900012</v>
      </c>
      <c r="AM38" s="111">
        <f>SUM(AA38:AL38)</f>
        <v>12409.33258626142</v>
      </c>
      <c r="AN38" s="133">
        <f>'Production in Sqm'!AA31</f>
        <v>1052.13058553104</v>
      </c>
      <c r="AO38" s="133">
        <f>'Production in Sqm'!AB31</f>
        <v>1220.7570504326743</v>
      </c>
      <c r="AP38" s="133">
        <f>'Production in Sqm'!AC31</f>
        <v>1267.5683075730153</v>
      </c>
      <c r="AQ38" s="133">
        <f>'Production in Sqm'!AD31</f>
        <v>1079.6565976502695</v>
      </c>
      <c r="AR38" s="133">
        <f>'Production in Sqm'!AE31</f>
        <v>1058.8106156234708</v>
      </c>
      <c r="AS38" s="133">
        <f>'Production in Sqm'!AF31</f>
        <v>1106.1641401309939</v>
      </c>
      <c r="AT38" s="133">
        <f>'Production in Sqm'!AG31</f>
        <v>1122.0407036580843</v>
      </c>
      <c r="AU38" s="133">
        <f>'Production in Sqm'!AH31</f>
        <v>1040.0744468870337</v>
      </c>
      <c r="AV38" s="133">
        <f>'Production in Sqm'!AI31</f>
        <v>816.39417743169724</v>
      </c>
      <c r="AW38" s="133">
        <f>'Production in Sqm'!AJ31</f>
        <v>1237.0773814528723</v>
      </c>
      <c r="AX38" s="133">
        <f>'Production in Sqm'!AK31</f>
        <v>1180</v>
      </c>
      <c r="AY38" s="133">
        <f>'Production in Sqm'!AL31</f>
        <v>1236.3520045609337</v>
      </c>
      <c r="AZ38" s="111">
        <f>SUM(AN38:AY38)</f>
        <v>13417.026010932084</v>
      </c>
      <c r="BX38" s="133">
        <f>'Production in Sqm'!AO31</f>
        <v>1169.8290823685172</v>
      </c>
      <c r="BY38" s="133">
        <f>'Production in Sqm'!AP31</f>
        <v>1294.821827410846</v>
      </c>
      <c r="BZ38" s="133">
        <f>'Production in Sqm'!AQ31</f>
        <v>1291.8830871207399</v>
      </c>
      <c r="CA38" s="133">
        <f>'Production in Sqm'!AR31</f>
        <v>1520.0428022143856</v>
      </c>
      <c r="CB38" s="133">
        <f>'Production in Sqm'!AS31</f>
        <v>1313.521695941552</v>
      </c>
      <c r="CC38" s="133">
        <f>'Production in Sqm'!AT31</f>
        <v>1449.3306932718278</v>
      </c>
      <c r="CD38" s="133">
        <f>'Production in Sqm'!AU31</f>
        <v>1562.6644907653128</v>
      </c>
      <c r="CE38" s="133">
        <f>'Production in Sqm'!AV31</f>
        <v>1164.5884596162837</v>
      </c>
      <c r="CF38" s="133">
        <f>'Production in Sqm'!AW31</f>
        <v>1071.2421310213524</v>
      </c>
      <c r="CG38" s="133">
        <f>'Production in Sqm'!AX31</f>
        <v>1226.7923253579554</v>
      </c>
      <c r="CH38" s="133">
        <f>'Production in Sqm'!AY31</f>
        <v>1239.725511575542</v>
      </c>
      <c r="CI38" s="133">
        <f>'Production in Sqm'!AZ31</f>
        <v>1335.162368593124</v>
      </c>
      <c r="CJ38" s="111">
        <f>SUM(BX38:CI38)</f>
        <v>15639.60447525744</v>
      </c>
      <c r="CO38" s="138">
        <f>(CE37-CE38)/CE37</f>
        <v>3.3536548036279111E-2</v>
      </c>
      <c r="CP38" s="138">
        <f>(CF37-CF38)/CF37</f>
        <v>9.3703780861799993E-2</v>
      </c>
      <c r="CQ38" s="138">
        <f>(CG37-CG38)/CG37</f>
        <v>3.3260578914140734E-2</v>
      </c>
      <c r="CR38" s="138">
        <f>(CH37-CH38)/CH37</f>
        <v>3.6732314238118118E-2</v>
      </c>
    </row>
    <row r="39" spans="2:99" ht="13.5" thickTop="1" thickBot="1">
      <c r="B39" s="119" t="s">
        <v>100</v>
      </c>
      <c r="C39" s="130">
        <f t="shared" ref="C39:I40" si="81">SUM(C30,C21,C12,C3)</f>
        <v>5610.1453115333334</v>
      </c>
      <c r="D39" s="130">
        <f t="shared" si="81"/>
        <v>7271</v>
      </c>
      <c r="E39" s="130">
        <f t="shared" si="81"/>
        <v>8694</v>
      </c>
      <c r="F39" s="130">
        <f t="shared" si="81"/>
        <v>9947.518147274548</v>
      </c>
      <c r="G39" s="130">
        <f t="shared" si="81"/>
        <v>11147.493167200002</v>
      </c>
      <c r="H39" s="130">
        <f t="shared" si="81"/>
        <v>12113.62051888138</v>
      </c>
      <c r="I39" s="130">
        <f t="shared" si="81"/>
        <v>0</v>
      </c>
      <c r="K39" s="110" t="s">
        <v>8</v>
      </c>
      <c r="L39" s="131" t="s">
        <v>39</v>
      </c>
      <c r="M39" s="110"/>
      <c r="N39" s="112">
        <f t="shared" ref="N39:X39" si="82">N35/N37</f>
        <v>7.1877275657669562E-2</v>
      </c>
      <c r="O39" s="112">
        <f t="shared" si="82"/>
        <v>7.4255643000555052E-2</v>
      </c>
      <c r="P39" s="112">
        <f t="shared" si="82"/>
        <v>7.2369282085877687E-2</v>
      </c>
      <c r="Q39" s="112">
        <f t="shared" si="82"/>
        <v>6.7553502302660537E-2</v>
      </c>
      <c r="R39" s="140">
        <f t="shared" si="82"/>
        <v>7.3028195203952234E-2</v>
      </c>
      <c r="S39" s="140">
        <f t="shared" si="82"/>
        <v>8.0345471530685608E-2</v>
      </c>
      <c r="T39" s="140">
        <f t="shared" si="82"/>
        <v>7.7672887553087822E-2</v>
      </c>
      <c r="U39" s="112">
        <f t="shared" si="82"/>
        <v>8.7820201695047478E-2</v>
      </c>
      <c r="V39" s="112">
        <f t="shared" si="82"/>
        <v>7.8770617010826993E-2</v>
      </c>
      <c r="W39" s="112">
        <f t="shared" si="82"/>
        <v>7.3874068830692086E-2</v>
      </c>
      <c r="X39" s="112">
        <f t="shared" si="82"/>
        <v>7.3143222660562945E-2</v>
      </c>
      <c r="Y39" s="112">
        <f t="shared" ref="Y39:AB40" si="83">Y35/Y37</f>
        <v>6.8925087217743403E-2</v>
      </c>
      <c r="Z39" s="112">
        <f>Z35/Z37</f>
        <v>7.4679795826356407E-2</v>
      </c>
      <c r="AA39" s="112">
        <f t="shared" si="83"/>
        <v>7.2209129609318551E-2</v>
      </c>
      <c r="AB39" s="112">
        <f t="shared" si="83"/>
        <v>6.9387829057661402E-2</v>
      </c>
      <c r="AC39" s="112">
        <f t="shared" ref="AC39:AI40" si="84">AC35/AC37</f>
        <v>6.8162142757120472E-2</v>
      </c>
      <c r="AD39" s="112">
        <f t="shared" si="84"/>
        <v>6.828814448447687E-2</v>
      </c>
      <c r="AE39" s="112">
        <f t="shared" si="84"/>
        <v>7.1469162890083648E-2</v>
      </c>
      <c r="AF39" s="112">
        <f t="shared" si="84"/>
        <v>7.0010355028700219E-2</v>
      </c>
      <c r="AG39" s="112">
        <f t="shared" si="84"/>
        <v>8.2075594558659329E-2</v>
      </c>
      <c r="AH39" s="112">
        <f t="shared" si="84"/>
        <v>7.2521381934897294E-2</v>
      </c>
      <c r="AI39" s="112">
        <f t="shared" si="84"/>
        <v>7.2222224419052558E-2</v>
      </c>
      <c r="AJ39" s="112">
        <f t="shared" ref="AJ39:AK39" si="85">AJ35/AJ37</f>
        <v>7.0558926230359434E-2</v>
      </c>
      <c r="AK39" s="112">
        <f t="shared" si="85"/>
        <v>6.972286572663447E-2</v>
      </c>
      <c r="AL39" s="112">
        <f t="shared" ref="AL39" si="86">AL35/AL37</f>
        <v>6.7649112497213212E-2</v>
      </c>
      <c r="AM39" s="112">
        <f>AM35/AM37</f>
        <v>7.1102738697737602E-2</v>
      </c>
      <c r="AN39" s="141">
        <f>IFERROR(AN35/AN37,"")</f>
        <v>7.6278574031346441E-2</v>
      </c>
      <c r="AO39" s="141">
        <f t="shared" ref="AO39:AP39" si="87">IFERROR(AO35/AO37,"")</f>
        <v>6.9786642302222521E-2</v>
      </c>
      <c r="AP39" s="141">
        <f t="shared" si="87"/>
        <v>7.8165346213011716E-2</v>
      </c>
      <c r="AQ39" s="141">
        <f t="shared" ref="AQ39:AS39" si="88">IFERROR(AQ35/AQ37,"")</f>
        <v>7.779591270290781E-2</v>
      </c>
      <c r="AR39" s="141">
        <f t="shared" si="88"/>
        <v>7.8347518622579229E-2</v>
      </c>
      <c r="AS39" s="141">
        <f t="shared" si="88"/>
        <v>7.652719427079456E-2</v>
      </c>
      <c r="AT39" s="141">
        <f t="shared" ref="AT39:AU39" si="89">IFERROR(AT35/AT37,"")</f>
        <v>0.1014210033985259</v>
      </c>
      <c r="AU39" s="141">
        <f t="shared" si="89"/>
        <v>8.9403281566417137E-2</v>
      </c>
      <c r="AV39" s="141">
        <f t="shared" ref="AV39:AW39" si="90">IFERROR(AV35/AV37,"")</f>
        <v>9.260181072043655E-2</v>
      </c>
      <c r="AW39" s="141">
        <f t="shared" si="90"/>
        <v>8.4481740803262081E-2</v>
      </c>
      <c r="AX39" s="141">
        <f t="shared" ref="AX39:AY39" si="91">IFERROR(AX35/AX37,"")</f>
        <v>8.056410146559774E-2</v>
      </c>
      <c r="AY39" s="141">
        <f t="shared" si="91"/>
        <v>7.8625596707892223E-2</v>
      </c>
      <c r="AZ39" s="112">
        <f>IFERROR(AZ35/AZ37,"")</f>
        <v>8.1393738512979666E-2</v>
      </c>
      <c r="BX39" s="141">
        <f t="shared" ref="BX39:BY39" si="92">IFERROR(BX35/BX37,"")</f>
        <v>8.4689187781919972E-2</v>
      </c>
      <c r="BY39" s="141">
        <f t="shared" si="92"/>
        <v>6.7866543287038963E-2</v>
      </c>
      <c r="BZ39" s="141">
        <f t="shared" ref="BZ39:CA39" si="93">IFERROR(BZ35/BZ37,"")</f>
        <v>7.5747495231625273E-2</v>
      </c>
      <c r="CA39" s="141">
        <f t="shared" si="93"/>
        <v>7.3834028371324467E-2</v>
      </c>
      <c r="CB39" s="141">
        <f t="shared" ref="CB39:CD39" si="94">IFERROR(CB35/CB37,"")</f>
        <v>6.8719972345875208E-2</v>
      </c>
      <c r="CC39" s="141">
        <f t="shared" si="94"/>
        <v>6.9199767305991644E-2</v>
      </c>
      <c r="CD39" s="141">
        <f t="shared" si="94"/>
        <v>8.0906747196911266E-2</v>
      </c>
      <c r="CE39" s="141">
        <f t="shared" ref="CE39:CF39" si="95">IFERROR(CE35/CE37,"")</f>
        <v>7.9957910379308023E-2</v>
      </c>
      <c r="CF39" s="141">
        <f t="shared" si="95"/>
        <v>8.2145410001967623E-2</v>
      </c>
      <c r="CG39" s="141">
        <f t="shared" ref="CG39:CH39" si="96">IFERROR(CG35/CG37,"")</f>
        <v>7.5566704883318472E-2</v>
      </c>
      <c r="CH39" s="141">
        <f t="shared" si="96"/>
        <v>7.3437438831409019E-2</v>
      </c>
      <c r="CI39" s="141">
        <f t="shared" ref="CI39" si="97">IFERROR(CI35/CI37,"")</f>
        <v>7.1528083444740195E-2</v>
      </c>
      <c r="CJ39" s="112">
        <f>IFERROR(CJ35/CJ37,"")</f>
        <v>7.498279322647447E-2</v>
      </c>
    </row>
    <row r="40" spans="2:99" ht="13.5" thickTop="1" thickBot="1">
      <c r="B40" s="119" t="s">
        <v>102</v>
      </c>
      <c r="C40" s="134">
        <f t="shared" si="81"/>
        <v>69710.876392629056</v>
      </c>
      <c r="D40" s="134">
        <f t="shared" si="81"/>
        <v>83521</v>
      </c>
      <c r="E40" s="134">
        <f t="shared" si="81"/>
        <v>92138</v>
      </c>
      <c r="F40" s="134">
        <f t="shared" si="81"/>
        <v>105159.26946275625</v>
      </c>
      <c r="G40" s="134">
        <f t="shared" si="81"/>
        <v>107640.23037029998</v>
      </c>
      <c r="H40" s="134">
        <f t="shared" si="81"/>
        <v>120836</v>
      </c>
      <c r="I40" s="134">
        <f t="shared" si="81"/>
        <v>0</v>
      </c>
      <c r="K40" s="110" t="s">
        <v>8</v>
      </c>
      <c r="L40" s="131" t="s">
        <v>78</v>
      </c>
      <c r="M40" s="110"/>
      <c r="N40" s="112">
        <f t="shared" ref="N40:X40" si="98">N36/N38</f>
        <v>7.1966842153578292E-2</v>
      </c>
      <c r="O40" s="112">
        <f t="shared" si="98"/>
        <v>6.3671537659373612E-2</v>
      </c>
      <c r="P40" s="112">
        <f t="shared" si="98"/>
        <v>7.1353020436970296E-2</v>
      </c>
      <c r="Q40" s="112">
        <f t="shared" si="98"/>
        <v>8.3051864507293863E-2</v>
      </c>
      <c r="R40" s="112">
        <f t="shared" si="98"/>
        <v>7.9623509390732219E-2</v>
      </c>
      <c r="S40" s="112">
        <f t="shared" si="98"/>
        <v>7.1693175278559729E-2</v>
      </c>
      <c r="T40" s="112">
        <f t="shared" si="98"/>
        <v>7.3037351637588163E-2</v>
      </c>
      <c r="U40" s="142">
        <f t="shared" si="98"/>
        <v>8.2690038172469046E-2</v>
      </c>
      <c r="V40" s="142">
        <f t="shared" si="98"/>
        <v>6.6262828172605689E-2</v>
      </c>
      <c r="W40" s="142">
        <f t="shared" si="98"/>
        <v>7.5495969820959893E-2</v>
      </c>
      <c r="X40" s="142">
        <f t="shared" si="98"/>
        <v>7.9544353493171002E-2</v>
      </c>
      <c r="Y40" s="142">
        <f>Y36/Y38</f>
        <v>6.6902370646412315E-2</v>
      </c>
      <c r="Z40" s="142">
        <f>Z36/Z38</f>
        <v>7.3266086650579584E-2</v>
      </c>
      <c r="AA40" s="112">
        <f t="shared" si="83"/>
        <v>7.1843251763014468E-2</v>
      </c>
      <c r="AB40" s="112">
        <f t="shared" si="83"/>
        <v>7.8941771315012815E-2</v>
      </c>
      <c r="AC40" s="142">
        <f t="shared" si="84"/>
        <v>8.0522719351746624E-2</v>
      </c>
      <c r="AD40" s="142">
        <f t="shared" si="84"/>
        <v>7.7148007248067155E-2</v>
      </c>
      <c r="AE40" s="112">
        <f t="shared" si="84"/>
        <v>8.5821395254874561E-2</v>
      </c>
      <c r="AF40" s="112">
        <f t="shared" si="84"/>
        <v>7.7166800728620435E-2</v>
      </c>
      <c r="AG40" s="112">
        <f t="shared" si="84"/>
        <v>7.7939486511894057E-2</v>
      </c>
      <c r="AH40" s="112">
        <f t="shared" si="84"/>
        <v>8.2585708986165393E-2</v>
      </c>
      <c r="AI40" s="112">
        <f t="shared" si="84"/>
        <v>7.8239263484006144E-2</v>
      </c>
      <c r="AJ40" s="112">
        <f t="shared" ref="AJ40:AK40" si="99">AJ36/AJ38</f>
        <v>8.3381093613649288E-2</v>
      </c>
      <c r="AK40" s="112">
        <f t="shared" si="99"/>
        <v>7.2704430438757572E-2</v>
      </c>
      <c r="AL40" s="112">
        <f t="shared" ref="AL40" si="100">AL36/AL38</f>
        <v>6.2889494329008103E-2</v>
      </c>
      <c r="AM40" s="143">
        <f>AM36/AM38</f>
        <v>7.7216978792827781E-2</v>
      </c>
      <c r="AN40" s="144">
        <f>IFERROR(AN36/AN38,"")</f>
        <v>8.0594322842988383E-2</v>
      </c>
      <c r="AO40" s="145">
        <f t="shared" ref="AO40:AP40" si="101">IFERROR(AO36/AO38,"")</f>
        <v>6.945200713793144E-2</v>
      </c>
      <c r="AP40" s="145">
        <f t="shared" si="101"/>
        <v>6.925419285475809E-2</v>
      </c>
      <c r="AQ40" s="145">
        <f t="shared" ref="AQ40:AS40" si="102">IFERROR(AQ36/AQ38,"")</f>
        <v>7.6212222255917283E-2</v>
      </c>
      <c r="AR40" s="145">
        <f t="shared" si="102"/>
        <v>7.7514022849467692E-2</v>
      </c>
      <c r="AS40" s="144">
        <f t="shared" si="102"/>
        <v>7.8050809170183519E-2</v>
      </c>
      <c r="AT40" s="145">
        <f t="shared" ref="AT40:AU40" si="103">IFERROR(AT36/AT38,"")</f>
        <v>8.8726859103289979E-2</v>
      </c>
      <c r="AU40" s="145">
        <f t="shared" si="103"/>
        <v>8.2228884892592113E-2</v>
      </c>
      <c r="AV40" s="144">
        <f t="shared" ref="AV40:AW40" si="104">IFERROR(AV36/AV38,"")</f>
        <v>0.10731320294908211</v>
      </c>
      <c r="AW40" s="145">
        <f t="shared" si="104"/>
        <v>7.3514326071516853E-2</v>
      </c>
      <c r="AX40" s="145">
        <f t="shared" ref="AX40:AY40" si="105">IFERROR(AX36/AX38,"")</f>
        <v>7.5453754685705046E-2</v>
      </c>
      <c r="AY40" s="144">
        <f t="shared" si="105"/>
        <v>8.5705040826524401E-2</v>
      </c>
      <c r="AZ40" s="154">
        <f>IFERROR(AZ36/AZ38,"")</f>
        <v>7.9502419289064277E-2</v>
      </c>
      <c r="BA40" s="136">
        <f>AZ40-AZ39</f>
        <v>-1.8913192239153886E-3</v>
      </c>
      <c r="BX40" s="145">
        <f t="shared" ref="BX40:BY40" si="106">IFERROR(BX36/BX38,"")</f>
        <v>8.2033481632583616E-2</v>
      </c>
      <c r="BY40" s="144">
        <f t="shared" si="106"/>
        <v>7.2638106486274015E-2</v>
      </c>
      <c r="BZ40" s="144">
        <f t="shared" ref="BZ40:CA40" si="107">IFERROR(BZ36/BZ38,"")</f>
        <v>8.0126895989535124E-2</v>
      </c>
      <c r="CA40" s="144">
        <f t="shared" si="107"/>
        <v>7.5666969061666214E-2</v>
      </c>
      <c r="CB40" s="144">
        <f t="shared" ref="CB40:CD40" si="108">IFERROR(CB36/CB38,"")</f>
        <v>8.3676112755645557E-2</v>
      </c>
      <c r="CC40" s="144">
        <f t="shared" si="108"/>
        <v>7.0808695239723524E-2</v>
      </c>
      <c r="CD40" s="145">
        <f t="shared" si="108"/>
        <v>7.5186782643044667E-2</v>
      </c>
      <c r="CE40" s="144">
        <f t="shared" ref="CE40:CF40" si="109">IFERROR(CE36/CE38,"")</f>
        <v>8.5437153769375385E-2</v>
      </c>
      <c r="CF40" s="144">
        <f t="shared" si="109"/>
        <v>8.9001703907457735E-2</v>
      </c>
      <c r="CG40" s="144">
        <f t="shared" ref="CG40:CH40" si="110">IFERROR(CG36/CG38,"")</f>
        <v>7.5782020026564173E-2</v>
      </c>
      <c r="CH40" s="144">
        <f t="shared" si="110"/>
        <v>7.6283122879904686E-2</v>
      </c>
      <c r="CI40" s="145">
        <f t="shared" ref="CI40" si="111">IFERROR(CI36/CI38,"")</f>
        <v>7.0268373005818729E-2</v>
      </c>
      <c r="CJ40" s="144">
        <f>IFERROR(CJ36/CJ38,"")</f>
        <v>7.7673167099513274E-2</v>
      </c>
    </row>
    <row r="41" spans="2:99" ht="13.5" thickTop="1" thickBot="1">
      <c r="B41" s="119" t="s">
        <v>8</v>
      </c>
      <c r="C41" s="137">
        <f t="shared" ref="C41:I41" si="112">C39/C40</f>
        <v>8.0477331542004926E-2</v>
      </c>
      <c r="D41" s="137">
        <f t="shared" si="112"/>
        <v>8.7055950000598653E-2</v>
      </c>
      <c r="E41" s="137">
        <f t="shared" si="112"/>
        <v>9.4358462306540186E-2</v>
      </c>
      <c r="F41" s="137">
        <f t="shared" si="112"/>
        <v>9.4594781782861403E-2</v>
      </c>
      <c r="G41" s="137">
        <f t="shared" si="112"/>
        <v>0.10356251681040447</v>
      </c>
      <c r="H41" s="137">
        <f t="shared" si="112"/>
        <v>0.10024844019068307</v>
      </c>
      <c r="I41" s="137" t="e">
        <f t="shared" si="112"/>
        <v>#DIV/0!</v>
      </c>
      <c r="K41" s="110" t="s">
        <v>9</v>
      </c>
      <c r="L41" s="131" t="s">
        <v>39</v>
      </c>
      <c r="M41" s="110"/>
      <c r="N41" s="111">
        <f>'Manpower Backup'!C39</f>
        <v>300.3</v>
      </c>
      <c r="O41" s="111">
        <f>'Manpower Backup'!D39</f>
        <v>300</v>
      </c>
      <c r="P41" s="111">
        <f>'Manpower Backup'!E39</f>
        <v>300</v>
      </c>
      <c r="Q41" s="111">
        <f>'Manpower Backup'!F39</f>
        <v>298.3</v>
      </c>
      <c r="R41" s="111">
        <f>'Manpower Backup'!G39</f>
        <v>298.3</v>
      </c>
      <c r="S41" s="111">
        <f>'Manpower Backup'!H39</f>
        <v>298.3</v>
      </c>
      <c r="T41" s="111">
        <f>'Manpower Backup'!I39</f>
        <v>298.3</v>
      </c>
      <c r="U41" s="111">
        <f>'Manpower Backup'!J39</f>
        <v>298.3</v>
      </c>
      <c r="V41" s="111">
        <f>'Manpower Backup'!K39</f>
        <v>298.3</v>
      </c>
      <c r="W41" s="111">
        <f>'Manpower Backup'!L39</f>
        <v>298.3</v>
      </c>
      <c r="X41" s="111">
        <f>'Manpower Backup'!M39</f>
        <v>298.3</v>
      </c>
      <c r="Y41" s="111">
        <f>'Manpower Backup'!N39</f>
        <v>298.3</v>
      </c>
      <c r="Z41" s="111">
        <f>AVERAGE(N41:Y41)</f>
        <v>298.75000000000006</v>
      </c>
      <c r="AA41" s="111">
        <f>'Manpower Backup'!CN39</f>
        <v>319</v>
      </c>
      <c r="AB41" s="111">
        <f>'Manpower Backup'!CO39</f>
        <v>319</v>
      </c>
      <c r="AC41" s="111">
        <f>'Manpower Backup'!CP39</f>
        <v>318</v>
      </c>
      <c r="AD41" s="111">
        <f>'Manpower Backup'!CQ39</f>
        <v>320</v>
      </c>
      <c r="AE41" s="111">
        <f>'Manpower Backup'!CR39</f>
        <v>319</v>
      </c>
      <c r="AF41" s="111">
        <f>'Manpower Backup'!CS39</f>
        <v>318</v>
      </c>
      <c r="AG41" s="111">
        <f>'Manpower Backup'!CT39</f>
        <v>318</v>
      </c>
      <c r="AH41" s="111">
        <f>'Manpower Backup'!CU39</f>
        <v>317</v>
      </c>
      <c r="AI41" s="111">
        <f>'Manpower Backup'!CV39</f>
        <v>317</v>
      </c>
      <c r="AJ41" s="111">
        <f>'Manpower Backup'!CW39</f>
        <v>317</v>
      </c>
      <c r="AK41" s="111">
        <f>'Manpower Backup'!CX39</f>
        <v>316</v>
      </c>
      <c r="AL41" s="111">
        <f>'Manpower Backup'!CY39</f>
        <v>316</v>
      </c>
      <c r="AM41" s="111">
        <f>AVERAGE(AA41:AL41)</f>
        <v>317.83333333333331</v>
      </c>
      <c r="AN41" s="133">
        <f>'Manpower Backup'!FO39</f>
        <v>306</v>
      </c>
      <c r="AO41" s="133">
        <f>'Manpower Backup'!FP39</f>
        <v>306</v>
      </c>
      <c r="AP41" s="133">
        <f>'Manpower Backup'!FQ39</f>
        <v>303</v>
      </c>
      <c r="AQ41" s="133">
        <f>'Manpower Backup'!FR39</f>
        <v>305</v>
      </c>
      <c r="AR41" s="133">
        <f>'Manpower Backup'!FS39</f>
        <v>301</v>
      </c>
      <c r="AS41" s="133">
        <f>'Manpower Backup'!FT39</f>
        <v>298</v>
      </c>
      <c r="AT41" s="133">
        <f>'Manpower Backup'!FU39</f>
        <v>297</v>
      </c>
      <c r="AU41" s="133">
        <f>'Manpower Backup'!FV39</f>
        <v>296</v>
      </c>
      <c r="AV41" s="133">
        <f>'Manpower Backup'!FW39</f>
        <v>296</v>
      </c>
      <c r="AW41" s="133">
        <f>'Manpower Backup'!FX39</f>
        <v>317</v>
      </c>
      <c r="AX41" s="133">
        <f>'Manpower Backup'!FY39</f>
        <v>317</v>
      </c>
      <c r="AY41" s="133">
        <f>'Manpower Backup'!FZ39</f>
        <v>317</v>
      </c>
      <c r="AZ41" s="111">
        <f>AVERAGE(AN41:AY41)</f>
        <v>304.91666666666669</v>
      </c>
      <c r="BX41" s="133">
        <f>'Manpower Backup'!HP39</f>
        <v>337.3</v>
      </c>
      <c r="BY41" s="133">
        <f>'Manpower Backup'!HQ39</f>
        <v>338.3</v>
      </c>
      <c r="BZ41" s="133">
        <f>'Manpower Backup'!HR39</f>
        <v>338.3</v>
      </c>
      <c r="CA41" s="133">
        <f>'Manpower Backup'!HS39</f>
        <v>341.3</v>
      </c>
      <c r="CB41" s="133">
        <f>'Manpower Backup'!HT39</f>
        <v>342.3</v>
      </c>
      <c r="CC41" s="133">
        <f>'Manpower Backup'!HU39</f>
        <v>342.3</v>
      </c>
      <c r="CD41" s="133">
        <f>'Manpower Backup'!HV39</f>
        <v>342.3</v>
      </c>
      <c r="CE41" s="133">
        <f>'Manpower Backup'!HW39</f>
        <v>342.3</v>
      </c>
      <c r="CF41" s="133">
        <f>'Manpower Backup'!HX39</f>
        <v>342.3</v>
      </c>
      <c r="CG41" s="133">
        <f>'Manpower Backup'!HY39</f>
        <v>343.3</v>
      </c>
      <c r="CH41" s="133">
        <f>'Manpower Backup'!HZ39</f>
        <v>343.3</v>
      </c>
      <c r="CI41" s="133">
        <f>'Manpower Backup'!IA39</f>
        <v>343.3</v>
      </c>
      <c r="CJ41" s="111">
        <f t="shared" ref="CJ41:CJ48" si="113">AVERAGE(BX41:CI41)</f>
        <v>341.38333333333338</v>
      </c>
      <c r="CK41" s="127">
        <f>CJ42-CJ41</f>
        <v>24.666666666666742</v>
      </c>
      <c r="CL41" s="127"/>
      <c r="CM41" s="127"/>
      <c r="CN41" s="127"/>
      <c r="CO41" s="138">
        <f>CK41/CJ41</f>
        <v>7.2255040765513076E-2</v>
      </c>
      <c r="CP41" s="138">
        <f>(CE41-CE42)/CE41</f>
        <v>-0.10517090271691498</v>
      </c>
      <c r="CQ41" s="138"/>
      <c r="CS41" s="138">
        <f>(CH41-CH42)/CH41</f>
        <v>-7.5735508301776874E-2</v>
      </c>
      <c r="CU41" s="138"/>
    </row>
    <row r="42" spans="2:99" ht="13.5" thickTop="1" thickBot="1">
      <c r="B42" s="119" t="s">
        <v>9</v>
      </c>
      <c r="C42" s="134">
        <v>2511.375</v>
      </c>
      <c r="D42" s="134">
        <v>3083</v>
      </c>
      <c r="E42" s="134">
        <v>3419</v>
      </c>
      <c r="F42" s="134">
        <v>3781.6914508251602</v>
      </c>
      <c r="G42" s="134">
        <v>3635.9166666666665</v>
      </c>
      <c r="H42" s="134">
        <f>'Production in Sqm'!E7</f>
        <v>3691.1</v>
      </c>
      <c r="I42" s="134"/>
      <c r="K42" s="110"/>
      <c r="L42" s="131" t="s">
        <v>78</v>
      </c>
      <c r="M42" s="110"/>
      <c r="N42" s="111">
        <f>'Manpower Backup'!C33</f>
        <v>309</v>
      </c>
      <c r="O42" s="111">
        <f>'Manpower Backup'!D33</f>
        <v>305</v>
      </c>
      <c r="P42" s="111">
        <f>'Manpower Backup'!E33</f>
        <v>313</v>
      </c>
      <c r="Q42" s="111">
        <f>'Manpower Backup'!F33</f>
        <v>316</v>
      </c>
      <c r="R42" s="111">
        <f>'Manpower Backup'!G33</f>
        <v>311</v>
      </c>
      <c r="S42" s="111">
        <f>'Manpower Backup'!H33</f>
        <v>292</v>
      </c>
      <c r="T42" s="111">
        <f>'Manpower Backup'!I33</f>
        <v>319</v>
      </c>
      <c r="U42" s="111">
        <f>'Manpower Backup'!J33</f>
        <v>309</v>
      </c>
      <c r="V42" s="111">
        <f>'Manpower Backup'!K33</f>
        <v>311</v>
      </c>
      <c r="W42" s="111">
        <f>'Manpower Backup'!L33</f>
        <v>307</v>
      </c>
      <c r="X42" s="111">
        <f>'Manpower Backup'!M33</f>
        <v>310</v>
      </c>
      <c r="Y42" s="111">
        <f>'Manpower Backup'!N33</f>
        <v>306</v>
      </c>
      <c r="Z42" s="111">
        <f>AVERAGE(N42:Y42)</f>
        <v>309</v>
      </c>
      <c r="AA42" s="111">
        <f>'Manpower Backup'!CN33</f>
        <v>316</v>
      </c>
      <c r="AB42" s="111">
        <f>'Manpower Backup'!CO33</f>
        <v>320</v>
      </c>
      <c r="AC42" s="111">
        <f>'Manpower Backup'!CP33</f>
        <v>319</v>
      </c>
      <c r="AD42" s="111">
        <f>'Manpower Backup'!CQ33</f>
        <v>321</v>
      </c>
      <c r="AE42" s="111">
        <f>'Manpower Backup'!CR33</f>
        <v>321.5</v>
      </c>
      <c r="AF42" s="111">
        <f>'Manpower Backup'!CS33</f>
        <v>316.5</v>
      </c>
      <c r="AG42" s="111">
        <f>'Manpower Backup'!CT33</f>
        <v>320</v>
      </c>
      <c r="AH42" s="111">
        <f>'Manpower Backup'!CU33</f>
        <v>318</v>
      </c>
      <c r="AI42" s="111">
        <f>'Manpower Backup'!CV33</f>
        <v>317</v>
      </c>
      <c r="AJ42" s="111">
        <f>'Manpower Backup'!CW33</f>
        <v>316</v>
      </c>
      <c r="AK42" s="111">
        <f>'Manpower Backup'!CX33</f>
        <v>317</v>
      </c>
      <c r="AL42" s="111">
        <f>'Manpower Backup'!CY33</f>
        <v>318</v>
      </c>
      <c r="AM42" s="111">
        <f>[2]Sheet1!$M$22</f>
        <v>318.79166666666663</v>
      </c>
      <c r="AN42" s="133">
        <f>'Manpower Backup'!FO33</f>
        <v>308</v>
      </c>
      <c r="AO42" s="133">
        <f>'Manpower Backup'!FO33</f>
        <v>308</v>
      </c>
      <c r="AP42" s="133">
        <f>'Manpower Backup'!FP33</f>
        <v>308.5</v>
      </c>
      <c r="AQ42" s="133">
        <f>'Manpower Backup'!FQ33</f>
        <v>308.5</v>
      </c>
      <c r="AR42" s="133">
        <f>'Manpower Backup'!FR33</f>
        <v>300.5</v>
      </c>
      <c r="AS42" s="133">
        <f>'Manpower Backup'!FS33</f>
        <v>306.5</v>
      </c>
      <c r="AT42" s="133">
        <f>'Manpower Backup'!FT33</f>
        <v>305</v>
      </c>
      <c r="AU42" s="133">
        <f>'Manpower Backup'!FU33</f>
        <v>304</v>
      </c>
      <c r="AV42" s="133">
        <f>'Manpower Backup'!FV33</f>
        <v>306.5</v>
      </c>
      <c r="AW42" s="133">
        <f>'Manpower Backup'!FW33</f>
        <v>305</v>
      </c>
      <c r="AX42" s="133">
        <f>'Manpower Backup'!FX33</f>
        <v>304</v>
      </c>
      <c r="AY42" s="133">
        <f>'Manpower Backup'!FY33</f>
        <v>306</v>
      </c>
      <c r="AZ42" s="111">
        <f>AVERAGE(AN42:AY42)</f>
        <v>305.875</v>
      </c>
      <c r="BX42" s="133">
        <f>'Manpower Backup'!HP33</f>
        <v>360.3</v>
      </c>
      <c r="BY42" s="133">
        <f>'Manpower Backup'!HQ33</f>
        <v>364.3</v>
      </c>
      <c r="BZ42" s="133">
        <f>'Manpower Backup'!HR33</f>
        <v>363.3</v>
      </c>
      <c r="CA42" s="133">
        <f>'Manpower Backup'!HS33</f>
        <v>372.3</v>
      </c>
      <c r="CB42" s="133">
        <f>'Manpower Backup'!HT33</f>
        <v>373.3</v>
      </c>
      <c r="CC42" s="133">
        <f>'Manpower Backup'!HU33</f>
        <v>375.3</v>
      </c>
      <c r="CD42" s="133">
        <f>'Manpower Backup'!HV33</f>
        <v>395.3</v>
      </c>
      <c r="CE42" s="133">
        <f>'Manpower Backup'!HW33</f>
        <v>378.3</v>
      </c>
      <c r="CF42" s="133">
        <f>'Manpower Backup'!HX33</f>
        <v>344.3</v>
      </c>
      <c r="CG42" s="133">
        <f>'Manpower Backup'!HY33</f>
        <v>332.3</v>
      </c>
      <c r="CH42" s="133">
        <f>'Manpower Backup'!HZ33</f>
        <v>369.3</v>
      </c>
      <c r="CI42" s="133">
        <f>'Manpower Backup'!IA33</f>
        <v>364.3</v>
      </c>
      <c r="CJ42" s="111">
        <f t="shared" si="113"/>
        <v>366.05000000000013</v>
      </c>
    </row>
    <row r="43" spans="2:99" ht="13.5" thickTop="1" thickBot="1">
      <c r="B43" s="119" t="s">
        <v>10</v>
      </c>
      <c r="C43" s="134">
        <v>3259.4444271930402</v>
      </c>
      <c r="D43" s="134">
        <v>10787</v>
      </c>
      <c r="E43" s="134">
        <v>11604</v>
      </c>
      <c r="F43" s="134">
        <v>2978.2953461651423</v>
      </c>
      <c r="G43" s="134">
        <v>2847.8251254096954</v>
      </c>
      <c r="H43" s="134">
        <f>'Production in Sqm'!H7</f>
        <v>3149.1097504808868</v>
      </c>
      <c r="I43" s="134"/>
      <c r="K43" s="110" t="s">
        <v>10</v>
      </c>
      <c r="L43" s="131" t="s">
        <v>39</v>
      </c>
      <c r="M43" s="110"/>
      <c r="N43" s="111">
        <f>'Production in Sqm'!B34/'Main Sheet'!N41*12</f>
        <v>2906.3736263736264</v>
      </c>
      <c r="O43" s="111">
        <f>'Production in Sqm'!C34/'Main Sheet'!O41*12</f>
        <v>2954.08</v>
      </c>
      <c r="P43" s="111">
        <f>'Production in Sqm'!D34/'Main Sheet'!P41*12</f>
        <v>2968.56</v>
      </c>
      <c r="Q43" s="111">
        <f>'Production in Sqm'!E34/'Main Sheet'!Q41*12</f>
        <v>3101.5755950385519</v>
      </c>
      <c r="R43" s="111">
        <f>'Production in Sqm'!F34/'Main Sheet'!R41*12</f>
        <v>2890.5799530673817</v>
      </c>
      <c r="S43" s="111">
        <f>'Production in Sqm'!G34/'Main Sheet'!S41*12</f>
        <v>2766.4364733489774</v>
      </c>
      <c r="T43" s="111">
        <f>'Production in Sqm'!H34/'Main Sheet'!T41*12</f>
        <v>2883.6205162587994</v>
      </c>
      <c r="U43" s="111">
        <f>'Production in Sqm'!I34/'Main Sheet'!U41*12</f>
        <v>2546.550452564532</v>
      </c>
      <c r="V43" s="111">
        <f>'Production in Sqm'!J34/'Main Sheet'!V41*12</f>
        <v>2617.4723432785786</v>
      </c>
      <c r="W43" s="111">
        <f>'Production in Sqm'!K34/'Main Sheet'!W41*12</f>
        <v>2890.8213208179682</v>
      </c>
      <c r="X43" s="111">
        <f>'Production in Sqm'!L34/'Main Sheet'!X41*12</f>
        <v>2888.769694937982</v>
      </c>
      <c r="Y43" s="111">
        <f>'Production in Sqm'!M34/'Main Sheet'!Y41*12</f>
        <v>3119.1552128729463</v>
      </c>
      <c r="Z43" s="111">
        <f t="shared" ref="Z43:Z48" si="114">AVERAGE(N43:Y43)</f>
        <v>2877.8329323799449</v>
      </c>
      <c r="AA43" s="111">
        <f>'Production in Sqm'!N34/AA41*12</f>
        <v>3103.8244514106582</v>
      </c>
      <c r="AB43" s="111">
        <f>'Production in Sqm'!O34/AB41*12</f>
        <v>3317.3040752351098</v>
      </c>
      <c r="AC43" s="111">
        <f>'Production in Sqm'!P34/AC41*12</f>
        <v>3324.9433962264152</v>
      </c>
      <c r="AD43" s="111">
        <f>'Production in Sqm'!Q34/AD41*12</f>
        <v>3321.7875000000004</v>
      </c>
      <c r="AE43" s="111">
        <f>'Production in Sqm'!R34/AE41*12</f>
        <v>3159.6865203761754</v>
      </c>
      <c r="AF43" s="111">
        <f>'Production in Sqm'!S34/AF41*12</f>
        <v>3189.3962264150941</v>
      </c>
      <c r="AG43" s="111">
        <f>'Production in Sqm'!T34/AG41*12</f>
        <v>3051.9245283018868</v>
      </c>
      <c r="AH43" s="111">
        <f>'Production in Sqm'!U34/AH41*12</f>
        <v>3228.3406940063087</v>
      </c>
      <c r="AI43" s="111">
        <f>'Production in Sqm'!V34/AI41*12</f>
        <v>3172.3533123028392</v>
      </c>
      <c r="AJ43" s="111">
        <f>'Production in Sqm'!W34/AJ41*12</f>
        <v>3321.198738170347</v>
      </c>
      <c r="AK43" s="111">
        <f>'Production in Sqm'!X34/AK41*12</f>
        <v>3316.4810126582279</v>
      </c>
      <c r="AL43" s="111">
        <f>'Production in Sqm'!Y34/AL41*12</f>
        <v>3412.0632911392404</v>
      </c>
      <c r="AM43" s="111">
        <f t="shared" ref="AM43:AM48" si="115">AVERAGE(AA43:AL43)</f>
        <v>3243.2753121868586</v>
      </c>
      <c r="AN43" s="133">
        <f>IFERROR('Production in Sqm'!AA34/AN41*12,"")</f>
        <v>3420.893531318231</v>
      </c>
      <c r="AO43" s="133">
        <f>IFERROR('Production in Sqm'!AB34/AO41*12,"")</f>
        <v>3587.9528076319539</v>
      </c>
      <c r="AP43" s="133">
        <f>IFERROR('Production in Sqm'!AC34/AP41*12,"")</f>
        <v>3166.3234902104896</v>
      </c>
      <c r="AQ43" s="133">
        <f>IFERROR('Production in Sqm'!AD34/AQ41*12,"")</f>
        <v>3195.4040684386177</v>
      </c>
      <c r="AR43" s="133">
        <f>IFERROR('Production in Sqm'!AE34/AR41*12,"")</f>
        <v>3355.4511394610568</v>
      </c>
      <c r="AS43" s="133">
        <f>IFERROR('Production in Sqm'!AF34/AS41*12,"")</f>
        <v>3509.3249824342529</v>
      </c>
      <c r="AT43" s="133">
        <f>IFERROR('Production in Sqm'!AG34/AT41*12,"")</f>
        <v>3108.3975776905927</v>
      </c>
      <c r="AU43" s="133">
        <f>IFERROR('Production in Sqm'!AH34/AU41*12,"")</f>
        <v>3195.0865898947086</v>
      </c>
      <c r="AV43" s="133">
        <f>IFERROR('Production in Sqm'!AI34/AV41*12,"")</f>
        <v>2936.9064701043776</v>
      </c>
      <c r="AW43" s="133">
        <f>IFERROR('Production in Sqm'!AJ34/AW41*12,"")</f>
        <v>3178.498000511765</v>
      </c>
      <c r="AX43" s="133">
        <f>IFERROR('Production in Sqm'!AK34/AX41*12,"")</f>
        <v>3263.1684295581272</v>
      </c>
      <c r="AY43" s="133">
        <f>IFERROR('Production in Sqm'!AL34/AY41*12,"")</f>
        <v>3383.9365613688533</v>
      </c>
      <c r="AZ43" s="111">
        <f>AVERAGE(AN43:AY43)</f>
        <v>3275.1119707185862</v>
      </c>
      <c r="BA43" s="138">
        <f>(AM43-AM44)/AM43</f>
        <v>7.1910507354605663E-2</v>
      </c>
      <c r="BX43" s="133">
        <f>IFERROR('Production in Sqm'!AO34/'Main Sheet'!BX41*12,"")</f>
        <v>3381.8440557367326</v>
      </c>
      <c r="BY43" s="133">
        <f>IFERROR('Production in Sqm'!AP34/'Main Sheet'!BY41*12,"")</f>
        <v>3952.9411764705878</v>
      </c>
      <c r="BZ43" s="133">
        <f>IFERROR('Production in Sqm'!AQ34/'Main Sheet'!BZ41*12,"")</f>
        <v>3492.0957729825595</v>
      </c>
      <c r="CA43" s="133">
        <f>IFERROR('Production in Sqm'!AR34/'Main Sheet'!CA41*12,"")</f>
        <v>3673.1673014942867</v>
      </c>
      <c r="CB43" s="133">
        <f>IFERROR('Production in Sqm'!AS34/'Main Sheet'!CB41*12,"")</f>
        <v>4041.5074496056091</v>
      </c>
      <c r="CC43" s="133">
        <f>IFERROR('Production in Sqm'!AT34/'Main Sheet'!CC41*12,"")</f>
        <v>3928.3435582822085</v>
      </c>
      <c r="CD43" s="133">
        <f>IFERROR('Production in Sqm'!AU34/'Main Sheet'!CD41*12,"")</f>
        <v>3673.8299737072743</v>
      </c>
      <c r="CE43" s="133">
        <f>IFERROR('Production in Sqm'!AV34/'Main Sheet'!CE41*12,"")</f>
        <v>3407.1866783523228</v>
      </c>
      <c r="CF43" s="133">
        <f>IFERROR('Production in Sqm'!AW34/'Main Sheet'!CF41*12,"")</f>
        <v>3284.7677475898336</v>
      </c>
      <c r="CG43" s="133">
        <f>IFERROR('Production in Sqm'!AX34/'Main Sheet'!CG41*12,"")</f>
        <v>3620.3786775415088</v>
      </c>
      <c r="CH43" s="133">
        <f>IFERROR('Production in Sqm'!AY34/'Main Sheet'!CH41*12,"")</f>
        <v>3676.4812117681322</v>
      </c>
      <c r="CI43" s="133">
        <f>IFERROR('Production in Sqm'!AZ34/'Main Sheet'!CI41*12,"")</f>
        <v>3881.1768132828429</v>
      </c>
      <c r="CJ43" s="111">
        <f t="shared" si="113"/>
        <v>3667.8100347344916</v>
      </c>
      <c r="CK43" s="127">
        <f>CJ44-CJ43</f>
        <v>7.2932721985998796</v>
      </c>
      <c r="CL43" s="127"/>
      <c r="CM43" s="127"/>
      <c r="CN43" s="127"/>
      <c r="CO43" s="138">
        <f>CK43/CJ43</f>
        <v>1.9884541809777317E-3</v>
      </c>
    </row>
    <row r="44" spans="2:99" ht="13.5" thickTop="1" thickBot="1">
      <c r="B44" s="119" t="s">
        <v>11</v>
      </c>
      <c r="C44" s="134">
        <v>2184.375</v>
      </c>
      <c r="D44" s="134">
        <v>2637</v>
      </c>
      <c r="E44" s="134">
        <v>2779</v>
      </c>
      <c r="F44" s="134">
        <v>3012.1914508251602</v>
      </c>
      <c r="G44" s="134">
        <v>2888.9166666666665</v>
      </c>
      <c r="H44" s="134">
        <f>'Production in Sqm'!F7</f>
        <v>2858.6</v>
      </c>
      <c r="I44" s="134"/>
      <c r="K44" s="110" t="s">
        <v>10</v>
      </c>
      <c r="L44" s="131" t="s">
        <v>78</v>
      </c>
      <c r="M44" s="110"/>
      <c r="N44" s="111">
        <f>'Production in Sqm'!B30/'Main Sheet'!N42*12</f>
        <v>3100.8981766213583</v>
      </c>
      <c r="O44" s="111">
        <f>'Production in Sqm'!C30/'Main Sheet'!O42*12</f>
        <v>3357.5200247213106</v>
      </c>
      <c r="P44" s="111">
        <f>'Production in Sqm'!D30/'Main Sheet'!P42*12</f>
        <v>3245.2523093290743</v>
      </c>
      <c r="Q44" s="111">
        <f>'Production in Sqm'!E30/'Main Sheet'!Q42*12</f>
        <v>3203.794418316455</v>
      </c>
      <c r="R44" s="111">
        <f>'Production in Sqm'!F30/'Main Sheet'!R42*12</f>
        <v>2204.9975542765278</v>
      </c>
      <c r="S44" s="111">
        <f>'Production in Sqm'!G30/'Main Sheet'!S42*12</f>
        <v>2966.8975005616421</v>
      </c>
      <c r="T44" s="146">
        <f>'Production in Sqm'!H30/'Main Sheet'!T42*12</f>
        <v>3187.882683197493</v>
      </c>
      <c r="U44" s="146">
        <f>'Production in Sqm'!I30/'Main Sheet'!U42*12</f>
        <v>2966.6904013592239</v>
      </c>
      <c r="V44" s="146">
        <f>'Production in Sqm'!J30/'Main Sheet'!V42*12</f>
        <v>3624.0063579549837</v>
      </c>
      <c r="W44" s="146">
        <f>'Production in Sqm'!K30/'Main Sheet'!W42*12</f>
        <v>2722.9938137198719</v>
      </c>
      <c r="X44" s="146">
        <f>'Production in Sqm'!L30/'Main Sheet'!X42*12</f>
        <v>3596.4123757935472</v>
      </c>
      <c r="Y44" s="146">
        <f>'Production in Sqm'!M30/'Main Sheet'!Y42*12</f>
        <v>3211.1079943921582</v>
      </c>
      <c r="Z44" s="146">
        <f t="shared" si="114"/>
        <v>3115.7044675203038</v>
      </c>
      <c r="AA44" s="111">
        <f>'Production in Sqm'!N30/AA42*12</f>
        <v>2847.8331173924053</v>
      </c>
      <c r="AB44" s="111">
        <f>'Production in Sqm'!O30/AB42*12</f>
        <v>2524.549510275001</v>
      </c>
      <c r="AC44" s="146">
        <f>'Production in Sqm'!P30/AC42*12</f>
        <v>3141.6140123134805</v>
      </c>
      <c r="AD44" s="147">
        <f>'Production in Sqm'!Q30/AD42*12</f>
        <v>2969.953313046728</v>
      </c>
      <c r="AE44" s="111">
        <f>'Production in Sqm'!R30/AE42*12</f>
        <v>2413.8595983079326</v>
      </c>
      <c r="AF44" s="111">
        <f>'Production in Sqm'!S30/AF42*12</f>
        <v>3064.8764290426534</v>
      </c>
      <c r="AG44" s="147">
        <f>'Production in Sqm'!T30/AG42*12</f>
        <v>3131.3934558749988</v>
      </c>
      <c r="AH44" s="147">
        <f>'Production in Sqm'!U30/AH42*12</f>
        <v>3226.3971121886793</v>
      </c>
      <c r="AI44" s="147">
        <f>'Production in Sqm'!V30/AI42*12</f>
        <v>2708.0518930599355</v>
      </c>
      <c r="AJ44" s="111">
        <f>'Production in Sqm'!W30/AJ42*12</f>
        <v>3224.954033582278</v>
      </c>
      <c r="AK44" s="111">
        <f>'Production in Sqm'!X30/AK42*12</f>
        <v>3211.9980391798113</v>
      </c>
      <c r="AL44" s="111">
        <f>'Production in Sqm'!Y30/AL42*12</f>
        <v>3655.1163536981121</v>
      </c>
      <c r="AM44" s="152">
        <f t="shared" si="115"/>
        <v>3010.0497389968345</v>
      </c>
      <c r="AN44" s="150">
        <f>IFERROR('Production in Sqm'!AA30/AN42*12,"")</f>
        <v>3409.7143496103909</v>
      </c>
      <c r="AO44" s="149">
        <f>IFERROR('Production in Sqm'!AB30/AO42*12,"")</f>
        <v>3575.9147186493501</v>
      </c>
      <c r="AP44" s="149">
        <f>IFERROR('Production in Sqm'!AC30/AP42*12,"")</f>
        <v>3674.1392356434349</v>
      </c>
      <c r="AQ44" s="149">
        <f>IFERROR('Production in Sqm'!AD30/AQ42*12,"")</f>
        <v>3661.1191052576978</v>
      </c>
      <c r="AR44" s="149">
        <f>IFERROR('Production in Sqm'!AE30/AR42*12,"")</f>
        <v>3642.8456042196349</v>
      </c>
      <c r="AS44" s="149">
        <f>IFERROR('Production in Sqm'!AF30/AS42*12,"")</f>
        <v>3511.1534121239802</v>
      </c>
      <c r="AT44" s="149">
        <f>IFERROR('Production in Sqm'!AG30/AT42*12,"")</f>
        <v>3711.4749825914746</v>
      </c>
      <c r="AU44" s="149">
        <f>IFERROR('Production in Sqm'!AH30/AU42*12,"")</f>
        <v>3738.3315828671052</v>
      </c>
      <c r="AV44" s="149">
        <f>IFERROR('Production in Sqm'!AI30/AV42*12,"")</f>
        <v>3846.3664627293956</v>
      </c>
      <c r="AW44" s="149">
        <f>IFERROR('Production in Sqm'!AJ30/AW42*12,"")</f>
        <v>3749.516876215871</v>
      </c>
      <c r="AX44" s="149">
        <f>IFERROR('Production in Sqm'!AK30/AX42*12,"")</f>
        <v>3605.4916727597356</v>
      </c>
      <c r="AY44" s="149">
        <f>IFERROR('Production in Sqm'!AL30/AY42*12,"")</f>
        <v>4020.2982730094122</v>
      </c>
      <c r="AZ44" s="148">
        <f>AVERAGE(AN44:AY44)</f>
        <v>3678.8638563064574</v>
      </c>
      <c r="BX44" s="149">
        <f>IFERROR('Production in Sqm'!AO30/'Main Sheet'!BX42*12,"")</f>
        <v>3588.4845982008319</v>
      </c>
      <c r="BY44" s="150">
        <f>IFERROR('Production in Sqm'!AP30/'Main Sheet'!BY42*12,"")</f>
        <v>3576.232738149436</v>
      </c>
      <c r="BZ44" s="149">
        <f>IFERROR('Production in Sqm'!AQ30/'Main Sheet'!BZ42*12,"")</f>
        <v>3765.33979896152</v>
      </c>
      <c r="CA44" s="149">
        <f>IFERROR('Production in Sqm'!AR30/'Main Sheet'!CA42*12,"")</f>
        <v>4072.0889382762289</v>
      </c>
      <c r="CB44" s="149">
        <f>IFERROR('Production in Sqm'!AS30/'Main Sheet'!CB42*12,"")</f>
        <v>4102.1042174285558</v>
      </c>
      <c r="CC44" s="150">
        <f>IFERROR('Production in Sqm'!AT30/'Main Sheet'!CC42*12,"")</f>
        <v>3888.1482256895279</v>
      </c>
      <c r="CD44" s="149">
        <f>IFERROR('Production in Sqm'!AU30/'Main Sheet'!CD42*12,"")</f>
        <v>3830.258774658636</v>
      </c>
      <c r="CE44" s="150">
        <f>IFERROR('Production in Sqm'!AV30/'Main Sheet'!CE42*12,"")</f>
        <v>3399.109617711656</v>
      </c>
      <c r="CF44" s="150">
        <f>IFERROR('Production in Sqm'!AW30/'Main Sheet'!CF42*12,"")</f>
        <v>2996.8390724173091</v>
      </c>
      <c r="CG44" s="150">
        <f>IFERROR('Production in Sqm'!AX30/'Main Sheet'!CG42*12,"")</f>
        <v>3528.5224118011456</v>
      </c>
      <c r="CH44" s="150">
        <f>IFERROR('Production in Sqm'!AY30/'Main Sheet'!CH42*12,"")</f>
        <v>3650.8806556263189</v>
      </c>
      <c r="CI44" s="150">
        <f>IFERROR('Production in Sqm'!AZ30/'Main Sheet'!CI42*12,"")</f>
        <v>3703.2306342759257</v>
      </c>
      <c r="CJ44" s="149">
        <f t="shared" si="113"/>
        <v>3675.1033069330915</v>
      </c>
    </row>
    <row r="45" spans="2:99" ht="13.5" thickTop="1" thickBot="1">
      <c r="B45" s="119" t="s">
        <v>12</v>
      </c>
      <c r="C45" s="134">
        <v>3747.3818590406504</v>
      </c>
      <c r="D45" s="134">
        <v>12389</v>
      </c>
      <c r="E45" s="134">
        <v>13870</v>
      </c>
      <c r="F45" s="134">
        <v>3739.1361845674496</v>
      </c>
      <c r="G45" s="134">
        <v>3584.1999032725771</v>
      </c>
      <c r="H45" s="134">
        <f>'Production in Sqm'!I7</f>
        <v>4066.2138809207304</v>
      </c>
      <c r="I45" s="134"/>
      <c r="K45" s="110" t="s">
        <v>11</v>
      </c>
      <c r="L45" s="131" t="s">
        <v>39</v>
      </c>
      <c r="M45" s="110"/>
      <c r="N45" s="111">
        <f>'Manpower Backup'!R39</f>
        <v>289.3</v>
      </c>
      <c r="O45" s="111">
        <f>'Manpower Backup'!S39</f>
        <v>289</v>
      </c>
      <c r="P45" s="111">
        <f>'Manpower Backup'!T39</f>
        <v>289</v>
      </c>
      <c r="Q45" s="111">
        <f>'Manpower Backup'!U39</f>
        <v>287.3</v>
      </c>
      <c r="R45" s="111">
        <f>'Manpower Backup'!V39</f>
        <v>287.3</v>
      </c>
      <c r="S45" s="111">
        <f>'Manpower Backup'!W39</f>
        <v>287.3</v>
      </c>
      <c r="T45" s="111">
        <f>'Manpower Backup'!X39</f>
        <v>287.3</v>
      </c>
      <c r="U45" s="111">
        <f>'Manpower Backup'!Y39</f>
        <v>287.3</v>
      </c>
      <c r="V45" s="111">
        <f>'Manpower Backup'!Z39</f>
        <v>287.3</v>
      </c>
      <c r="W45" s="111">
        <f>'Manpower Backup'!AA39</f>
        <v>287.3</v>
      </c>
      <c r="X45" s="111">
        <f>'Manpower Backup'!AB39</f>
        <v>287.3</v>
      </c>
      <c r="Y45" s="111">
        <f>'Manpower Backup'!AC39</f>
        <v>287.3</v>
      </c>
      <c r="Z45" s="111">
        <f t="shared" si="114"/>
        <v>287.75000000000006</v>
      </c>
      <c r="AA45" s="111">
        <f>'Manpower Backup'!DA39</f>
        <v>308</v>
      </c>
      <c r="AB45" s="111">
        <f>'Manpower Backup'!DB39</f>
        <v>308</v>
      </c>
      <c r="AC45" s="111">
        <f>'Manpower Backup'!DC39</f>
        <v>307</v>
      </c>
      <c r="AD45" s="111">
        <f>'Manpower Backup'!DD39</f>
        <v>309</v>
      </c>
      <c r="AE45" s="111">
        <f>'Manpower Backup'!DE39</f>
        <v>308</v>
      </c>
      <c r="AF45" s="111">
        <f>'Manpower Backup'!DF39</f>
        <v>307</v>
      </c>
      <c r="AG45" s="111">
        <f>'Manpower Backup'!DG39</f>
        <v>307</v>
      </c>
      <c r="AH45" s="111">
        <f>'Manpower Backup'!DH39</f>
        <v>306</v>
      </c>
      <c r="AI45" s="111">
        <f>'Manpower Backup'!DI39</f>
        <v>306</v>
      </c>
      <c r="AJ45" s="111">
        <f>'Manpower Backup'!DJ39</f>
        <v>306</v>
      </c>
      <c r="AK45" s="111">
        <f>'Manpower Backup'!DK39</f>
        <v>305</v>
      </c>
      <c r="AL45" s="111">
        <f>'Manpower Backup'!DL39</f>
        <v>305</v>
      </c>
      <c r="AM45" s="111">
        <f t="shared" si="115"/>
        <v>306.83333333333331</v>
      </c>
      <c r="AN45" s="133">
        <f>'Manpower Backup'!GB39</f>
        <v>296</v>
      </c>
      <c r="AO45" s="133">
        <f>'Manpower Backup'!GC39</f>
        <v>296</v>
      </c>
      <c r="AP45" s="133">
        <f>'Manpower Backup'!GD39</f>
        <v>293</v>
      </c>
      <c r="AQ45" s="133">
        <f>'Manpower Backup'!GE39</f>
        <v>295</v>
      </c>
      <c r="AR45" s="133">
        <f>'Manpower Backup'!GF39</f>
        <v>291</v>
      </c>
      <c r="AS45" s="133">
        <f>'Manpower Backup'!GG39</f>
        <v>288</v>
      </c>
      <c r="AT45" s="133">
        <f>'Manpower Backup'!GH39</f>
        <v>287</v>
      </c>
      <c r="AU45" s="133">
        <f>'Manpower Backup'!GI39</f>
        <v>286</v>
      </c>
      <c r="AV45" s="133">
        <f>'Manpower Backup'!GJ39</f>
        <v>286</v>
      </c>
      <c r="AW45" s="133">
        <f>'Manpower Backup'!GK39</f>
        <v>307</v>
      </c>
      <c r="AX45" s="133">
        <f>'Manpower Backup'!GL39</f>
        <v>307</v>
      </c>
      <c r="AY45" s="133">
        <f>'Manpower Backup'!GM39</f>
        <v>307</v>
      </c>
      <c r="AZ45" s="111">
        <f t="shared" ref="AZ45:AZ48" si="116">AVERAGE(AN45:AY45)</f>
        <v>294.91666666666669</v>
      </c>
      <c r="BX45" s="133">
        <f>'Manpower Backup'!IC39</f>
        <v>321.3</v>
      </c>
      <c r="BY45" s="133">
        <f>'Manpower Backup'!ID39</f>
        <v>322.3</v>
      </c>
      <c r="BZ45" s="133">
        <f>'Manpower Backup'!IE39</f>
        <v>322.3</v>
      </c>
      <c r="CA45" s="133">
        <f>'Manpower Backup'!IF39</f>
        <v>325.3</v>
      </c>
      <c r="CB45" s="133">
        <f>'Manpower Backup'!IG39</f>
        <v>326.3</v>
      </c>
      <c r="CC45" s="133">
        <f>'Manpower Backup'!IH39</f>
        <v>326.3</v>
      </c>
      <c r="CD45" s="133">
        <f>'Manpower Backup'!II39</f>
        <v>326.3</v>
      </c>
      <c r="CE45" s="133">
        <f>'Manpower Backup'!IJ39</f>
        <v>326.3</v>
      </c>
      <c r="CF45" s="133">
        <f>'Manpower Backup'!IK39</f>
        <v>326.3</v>
      </c>
      <c r="CG45" s="133">
        <f>'Manpower Backup'!IL39</f>
        <v>327.3</v>
      </c>
      <c r="CH45" s="133">
        <f>'Manpower Backup'!IM39</f>
        <v>327.3</v>
      </c>
      <c r="CI45" s="133">
        <f>'Manpower Backup'!IN39</f>
        <v>327.3</v>
      </c>
      <c r="CJ45" s="111">
        <f t="shared" si="113"/>
        <v>325.38333333333338</v>
      </c>
      <c r="CK45" s="127">
        <f>CJ46-CJ45</f>
        <v>28.083333333333371</v>
      </c>
      <c r="CL45" s="127"/>
      <c r="CM45" s="127"/>
      <c r="CN45" s="127"/>
      <c r="CO45" s="138">
        <f>CK45/CJ45</f>
        <v>8.630845669210685E-2</v>
      </c>
    </row>
    <row r="46" spans="2:99" ht="13.5" thickTop="1" thickBot="1">
      <c r="K46" s="110"/>
      <c r="L46" s="131" t="s">
        <v>78</v>
      </c>
      <c r="M46" s="110"/>
      <c r="N46" s="111">
        <f>'Manpower Backup'!R33</f>
        <v>296</v>
      </c>
      <c r="O46" s="111">
        <f>'Manpower Backup'!S33</f>
        <v>292</v>
      </c>
      <c r="P46" s="111">
        <f>'Manpower Backup'!T33</f>
        <v>300</v>
      </c>
      <c r="Q46" s="111">
        <f>'Manpower Backup'!U33</f>
        <v>304</v>
      </c>
      <c r="R46" s="111">
        <f>'Manpower Backup'!V33</f>
        <v>299</v>
      </c>
      <c r="S46" s="111">
        <f>'Manpower Backup'!W33</f>
        <v>281</v>
      </c>
      <c r="T46" s="111">
        <f>'Manpower Backup'!X33</f>
        <v>308</v>
      </c>
      <c r="U46" s="111">
        <f>'Manpower Backup'!Y33</f>
        <v>297</v>
      </c>
      <c r="V46" s="111">
        <f>'Manpower Backup'!Z33</f>
        <v>299</v>
      </c>
      <c r="W46" s="111">
        <f>'Manpower Backup'!AA33</f>
        <v>295</v>
      </c>
      <c r="X46" s="111">
        <f>'Manpower Backup'!AB33</f>
        <v>298</v>
      </c>
      <c r="Y46" s="111">
        <f>'Manpower Backup'!AC33</f>
        <v>294</v>
      </c>
      <c r="Z46" s="111">
        <f t="shared" si="114"/>
        <v>296.91666666666669</v>
      </c>
      <c r="AA46" s="111">
        <f>'Manpower Backup'!DA33</f>
        <v>303</v>
      </c>
      <c r="AB46" s="111">
        <f>'Manpower Backup'!DB33</f>
        <v>307</v>
      </c>
      <c r="AC46" s="111">
        <f>'Manpower Backup'!DC33</f>
        <v>305</v>
      </c>
      <c r="AD46" s="111">
        <f>'Manpower Backup'!DD33</f>
        <v>308</v>
      </c>
      <c r="AE46" s="111">
        <f>'Manpower Backup'!DE33</f>
        <v>308.5</v>
      </c>
      <c r="AF46" s="111">
        <f>'Manpower Backup'!DF33</f>
        <v>303.5</v>
      </c>
      <c r="AG46" s="111">
        <f>'Manpower Backup'!DG33</f>
        <v>307</v>
      </c>
      <c r="AH46" s="111">
        <f>'Manpower Backup'!DH33</f>
        <v>306</v>
      </c>
      <c r="AI46" s="111">
        <f>'Manpower Backup'!DI33</f>
        <v>305</v>
      </c>
      <c r="AJ46" s="111">
        <f>'Manpower Backup'!DJ33</f>
        <v>304</v>
      </c>
      <c r="AK46" s="111">
        <f>'Manpower Backup'!DK33</f>
        <v>308</v>
      </c>
      <c r="AL46" s="111">
        <f>'Manpower Backup'!DL33</f>
        <v>309</v>
      </c>
      <c r="AM46" s="111">
        <f t="shared" si="115"/>
        <v>306.16666666666669</v>
      </c>
      <c r="AN46" s="133">
        <f>'Manpower Backup'!GB33</f>
        <v>298</v>
      </c>
      <c r="AO46" s="133">
        <f>'Manpower Backup'!GC33</f>
        <v>298.5</v>
      </c>
      <c r="AP46" s="133">
        <f>'Manpower Backup'!GD33</f>
        <v>298.5</v>
      </c>
      <c r="AQ46" s="133">
        <f>'Manpower Backup'!GE33</f>
        <v>290.5</v>
      </c>
      <c r="AR46" s="133">
        <f>'Manpower Backup'!GF33</f>
        <v>296.5</v>
      </c>
      <c r="AS46" s="133">
        <f>'Manpower Backup'!GG33</f>
        <v>295</v>
      </c>
      <c r="AT46" s="133">
        <f>'Manpower Backup'!GH33</f>
        <v>294</v>
      </c>
      <c r="AU46" s="133">
        <f>'Manpower Backup'!GI33</f>
        <v>296.5</v>
      </c>
      <c r="AV46" s="133">
        <f>'Manpower Backup'!GJ33</f>
        <v>294</v>
      </c>
      <c r="AW46" s="133">
        <f>'Manpower Backup'!GK33</f>
        <v>293</v>
      </c>
      <c r="AX46" s="133">
        <f>'Manpower Backup'!GL33</f>
        <v>294</v>
      </c>
      <c r="AY46" s="133">
        <f>'Manpower Backup'!GM33</f>
        <v>299</v>
      </c>
      <c r="AZ46" s="111">
        <f t="shared" si="116"/>
        <v>295.625</v>
      </c>
      <c r="BX46" s="133">
        <f>'Manpower Backup'!IC33</f>
        <v>348.3</v>
      </c>
      <c r="BY46" s="133">
        <f>'Manpower Backup'!ID33</f>
        <v>352.3</v>
      </c>
      <c r="BZ46" s="133">
        <f>'Manpower Backup'!IE33</f>
        <v>351.3</v>
      </c>
      <c r="CA46" s="133">
        <f>'Manpower Backup'!IF33</f>
        <v>360.3</v>
      </c>
      <c r="CB46" s="133">
        <f>'Manpower Backup'!IG33</f>
        <v>361.3</v>
      </c>
      <c r="CC46" s="133">
        <f>'Manpower Backup'!IH33</f>
        <v>362.3</v>
      </c>
      <c r="CD46" s="133">
        <f>'Manpower Backup'!II33</f>
        <v>382.3</v>
      </c>
      <c r="CE46" s="133">
        <f>'Manpower Backup'!IJ33</f>
        <v>365.3</v>
      </c>
      <c r="CF46" s="133">
        <f>'Manpower Backup'!IK33</f>
        <v>331.3</v>
      </c>
      <c r="CG46" s="133">
        <f>'Manpower Backup'!IL33</f>
        <v>319.3</v>
      </c>
      <c r="CH46" s="133">
        <f>'Manpower Backup'!IM33</f>
        <v>356.3</v>
      </c>
      <c r="CI46" s="133">
        <f>'Manpower Backup'!IN33</f>
        <v>351.3</v>
      </c>
      <c r="CJ46" s="111">
        <f t="shared" si="113"/>
        <v>353.46666666666675</v>
      </c>
    </row>
    <row r="47" spans="2:99" ht="13.5" thickTop="1" thickBot="1">
      <c r="C47" s="127">
        <f>C42-C44</f>
        <v>327</v>
      </c>
      <c r="F47" s="127">
        <f>F42-F44</f>
        <v>769.5</v>
      </c>
      <c r="G47" s="127">
        <f>G42-G44</f>
        <v>747</v>
      </c>
      <c r="H47" s="127">
        <f>H42-H44</f>
        <v>832.5</v>
      </c>
      <c r="K47" s="110" t="s">
        <v>12</v>
      </c>
      <c r="L47" s="131" t="s">
        <v>39</v>
      </c>
      <c r="M47" s="110"/>
      <c r="N47" s="111">
        <f>'Production in Sqm'!B34/'Main Sheet'!N45*12</f>
        <v>3016.8821292775665</v>
      </c>
      <c r="O47" s="111">
        <f>'Production in Sqm'!C34/'Main Sheet'!O45*12</f>
        <v>3066.5190311418683</v>
      </c>
      <c r="P47" s="111">
        <f>'Production in Sqm'!D34/'Main Sheet'!P45*12</f>
        <v>3081.5501730103806</v>
      </c>
      <c r="Q47" s="111">
        <f>'Production in Sqm'!E34/'Main Sheet'!Q45*12</f>
        <v>3220.3271841280894</v>
      </c>
      <c r="R47" s="111">
        <f>'Production in Sqm'!F34/'Main Sheet'!R45*12</f>
        <v>3001.2530455969368</v>
      </c>
      <c r="S47" s="111">
        <f>'Production in Sqm'!G34/'Main Sheet'!S45*12</f>
        <v>2872.3564218586844</v>
      </c>
      <c r="T47" s="111">
        <f>'Production in Sqm'!H34/'Main Sheet'!T45*12</f>
        <v>2994.0271493212667</v>
      </c>
      <c r="U47" s="111">
        <f>'Production in Sqm'!I34/'Main Sheet'!U45*12</f>
        <v>2644.0515140967627</v>
      </c>
      <c r="V47" s="111">
        <f>'Production in Sqm'!J34/'Main Sheet'!V45*12</f>
        <v>2717.688827010094</v>
      </c>
      <c r="W47" s="111">
        <f>'Production in Sqm'!K34/'Main Sheet'!W45*12</f>
        <v>3001.5036547163245</v>
      </c>
      <c r="X47" s="111">
        <f>'Production in Sqm'!L34/'Main Sheet'!X45*12</f>
        <v>2999.3734772015314</v>
      </c>
      <c r="Y47" s="111">
        <f>'Production in Sqm'!M34/'Main Sheet'!Y45*12</f>
        <v>3238.5798816568049</v>
      </c>
      <c r="Z47" s="111">
        <f t="shared" si="114"/>
        <v>2987.8427074180258</v>
      </c>
      <c r="AA47" s="111">
        <f>'Production in Sqm'!N34/AA45*12</f>
        <v>3214.6753246753242</v>
      </c>
      <c r="AB47" s="111">
        <f>'Production in Sqm'!O34/AB45*12</f>
        <v>3435.7792207792209</v>
      </c>
      <c r="AC47" s="111">
        <f>'Production in Sqm'!P34/AC45*12</f>
        <v>3444.0781758957655</v>
      </c>
      <c r="AD47" s="111">
        <f>'Production in Sqm'!Q34/AD45*12</f>
        <v>3440.038834951456</v>
      </c>
      <c r="AE47" s="111">
        <f>'Production in Sqm'!R34/AE45*12</f>
        <v>3272.5324675324678</v>
      </c>
      <c r="AF47" s="111">
        <f>'Production in Sqm'!S34/AF45*12</f>
        <v>3303.674267100977</v>
      </c>
      <c r="AG47" s="111">
        <f>'Production in Sqm'!T34/AG45*12</f>
        <v>3161.2768729641693</v>
      </c>
      <c r="AH47" s="111">
        <f>'Production in Sqm'!U34/AH45*12</f>
        <v>3344.3921568627452</v>
      </c>
      <c r="AI47" s="111">
        <f>'Production in Sqm'!V34/AI45*12</f>
        <v>3286.3921568627457</v>
      </c>
      <c r="AJ47" s="111">
        <f>'Production in Sqm'!W34/AJ45*12</f>
        <v>3440.5882352941171</v>
      </c>
      <c r="AK47" s="111">
        <f>'Production in Sqm'!X34/AK45*12</f>
        <v>3436.0918032786885</v>
      </c>
      <c r="AL47" s="111">
        <f>'Production in Sqm'!Y34/AL45*12</f>
        <v>3535.12131147541</v>
      </c>
      <c r="AM47" s="111">
        <f t="shared" si="115"/>
        <v>3359.55340230609</v>
      </c>
      <c r="AN47" s="133">
        <f>IFERROR('Production in Sqm'!AA34/AN45*12,"")</f>
        <v>3536.4642587276303</v>
      </c>
      <c r="AO47" s="133">
        <f>IFERROR('Production in Sqm'!AB34/AO45*12,"")</f>
        <v>3709.1674295114126</v>
      </c>
      <c r="AP47" s="133">
        <f>IFERROR('Production in Sqm'!AC34/AP45*12,"")</f>
        <v>3274.3891383405403</v>
      </c>
      <c r="AQ47" s="133">
        <f>IFERROR('Production in Sqm'!AD34/AQ45*12,"")</f>
        <v>3303.7228504195882</v>
      </c>
      <c r="AR47" s="133">
        <f>IFERROR('Production in Sqm'!AE34/AR45*12,"")</f>
        <v>3470.7587387552512</v>
      </c>
      <c r="AS47" s="133">
        <f>IFERROR('Production in Sqm'!AF34/AS45*12,"")</f>
        <v>3631.1765443243312</v>
      </c>
      <c r="AT47" s="133">
        <f>IFERROR('Production in Sqm'!AG34/AT45*12,"")</f>
        <v>3216.7041134986275</v>
      </c>
      <c r="AU47" s="133">
        <f>IFERROR('Production in Sqm'!AH34/AU45*12,"")</f>
        <v>3306.8029042266921</v>
      </c>
      <c r="AV47" s="133">
        <f>IFERROR('Production in Sqm'!AI34/AV45*12,"")</f>
        <v>3039.5955075206143</v>
      </c>
      <c r="AW47" s="133">
        <f>IFERROR('Production in Sqm'!AJ34/AW45*12,"")</f>
        <v>3282.0321373362522</v>
      </c>
      <c r="AX47" s="133">
        <f>IFERROR('Production in Sqm'!AK34/AX45*12,"")</f>
        <v>3369.4605608140928</v>
      </c>
      <c r="AY47" s="133">
        <f>IFERROR('Production in Sqm'!AL34/AY45*12,"")</f>
        <v>3494.1625079932455</v>
      </c>
      <c r="AZ47" s="111">
        <f t="shared" si="116"/>
        <v>3386.2030576223565</v>
      </c>
      <c r="BA47" s="138">
        <f>(AM47-AM48)/AM47</f>
        <v>6.8687434933392799E-2</v>
      </c>
      <c r="BX47" s="133">
        <f>IFERROR('Production in Sqm'!AO34/'Main Sheet'!BX45*12,"")</f>
        <v>3550.252100840336</v>
      </c>
      <c r="BY47" s="133">
        <f>IFERROR('Production in Sqm'!AP34/'Main Sheet'!BY45*12,"")</f>
        <v>4149.1777846726645</v>
      </c>
      <c r="BZ47" s="133">
        <f>IFERROR('Production in Sqm'!AQ34/'Main Sheet'!BZ45*12,"")</f>
        <v>3665.454545454545</v>
      </c>
      <c r="CA47" s="133">
        <f>IFERROR('Production in Sqm'!AR34/'Main Sheet'!CA45*12,"")</f>
        <v>3853.8333845680909</v>
      </c>
      <c r="CB47" s="133">
        <f>IFERROR('Production in Sqm'!AS34/'Main Sheet'!CB45*12,"")</f>
        <v>4239.6812749003984</v>
      </c>
      <c r="CC47" s="133">
        <f>IFERROR('Production in Sqm'!AT34/'Main Sheet'!CC45*12,"")</f>
        <v>4120.968433956481</v>
      </c>
      <c r="CD47" s="133">
        <f>IFERROR('Production in Sqm'!AU34/'Main Sheet'!CD45*12,"")</f>
        <v>3853.9748697517621</v>
      </c>
      <c r="CE47" s="133">
        <f>IFERROR('Production in Sqm'!AV34/'Main Sheet'!CE45*12,"")</f>
        <v>3574.2568188783325</v>
      </c>
      <c r="CF47" s="133">
        <f>IFERROR('Production in Sqm'!AW34/'Main Sheet'!CF45*12,"")</f>
        <v>3445.8351210542442</v>
      </c>
      <c r="CG47" s="133">
        <f>IFERROR('Production in Sqm'!AX34/'Main Sheet'!CG45*12,"")</f>
        <v>3797.3602199816678</v>
      </c>
      <c r="CH47" s="133">
        <f>IFERROR('Production in Sqm'!AY34/'Main Sheet'!CH45*12,"")</f>
        <v>3856.205316223648</v>
      </c>
      <c r="CI47" s="133">
        <f>IFERROR('Production in Sqm'!AZ34/'Main Sheet'!CI45*12,"")</f>
        <v>4070.9074243813011</v>
      </c>
      <c r="CJ47" s="111">
        <f t="shared" si="113"/>
        <v>3848.158941221956</v>
      </c>
    </row>
    <row r="48" spans="2:99" ht="13.5" thickTop="1" thickBot="1">
      <c r="H48" s="127"/>
      <c r="K48" s="110" t="s">
        <v>12</v>
      </c>
      <c r="L48" s="131" t="s">
        <v>78</v>
      </c>
      <c r="M48" s="110"/>
      <c r="N48" s="111">
        <f>'Production in Sqm'!B30/'Main Sheet'!N46*12</f>
        <v>3237.0862722162155</v>
      </c>
      <c r="O48" s="111">
        <f>'Production in Sqm'!C30/'Main Sheet'!O46*12</f>
        <v>3506.9986559589033</v>
      </c>
      <c r="P48" s="111">
        <f>'Production in Sqm'!D30/'Main Sheet'!P46*12</f>
        <v>3385.8799094000005</v>
      </c>
      <c r="Q48" s="111">
        <f>'Production in Sqm'!E30/'Main Sheet'!Q46*12</f>
        <v>3330.2599874605257</v>
      </c>
      <c r="R48" s="111">
        <f>'Production in Sqm'!F30/'Main Sheet'!R46*12</f>
        <v>2293.4924393979936</v>
      </c>
      <c r="S48" s="111">
        <f>'Production in Sqm'!G30/'Main Sheet'!S46*12</f>
        <v>3083.0393956014223</v>
      </c>
      <c r="T48" s="111">
        <f>'Production in Sqm'!H30/'Main Sheet'!T46*12</f>
        <v>3301.7356361688326</v>
      </c>
      <c r="U48" s="111">
        <f>'Production in Sqm'!I30/'Main Sheet'!U46*12</f>
        <v>3086.5566802020212</v>
      </c>
      <c r="V48" s="111">
        <f>'Production in Sqm'!J30/'Main Sheet'!V46*12</f>
        <v>3769.4514291772575</v>
      </c>
      <c r="W48" s="111">
        <f>'Production in Sqm'!K30/'Main Sheet'!W46*12</f>
        <v>2833.7596637694937</v>
      </c>
      <c r="X48" s="111">
        <f>'Production in Sqm'!L30/'Main Sheet'!X46*12</f>
        <v>3741.2343506577163</v>
      </c>
      <c r="Y48" s="111">
        <f>'Production in Sqm'!M30/'Main Sheet'!Y46*12</f>
        <v>3342.1736268163277</v>
      </c>
      <c r="Z48" s="111">
        <f t="shared" si="114"/>
        <v>3242.6390039022262</v>
      </c>
      <c r="AA48" s="111">
        <f>'Production in Sqm'!N30/AA46*12</f>
        <v>2970.017376554456</v>
      </c>
      <c r="AB48" s="111">
        <f>'Production in Sqm'!O30/AB46*12</f>
        <v>2631.452258267102</v>
      </c>
      <c r="AC48" s="146">
        <f>'Production in Sqm'!P30/AC46*12</f>
        <v>3285.8192456655752</v>
      </c>
      <c r="AD48" s="147">
        <f>'Production in Sqm'!Q30/AD46*12</f>
        <v>3095.3084853506484</v>
      </c>
      <c r="AE48" s="111">
        <f>'Production in Sqm'!R30/AE46*12</f>
        <v>2515.5781551247987</v>
      </c>
      <c r="AF48" s="111">
        <f>'Production in Sqm'!S30/AF46*12</f>
        <v>3196.1561442899497</v>
      </c>
      <c r="AG48" s="147">
        <f>'Production in Sqm'!T30/AG46*12</f>
        <v>3263.9931787622131</v>
      </c>
      <c r="AH48" s="147">
        <f>'Production in Sqm'!U30/AH46*12</f>
        <v>3352.9224891372555</v>
      </c>
      <c r="AI48" s="147">
        <f>'Production in Sqm'!V30/AI46*12</f>
        <v>2814.5981970491789</v>
      </c>
      <c r="AJ48" s="111">
        <f>'Production in Sqm'!W30/AJ46*12</f>
        <v>3352.2548506973681</v>
      </c>
      <c r="AK48" s="111">
        <f>'Production in Sqm'!X30/AK46*12</f>
        <v>3305.8551247402602</v>
      </c>
      <c r="AL48" s="111">
        <f>'Production in Sqm'!Y30/AL46*12</f>
        <v>3761.5760533203875</v>
      </c>
      <c r="AM48" s="152">
        <f t="shared" si="115"/>
        <v>3128.7942965799321</v>
      </c>
      <c r="AN48" s="150">
        <f>IFERROR('Production in Sqm'!AA30/AN46*12,"")</f>
        <v>3524.1342942281894</v>
      </c>
      <c r="AO48" s="150">
        <f>IFERROR('Production in Sqm'!AB30/AO46*12,"")</f>
        <v>3689.7210497286433</v>
      </c>
      <c r="AP48" s="149">
        <f>IFERROR('Production in Sqm'!AC30/AP46*12,"")</f>
        <v>3797.2259772060288</v>
      </c>
      <c r="AQ48" s="149">
        <f>IFERROR('Production in Sqm'!AD30/AQ46*12,"")</f>
        <v>3887.9698587676417</v>
      </c>
      <c r="AR48" s="149">
        <f>IFERROR('Production in Sqm'!AE30/AR46*12,"")</f>
        <v>3691.9902329443521</v>
      </c>
      <c r="AS48" s="149">
        <f>IFERROR('Production in Sqm'!AF30/AS46*12,"")</f>
        <v>3648.0288841220336</v>
      </c>
      <c r="AT48" s="149">
        <f>IFERROR('Production in Sqm'!AG30/AT46*12,"")</f>
        <v>3850.3396928244892</v>
      </c>
      <c r="AU48" s="149">
        <f>IFERROR('Production in Sqm'!AH30/AU46*12,"")</f>
        <v>3832.8930900222595</v>
      </c>
      <c r="AV48" s="149">
        <f>IFERROR('Production in Sqm'!AI30/AV46*12,"")</f>
        <v>4009.9024517910202</v>
      </c>
      <c r="AW48" s="149">
        <f>IFERROR('Production in Sqm'!AJ30/AW46*12,"")</f>
        <v>3903.0807073236883</v>
      </c>
      <c r="AX48" s="149">
        <f>IFERROR('Production in Sqm'!AK30/AX46*12,"")</f>
        <v>3728.1274439420395</v>
      </c>
      <c r="AY48" s="149">
        <f>IFERROR('Production in Sqm'!AL30/AY46*12,"")</f>
        <v>4114.4189683641471</v>
      </c>
      <c r="AZ48" s="148">
        <f t="shared" si="116"/>
        <v>3806.4860542720439</v>
      </c>
      <c r="BX48" s="149">
        <f>IFERROR('Production in Sqm'!AO30/'Main Sheet'!BX46*12,"")</f>
        <v>3712.1188651500424</v>
      </c>
      <c r="BY48" s="150">
        <f>IFERROR('Production in Sqm'!AP30/'Main Sheet'!BY46*12,"")</f>
        <v>3698.045945239397</v>
      </c>
      <c r="BZ48" s="149">
        <f>IFERROR('Production in Sqm'!AQ30/'Main Sheet'!BZ46*12,"")</f>
        <v>3893.9594334264739</v>
      </c>
      <c r="CA48" s="149">
        <f>IFERROR('Production in Sqm'!AR30/'Main Sheet'!CA46*12,"")</f>
        <v>4207.712216819983</v>
      </c>
      <c r="CB48" s="149">
        <f>IFERROR('Production in Sqm'!AS30/'Main Sheet'!CB46*12,"")</f>
        <v>4238.3490295213951</v>
      </c>
      <c r="CC48" s="150">
        <f>IFERROR('Production in Sqm'!AT30/'Main Sheet'!CC46*12,"")</f>
        <v>4027.6622387559482</v>
      </c>
      <c r="CD48" s="149">
        <f>IFERROR('Production in Sqm'!AU30/'Main Sheet'!CD46*12,"")</f>
        <v>3960.5056071738391</v>
      </c>
      <c r="CE48" s="150">
        <f>IFERROR('Production in Sqm'!AV30/'Main Sheet'!CE46*12,"")</f>
        <v>3520.0743727903628</v>
      </c>
      <c r="CF48" s="150">
        <f>IFERROR('Production in Sqm'!AW30/'Main Sheet'!CF46*12,"")</f>
        <v>3114.4331199314202</v>
      </c>
      <c r="CG48" s="150">
        <f>IFERROR('Production in Sqm'!AX30/'Main Sheet'!CG46*12,"")</f>
        <v>3672.1828920811795</v>
      </c>
      <c r="CH48" s="150">
        <f>IFERROR('Production in Sqm'!AY30/'Main Sheet'!CH46*12,"")</f>
        <v>3784.0870786494511</v>
      </c>
      <c r="CI48" s="150">
        <f>IFERROR('Production in Sqm'!AZ30/'Main Sheet'!CI46*12,"")</f>
        <v>3840.2701966032437</v>
      </c>
      <c r="CJ48" s="150">
        <f t="shared" si="113"/>
        <v>3805.783416345228</v>
      </c>
    </row>
    <row r="49" spans="11:96" ht="12.75" thickTop="1"/>
    <row r="50" spans="11:96" ht="12.75" thickBot="1">
      <c r="K50" s="123" t="s">
        <v>15</v>
      </c>
      <c r="L50" s="124"/>
      <c r="M50" s="125"/>
      <c r="N50" s="126" t="s">
        <v>22</v>
      </c>
      <c r="O50" s="126" t="s">
        <v>23</v>
      </c>
      <c r="P50" s="126" t="s">
        <v>24</v>
      </c>
      <c r="Q50" s="126" t="s">
        <v>25</v>
      </c>
      <c r="R50" s="126" t="s">
        <v>26</v>
      </c>
      <c r="S50" s="126" t="s">
        <v>27</v>
      </c>
      <c r="T50" s="126" t="s">
        <v>28</v>
      </c>
      <c r="U50" s="126" t="s">
        <v>29</v>
      </c>
      <c r="V50" s="126" t="s">
        <v>30</v>
      </c>
      <c r="W50" s="126" t="s">
        <v>31</v>
      </c>
      <c r="X50" s="126" t="s">
        <v>32</v>
      </c>
      <c r="Y50" s="126" t="s">
        <v>33</v>
      </c>
      <c r="Z50" s="126" t="s">
        <v>77</v>
      </c>
      <c r="AA50" s="126" t="s">
        <v>81</v>
      </c>
      <c r="AB50" s="126" t="s">
        <v>82</v>
      </c>
      <c r="AC50" s="126" t="s">
        <v>83</v>
      </c>
      <c r="AD50" s="126" t="s">
        <v>84</v>
      </c>
      <c r="AE50" s="126" t="s">
        <v>85</v>
      </c>
      <c r="AF50" s="126" t="s">
        <v>86</v>
      </c>
      <c r="AG50" s="126" t="s">
        <v>87</v>
      </c>
      <c r="AH50" s="126" t="s">
        <v>88</v>
      </c>
      <c r="AI50" s="126" t="s">
        <v>89</v>
      </c>
      <c r="AJ50" s="126" t="s">
        <v>90</v>
      </c>
      <c r="AK50" s="126" t="s">
        <v>91</v>
      </c>
      <c r="AL50" s="126" t="s">
        <v>92</v>
      </c>
      <c r="AM50" s="126" t="str">
        <f>AM34</f>
        <v>FY 16~17</v>
      </c>
      <c r="AN50" s="126" t="str">
        <f>AN2</f>
        <v>Apr'17</v>
      </c>
      <c r="AO50" s="126" t="str">
        <f t="shared" ref="AO50:AY50" si="117">AO2</f>
        <v>May'17</v>
      </c>
      <c r="AP50" s="126" t="str">
        <f t="shared" si="117"/>
        <v>Jun'17</v>
      </c>
      <c r="AQ50" s="126" t="str">
        <f t="shared" si="117"/>
        <v>Jul'17</v>
      </c>
      <c r="AR50" s="126" t="str">
        <f t="shared" si="117"/>
        <v>Aug'17</v>
      </c>
      <c r="AS50" s="126" t="str">
        <f t="shared" si="117"/>
        <v>Sep'17</v>
      </c>
      <c r="AT50" s="126" t="str">
        <f t="shared" si="117"/>
        <v>Oct'17</v>
      </c>
      <c r="AU50" s="126" t="str">
        <f t="shared" si="117"/>
        <v>Nov'17</v>
      </c>
      <c r="AV50" s="126" t="str">
        <f t="shared" si="117"/>
        <v>Dec'17</v>
      </c>
      <c r="AW50" s="126" t="str">
        <f t="shared" si="117"/>
        <v>Jan'18</v>
      </c>
      <c r="AX50" s="126" t="str">
        <f t="shared" si="117"/>
        <v>Feb'18</v>
      </c>
      <c r="AY50" s="126" t="str">
        <f t="shared" si="117"/>
        <v>Mar'18</v>
      </c>
      <c r="AZ50" s="126" t="str">
        <f>AZ34</f>
        <v>FY 1718</v>
      </c>
      <c r="BX50" s="126" t="s">
        <v>127</v>
      </c>
      <c r="BY50" s="126" t="s">
        <v>128</v>
      </c>
      <c r="BZ50" s="126" t="str">
        <f>BZ34</f>
        <v>Jun'18</v>
      </c>
      <c r="CA50" s="129" t="s">
        <v>130</v>
      </c>
      <c r="CB50" s="129" t="s">
        <v>131</v>
      </c>
      <c r="CC50" s="129" t="s">
        <v>132</v>
      </c>
      <c r="CD50" s="129" t="s">
        <v>133</v>
      </c>
      <c r="CE50" s="129" t="s">
        <v>134</v>
      </c>
      <c r="CF50" s="129" t="s">
        <v>135</v>
      </c>
      <c r="CG50" s="129" t="s">
        <v>136</v>
      </c>
      <c r="CH50" s="129" t="s">
        <v>137</v>
      </c>
      <c r="CI50" s="129" t="s">
        <v>138</v>
      </c>
      <c r="CJ50" s="129" t="str">
        <f>CJ2</f>
        <v>FY 1819</v>
      </c>
    </row>
    <row r="51" spans="11:96" ht="13.5" thickTop="1" thickBot="1">
      <c r="K51" s="110" t="s">
        <v>101</v>
      </c>
      <c r="L51" s="131" t="s">
        <v>39</v>
      </c>
      <c r="M51" s="110"/>
      <c r="N51" s="109">
        <f>'Production in Sqm'!B45</f>
        <v>80.426817876214486</v>
      </c>
      <c r="O51" s="109">
        <f>'Production in Sqm'!C45</f>
        <v>75.797413894929832</v>
      </c>
      <c r="P51" s="109">
        <f>'Production in Sqm'!D45</f>
        <v>80.264580001074336</v>
      </c>
      <c r="Q51" s="109">
        <f>'Production in Sqm'!E45</f>
        <v>78.412490977555478</v>
      </c>
      <c r="R51" s="132">
        <f>'Production in Sqm'!F45</f>
        <v>77.046069770695425</v>
      </c>
      <c r="S51" s="132">
        <f>'Production in Sqm'!G45</f>
        <v>81.923076575238028</v>
      </c>
      <c r="T51" s="132">
        <f>'Production in Sqm'!H45</f>
        <v>78.425109199699278</v>
      </c>
      <c r="U51" s="109">
        <f>'Production in Sqm'!I45</f>
        <v>90.81512363026323</v>
      </c>
      <c r="V51" s="109">
        <f>'Production in Sqm'!J45</f>
        <v>77.647403762311129</v>
      </c>
      <c r="W51" s="109">
        <f>'Production in Sqm'!K45</f>
        <v>76.906504149022069</v>
      </c>
      <c r="X51" s="109">
        <f>'Production in Sqm'!L45</f>
        <v>76.257008509985511</v>
      </c>
      <c r="Y51" s="109">
        <f>'Production in Sqm'!M45</f>
        <v>76.350438656000563</v>
      </c>
      <c r="Z51" s="111">
        <f>SUM(N51:Y51)</f>
        <v>950.27203700298946</v>
      </c>
      <c r="AA51" s="109">
        <f>'Production in Sqm'!N45</f>
        <v>112.50982640994719</v>
      </c>
      <c r="AB51" s="109">
        <f>'Production in Sqm'!O45</f>
        <v>115.97052424582679</v>
      </c>
      <c r="AC51" s="109">
        <f>'Production in Sqm'!P45</f>
        <v>117.3157330046589</v>
      </c>
      <c r="AD51" s="109">
        <f>'Production in Sqm'!Q45</f>
        <v>120.08547246286727</v>
      </c>
      <c r="AE51" s="109">
        <f>'Production in Sqm'!R45</f>
        <v>120.82845688985564</v>
      </c>
      <c r="AF51" s="109">
        <f>'Production in Sqm'!S45</f>
        <v>121.45981689913246</v>
      </c>
      <c r="AG51" s="109">
        <f>'Production in Sqm'!T45</f>
        <v>123.63762147242259</v>
      </c>
      <c r="AH51" s="109">
        <f>'Production in Sqm'!U45</f>
        <v>120.62489356339141</v>
      </c>
      <c r="AI51" s="109">
        <f>'Production in Sqm'!V45</f>
        <v>119.88925782559136</v>
      </c>
      <c r="AJ51" s="109">
        <f>'Production in Sqm'!W45</f>
        <v>120.37805743669352</v>
      </c>
      <c r="AK51" s="109">
        <f>'Production in Sqm'!X45</f>
        <v>119.48959287027351</v>
      </c>
      <c r="AL51" s="109">
        <f>'Production in Sqm'!Y45</f>
        <v>128.22210777359868</v>
      </c>
      <c r="AM51" s="111">
        <f>SUM(AA51:AL51)</f>
        <v>1440.4113608542593</v>
      </c>
      <c r="AN51" s="133">
        <f>'Production in Sqm'!AA45</f>
        <v>160.71414133751466</v>
      </c>
      <c r="AO51" s="133">
        <f>'Production in Sqm'!AB45</f>
        <v>158.32860409546299</v>
      </c>
      <c r="AP51" s="133">
        <f>'Production in Sqm'!AC45</f>
        <v>156.76843607463121</v>
      </c>
      <c r="AQ51" s="133">
        <f>'Production in Sqm'!AD45</f>
        <v>159.06879472043326</v>
      </c>
      <c r="AR51" s="133">
        <f>'Production in Sqm'!AE45</f>
        <v>162.59585439346316</v>
      </c>
      <c r="AS51" s="133">
        <f>'Production in Sqm'!AF45</f>
        <v>161.50532411215212</v>
      </c>
      <c r="AT51" s="133">
        <f>'Production in Sqm'!AG45</f>
        <v>166.13545967378218</v>
      </c>
      <c r="AU51" s="133">
        <f>'Production in Sqm'!AH45</f>
        <v>162.60647853852402</v>
      </c>
      <c r="AV51" s="133">
        <f>'Production in Sqm'!AI45</f>
        <v>164.39029458283684</v>
      </c>
      <c r="AW51" s="133">
        <f>'Production in Sqm'!AJ45</f>
        <v>166.7653520763275</v>
      </c>
      <c r="AX51" s="133">
        <f>'Production in Sqm'!AK45</f>
        <v>162.09557563303542</v>
      </c>
      <c r="AY51" s="133">
        <f>'Production in Sqm'!AL45</f>
        <v>164.32875457382474</v>
      </c>
      <c r="AZ51" s="111">
        <f>SUM(AN51:AY51)</f>
        <v>1945.3030698119878</v>
      </c>
      <c r="BK51" s="127">
        <f>AM51-AM52</f>
        <v>2.0067290400195361</v>
      </c>
      <c r="BX51" s="133">
        <f>'Production in Sqm'!AO45</f>
        <v>173.99621265734089</v>
      </c>
      <c r="BY51" s="133">
        <f>'Production in Sqm'!AP45</f>
        <v>175.65758167018157</v>
      </c>
      <c r="BZ51" s="133">
        <f>'Production in Sqm'!AQ45</f>
        <v>169.65950209754359</v>
      </c>
      <c r="CA51" s="133">
        <f>'Production in Sqm'!AR45</f>
        <v>173.90127911853708</v>
      </c>
      <c r="CB51" s="133">
        <f>'Production in Sqm'!AS45</f>
        <v>173.25600805569007</v>
      </c>
      <c r="CC51" s="133">
        <f>'Production in Sqm'!AT45</f>
        <v>169.74360133784174</v>
      </c>
      <c r="CD51" s="133">
        <f>'Production in Sqm'!AU45</f>
        <v>169.34617080399019</v>
      </c>
      <c r="CE51" s="133">
        <f>'Production in Sqm'!AV45</f>
        <v>171.02637385209195</v>
      </c>
      <c r="CF51" s="133">
        <f>'Production in Sqm'!AW45</f>
        <v>173.05487120851063</v>
      </c>
      <c r="CG51" s="133">
        <f>'Production in Sqm'!AX45</f>
        <v>172.16432909723835</v>
      </c>
      <c r="CH51" s="133">
        <f>'Production in Sqm'!AY45</f>
        <v>170.74745393703969</v>
      </c>
      <c r="CI51" s="133">
        <f>'Production in Sqm'!AZ45</f>
        <v>173.24885774748751</v>
      </c>
      <c r="CJ51" s="111">
        <f>SUM(BX51:CI51)</f>
        <v>2065.802241583493</v>
      </c>
    </row>
    <row r="52" spans="11:96" ht="13.5" thickTop="1" thickBot="1">
      <c r="K52" s="110"/>
      <c r="L52" s="131" t="s">
        <v>78</v>
      </c>
      <c r="M52" s="110"/>
      <c r="N52" s="109">
        <f>'Production in Sqm'!B41</f>
        <v>80.066427427187719</v>
      </c>
      <c r="O52" s="109">
        <f>'Production in Sqm'!C41</f>
        <v>70.049746702290889</v>
      </c>
      <c r="P52" s="109">
        <f>'Production in Sqm'!D41</f>
        <v>59.7677963373228</v>
      </c>
      <c r="Q52" s="109">
        <f>'Production in Sqm'!E41</f>
        <v>75.140650589004011</v>
      </c>
      <c r="R52" s="109">
        <f>'Production in Sqm'!F41</f>
        <v>82.438365462623054</v>
      </c>
      <c r="S52" s="109">
        <f>'Production in Sqm'!G41</f>
        <v>76.800096015483291</v>
      </c>
      <c r="T52" s="109">
        <f>'Production in Sqm'!H41</f>
        <v>67.981551952493788</v>
      </c>
      <c r="U52" s="109">
        <f>'Production in Sqm'!I41</f>
        <v>76.798992717376279</v>
      </c>
      <c r="V52" s="109">
        <f>'Production in Sqm'!J41</f>
        <v>66.887684556881936</v>
      </c>
      <c r="W52" s="109">
        <f>'Production in Sqm'!K41</f>
        <v>68.937430905767599</v>
      </c>
      <c r="X52" s="109">
        <f>'Production in Sqm'!L41</f>
        <v>74.563560543283074</v>
      </c>
      <c r="Y52" s="109">
        <f>'Production in Sqm'!M41</f>
        <v>75.329182313925031</v>
      </c>
      <c r="Z52" s="111">
        <f>SUM(N52:Y52)</f>
        <v>874.76148552363952</v>
      </c>
      <c r="AA52" s="109">
        <f>'Production in Sqm'!N41</f>
        <v>111.02373041558215</v>
      </c>
      <c r="AB52" s="109">
        <f>'Production in Sqm'!O41</f>
        <v>112.63568761772821</v>
      </c>
      <c r="AC52" s="109">
        <f>'Production in Sqm'!P41</f>
        <v>115.08945915489946</v>
      </c>
      <c r="AD52" s="109">
        <f>'Production in Sqm'!Q41</f>
        <v>117.30022262741939</v>
      </c>
      <c r="AE52" s="109">
        <f>'Production in Sqm'!R41</f>
        <v>124.63905884598128</v>
      </c>
      <c r="AF52" s="109">
        <f>'Production in Sqm'!S41</f>
        <v>121.96369992031791</v>
      </c>
      <c r="AG52" s="109">
        <f>'Production in Sqm'!T41</f>
        <v>124.62764801991582</v>
      </c>
      <c r="AH52" s="109">
        <f>'Production in Sqm'!U41</f>
        <v>124.29173119065538</v>
      </c>
      <c r="AI52" s="109">
        <f>'Production in Sqm'!V41</f>
        <v>119.57794361648574</v>
      </c>
      <c r="AJ52" s="109">
        <f>'Production in Sqm'!W41</f>
        <v>117.49079171867042</v>
      </c>
      <c r="AK52" s="109">
        <f>'Production in Sqm'!X41</f>
        <v>126.36614015945494</v>
      </c>
      <c r="AL52" s="109">
        <f>'Production in Sqm'!Y41</f>
        <v>123.39851852712914</v>
      </c>
      <c r="AM52" s="111">
        <f>SUM(AA52:AL52)</f>
        <v>1438.4046318142398</v>
      </c>
      <c r="AN52" s="133">
        <f>'Production in Sqm'!AA41</f>
        <v>144.14987489897248</v>
      </c>
      <c r="AO52" s="133">
        <f>'Production in Sqm'!AB41</f>
        <v>148.73744247087413</v>
      </c>
      <c r="AP52" s="133">
        <f>'Production in Sqm'!AC41</f>
        <v>144.11817430201666</v>
      </c>
      <c r="AQ52" s="133">
        <f>'Production in Sqm'!AD41</f>
        <v>151.33593863177046</v>
      </c>
      <c r="AR52" s="133">
        <f>'Production in Sqm'!AE41</f>
        <v>149.70706648959643</v>
      </c>
      <c r="AS52" s="133">
        <f>'Production in Sqm'!AF41</f>
        <v>149.52586719360471</v>
      </c>
      <c r="AT52" s="133">
        <f>'Production in Sqm'!AG41</f>
        <v>154.52971454200789</v>
      </c>
      <c r="AU52" s="133">
        <f>'Production in Sqm'!AH41</f>
        <v>155.13998327128843</v>
      </c>
      <c r="AV52" s="133">
        <f>'Production in Sqm'!AI41</f>
        <v>157.17244994162769</v>
      </c>
      <c r="AW52" s="133">
        <f>'Production in Sqm'!AJ41</f>
        <v>157.7552748254019</v>
      </c>
      <c r="AX52" s="133">
        <f>'Production in Sqm'!AK41</f>
        <v>158.94649691454231</v>
      </c>
      <c r="AY52" s="133">
        <f>'Production in Sqm'!AL41</f>
        <v>163.99836699347466</v>
      </c>
      <c r="AZ52" s="111">
        <f>SUM(AN52:AY52)</f>
        <v>1835.1166504751779</v>
      </c>
      <c r="BX52" s="133">
        <f>'Production in Sqm'!AO41</f>
        <v>164.92318994330617</v>
      </c>
      <c r="BY52" s="133">
        <f>'Production in Sqm'!AP41</f>
        <v>160.30630139678635</v>
      </c>
      <c r="BZ52" s="133">
        <f>'Production in Sqm'!AQ41</f>
        <v>161.68164775966403</v>
      </c>
      <c r="CA52" s="133">
        <f>'Production in Sqm'!AR41</f>
        <v>167.80173369314787</v>
      </c>
      <c r="CB52" s="133">
        <f>'Production in Sqm'!AS41</f>
        <v>165.00994470326941</v>
      </c>
      <c r="CC52" s="133">
        <f>'Production in Sqm'!AT41</f>
        <v>161.04094876723173</v>
      </c>
      <c r="CD52" s="133">
        <f>'Production in Sqm'!AU41</f>
        <v>160.02292105730601</v>
      </c>
      <c r="CE52" s="133">
        <f>'Production in Sqm'!AV41</f>
        <v>161.72182514993574</v>
      </c>
      <c r="CF52" s="133">
        <f>'Production in Sqm'!AW41</f>
        <v>151.5940031118912</v>
      </c>
      <c r="CG52" s="133">
        <f>'Production in Sqm'!AX41</f>
        <v>159.93459002033069</v>
      </c>
      <c r="CH52" s="133">
        <f>'Production in Sqm'!AY41</f>
        <v>159.39214349195413</v>
      </c>
      <c r="CI52" s="133">
        <f>'Production in Sqm'!AZ41</f>
        <v>143.78768947460549</v>
      </c>
      <c r="CJ52" s="111">
        <f>SUM(BX52:CI52)</f>
        <v>1917.2169385694287</v>
      </c>
    </row>
    <row r="53" spans="11:96" ht="13.5" thickTop="1" thickBot="1">
      <c r="K53" s="110" t="s">
        <v>102</v>
      </c>
      <c r="L53" s="131" t="s">
        <v>39</v>
      </c>
      <c r="M53" s="110"/>
      <c r="N53" s="109">
        <f>'Production in Sqm'!B44</f>
        <v>758</v>
      </c>
      <c r="O53" s="109">
        <f>'Production in Sqm'!C44</f>
        <v>734</v>
      </c>
      <c r="P53" s="109">
        <f>'Production in Sqm'!D44</f>
        <v>781</v>
      </c>
      <c r="Q53" s="109">
        <f>'Production in Sqm'!E44</f>
        <v>826</v>
      </c>
      <c r="R53" s="109">
        <f>'Production in Sqm'!F44</f>
        <v>768</v>
      </c>
      <c r="S53" s="109">
        <f>'Production in Sqm'!G44</f>
        <v>892</v>
      </c>
      <c r="T53" s="109">
        <f>'Production in Sqm'!H44</f>
        <v>824</v>
      </c>
      <c r="U53" s="109">
        <f>'Production in Sqm'!I44</f>
        <v>849</v>
      </c>
      <c r="V53" s="109">
        <f>'Production in Sqm'!J44</f>
        <v>691</v>
      </c>
      <c r="W53" s="109">
        <f>'Production in Sqm'!K44</f>
        <v>876</v>
      </c>
      <c r="X53" s="109">
        <f>'Production in Sqm'!L44</f>
        <v>909</v>
      </c>
      <c r="Y53" s="109">
        <f>'Production in Sqm'!M44</f>
        <v>848</v>
      </c>
      <c r="Z53" s="111">
        <f>SUM(N53:Y53)</f>
        <v>9756</v>
      </c>
      <c r="AA53" s="109">
        <f>'Production in Sqm'!N44</f>
        <v>894</v>
      </c>
      <c r="AB53" s="109">
        <f>'Production in Sqm'!O44</f>
        <v>811</v>
      </c>
      <c r="AC53" s="109">
        <f>'Production in Sqm'!P44</f>
        <v>1054</v>
      </c>
      <c r="AD53" s="109">
        <f>'Production in Sqm'!Q44</f>
        <v>874</v>
      </c>
      <c r="AE53" s="109">
        <f>'Production in Sqm'!R44</f>
        <v>938</v>
      </c>
      <c r="AF53" s="109">
        <f>'Production in Sqm'!S44</f>
        <v>972</v>
      </c>
      <c r="AG53" s="109">
        <f>'Production in Sqm'!T44</f>
        <v>783</v>
      </c>
      <c r="AH53" s="109">
        <f>'Production in Sqm'!U44</f>
        <v>815</v>
      </c>
      <c r="AI53" s="109">
        <f>'Production in Sqm'!V44</f>
        <v>760</v>
      </c>
      <c r="AJ53" s="109">
        <f>'Production in Sqm'!W44</f>
        <v>857</v>
      </c>
      <c r="AK53" s="109">
        <f>'Production in Sqm'!X44</f>
        <v>885</v>
      </c>
      <c r="AL53" s="109">
        <f>'Production in Sqm'!Y44</f>
        <v>945</v>
      </c>
      <c r="AM53" s="111">
        <f>SUM(AA53:AL53)</f>
        <v>10588</v>
      </c>
      <c r="AN53" s="133">
        <f>'Production in Sqm'!AA44</f>
        <v>1200.3843192306072</v>
      </c>
      <c r="AO53" s="133">
        <f>'Production in Sqm'!AB44</f>
        <v>1331.3754294850271</v>
      </c>
      <c r="AP53" s="133">
        <f>'Production in Sqm'!AC44</f>
        <v>1267.6212504087023</v>
      </c>
      <c r="AQ53" s="133">
        <f>'Production in Sqm'!AD44</f>
        <v>1367.3829255684429</v>
      </c>
      <c r="AR53" s="133">
        <f>'Production in Sqm'!AE44</f>
        <v>1236.2331689425685</v>
      </c>
      <c r="AS53" s="133">
        <f>'Production in Sqm'!AF44</f>
        <v>1350.0062270642645</v>
      </c>
      <c r="AT53" s="133">
        <f>'Production in Sqm'!AG44</f>
        <v>1336.2120247052262</v>
      </c>
      <c r="AU53" s="133">
        <f>'Production in Sqm'!AH44</f>
        <v>1412.8396414621081</v>
      </c>
      <c r="AV53" s="133">
        <f>'Production in Sqm'!AI44</f>
        <v>1402.7333107240256</v>
      </c>
      <c r="AW53" s="133">
        <f>'Production in Sqm'!AJ44</f>
        <v>1426.5053848126388</v>
      </c>
      <c r="AX53" s="133">
        <f>'Production in Sqm'!AK44</f>
        <v>1321.1886372205511</v>
      </c>
      <c r="AY53" s="133">
        <f>'Production in Sqm'!AL44</f>
        <v>1341.8163558058668</v>
      </c>
      <c r="AZ53" s="111">
        <f>SUM(AN53:AY53)</f>
        <v>15994.298675430029</v>
      </c>
      <c r="BX53" s="133">
        <f>'Production in Sqm'!AO44</f>
        <v>1369</v>
      </c>
      <c r="BY53" s="133">
        <f>'Production in Sqm'!AP44</f>
        <v>1411</v>
      </c>
      <c r="BZ53" s="133">
        <f>'Production in Sqm'!AQ44</f>
        <v>1291</v>
      </c>
      <c r="CA53" s="133">
        <f>'Production in Sqm'!AR44</f>
        <v>1397</v>
      </c>
      <c r="CB53" s="133">
        <f>'Production in Sqm'!AS44</f>
        <v>1441</v>
      </c>
      <c r="CC53" s="133">
        <f>'Production in Sqm'!AT44</f>
        <v>1433</v>
      </c>
      <c r="CD53" s="133">
        <f>'Production in Sqm'!AU44</f>
        <v>1324</v>
      </c>
      <c r="CE53" s="133">
        <f>'Production in Sqm'!AV44</f>
        <v>1325</v>
      </c>
      <c r="CF53" s="133">
        <f>'Production in Sqm'!AW44</f>
        <v>1249</v>
      </c>
      <c r="CG53" s="133">
        <f>'Production in Sqm'!AX44</f>
        <v>1389</v>
      </c>
      <c r="CH53" s="133">
        <f>'Production in Sqm'!AY44</f>
        <v>1457</v>
      </c>
      <c r="CI53" s="133">
        <f>'Production in Sqm'!AZ44</f>
        <v>1526</v>
      </c>
      <c r="CJ53" s="111">
        <f>SUM(BX53:CI53)</f>
        <v>16612</v>
      </c>
    </row>
    <row r="54" spans="11:96" ht="13.5" thickTop="1" thickBot="1">
      <c r="K54" s="110"/>
      <c r="L54" s="131" t="s">
        <v>78</v>
      </c>
      <c r="M54" s="110"/>
      <c r="N54" s="109">
        <f>'Production in Sqm'!B40</f>
        <v>722.433054873934</v>
      </c>
      <c r="O54" s="109">
        <f>'Production in Sqm'!C40</f>
        <v>805.0042861736955</v>
      </c>
      <c r="P54" s="109">
        <f>'Production in Sqm'!D40</f>
        <v>851.62038033498152</v>
      </c>
      <c r="Q54" s="109">
        <f>'Production in Sqm'!E40</f>
        <v>882.20869286645905</v>
      </c>
      <c r="R54" s="109">
        <f>'Production in Sqm'!F40</f>
        <v>975.5917675741872</v>
      </c>
      <c r="S54" s="109">
        <f>'Production in Sqm'!G40</f>
        <v>1063.4961224962124</v>
      </c>
      <c r="T54" s="109">
        <f>'Production in Sqm'!H40</f>
        <v>802.40679939929794</v>
      </c>
      <c r="U54" s="109">
        <f>'Production in Sqm'!I40</f>
        <v>798.55146791450647</v>
      </c>
      <c r="V54" s="109">
        <f>'Production in Sqm'!J40</f>
        <v>709.72680576132598</v>
      </c>
      <c r="W54" s="109">
        <f>'Production in Sqm'!K40</f>
        <v>837.89930956704734</v>
      </c>
      <c r="X54" s="109">
        <f>'Production in Sqm'!L40</f>
        <v>995.31824697125887</v>
      </c>
      <c r="Y54" s="109">
        <f>'Production in Sqm'!M40</f>
        <v>1144.8104095206388</v>
      </c>
      <c r="Z54" s="111">
        <f>SUM(N54:Y54)</f>
        <v>10589.067343453544</v>
      </c>
      <c r="AA54" s="109">
        <f>'Production in Sqm'!N40</f>
        <v>1100.6172131089563</v>
      </c>
      <c r="AB54" s="109">
        <f>'Production in Sqm'!O40</f>
        <v>949.67009629604252</v>
      </c>
      <c r="AC54" s="109">
        <f>'Production in Sqm'!P40</f>
        <v>1112.1877899581432</v>
      </c>
      <c r="AD54" s="109">
        <f>'Production in Sqm'!Q40</f>
        <v>1232.6419328999</v>
      </c>
      <c r="AE54" s="109">
        <f>'Production in Sqm'!R40</f>
        <v>1268.0375746229076</v>
      </c>
      <c r="AF54" s="109">
        <f>'Production in Sqm'!S40</f>
        <v>1279.6011661989291</v>
      </c>
      <c r="AG54" s="109">
        <f>'Production in Sqm'!T40</f>
        <v>1245.0725971305385</v>
      </c>
      <c r="AH54" s="109">
        <f>'Production in Sqm'!U40</f>
        <v>1094.9206442898487</v>
      </c>
      <c r="AI54" s="109">
        <f>'Production in Sqm'!V40</f>
        <v>896.25904995764222</v>
      </c>
      <c r="AJ54" s="109">
        <f>'Production in Sqm'!W40</f>
        <v>1030.2816113983097</v>
      </c>
      <c r="AK54" s="109">
        <f>'Production in Sqm'!X40</f>
        <v>1127.650731680576</v>
      </c>
      <c r="AL54" s="109">
        <f>'Production in Sqm'!Y40</f>
        <v>1188.4551957122721</v>
      </c>
      <c r="AM54" s="111">
        <f>SUM(AA54:AL54)</f>
        <v>13525.395603254066</v>
      </c>
      <c r="AN54" s="133">
        <f>'Production in Sqm'!AA40</f>
        <v>1222.8234726603941</v>
      </c>
      <c r="AO54" s="133">
        <f>'Production in Sqm'!AB40</f>
        <v>1284.156308591547</v>
      </c>
      <c r="AP54" s="133">
        <f>'Production in Sqm'!AC40</f>
        <v>1249.4650091001774</v>
      </c>
      <c r="AQ54" s="133">
        <f>'Production in Sqm'!AD40</f>
        <v>1378.0723883199164</v>
      </c>
      <c r="AR54" s="133">
        <f>'Production in Sqm'!AE40</f>
        <v>1301.4385654912626</v>
      </c>
      <c r="AS54" s="133">
        <f>'Production in Sqm'!AF40</f>
        <v>1349.6086121420619</v>
      </c>
      <c r="AT54" s="133">
        <f>'Production in Sqm'!AG40</f>
        <v>1362.8380360247525</v>
      </c>
      <c r="AU54" s="133">
        <f>'Production in Sqm'!AH40</f>
        <v>1241.8698691254078</v>
      </c>
      <c r="AV54" s="133">
        <f>'Production in Sqm'!AI40</f>
        <v>1114.4908608378428</v>
      </c>
      <c r="AW54" s="133">
        <f>'Production in Sqm'!AJ40</f>
        <v>1374.2558968667884</v>
      </c>
      <c r="AX54" s="133">
        <f>'Production in Sqm'!AK40</f>
        <v>1449</v>
      </c>
      <c r="AY54" s="133">
        <f>'Production in Sqm'!AL40</f>
        <v>1611.4479290581853</v>
      </c>
      <c r="AZ54" s="111">
        <f>SUM(AN54:AY54)</f>
        <v>15939.466948218338</v>
      </c>
      <c r="BA54" s="138">
        <f>(AV54-AV53)/AV54</f>
        <v>-0.25863150611166996</v>
      </c>
      <c r="BX54" s="133">
        <f>'Production in Sqm'!AO40</f>
        <v>1367.9077910431674</v>
      </c>
      <c r="BY54" s="133">
        <f>'Production in Sqm'!AP40</f>
        <v>1397.3824439209911</v>
      </c>
      <c r="BZ54" s="133">
        <f>'Production in Sqm'!AQ40</f>
        <v>1210.6705787962906</v>
      </c>
      <c r="CA54" s="133">
        <f>'Production in Sqm'!AR40</f>
        <v>1460.6387788632489</v>
      </c>
      <c r="CB54" s="133">
        <f>'Production in Sqm'!AS40</f>
        <v>1513.0432675568672</v>
      </c>
      <c r="CC54" s="133">
        <f>'Production in Sqm'!AT40</f>
        <v>1368.1035621568478</v>
      </c>
      <c r="CD54" s="133">
        <f>'Production in Sqm'!AU40</f>
        <v>1449.2510049272598</v>
      </c>
      <c r="CE54" s="133">
        <f>'Production in Sqm'!AV40</f>
        <v>1197.4867086089469</v>
      </c>
      <c r="CF54" s="133">
        <f>'Production in Sqm'!AW40</f>
        <v>1154.4301248073821</v>
      </c>
      <c r="CG54" s="133">
        <f>'Production in Sqm'!AX40</f>
        <v>1623.6172954510005</v>
      </c>
      <c r="CH54" s="133">
        <f>'Production in Sqm'!AY40</f>
        <v>1250.4436420146071</v>
      </c>
      <c r="CI54" s="133">
        <f>'Production in Sqm'!AZ40</f>
        <v>1320.1263958700572</v>
      </c>
      <c r="CJ54" s="111">
        <f>SUM(BX54:CI54)</f>
        <v>16313.101594016667</v>
      </c>
      <c r="CR54" s="138">
        <f>(CH53-CH54)/CH53</f>
        <v>0.14176826217254143</v>
      </c>
    </row>
    <row r="55" spans="11:96" ht="13.5" thickTop="1" thickBot="1">
      <c r="K55" s="110" t="s">
        <v>8</v>
      </c>
      <c r="L55" s="131" t="s">
        <v>39</v>
      </c>
      <c r="M55" s="110"/>
      <c r="N55" s="112">
        <f t="shared" ref="N55:X55" si="118">N51/N53</f>
        <v>0.10610398136703758</v>
      </c>
      <c r="O55" s="112">
        <f t="shared" si="118"/>
        <v>0.10326623146448206</v>
      </c>
      <c r="P55" s="112">
        <f t="shared" si="118"/>
        <v>0.10277154929715024</v>
      </c>
      <c r="Q55" s="112">
        <f t="shared" si="118"/>
        <v>9.4930376486144649E-2</v>
      </c>
      <c r="R55" s="140">
        <f t="shared" si="118"/>
        <v>0.10032040334725967</v>
      </c>
      <c r="S55" s="140">
        <f t="shared" si="118"/>
        <v>9.1842014097800476E-2</v>
      </c>
      <c r="T55" s="140">
        <f t="shared" si="118"/>
        <v>9.5176103397693293E-2</v>
      </c>
      <c r="U55" s="112">
        <f t="shared" si="118"/>
        <v>0.10696716564224173</v>
      </c>
      <c r="V55" s="112">
        <f t="shared" si="118"/>
        <v>0.11236961470667313</v>
      </c>
      <c r="W55" s="112">
        <f t="shared" si="118"/>
        <v>8.7792812955504645E-2</v>
      </c>
      <c r="X55" s="112">
        <f t="shared" si="118"/>
        <v>8.3891098470831149E-2</v>
      </c>
      <c r="Y55" s="112">
        <f t="shared" ref="Y55:AB56" si="119">Y51/Y53</f>
        <v>9.00358946415101E-2</v>
      </c>
      <c r="Z55" s="112">
        <f>Z51/Z53</f>
        <v>9.7403857831384735E-2</v>
      </c>
      <c r="AA55" s="112">
        <f t="shared" si="119"/>
        <v>0.12584991768450468</v>
      </c>
      <c r="AB55" s="112">
        <f t="shared" si="119"/>
        <v>0.14299694728215387</v>
      </c>
      <c r="AC55" s="112">
        <f t="shared" ref="AC55:AI56" si="120">AC51/AC53</f>
        <v>0.1113052495300369</v>
      </c>
      <c r="AD55" s="112">
        <f t="shared" si="120"/>
        <v>0.13739756574698772</v>
      </c>
      <c r="AE55" s="112">
        <f t="shared" si="120"/>
        <v>0.12881498602330027</v>
      </c>
      <c r="AF55" s="112">
        <f t="shared" si="120"/>
        <v>0.12495865936124739</v>
      </c>
      <c r="AG55" s="112">
        <f t="shared" si="120"/>
        <v>0.15790245398776831</v>
      </c>
      <c r="AH55" s="112">
        <f t="shared" si="120"/>
        <v>0.14800600437225939</v>
      </c>
      <c r="AI55" s="112">
        <f t="shared" si="120"/>
        <v>0.15774902345472547</v>
      </c>
      <c r="AJ55" s="112">
        <f t="shared" ref="AJ55:AK55" si="121">AJ51/AJ53</f>
        <v>0.1404644777557684</v>
      </c>
      <c r="AK55" s="112">
        <f t="shared" si="121"/>
        <v>0.13501648911895311</v>
      </c>
      <c r="AL55" s="112">
        <f t="shared" ref="AL55" si="122">AL51/AL53</f>
        <v>0.13568477013079225</v>
      </c>
      <c r="AM55" s="112">
        <f>AM51/AM53</f>
        <v>0.13604187390010006</v>
      </c>
      <c r="AN55" s="141">
        <f>IFERROR(AN51/AN53,"")</f>
        <v>0.13388557211454183</v>
      </c>
      <c r="AO55" s="141">
        <f t="shared" ref="AO55:AP55" si="123">IFERROR(AO51/AO53,"")</f>
        <v>0.11892108010187939</v>
      </c>
      <c r="AP55" s="141">
        <f t="shared" si="123"/>
        <v>0.12367135374551858</v>
      </c>
      <c r="AQ55" s="141">
        <f t="shared" ref="AQ55:AS55" si="124">IFERROR(AQ51/AQ53,"")</f>
        <v>0.11633083297007371</v>
      </c>
      <c r="AR55" s="141">
        <f t="shared" si="124"/>
        <v>0.13152523203413324</v>
      </c>
      <c r="AS55" s="141">
        <f t="shared" si="124"/>
        <v>0.11963302159232482</v>
      </c>
      <c r="AT55" s="141">
        <f t="shared" ref="AT55:AU55" si="125">IFERROR(AT51/AT53,"")</f>
        <v>0.12433315716525777</v>
      </c>
      <c r="AU55" s="141">
        <f t="shared" si="125"/>
        <v>0.11509195648718289</v>
      </c>
      <c r="AV55" s="141">
        <f t="shared" ref="AV55:AW55" si="126">IFERROR(AV51/AV53,"")</f>
        <v>0.1171928358199366</v>
      </c>
      <c r="AW55" s="141">
        <f t="shared" si="126"/>
        <v>0.11690481778183469</v>
      </c>
      <c r="AX55" s="141">
        <f t="shared" ref="AX55:AY55" si="127">IFERROR(AX51/AX53,"")</f>
        <v>0.12268919900343965</v>
      </c>
      <c r="AY55" s="141">
        <f t="shared" si="127"/>
        <v>0.12246739567810107</v>
      </c>
      <c r="AZ55" s="112">
        <f>AZ51/AZ53</f>
        <v>0.12162478076017832</v>
      </c>
      <c r="BX55" s="141">
        <f t="shared" ref="BX55:BY55" si="128">IFERROR(BX51/BX53,"")</f>
        <v>0.12709730654298093</v>
      </c>
      <c r="BY55" s="141">
        <f t="shared" si="128"/>
        <v>0.12449155327440224</v>
      </c>
      <c r="BZ55" s="141">
        <f t="shared" ref="BZ55:CA55" si="129">IFERROR(BZ51/BZ53,"")</f>
        <v>0.13141712013752407</v>
      </c>
      <c r="CA55" s="141">
        <f t="shared" si="129"/>
        <v>0.12448194639838016</v>
      </c>
      <c r="CB55" s="141">
        <f t="shared" ref="CB55:CD55" si="130">IFERROR(CB51/CB53,"")</f>
        <v>0.12023317699909096</v>
      </c>
      <c r="CC55" s="141">
        <f t="shared" si="130"/>
        <v>0.11845331565794957</v>
      </c>
      <c r="CD55" s="141">
        <f t="shared" si="130"/>
        <v>0.12790496284289291</v>
      </c>
      <c r="CE55" s="141">
        <f t="shared" ref="CE55:CF55" si="131">IFERROR(CE51/CE53,"")</f>
        <v>0.12907650856761657</v>
      </c>
      <c r="CF55" s="141">
        <f t="shared" si="131"/>
        <v>0.13855474075941604</v>
      </c>
      <c r="CG55" s="141">
        <f t="shared" ref="CG55:CH55" si="132">IFERROR(CG51/CG53,"")</f>
        <v>0.12394840107792537</v>
      </c>
      <c r="CH55" s="141">
        <f t="shared" si="132"/>
        <v>0.11719111457586802</v>
      </c>
      <c r="CI55" s="141">
        <f t="shared" ref="CI55" si="133">IFERROR(CI51/CI53,"")</f>
        <v>0.11353136156453965</v>
      </c>
      <c r="CJ55" s="112">
        <f>IFERROR(CJ51/CJ53,"")</f>
        <v>0.12435602224798296</v>
      </c>
      <c r="CK55" s="138">
        <f>(CE53-CE54)/CE53</f>
        <v>9.6236446332870304E-2</v>
      </c>
      <c r="CL55" s="138"/>
      <c r="CM55" s="138"/>
      <c r="CN55" s="138"/>
    </row>
    <row r="56" spans="11:96" ht="13.5" thickTop="1" thickBot="1">
      <c r="K56" s="110" t="s">
        <v>8</v>
      </c>
      <c r="L56" s="131" t="s">
        <v>78</v>
      </c>
      <c r="M56" s="110"/>
      <c r="N56" s="112">
        <f t="shared" ref="N56:X56" si="134">N52/N54</f>
        <v>0.11082885381145727</v>
      </c>
      <c r="O56" s="112">
        <f t="shared" si="134"/>
        <v>8.7017855563537055E-2</v>
      </c>
      <c r="P56" s="112">
        <f t="shared" si="134"/>
        <v>7.0181265875545837E-2</v>
      </c>
      <c r="Q56" s="112">
        <f t="shared" si="134"/>
        <v>8.5173328257351619E-2</v>
      </c>
      <c r="R56" s="112">
        <f t="shared" si="134"/>
        <v>8.4500882646443787E-2</v>
      </c>
      <c r="S56" s="112">
        <f t="shared" si="134"/>
        <v>7.2214740036117817E-2</v>
      </c>
      <c r="T56" s="112">
        <f t="shared" si="134"/>
        <v>8.4722053705659647E-2</v>
      </c>
      <c r="U56" s="142">
        <f t="shared" si="134"/>
        <v>9.6172877770726778E-2</v>
      </c>
      <c r="V56" s="142">
        <f t="shared" si="134"/>
        <v>9.4244269786500912E-2</v>
      </c>
      <c r="W56" s="142">
        <f t="shared" si="134"/>
        <v>8.2274123058280593E-2</v>
      </c>
      <c r="X56" s="142">
        <f t="shared" si="134"/>
        <v>7.4914290750902099E-2</v>
      </c>
      <c r="Y56" s="142">
        <f>Y52/Y54</f>
        <v>6.5800574215137742E-2</v>
      </c>
      <c r="Z56" s="142">
        <f>Z52/Z54</f>
        <v>8.2609870836683405E-2</v>
      </c>
      <c r="AA56" s="112">
        <f t="shared" si="119"/>
        <v>0.10087406329214958</v>
      </c>
      <c r="AB56" s="112">
        <f t="shared" si="119"/>
        <v>0.11860506933622143</v>
      </c>
      <c r="AC56" s="142">
        <f t="shared" si="120"/>
        <v>0.10348023975270472</v>
      </c>
      <c r="AD56" s="142">
        <f t="shared" si="120"/>
        <v>9.5161635748883019E-2</v>
      </c>
      <c r="AE56" s="112">
        <f t="shared" si="120"/>
        <v>9.8292875022293225E-2</v>
      </c>
      <c r="AF56" s="112">
        <f t="shared" si="120"/>
        <v>9.5313839297765379E-2</v>
      </c>
      <c r="AG56" s="112">
        <f t="shared" si="120"/>
        <v>0.10009669179704013</v>
      </c>
      <c r="AH56" s="112">
        <f t="shared" si="120"/>
        <v>0.11351665697313561</v>
      </c>
      <c r="AI56" s="112">
        <f t="shared" si="120"/>
        <v>0.13341895250278038</v>
      </c>
      <c r="AJ56" s="112">
        <f t="shared" ref="AJ56:AK56" si="135">AJ52/AJ54</f>
        <v>0.11403755091698727</v>
      </c>
      <c r="AK56" s="112">
        <f t="shared" si="135"/>
        <v>0.11206141814063936</v>
      </c>
      <c r="AL56" s="112">
        <f t="shared" ref="AL56" si="136">AL52/AL54</f>
        <v>0.10383102280366001</v>
      </c>
      <c r="AM56" s="154">
        <f>AM52/AM54</f>
        <v>0.10634843327378719</v>
      </c>
      <c r="AN56" s="145">
        <f>IFERROR(AN52/AN54,"")</f>
        <v>0.11788281638506475</v>
      </c>
      <c r="AO56" s="145">
        <f t="shared" ref="AO56:AZ56" si="137">IFERROR(AO52/AO54,"")</f>
        <v>0.11582502961341851</v>
      </c>
      <c r="AP56" s="145">
        <f t="shared" si="137"/>
        <v>0.11534390579357297</v>
      </c>
      <c r="AQ56" s="145">
        <f t="shared" ref="AQ56:AS56" si="138">IFERROR(AQ52/AQ54,"")</f>
        <v>0.1098171183999067</v>
      </c>
      <c r="AR56" s="145">
        <f t="shared" si="138"/>
        <v>0.11503198880009025</v>
      </c>
      <c r="AS56" s="145">
        <f t="shared" si="138"/>
        <v>0.11079202210801051</v>
      </c>
      <c r="AT56" s="145">
        <f t="shared" ref="AT56:AU56" si="139">IFERROR(AT52/AT54,"")</f>
        <v>0.11338817266412225</v>
      </c>
      <c r="AU56" s="144">
        <f t="shared" si="139"/>
        <v>0.12492450870117851</v>
      </c>
      <c r="AV56" s="144">
        <f t="shared" ref="AV56:AW56" si="140">IFERROR(AV52/AV54,"")</f>
        <v>0.14102623490646651</v>
      </c>
      <c r="AW56" s="145">
        <f t="shared" si="140"/>
        <v>0.11479323114790585</v>
      </c>
      <c r="AX56" s="145">
        <f t="shared" ref="AX56:AY56" si="141">IFERROR(AX52/AX54,"")</f>
        <v>0.10969392471673037</v>
      </c>
      <c r="AY56" s="145">
        <f t="shared" si="141"/>
        <v>0.10177081371119692</v>
      </c>
      <c r="AZ56" s="154">
        <f t="shared" si="137"/>
        <v>0.11513036517700495</v>
      </c>
      <c r="BA56" s="136">
        <f>AZ56-AZ55</f>
        <v>-6.4944155831733741E-3</v>
      </c>
      <c r="BX56" s="145">
        <f t="shared" ref="BX56:BY56" si="142">IFERROR(BX52/BX54,"")</f>
        <v>0.12056601404217139</v>
      </c>
      <c r="BY56" s="145">
        <f t="shared" si="142"/>
        <v>0.1147189891315467</v>
      </c>
      <c r="BZ56" s="145">
        <f t="shared" ref="BZ56:CA56" si="143">IFERROR(BZ52/BZ54,"")</f>
        <v>0.13354718499925558</v>
      </c>
      <c r="CA56" s="145">
        <f t="shared" si="143"/>
        <v>0.11488243097567256</v>
      </c>
      <c r="CB56" s="145">
        <f t="shared" ref="CB56:CD56" si="144">IFERROR(CB52/CB54,"")</f>
        <v>0.10905831197392878</v>
      </c>
      <c r="CC56" s="145">
        <f t="shared" si="144"/>
        <v>0.11771108066800648</v>
      </c>
      <c r="CD56" s="145">
        <f t="shared" si="144"/>
        <v>0.11041767127519626</v>
      </c>
      <c r="CE56" s="144">
        <f t="shared" ref="CE56:CF56" si="145">IFERROR(CE52/CE54,"")</f>
        <v>0.13505103980469138</v>
      </c>
      <c r="CF56" s="145">
        <f t="shared" si="145"/>
        <v>0.13131500976482646</v>
      </c>
      <c r="CG56" s="145">
        <f t="shared" ref="CG56:CH56" si="146">IFERROR(CG52/CG54,"")</f>
        <v>9.8505103677098263E-2</v>
      </c>
      <c r="CH56" s="145">
        <f t="shared" si="146"/>
        <v>0.12746847449690354</v>
      </c>
      <c r="CI56" s="145">
        <f t="shared" ref="CI56" si="147">IFERROR(CI52/CI54,"")</f>
        <v>0.10891963824406312</v>
      </c>
      <c r="CJ56" s="145">
        <f>IFERROR(CJ52/CJ54,"")</f>
        <v>0.11752620600809764</v>
      </c>
    </row>
    <row r="57" spans="11:96" ht="13.5" thickTop="1" thickBot="1">
      <c r="K57" s="110" t="s">
        <v>9</v>
      </c>
      <c r="L57" s="131" t="s">
        <v>39</v>
      </c>
      <c r="M57" s="110"/>
      <c r="N57" s="111">
        <f>'Manpower Backup'!C52</f>
        <v>280</v>
      </c>
      <c r="O57" s="111">
        <f>'Manpower Backup'!D52</f>
        <v>280.5</v>
      </c>
      <c r="P57" s="111">
        <f>'Manpower Backup'!E52</f>
        <v>280.5</v>
      </c>
      <c r="Q57" s="111">
        <f>'Manpower Backup'!F52</f>
        <v>282</v>
      </c>
      <c r="R57" s="111">
        <f>'Manpower Backup'!G52</f>
        <v>282</v>
      </c>
      <c r="S57" s="111">
        <f>'Manpower Backup'!H52</f>
        <v>282</v>
      </c>
      <c r="T57" s="111">
        <f>'Manpower Backup'!I52</f>
        <v>282</v>
      </c>
      <c r="U57" s="111">
        <f>'Manpower Backup'!J52</f>
        <v>282</v>
      </c>
      <c r="V57" s="111">
        <f>'Manpower Backup'!K52</f>
        <v>282</v>
      </c>
      <c r="W57" s="111">
        <f>'Manpower Backup'!L52</f>
        <v>280</v>
      </c>
      <c r="X57" s="111">
        <f>'Manpower Backup'!M52</f>
        <v>280</v>
      </c>
      <c r="Y57" s="111">
        <f>'Manpower Backup'!N52</f>
        <v>280</v>
      </c>
      <c r="Z57" s="111">
        <f>AVERAGE(N57:Y57)</f>
        <v>281.08333333333331</v>
      </c>
      <c r="AA57" s="111">
        <f>'Manpower Backup'!CN52</f>
        <v>428</v>
      </c>
      <c r="AB57" s="111">
        <f>'Manpower Backup'!CO52</f>
        <v>432</v>
      </c>
      <c r="AC57" s="111">
        <f>'Manpower Backup'!CP52</f>
        <v>432</v>
      </c>
      <c r="AD57" s="111">
        <f>'Manpower Backup'!CQ52</f>
        <v>442</v>
      </c>
      <c r="AE57" s="111">
        <f>'Manpower Backup'!CR52</f>
        <v>455</v>
      </c>
      <c r="AF57" s="111">
        <f>'Manpower Backup'!CS52</f>
        <v>456</v>
      </c>
      <c r="AG57" s="111">
        <f>'Manpower Backup'!CT52</f>
        <v>456</v>
      </c>
      <c r="AH57" s="111">
        <f>'Manpower Backup'!CU52</f>
        <v>439</v>
      </c>
      <c r="AI57" s="111">
        <f>'Manpower Backup'!CV52</f>
        <v>439</v>
      </c>
      <c r="AJ57" s="111">
        <f>'Manpower Backup'!CW52</f>
        <v>440</v>
      </c>
      <c r="AK57" s="111">
        <f>'Manpower Backup'!CX52</f>
        <v>445</v>
      </c>
      <c r="AL57" s="111">
        <f>'Manpower Backup'!CY52</f>
        <v>450</v>
      </c>
      <c r="AM57" s="111">
        <f>AVERAGE(AA57:AL57)</f>
        <v>442.83333333333331</v>
      </c>
      <c r="AN57" s="133">
        <f>'Manpower Backup'!FO52</f>
        <v>534</v>
      </c>
      <c r="AO57" s="133">
        <f>'Manpower Backup'!FP52</f>
        <v>534</v>
      </c>
      <c r="AP57" s="133">
        <f>'Manpower Backup'!FQ52</f>
        <v>534</v>
      </c>
      <c r="AQ57" s="133">
        <f>'Manpower Backup'!FR52</f>
        <v>534</v>
      </c>
      <c r="AR57" s="133">
        <f>'Manpower Backup'!FS52</f>
        <v>534</v>
      </c>
      <c r="AS57" s="133">
        <f>'Manpower Backup'!FT52</f>
        <v>534</v>
      </c>
      <c r="AT57" s="133">
        <f>'Manpower Backup'!FU52</f>
        <v>534</v>
      </c>
      <c r="AU57" s="133">
        <f>'Manpower Backup'!FV52</f>
        <v>534</v>
      </c>
      <c r="AV57" s="133">
        <f>'Manpower Backup'!FW52</f>
        <v>534</v>
      </c>
      <c r="AW57" s="133">
        <f>'Manpower Backup'!FX52</f>
        <v>534</v>
      </c>
      <c r="AX57" s="133">
        <f>'Manpower Backup'!FY52</f>
        <v>534</v>
      </c>
      <c r="AY57" s="133">
        <f>'Manpower Backup'!FZ52</f>
        <v>519</v>
      </c>
      <c r="AZ57" s="111">
        <f>AVERAGE(AN57:AY57)</f>
        <v>532.75</v>
      </c>
      <c r="BB57" s="127"/>
      <c r="BX57" s="133">
        <f>'Manpower Backup'!IP52</f>
        <v>570.5</v>
      </c>
      <c r="BY57" s="133">
        <f>'Manpower Backup'!IQ52</f>
        <v>574.5</v>
      </c>
      <c r="BZ57" s="133">
        <f>'Manpower Backup'!IR52</f>
        <v>576.5</v>
      </c>
      <c r="CA57" s="133">
        <f>'Manpower Backup'!IS52</f>
        <v>580.5</v>
      </c>
      <c r="CB57" s="133">
        <f>'Manpower Backup'!IT52</f>
        <v>580.5</v>
      </c>
      <c r="CC57" s="133">
        <f>'Manpower Backup'!IU52</f>
        <v>578.5</v>
      </c>
      <c r="CD57" s="133">
        <f>'Manpower Backup'!IV52</f>
        <v>578.5</v>
      </c>
      <c r="CE57" s="133">
        <f>'Manpower Backup'!IW52</f>
        <v>578.5</v>
      </c>
      <c r="CF57" s="133">
        <f>'Manpower Backup'!IX52</f>
        <v>578</v>
      </c>
      <c r="CG57" s="133">
        <f>'Manpower Backup'!IY52</f>
        <v>578.5</v>
      </c>
      <c r="CH57" s="133">
        <f>'Manpower Backup'!IZ52</f>
        <v>578.5</v>
      </c>
      <c r="CI57" s="133">
        <f>'Manpower Backup'!JA52</f>
        <v>578.375</v>
      </c>
      <c r="CJ57" s="111">
        <f t="shared" ref="CJ57:CJ64" si="148">AVERAGE(BX57:CI57)</f>
        <v>577.61458333333337</v>
      </c>
    </row>
    <row r="58" spans="11:96" ht="13.5" thickTop="1" thickBot="1">
      <c r="K58" s="110"/>
      <c r="L58" s="131" t="s">
        <v>78</v>
      </c>
      <c r="M58" s="110"/>
      <c r="N58" s="111">
        <f>'Manpower Backup'!C46</f>
        <v>274.5</v>
      </c>
      <c r="O58" s="111">
        <f>'Manpower Backup'!D46</f>
        <v>264</v>
      </c>
      <c r="P58" s="111">
        <f>'Manpower Backup'!E46</f>
        <v>262.5</v>
      </c>
      <c r="Q58" s="111">
        <f>'Manpower Backup'!F46</f>
        <v>275.5</v>
      </c>
      <c r="R58" s="111">
        <f>'Manpower Backup'!G46</f>
        <v>282.5</v>
      </c>
      <c r="S58" s="111">
        <f>'Manpower Backup'!H46</f>
        <v>267.5</v>
      </c>
      <c r="T58" s="111">
        <f>'Manpower Backup'!I46</f>
        <v>263.5</v>
      </c>
      <c r="U58" s="111">
        <f>'Manpower Backup'!J46</f>
        <v>264.5</v>
      </c>
      <c r="V58" s="111">
        <f>'Manpower Backup'!K46</f>
        <v>259.5</v>
      </c>
      <c r="W58" s="111">
        <f>'Manpower Backup'!L46</f>
        <v>243.5</v>
      </c>
      <c r="X58" s="111">
        <f>'Manpower Backup'!M46</f>
        <v>267.5</v>
      </c>
      <c r="Y58" s="111">
        <f>'Manpower Backup'!N46</f>
        <v>276.5</v>
      </c>
      <c r="Z58" s="111">
        <f>AVERAGE(N58:Y58)</f>
        <v>266.79166666666669</v>
      </c>
      <c r="AA58" s="111">
        <f>'Manpower Backup'!CN46</f>
        <v>414.5</v>
      </c>
      <c r="AB58" s="111">
        <f>'Manpower Backup'!CO46</f>
        <v>400.5</v>
      </c>
      <c r="AC58" s="111">
        <f>'Manpower Backup'!CP46</f>
        <v>439.5</v>
      </c>
      <c r="AD58" s="111">
        <f>'Manpower Backup'!CQ46</f>
        <v>454.5</v>
      </c>
      <c r="AE58" s="111">
        <f>'Manpower Backup'!CR46</f>
        <v>456</v>
      </c>
      <c r="AF58" s="111">
        <f>'Manpower Backup'!CS46</f>
        <v>444</v>
      </c>
      <c r="AG58" s="111">
        <f>'Manpower Backup'!CT46</f>
        <v>451</v>
      </c>
      <c r="AH58" s="111">
        <f>'Manpower Backup'!CU46</f>
        <v>474</v>
      </c>
      <c r="AI58" s="111">
        <f>'Manpower Backup'!CV46</f>
        <v>456</v>
      </c>
      <c r="AJ58" s="111">
        <f>'Manpower Backup'!CW46</f>
        <v>479</v>
      </c>
      <c r="AK58" s="111">
        <f>'Manpower Backup'!CX46</f>
        <v>496</v>
      </c>
      <c r="AL58" s="111">
        <f>'Manpower Backup'!CY46</f>
        <v>511</v>
      </c>
      <c r="AM58" s="111">
        <f>SUM([2]Sheet1!$M$29,[2]Sheet1!$M$50,[2]Sheet1!$M$57)</f>
        <v>458.24999999999994</v>
      </c>
      <c r="AN58" s="133">
        <f>'Manpower Backup'!FO46</f>
        <v>506.5</v>
      </c>
      <c r="AO58" s="133">
        <f>'Manpower Backup'!FP46</f>
        <v>510.5</v>
      </c>
      <c r="AP58" s="133">
        <f>'Manpower Backup'!FQ46</f>
        <v>530</v>
      </c>
      <c r="AQ58" s="133">
        <f>'Manpower Backup'!FR46</f>
        <v>531.5</v>
      </c>
      <c r="AR58" s="133">
        <f>'Manpower Backup'!FS46</f>
        <v>534.5</v>
      </c>
      <c r="AS58" s="133">
        <f>'Manpower Backup'!FT46</f>
        <v>537.5</v>
      </c>
      <c r="AT58" s="133">
        <f>'Manpower Backup'!FU46</f>
        <v>534</v>
      </c>
      <c r="AU58" s="133">
        <f>'Manpower Backup'!FV46</f>
        <v>554.5</v>
      </c>
      <c r="AV58" s="133">
        <f>'Manpower Backup'!FW46</f>
        <v>556.5</v>
      </c>
      <c r="AW58" s="133">
        <f>'Manpower Backup'!FX46</f>
        <v>544</v>
      </c>
      <c r="AX58" s="133">
        <f>'Manpower Backup'!FY46</f>
        <v>563</v>
      </c>
      <c r="AY58" s="133">
        <f>'Manpower Backup'!FZ46</f>
        <v>544</v>
      </c>
      <c r="AZ58" s="111">
        <f>AVERAGE(AN58:AY58)</f>
        <v>537.20833333333337</v>
      </c>
      <c r="BA58" s="138">
        <f>(AX57-AX58)/AX57</f>
        <v>-5.4307116104868915E-2</v>
      </c>
      <c r="BX58" s="133">
        <f>'Manpower Backup'!IP46</f>
        <v>571</v>
      </c>
      <c r="BY58" s="133">
        <f>'Manpower Backup'!IQ46</f>
        <v>582</v>
      </c>
      <c r="BZ58" s="133">
        <f>'Manpower Backup'!IR46</f>
        <v>584</v>
      </c>
      <c r="CA58" s="133">
        <f>'Manpower Backup'!IS46</f>
        <v>557</v>
      </c>
      <c r="CB58" s="133">
        <f>'Manpower Backup'!IT46</f>
        <v>608</v>
      </c>
      <c r="CC58" s="133">
        <f>'Manpower Backup'!IU46</f>
        <v>556</v>
      </c>
      <c r="CD58" s="133">
        <f>'Manpower Backup'!IV46</f>
        <v>561</v>
      </c>
      <c r="CE58" s="133">
        <f>'Manpower Backup'!IW46</f>
        <v>548</v>
      </c>
      <c r="CF58" s="133">
        <f>'Manpower Backup'!IX46</f>
        <v>510</v>
      </c>
      <c r="CG58" s="133">
        <f>'Manpower Backup'!IY46</f>
        <v>533</v>
      </c>
      <c r="CH58" s="133">
        <f>'Manpower Backup'!IZ46</f>
        <v>534</v>
      </c>
      <c r="CI58" s="133">
        <f>'Manpower Backup'!JA46</f>
        <v>536</v>
      </c>
      <c r="CJ58" s="111">
        <f t="shared" si="148"/>
        <v>556.66666666666663</v>
      </c>
    </row>
    <row r="59" spans="11:96" ht="13.5" thickTop="1" thickBot="1">
      <c r="K59" s="110" t="s">
        <v>10</v>
      </c>
      <c r="L59" s="131" t="s">
        <v>39</v>
      </c>
      <c r="M59" s="110"/>
      <c r="N59" s="111">
        <f>'Production in Sqm'!B43/'Main Sheet'!N57*12</f>
        <v>2368.0285714285715</v>
      </c>
      <c r="O59" s="111">
        <f>'Production in Sqm'!C43/'Main Sheet'!O57*12</f>
        <v>2274.139037433155</v>
      </c>
      <c r="P59" s="111">
        <f>'Production in Sqm'!D43/'Main Sheet'!P57*12</f>
        <v>2437.6042780748662</v>
      </c>
      <c r="Q59" s="111">
        <f>'Production in Sqm'!E43/'Main Sheet'!Q57*12</f>
        <v>2551.8297872340427</v>
      </c>
      <c r="R59" s="111">
        <f>'Production in Sqm'!F43/'Main Sheet'!R57*12</f>
        <v>2360.0425531914893</v>
      </c>
      <c r="S59" s="111">
        <f>'Production in Sqm'!G43/'Main Sheet'!S57*12</f>
        <v>2736.3404255319147</v>
      </c>
      <c r="T59" s="111">
        <f>'Production in Sqm'!H43/'Main Sheet'!T57*12</f>
        <v>2534.9361702127662</v>
      </c>
      <c r="U59" s="111">
        <f>'Production in Sqm'!I43/'Main Sheet'!U57*12</f>
        <v>2606.7659574468084</v>
      </c>
      <c r="V59" s="111">
        <f>'Production in Sqm'!J43/'Main Sheet'!V57*12</f>
        <v>2109.2765957446809</v>
      </c>
      <c r="W59" s="111">
        <f>'Production in Sqm'!K43/'Main Sheet'!W57*12</f>
        <v>2702.4857142857145</v>
      </c>
      <c r="X59" s="111">
        <f>'Production in Sqm'!L43/'Main Sheet'!X57*12</f>
        <v>2804.4857142857145</v>
      </c>
      <c r="Y59" s="111">
        <f>'Production in Sqm'!M43/'Main Sheet'!Y57*12</f>
        <v>2621.0142857142855</v>
      </c>
      <c r="Z59" s="111">
        <f t="shared" ref="Z59:Z64" si="149">AVERAGE(N59:Y59)</f>
        <v>2508.9124242153339</v>
      </c>
      <c r="AA59" s="111">
        <f>'Production in Sqm'!N43/AA57*12</f>
        <v>1698.0560747663551</v>
      </c>
      <c r="AB59" s="111">
        <f>'Production in Sqm'!O43/AB57*12</f>
        <v>1476.8888888888889</v>
      </c>
      <c r="AC59" s="111">
        <f>'Production in Sqm'!P43/AC57*12</f>
        <v>1914.6666666666665</v>
      </c>
      <c r="AD59" s="111">
        <f>'Production in Sqm'!Q43/AD57*12</f>
        <v>1556.4977375565609</v>
      </c>
      <c r="AE59" s="111">
        <f>'Production in Sqm'!R43/AE57*12</f>
        <v>1619.0505494505492</v>
      </c>
      <c r="AF59" s="111">
        <f>'Production in Sqm'!S43/AF57*12</f>
        <v>1653.3684210526317</v>
      </c>
      <c r="AG59" s="111">
        <f>'Production in Sqm'!T43/AG57*12</f>
        <v>1350.7894736842104</v>
      </c>
      <c r="AH59" s="111">
        <f>'Production in Sqm'!U43/AH57*12</f>
        <v>1445.0296127562642</v>
      </c>
      <c r="AI59" s="111">
        <f>'Production in Sqm'!V43/AI57*12</f>
        <v>1364.7744874715263</v>
      </c>
      <c r="AJ59" s="111">
        <f>'Production in Sqm'!W43/AJ57*12</f>
        <v>1535.0454545454545</v>
      </c>
      <c r="AK59" s="111">
        <f>'Production in Sqm'!X43/AK57*12</f>
        <v>1574.3460674157302</v>
      </c>
      <c r="AL59" s="111">
        <f>'Production in Sqm'!Y43/AL57*12</f>
        <v>1650.8266666666668</v>
      </c>
      <c r="AM59" s="111">
        <f t="shared" ref="AM59:AM64" si="150">AVERAGE(AA59:AL59)</f>
        <v>1569.9450084101252</v>
      </c>
      <c r="AN59" s="133">
        <f>IFERROR('Production in Sqm'!AA43/AN57*12,"")</f>
        <v>1730.4622235415395</v>
      </c>
      <c r="AO59" s="133">
        <f>IFERROR('Production in Sqm'!AB43/AO57*12,"")</f>
        <v>1941.1367357698546</v>
      </c>
      <c r="AP59" s="133">
        <f>IFERROR('Production in Sqm'!AC43/AP57*12,"")</f>
        <v>1858.0105946723261</v>
      </c>
      <c r="AQ59" s="133">
        <f>IFERROR('Production in Sqm'!AD43/AQ57*12,"")</f>
        <v>1967.9025703689567</v>
      </c>
      <c r="AR59" s="133">
        <f>IFERROR('Production in Sqm'!AE43/AR57*12,"")</f>
        <v>1711.9861100619883</v>
      </c>
      <c r="AS59" s="133">
        <f>IFERROR('Production in Sqm'!AF43/AS57*12,"")</f>
        <v>1864.095843578843</v>
      </c>
      <c r="AT59" s="133">
        <f>IFERROR('Production in Sqm'!AG43/AT57*12,"")</f>
        <v>1835.2905985463599</v>
      </c>
      <c r="AU59" s="133">
        <f>IFERROR('Production in Sqm'!AH43/AU57*12,"")</f>
        <v>1931.9521681791675</v>
      </c>
      <c r="AV59" s="133">
        <f>IFERROR('Production in Sqm'!AI43/AV57*12,"")</f>
        <v>1934.4985252016395</v>
      </c>
      <c r="AW59" s="133">
        <f>IFERROR('Production in Sqm'!AJ43/AW57*12,"")</f>
        <v>1954.1816880479314</v>
      </c>
      <c r="AX59" s="133">
        <f>IFERROR('Production in Sqm'!AK43/AX57*12,"")</f>
        <v>1826.7202963463806</v>
      </c>
      <c r="AY59" s="133">
        <f>IFERROR('Production in Sqm'!AL43/AY57*12,"")</f>
        <v>1886.7609132271441</v>
      </c>
      <c r="AZ59" s="111">
        <f t="shared" ref="AZ59:AZ60" si="151">AVERAGE(AN59:AY59)</f>
        <v>1870.2498556285109</v>
      </c>
      <c r="BX59" s="133">
        <f>IFERROR('Production in Sqm'!AO43/'Main Sheet'!BX57*12,"")</f>
        <v>1768.9535495179666</v>
      </c>
      <c r="BY59" s="133">
        <f>IFERROR('Production in Sqm'!AP43/'Main Sheet'!BY57*12,"")</f>
        <v>1808.7310704960837</v>
      </c>
      <c r="BZ59" s="133">
        <f>IFERROR('Production in Sqm'!AQ43/'Main Sheet'!BZ57*12,"")</f>
        <v>1649.2142237640935</v>
      </c>
      <c r="CA59" s="133">
        <f>IFERROR('Production in Sqm'!AR43/'Main Sheet'!CA57*12,"")</f>
        <v>1791.9586563307494</v>
      </c>
      <c r="CB59" s="133">
        <f>IFERROR('Production in Sqm'!AS43/'Main Sheet'!CB57*12,"")</f>
        <v>1841.6537467700257</v>
      </c>
      <c r="CC59" s="133">
        <f>IFERROR('Production in Sqm'!AT43/'Main Sheet'!CC57*12,"")</f>
        <v>1816.6568712186688</v>
      </c>
      <c r="CD59" s="133">
        <f>IFERROR('Production in Sqm'!AU43/'Main Sheet'!CD57*12,"")</f>
        <v>1679.7718236819362</v>
      </c>
      <c r="CE59" s="133">
        <f>IFERROR('Production in Sqm'!AV43/'Main Sheet'!CE57*12,"")</f>
        <v>1670.8522039757995</v>
      </c>
      <c r="CF59" s="133">
        <f>IFERROR('Production in Sqm'!AW43/'Main Sheet'!CF57*12,"")</f>
        <v>1583.5640138408303</v>
      </c>
      <c r="CG59" s="133">
        <f>IFERROR('Production in Sqm'!AX43/'Main Sheet'!CG57*12,"")</f>
        <v>1767.4330164217804</v>
      </c>
      <c r="CH59" s="133">
        <f>IFERROR('Production in Sqm'!AY43/'Main Sheet'!CH57*12,"")</f>
        <v>1864.9472774416595</v>
      </c>
      <c r="CI59" s="133">
        <f>IFERROR('Production in Sqm'!AZ43/'Main Sheet'!CI57*12,"")</f>
        <v>1962.3877242273611</v>
      </c>
      <c r="CJ59" s="111">
        <f t="shared" si="148"/>
        <v>1767.1770148072465</v>
      </c>
      <c r="CO59" s="170"/>
    </row>
    <row r="60" spans="11:96" ht="13.5" thickTop="1" thickBot="1">
      <c r="K60" s="110" t="s">
        <v>10</v>
      </c>
      <c r="L60" s="131" t="s">
        <v>78</v>
      </c>
      <c r="M60" s="110"/>
      <c r="N60" s="111">
        <f>'Production in Sqm'!B39/'Main Sheet'!N58*12</f>
        <v>2461.3271693989077</v>
      </c>
      <c r="O60" s="111">
        <f>'Production in Sqm'!C39/'Main Sheet'!O58*12</f>
        <v>2325.5074090909093</v>
      </c>
      <c r="P60" s="111">
        <f>'Production in Sqm'!D39/'Main Sheet'!P58*12</f>
        <v>2370.2227657142848</v>
      </c>
      <c r="Q60" s="111">
        <f>'Production in Sqm'!E39/'Main Sheet'!Q58*12</f>
        <v>3183.6205589836663</v>
      </c>
      <c r="R60" s="111">
        <f>'Production in Sqm'!F39/'Main Sheet'!R58*12</f>
        <v>2773.7759575221244</v>
      </c>
      <c r="S60" s="111">
        <f>'Production in Sqm'!G39/'Main Sheet'!S58*12</f>
        <v>2775.0059663551392</v>
      </c>
      <c r="T60" s="146">
        <f>'Production in Sqm'!H39/'Main Sheet'!T58*12</f>
        <v>2438.4606148007597</v>
      </c>
      <c r="U60" s="146">
        <f>'Production in Sqm'!I39/'Main Sheet'!U58*12</f>
        <v>2442.170722117201</v>
      </c>
      <c r="V60" s="146">
        <f>'Production in Sqm'!J39/'Main Sheet'!V58*12</f>
        <v>2254.9771560693639</v>
      </c>
      <c r="W60" s="146">
        <f>'Production in Sqm'!K39/'Main Sheet'!W58*12</f>
        <v>2368.562513347023</v>
      </c>
      <c r="X60" s="146">
        <f>'Production in Sqm'!L39/'Main Sheet'!X58*12</f>
        <v>3557.82630280374</v>
      </c>
      <c r="Y60" s="146">
        <f>'Production in Sqm'!M39/'Main Sheet'!Y58*12</f>
        <v>3871.3861844484654</v>
      </c>
      <c r="Z60" s="146">
        <f t="shared" si="149"/>
        <v>2735.236943387632</v>
      </c>
      <c r="AA60" s="111">
        <f>'Production in Sqm'!N39/AA58*12</f>
        <v>1948.2674547647766</v>
      </c>
      <c r="AB60" s="111">
        <f>'Production in Sqm'!O39/AB58*12</f>
        <v>1829.3488838951314</v>
      </c>
      <c r="AC60" s="146">
        <f>'Production in Sqm'!P39/AC58*12</f>
        <v>2163.9369283276442</v>
      </c>
      <c r="AD60" s="147">
        <f>'Production in Sqm'!Q39/AD58*12</f>
        <v>2361.7521056105611</v>
      </c>
      <c r="AE60" s="111">
        <f>'Production in Sqm'!R39/AE58*12</f>
        <v>2343.7096315789477</v>
      </c>
      <c r="AF60" s="111">
        <f>'Production in Sqm'!S39/AF58*12</f>
        <v>2473.1596756756753</v>
      </c>
      <c r="AG60" s="147">
        <f>'Production in Sqm'!T39/AG58*12</f>
        <v>2266.5448869179595</v>
      </c>
      <c r="AH60" s="147">
        <f>'Production in Sqm'!U39/AH58*12</f>
        <v>2045.9558734177213</v>
      </c>
      <c r="AI60" s="147">
        <f>'Production in Sqm'!V39/AI58*12</f>
        <v>1532.3638157894725</v>
      </c>
      <c r="AJ60" s="111">
        <f>'Production in Sqm'!W39/AJ58*12</f>
        <v>1445.6454864300638</v>
      </c>
      <c r="AK60" s="111">
        <f>'Production in Sqm'!X39/AK58*12</f>
        <v>1595.7997258064531</v>
      </c>
      <c r="AL60" s="111">
        <f>'Production in Sqm'!Y39/AL58*12</f>
        <v>1971.184391389434</v>
      </c>
      <c r="AM60" s="148">
        <f t="shared" si="150"/>
        <v>1998.1390716336534</v>
      </c>
      <c r="AN60" s="149">
        <f>'Production in Sqm'!AA39/AN58*12</f>
        <v>1989.0700572556768</v>
      </c>
      <c r="AO60" s="149">
        <f>'Production in Sqm'!AB39/AO58*12</f>
        <v>1955.5982056807047</v>
      </c>
      <c r="AP60" s="149">
        <f>'Production in Sqm'!AC39/AP58*12</f>
        <v>1858.4964679245277</v>
      </c>
      <c r="AQ60" s="149">
        <f>'Production in Sqm'!AD39/AQ58*12</f>
        <v>2010.0393301975535</v>
      </c>
      <c r="AR60" s="149">
        <f>'Production in Sqm'!AE39/AR58*12</f>
        <v>1923.9463049579053</v>
      </c>
      <c r="AS60" s="149">
        <f>'Production in Sqm'!AF39/AS58*12</f>
        <v>1987.4183218604644</v>
      </c>
      <c r="AT60" s="149">
        <f>'Production in Sqm'!AG39/AT58*12</f>
        <v>1847.9631685393267</v>
      </c>
      <c r="AU60" s="150">
        <f>'Production in Sqm'!AH39/AU58*12</f>
        <v>1879.8633435527518</v>
      </c>
      <c r="AV60" s="150">
        <f>'Production in Sqm'!AI39/AV58*12</f>
        <v>1917.7255417789756</v>
      </c>
      <c r="AW60" s="150">
        <f>'Production in Sqm'!AJ39/AW58*12</f>
        <v>1829.2588014705877</v>
      </c>
      <c r="AX60" s="150">
        <f>'Production in Sqm'!AK39/AX58*12</f>
        <v>1817.5068277087025</v>
      </c>
      <c r="AY60" s="149">
        <f>'Production in Sqm'!AL39/AY58*12</f>
        <v>2021.4379191176463</v>
      </c>
      <c r="AZ60" s="148">
        <f t="shared" si="151"/>
        <v>1919.860357503735</v>
      </c>
      <c r="BA60" s="138">
        <f>(AX60-AX59)/AX59</f>
        <v>-5.0437216119544265E-3</v>
      </c>
      <c r="BX60" s="149">
        <f>IFERROR('Production in Sqm'!AO39/'Main Sheet'!BX58*12,"")</f>
        <v>1894.9749141856391</v>
      </c>
      <c r="BY60" s="149">
        <f>IFERROR('Production in Sqm'!AP39/'Main Sheet'!BY58*12,"")</f>
        <v>1875.4018350515457</v>
      </c>
      <c r="BZ60" s="149">
        <f>IFERROR('Production in Sqm'!AQ39/'Main Sheet'!BZ58*12,"")</f>
        <v>1830.5763493150685</v>
      </c>
      <c r="CA60" s="149">
        <f>IFERROR('Production in Sqm'!AR39/'Main Sheet'!CA58*12,"")</f>
        <v>1950.9647827648114</v>
      </c>
      <c r="CB60" s="150">
        <f>IFERROR('Production in Sqm'!AS39/'Main Sheet'!CB58*12,"")</f>
        <v>1757.3897565789475</v>
      </c>
      <c r="CC60" s="149">
        <f>IFERROR('Production in Sqm'!AT39/'Main Sheet'!CC58*12,"")</f>
        <v>2057.2967482014383</v>
      </c>
      <c r="CD60" s="149">
        <f>IFERROR('Production in Sqm'!AU39/'Main Sheet'!CD58*12,"")</f>
        <v>1941.5659037433156</v>
      </c>
      <c r="CE60" s="149">
        <f>IFERROR('Production in Sqm'!AV39/'Main Sheet'!CE58*12,"")</f>
        <v>1819.9645839416062</v>
      </c>
      <c r="CF60" s="149">
        <f>IFERROR('Production in Sqm'!AW39/'Main Sheet'!CF58*12,"")</f>
        <v>1935.6503764705869</v>
      </c>
      <c r="CG60" s="149">
        <f>IFERROR('Production in Sqm'!AX39/'Main Sheet'!CG58*12,"")</f>
        <v>1946.0259287054405</v>
      </c>
      <c r="CH60" s="149">
        <f>IFERROR('Production in Sqm'!AY39/'Main Sheet'!CH58*12,"")</f>
        <v>1918.0075730337064</v>
      </c>
      <c r="CI60" s="149">
        <f>IFERROR('Production in Sqm'!AZ39/'Main Sheet'!CI58*12,"")</f>
        <v>1978.4466268656699</v>
      </c>
      <c r="CJ60" s="148">
        <f t="shared" si="148"/>
        <v>1908.8554482381478</v>
      </c>
    </row>
    <row r="61" spans="11:96" ht="13.5" thickTop="1" thickBot="1">
      <c r="K61" s="110" t="s">
        <v>11</v>
      </c>
      <c r="L61" s="131" t="s">
        <v>39</v>
      </c>
      <c r="M61" s="110"/>
      <c r="N61" s="111">
        <f>'Manpower Backup'!R52</f>
        <v>276</v>
      </c>
      <c r="O61" s="111">
        <f>'Manpower Backup'!S52</f>
        <v>276.5</v>
      </c>
      <c r="P61" s="111">
        <f>'Manpower Backup'!T52</f>
        <v>276.5</v>
      </c>
      <c r="Q61" s="111">
        <f>'Manpower Backup'!U52</f>
        <v>278</v>
      </c>
      <c r="R61" s="111">
        <f>'Manpower Backup'!V52</f>
        <v>278</v>
      </c>
      <c r="S61" s="111">
        <f>'Manpower Backup'!W52</f>
        <v>278</v>
      </c>
      <c r="T61" s="111">
        <f>'Manpower Backup'!X52</f>
        <v>278</v>
      </c>
      <c r="U61" s="111">
        <f>'Manpower Backup'!Y52</f>
        <v>278</v>
      </c>
      <c r="V61" s="111">
        <f>'Manpower Backup'!Z52</f>
        <v>278</v>
      </c>
      <c r="W61" s="111">
        <f>'Manpower Backup'!AA52</f>
        <v>276</v>
      </c>
      <c r="X61" s="111">
        <f>'Manpower Backup'!AB52</f>
        <v>276</v>
      </c>
      <c r="Y61" s="111">
        <f>'Manpower Backup'!AC52</f>
        <v>276</v>
      </c>
      <c r="Z61" s="111">
        <f t="shared" si="149"/>
        <v>277.08333333333331</v>
      </c>
      <c r="AA61" s="111">
        <f>'Manpower Backup'!DA52</f>
        <v>258</v>
      </c>
      <c r="AB61" s="111">
        <f>'Manpower Backup'!DB52</f>
        <v>261</v>
      </c>
      <c r="AC61" s="111">
        <f>'Manpower Backup'!DC52</f>
        <v>261</v>
      </c>
      <c r="AD61" s="111">
        <f>'Manpower Backup'!DD52</f>
        <v>268</v>
      </c>
      <c r="AE61" s="111">
        <f>'Manpower Backup'!DE52</f>
        <v>268</v>
      </c>
      <c r="AF61" s="111">
        <f>'Manpower Backup'!DF52</f>
        <v>268</v>
      </c>
      <c r="AG61" s="111">
        <f>'Manpower Backup'!DG52</f>
        <v>268</v>
      </c>
      <c r="AH61" s="111">
        <f>'Manpower Backup'!DH52</f>
        <v>268</v>
      </c>
      <c r="AI61" s="111">
        <f>'Manpower Backup'!DI52</f>
        <v>268</v>
      </c>
      <c r="AJ61" s="111">
        <f>'Manpower Backup'!DJ52</f>
        <v>262</v>
      </c>
      <c r="AK61" s="111">
        <f>'Manpower Backup'!DK52</f>
        <v>262</v>
      </c>
      <c r="AL61" s="111">
        <f>'Manpower Backup'!DL52</f>
        <v>262</v>
      </c>
      <c r="AM61" s="111">
        <f t="shared" si="150"/>
        <v>264.5</v>
      </c>
      <c r="AN61" s="133">
        <f>'Manpower Backup'!GB52</f>
        <v>265</v>
      </c>
      <c r="AO61" s="133">
        <f>'Manpower Backup'!GC52</f>
        <v>265</v>
      </c>
      <c r="AP61" s="133">
        <f>'Manpower Backup'!GD52</f>
        <v>265</v>
      </c>
      <c r="AQ61" s="133">
        <f>'Manpower Backup'!GE52</f>
        <v>265</v>
      </c>
      <c r="AR61" s="133">
        <f>'Manpower Backup'!GF52</f>
        <v>265</v>
      </c>
      <c r="AS61" s="133">
        <f>'Manpower Backup'!GG52</f>
        <v>265</v>
      </c>
      <c r="AT61" s="133">
        <f>'Manpower Backup'!GH52</f>
        <v>265</v>
      </c>
      <c r="AU61" s="133">
        <f>'Manpower Backup'!GI52</f>
        <v>265</v>
      </c>
      <c r="AV61" s="133">
        <f>'Manpower Backup'!GJ52</f>
        <v>265</v>
      </c>
      <c r="AW61" s="133">
        <f>'Manpower Backup'!GK52</f>
        <v>265</v>
      </c>
      <c r="AX61" s="133">
        <f>'Manpower Backup'!GL52</f>
        <v>265</v>
      </c>
      <c r="AY61" s="133">
        <f>'Manpower Backup'!GM52</f>
        <v>250</v>
      </c>
      <c r="AZ61" s="111">
        <f t="shared" ref="AZ61:AZ64" si="152">AVERAGE(AN61:AY61)</f>
        <v>263.75</v>
      </c>
      <c r="BX61" s="133">
        <f>'Manpower Backup'!JC52</f>
        <v>266.5</v>
      </c>
      <c r="BY61" s="133">
        <f>'Manpower Backup'!JD52</f>
        <v>266.5</v>
      </c>
      <c r="BZ61" s="133">
        <f>'Manpower Backup'!JE52</f>
        <v>266.5</v>
      </c>
      <c r="CA61" s="133">
        <f>'Manpower Backup'!JF52</f>
        <v>270.5</v>
      </c>
      <c r="CB61" s="133">
        <f>'Manpower Backup'!JG52</f>
        <v>270.5</v>
      </c>
      <c r="CC61" s="133">
        <f>'Manpower Backup'!JH52</f>
        <v>268.5</v>
      </c>
      <c r="CD61" s="133">
        <f>'Manpower Backup'!JI52</f>
        <v>268.5</v>
      </c>
      <c r="CE61" s="133">
        <f>'Manpower Backup'!JJ52</f>
        <v>268.5</v>
      </c>
      <c r="CF61" s="133">
        <f>'Manpower Backup'!JK52</f>
        <v>268</v>
      </c>
      <c r="CG61" s="133">
        <f>'Manpower Backup'!JL52</f>
        <v>268.5</v>
      </c>
      <c r="CH61" s="133">
        <f>'Manpower Backup'!JM52</f>
        <v>268.5</v>
      </c>
      <c r="CI61" s="133">
        <f>'Manpower Backup'!JN52</f>
        <v>268.375</v>
      </c>
      <c r="CJ61" s="111">
        <f t="shared" si="148"/>
        <v>268.28125</v>
      </c>
    </row>
    <row r="62" spans="11:96" ht="13.5" thickTop="1" thickBot="1">
      <c r="K62" s="110"/>
      <c r="L62" s="131" t="s">
        <v>78</v>
      </c>
      <c r="M62" s="110"/>
      <c r="N62" s="111">
        <f>'Manpower Backup'!R46</f>
        <v>270.5</v>
      </c>
      <c r="O62" s="111">
        <f>'Manpower Backup'!S46</f>
        <v>260</v>
      </c>
      <c r="P62" s="111">
        <f>'Manpower Backup'!T46</f>
        <v>258.5</v>
      </c>
      <c r="Q62" s="111">
        <f>'Manpower Backup'!U46</f>
        <v>271.5</v>
      </c>
      <c r="R62" s="111">
        <f>'Manpower Backup'!V46</f>
        <v>278.5</v>
      </c>
      <c r="S62" s="111">
        <f>'Manpower Backup'!W46</f>
        <v>263.5</v>
      </c>
      <c r="T62" s="111">
        <f>'Manpower Backup'!X46</f>
        <v>259.5</v>
      </c>
      <c r="U62" s="111">
        <f>'Manpower Backup'!Y46</f>
        <v>260.5</v>
      </c>
      <c r="V62" s="111">
        <f>'Manpower Backup'!Z46</f>
        <v>255.5</v>
      </c>
      <c r="W62" s="111">
        <f>'Manpower Backup'!AA46</f>
        <v>239.5</v>
      </c>
      <c r="X62" s="111">
        <f>'Manpower Backup'!AB46</f>
        <v>263.5</v>
      </c>
      <c r="Y62" s="111">
        <f>'Manpower Backup'!AC46</f>
        <v>272.5</v>
      </c>
      <c r="Z62" s="111">
        <f t="shared" si="149"/>
        <v>262.79166666666669</v>
      </c>
      <c r="AA62" s="111">
        <f>'Manpower Backup'!DA46</f>
        <v>246.5</v>
      </c>
      <c r="AB62" s="111">
        <f>'Manpower Backup'!DB46</f>
        <v>234.5</v>
      </c>
      <c r="AC62" s="111">
        <f>'Manpower Backup'!DC46</f>
        <v>265.5</v>
      </c>
      <c r="AD62" s="111">
        <f>'Manpower Backup'!DD46</f>
        <v>276.5</v>
      </c>
      <c r="AE62" s="111">
        <f>'Manpower Backup'!DE46</f>
        <v>278</v>
      </c>
      <c r="AF62" s="111">
        <f>'Manpower Backup'!DF46</f>
        <v>269</v>
      </c>
      <c r="AG62" s="111">
        <f>'Manpower Backup'!DG46</f>
        <v>277</v>
      </c>
      <c r="AH62" s="111">
        <f>'Manpower Backup'!DH46</f>
        <v>278</v>
      </c>
      <c r="AI62" s="111">
        <f>'Manpower Backup'!DI46</f>
        <v>260</v>
      </c>
      <c r="AJ62" s="111">
        <f>'Manpower Backup'!DJ46</f>
        <v>260</v>
      </c>
      <c r="AK62" s="111">
        <f>'Manpower Backup'!DK46</f>
        <v>270</v>
      </c>
      <c r="AL62" s="111">
        <f>'Manpower Backup'!DL46</f>
        <v>295</v>
      </c>
      <c r="AM62" s="111">
        <f t="shared" si="150"/>
        <v>267.5</v>
      </c>
      <c r="AN62" s="133">
        <f>'Manpower Backup'!GB46</f>
        <v>285.5</v>
      </c>
      <c r="AO62" s="133">
        <f>'Manpower Backup'!GC46</f>
        <v>285.5</v>
      </c>
      <c r="AP62" s="133">
        <f>'Manpower Backup'!GD46</f>
        <v>284</v>
      </c>
      <c r="AQ62" s="133">
        <f>'Manpower Backup'!GE46</f>
        <v>285.5</v>
      </c>
      <c r="AR62" s="133">
        <f>'Manpower Backup'!GF46</f>
        <v>279.5</v>
      </c>
      <c r="AS62" s="133">
        <f>'Manpower Backup'!GG46</f>
        <v>285.5</v>
      </c>
      <c r="AT62" s="133">
        <f>'Manpower Backup'!GH46</f>
        <v>273</v>
      </c>
      <c r="AU62" s="133">
        <f>'Manpower Backup'!GI46</f>
        <v>281.5</v>
      </c>
      <c r="AV62" s="133">
        <f>'Manpower Backup'!GJ46</f>
        <v>286.5</v>
      </c>
      <c r="AW62" s="133">
        <f>'Manpower Backup'!GK46</f>
        <v>293</v>
      </c>
      <c r="AX62" s="133">
        <f>'Manpower Backup'!GL46</f>
        <v>284</v>
      </c>
      <c r="AY62" s="133">
        <f>'Manpower Backup'!GM46</f>
        <v>287</v>
      </c>
      <c r="AZ62" s="111">
        <f t="shared" si="152"/>
        <v>284.20833333333331</v>
      </c>
      <c r="BX62" s="133">
        <f>'Manpower Backup'!JC46</f>
        <v>285</v>
      </c>
      <c r="BY62" s="133">
        <f>'Manpower Backup'!JD46</f>
        <v>286</v>
      </c>
      <c r="BZ62" s="133">
        <f>'Manpower Backup'!JE46</f>
        <v>288</v>
      </c>
      <c r="CA62" s="133">
        <f>'Manpower Backup'!JF46</f>
        <v>288</v>
      </c>
      <c r="CB62" s="133">
        <f>'Manpower Backup'!JG46</f>
        <v>294</v>
      </c>
      <c r="CC62" s="133">
        <f>'Manpower Backup'!JH46</f>
        <v>284</v>
      </c>
      <c r="CD62" s="133">
        <f>'Manpower Backup'!JI46</f>
        <v>289</v>
      </c>
      <c r="CE62" s="133">
        <f>'Manpower Backup'!JJ46</f>
        <v>291</v>
      </c>
      <c r="CF62" s="133">
        <f>'Manpower Backup'!JK46</f>
        <v>273</v>
      </c>
      <c r="CG62" s="133">
        <f>'Manpower Backup'!JL46</f>
        <v>285</v>
      </c>
      <c r="CH62" s="133">
        <f>'Manpower Backup'!JM46</f>
        <v>289</v>
      </c>
      <c r="CI62" s="133">
        <f>'Manpower Backup'!JN46</f>
        <v>281</v>
      </c>
      <c r="CJ62" s="111">
        <f t="shared" si="148"/>
        <v>286.08333333333331</v>
      </c>
    </row>
    <row r="63" spans="11:96" ht="13.5" thickTop="1" thickBot="1">
      <c r="K63" s="110" t="s">
        <v>12</v>
      </c>
      <c r="L63" s="131" t="s">
        <v>39</v>
      </c>
      <c r="M63" s="110"/>
      <c r="N63" s="111">
        <f>'Production in Sqm'!B43/'Main Sheet'!N61*12</f>
        <v>2402.3478260869565</v>
      </c>
      <c r="O63" s="111">
        <f>'Production in Sqm'!C43/'Main Sheet'!O61*12</f>
        <v>2307.0379746835442</v>
      </c>
      <c r="P63" s="111">
        <f>'Production in Sqm'!D43/'Main Sheet'!P61*12</f>
        <v>2472.8679927667272</v>
      </c>
      <c r="Q63" s="111">
        <f>'Production in Sqm'!E43/'Main Sheet'!Q61*12</f>
        <v>2588.5467625899282</v>
      </c>
      <c r="R63" s="111">
        <f>'Production in Sqm'!F43/'Main Sheet'!R61*12</f>
        <v>2394</v>
      </c>
      <c r="S63" s="111">
        <f>'Production in Sqm'!G43/'Main Sheet'!S61*12</f>
        <v>2775.7122302158273</v>
      </c>
      <c r="T63" s="111">
        <f>'Production in Sqm'!H43/'Main Sheet'!T61*12</f>
        <v>2571.4100719424459</v>
      </c>
      <c r="U63" s="111">
        <f>'Production in Sqm'!I43/'Main Sheet'!U61*12</f>
        <v>2644.2733812949641</v>
      </c>
      <c r="V63" s="111">
        <f>'Production in Sqm'!J43/'Main Sheet'!V61*12</f>
        <v>2139.6258992805756</v>
      </c>
      <c r="W63" s="111">
        <f>'Production in Sqm'!K43/'Main Sheet'!W61*12</f>
        <v>2741.6521739130435</v>
      </c>
      <c r="X63" s="111">
        <f>'Production in Sqm'!L43/'Main Sheet'!X61*12</f>
        <v>2845.1304347826085</v>
      </c>
      <c r="Y63" s="111">
        <f>'Production in Sqm'!M43/'Main Sheet'!Y61*12</f>
        <v>2659</v>
      </c>
      <c r="Z63" s="111">
        <f t="shared" si="149"/>
        <v>2545.1337289630515</v>
      </c>
      <c r="AA63" s="111">
        <f>'Production in Sqm'!N43/AA61*12</f>
        <v>2816.9302325581393</v>
      </c>
      <c r="AB63" s="111">
        <f>'Production in Sqm'!O43/AB61*12</f>
        <v>2444.5057471264367</v>
      </c>
      <c r="AC63" s="111">
        <f>'Production in Sqm'!P43/AC61*12</f>
        <v>3169.1034482758619</v>
      </c>
      <c r="AD63" s="111">
        <f>'Production in Sqm'!Q43/AD61*12</f>
        <v>2567.0597014925374</v>
      </c>
      <c r="AE63" s="111">
        <f>'Production in Sqm'!R43/AE61*12</f>
        <v>2748.7611940298507</v>
      </c>
      <c r="AF63" s="111">
        <f>'Production in Sqm'!S43/AF61*12</f>
        <v>2813.1940298507461</v>
      </c>
      <c r="AG63" s="111">
        <f>'Production in Sqm'!T43/AG61*12</f>
        <v>2298.3582089552237</v>
      </c>
      <c r="AH63" s="111">
        <f>'Production in Sqm'!U43/AH61*12</f>
        <v>2367.0447761194032</v>
      </c>
      <c r="AI63" s="111">
        <f>'Production in Sqm'!V43/AI61*12</f>
        <v>2235.5820895522388</v>
      </c>
      <c r="AJ63" s="111">
        <f>'Production in Sqm'!W43/AJ61*12</f>
        <v>2577.93893129771</v>
      </c>
      <c r="AK63" s="111">
        <f>'Production in Sqm'!X43/AK61*12</f>
        <v>2673.9847328244277</v>
      </c>
      <c r="AL63" s="111">
        <f>'Production in Sqm'!Y43/AL61*12</f>
        <v>2835.3893129770991</v>
      </c>
      <c r="AM63" s="111">
        <f t="shared" si="150"/>
        <v>2628.9877004216396</v>
      </c>
      <c r="AN63" s="133">
        <f>IFERROR('Production in Sqm'!AA43/AN61*12,"")</f>
        <v>3487.0446315893669</v>
      </c>
      <c r="AO63" s="133">
        <f>IFERROR('Production in Sqm'!AB43/AO61*12,"")</f>
        <v>3911.5736486834057</v>
      </c>
      <c r="AP63" s="133">
        <f>IFERROR('Production in Sqm'!AC43/AP61*12,"")</f>
        <v>3744.0666322831021</v>
      </c>
      <c r="AQ63" s="133">
        <f>IFERROR('Production in Sqm'!AD43/AQ61*12,"")</f>
        <v>3965.5093304793313</v>
      </c>
      <c r="AR63" s="133">
        <f>IFERROR('Production in Sqm'!AE43/AR61*12,"")</f>
        <v>3449.8135198984974</v>
      </c>
      <c r="AS63" s="133">
        <f>IFERROR('Production in Sqm'!AF43/AS61*12,"")</f>
        <v>3756.3289829098203</v>
      </c>
      <c r="AT63" s="133">
        <f>IFERROR('Production in Sqm'!AG43/AT61*12,"")</f>
        <v>3698.2836966934192</v>
      </c>
      <c r="AU63" s="133">
        <f>IFERROR('Production in Sqm'!AH43/AU61*12,"")</f>
        <v>3893.0658785195301</v>
      </c>
      <c r="AV63" s="133">
        <f>IFERROR('Production in Sqm'!AI43/AV61*12,"")</f>
        <v>3898.1970281421718</v>
      </c>
      <c r="AW63" s="133">
        <f>IFERROR('Production in Sqm'!AJ43/AW61*12,"")</f>
        <v>3937.8604581796053</v>
      </c>
      <c r="AX63" s="133">
        <f>IFERROR('Production in Sqm'!AK43/AX61*12,"")</f>
        <v>3681.013729241386</v>
      </c>
      <c r="AY63" s="133">
        <f>IFERROR('Production in Sqm'!AL43/AY61*12,"")</f>
        <v>3916.915655859551</v>
      </c>
      <c r="AZ63" s="111">
        <f t="shared" si="152"/>
        <v>3778.3060993732652</v>
      </c>
      <c r="BB63" s="155">
        <f>X63/12</f>
        <v>237.09420289855072</v>
      </c>
      <c r="BC63" s="155"/>
      <c r="BX63" s="133">
        <f>IFERROR('Production in Sqm'!AO43/'Main Sheet'!BX61*12,"")</f>
        <v>3786.8217636022514</v>
      </c>
      <c r="BY63" s="133">
        <f>IFERROR('Production in Sqm'!AP43/'Main Sheet'!BY61*12,"")</f>
        <v>3899.1219512195121</v>
      </c>
      <c r="BZ63" s="133">
        <f>IFERROR('Production in Sqm'!AQ43/'Main Sheet'!BZ61*12,"")</f>
        <v>3567.6247654784238</v>
      </c>
      <c r="CA63" s="133">
        <f>IFERROR('Production in Sqm'!AR43/'Main Sheet'!CA61*12,"")</f>
        <v>3845.5896487985215</v>
      </c>
      <c r="CB63" s="133">
        <f>IFERROR('Production in Sqm'!AS43/'Main Sheet'!CB61*12,"")</f>
        <v>3952.2365988909428</v>
      </c>
      <c r="CC63" s="133">
        <f>IFERROR('Production in Sqm'!AT43/'Main Sheet'!CC61*12,"")</f>
        <v>3914.1005586592173</v>
      </c>
      <c r="CD63" s="133">
        <f>IFERROR('Production in Sqm'!AU43/'Main Sheet'!CD61*12,"")</f>
        <v>3619.1731843575417</v>
      </c>
      <c r="CE63" s="133">
        <f>IFERROR('Production in Sqm'!AV43/'Main Sheet'!CE61*12,"")</f>
        <v>3599.9553072625704</v>
      </c>
      <c r="CF63" s="133">
        <f>IFERROR('Production in Sqm'!AW43/'Main Sheet'!CF61*12,"")</f>
        <v>3415.2985074626863</v>
      </c>
      <c r="CG63" s="133">
        <f>IFERROR('Production in Sqm'!AX43/'Main Sheet'!CG61*12,"")</f>
        <v>3808.0446927374305</v>
      </c>
      <c r="CH63" s="133">
        <f>IFERROR('Production in Sqm'!AY43/'Main Sheet'!CH61*12,"")</f>
        <v>4018.1452513966483</v>
      </c>
      <c r="CI63" s="133">
        <f>IFERROR('Production in Sqm'!AZ43/'Main Sheet'!CI61*12,"")</f>
        <v>4229.1420586865397</v>
      </c>
      <c r="CJ63" s="111">
        <f t="shared" si="148"/>
        <v>3804.6045240460244</v>
      </c>
    </row>
    <row r="64" spans="11:96" ht="13.5" thickTop="1" thickBot="1">
      <c r="K64" s="110" t="s">
        <v>12</v>
      </c>
      <c r="L64" s="131" t="s">
        <v>78</v>
      </c>
      <c r="M64" s="110"/>
      <c r="N64" s="111">
        <f>'Production in Sqm'!B39/'Main Sheet'!N62*12</f>
        <v>2497.7238743068397</v>
      </c>
      <c r="O64" s="111">
        <f>'Production in Sqm'!C39/'Main Sheet'!O62*12</f>
        <v>2361.2844461538461</v>
      </c>
      <c r="P64" s="111">
        <f>'Production in Sqm'!D39/'Main Sheet'!P62*12</f>
        <v>2406.899326885879</v>
      </c>
      <c r="Q64" s="111">
        <f>'Production in Sqm'!E39/'Main Sheet'!Q62*12</f>
        <v>3230.5247292817685</v>
      </c>
      <c r="R64" s="111">
        <f>'Production in Sqm'!F39/'Main Sheet'!R62*12</f>
        <v>2813.6147504488335</v>
      </c>
      <c r="S64" s="111">
        <f>'Production in Sqm'!G39/'Main Sheet'!S62*12</f>
        <v>2817.1312941176457</v>
      </c>
      <c r="T64" s="111">
        <f>'Production in Sqm'!H39/'Main Sheet'!T62*12</f>
        <v>2476.047676300579</v>
      </c>
      <c r="U64" s="111">
        <f>'Production in Sqm'!I39/'Main Sheet'!U62*12</f>
        <v>2479.6704644913616</v>
      </c>
      <c r="V64" s="111">
        <f>'Production in Sqm'!J39/'Main Sheet'!V62*12</f>
        <v>2290.2801252446179</v>
      </c>
      <c r="W64" s="111">
        <f>'Production in Sqm'!K39/'Main Sheet'!W62*12</f>
        <v>2408.1209686847601</v>
      </c>
      <c r="X64" s="111">
        <f>'Production in Sqm'!L39/'Main Sheet'!X62*12</f>
        <v>3611.8350512333982</v>
      </c>
      <c r="Y64" s="111">
        <f>'Production in Sqm'!M39/'Main Sheet'!Y62*12</f>
        <v>3928.2138715596357</v>
      </c>
      <c r="Z64" s="111">
        <f t="shared" si="149"/>
        <v>2776.7788815590975</v>
      </c>
      <c r="AA64" s="111">
        <f>'Production in Sqm'!N39/AA62*12</f>
        <v>3276.0927383367134</v>
      </c>
      <c r="AB64" s="111">
        <f>'Production in Sqm'!O39/AB62*12</f>
        <v>3124.3250660980821</v>
      </c>
      <c r="AC64" s="146">
        <f>'Production in Sqm'!P39/AC62*12</f>
        <v>3582.1102824858744</v>
      </c>
      <c r="AD64" s="147">
        <f>'Production in Sqm'!Q39/AD62*12</f>
        <v>3882.1567160940331</v>
      </c>
      <c r="AE64" s="111">
        <f>'Production in Sqm'!R39/AE62*12</f>
        <v>3844.3582446043174</v>
      </c>
      <c r="AF64" s="111">
        <f>'Production in Sqm'!S39/AF62*12</f>
        <v>4082.0925501858737</v>
      </c>
      <c r="AG64" s="147">
        <f>'Production in Sqm'!T39/AG62*12</f>
        <v>3690.2951046931398</v>
      </c>
      <c r="AH64" s="147">
        <f>'Production in Sqm'!U39/AH62*12</f>
        <v>3488.4283597122294</v>
      </c>
      <c r="AI64" s="147">
        <f>'Production in Sqm'!V39/AI62*12</f>
        <v>2687.5303846153824</v>
      </c>
      <c r="AJ64" s="111">
        <f>'Production in Sqm'!W39/AJ62*12</f>
        <v>2663.3238000000019</v>
      </c>
      <c r="AK64" s="111">
        <f>'Production in Sqm'!X39/AK62*12</f>
        <v>2931.5432000000028</v>
      </c>
      <c r="AL64" s="111">
        <f>'Production in Sqm'!Y39/AL62*12</f>
        <v>3414.4922847457656</v>
      </c>
      <c r="AM64" s="148">
        <f t="shared" si="150"/>
        <v>3388.8957276309507</v>
      </c>
      <c r="AN64" s="149">
        <f>IFERROR('Production in Sqm'!AA39/AN62*12,"")</f>
        <v>3528.7705218914193</v>
      </c>
      <c r="AO64" s="150">
        <f>IFERROR('Production in Sqm'!AB39/AO62*12,"")</f>
        <v>3496.7876847635716</v>
      </c>
      <c r="AP64" s="150">
        <f>IFERROR('Production in Sqm'!AC39/AP62*12,"")</f>
        <v>3468.320873239436</v>
      </c>
      <c r="AQ64" s="150">
        <f>IFERROR('Production in Sqm'!AD39/AQ62*12,"")</f>
        <v>3741.9821506129583</v>
      </c>
      <c r="AR64" s="149">
        <f>IFERROR('Production in Sqm'!AE39/AR62*12,"")</f>
        <v>3679.2461538461548</v>
      </c>
      <c r="AS64" s="150">
        <f>IFERROR('Production in Sqm'!AF39/AS62*12,"")</f>
        <v>3741.636945709281</v>
      </c>
      <c r="AT64" s="150">
        <f>IFERROR('Production in Sqm'!AG39/AT62*12,"")</f>
        <v>3614.6971868131886</v>
      </c>
      <c r="AU64" s="150">
        <f>IFERROR('Production in Sqm'!AH39/AU62*12,"")</f>
        <v>3702.9634955595056</v>
      </c>
      <c r="AV64" s="150">
        <f>IFERROR('Production in Sqm'!AI39/AV62*12,"")</f>
        <v>3725.0061570680627</v>
      </c>
      <c r="AW64" s="150">
        <f>IFERROR('Production in Sqm'!AJ39/AW62*12,"")</f>
        <v>3396.3030307167228</v>
      </c>
      <c r="AX64" s="150">
        <f>IFERROR('Production in Sqm'!AK39/AX62*12,"")</f>
        <v>3603.0152957746468</v>
      </c>
      <c r="AY64" s="150">
        <f>IFERROR('Production in Sqm'!AL39/AY62*12,"")</f>
        <v>3831.5757073170721</v>
      </c>
      <c r="AZ64" s="152">
        <f t="shared" si="152"/>
        <v>3627.5254336093349</v>
      </c>
      <c r="BB64" s="155">
        <f>X64/12</f>
        <v>300.98625426944983</v>
      </c>
      <c r="BC64" s="155"/>
      <c r="BX64" s="149">
        <f>IFERROR('Production in Sqm'!AO39/'Main Sheet'!BX62*12,"")</f>
        <v>3796.5988631578944</v>
      </c>
      <c r="BY64" s="152">
        <f>IFERROR('Production in Sqm'!AP39/'Main Sheet'!BY62*12,"")</f>
        <v>3816.3771608391589</v>
      </c>
      <c r="BZ64" s="149">
        <f>IFERROR('Production in Sqm'!AQ39/'Main Sheet'!BZ62*12,"")</f>
        <v>3712.0020416666666</v>
      </c>
      <c r="CA64" s="150">
        <f>IFERROR('Production in Sqm'!AR39/'Main Sheet'!CA62*12,"")</f>
        <v>3773.2200833333336</v>
      </c>
      <c r="CB64" s="150">
        <f>IFERROR('Production in Sqm'!AS39/'Main Sheet'!CB62*12,"")</f>
        <v>3634.3298367346943</v>
      </c>
      <c r="CC64" s="149">
        <f>IFERROR('Production in Sqm'!AT39/'Main Sheet'!CC62*12,"")</f>
        <v>4027.6654647887308</v>
      </c>
      <c r="CD64" s="149">
        <f>IFERROR('Production in Sqm'!AU39/'Main Sheet'!CD62*12,"")</f>
        <v>3768.922048442907</v>
      </c>
      <c r="CE64" s="150">
        <f>IFERROR('Production in Sqm'!AV39/'Main Sheet'!CE62*12,"")</f>
        <v>3427.2872577319595</v>
      </c>
      <c r="CF64" s="149">
        <f>IFERROR('Production in Sqm'!AW39/'Main Sheet'!CF62*12,"")</f>
        <v>3616.0501538461517</v>
      </c>
      <c r="CG64" s="150">
        <f>IFERROR('Production in Sqm'!AX39/'Main Sheet'!CG62*12,"")</f>
        <v>3639.4098947368411</v>
      </c>
      <c r="CH64" s="150">
        <f>IFERROR('Production in Sqm'!AY39/'Main Sheet'!CH62*12,"")</f>
        <v>3544.0001522491325</v>
      </c>
      <c r="CI64" s="150">
        <f>IFERROR('Production in Sqm'!AZ39/'Main Sheet'!CI62*12,"")</f>
        <v>3773.8341352313137</v>
      </c>
      <c r="CJ64" s="150">
        <f t="shared" si="148"/>
        <v>3710.808091063232</v>
      </c>
    </row>
    <row r="65" spans="8:116" ht="12.75" thickTop="1">
      <c r="AV65" s="127"/>
      <c r="BB65" s="115" t="s">
        <v>107</v>
      </c>
      <c r="BC65" s="118"/>
      <c r="BR65" s="115" t="s">
        <v>117</v>
      </c>
      <c r="BU65" s="119" t="str">
        <f>BB65</f>
        <v>Jul'17</v>
      </c>
      <c r="BV65" s="119" t="str">
        <f>BR65</f>
        <v>YTD Jul'17</v>
      </c>
      <c r="CX65" s="205"/>
      <c r="DK65" s="178" t="s">
        <v>16</v>
      </c>
    </row>
    <row r="66" spans="8:116" ht="12.75" thickBot="1">
      <c r="K66" s="123" t="s">
        <v>16</v>
      </c>
      <c r="L66" s="124"/>
      <c r="M66" s="125"/>
      <c r="N66" s="126" t="s">
        <v>22</v>
      </c>
      <c r="O66" s="126" t="s">
        <v>23</v>
      </c>
      <c r="P66" s="126" t="s">
        <v>24</v>
      </c>
      <c r="Q66" s="126" t="s">
        <v>25</v>
      </c>
      <c r="R66" s="126" t="s">
        <v>26</v>
      </c>
      <c r="S66" s="126" t="s">
        <v>27</v>
      </c>
      <c r="T66" s="126" t="s">
        <v>28</v>
      </c>
      <c r="U66" s="126" t="s">
        <v>29</v>
      </c>
      <c r="V66" s="126" t="s">
        <v>30</v>
      </c>
      <c r="W66" s="126" t="s">
        <v>31</v>
      </c>
      <c r="X66" s="126" t="s">
        <v>32</v>
      </c>
      <c r="Y66" s="126" t="s">
        <v>33</v>
      </c>
      <c r="Z66" s="126" t="s">
        <v>77</v>
      </c>
      <c r="AA66" s="126" t="s">
        <v>81</v>
      </c>
      <c r="AB66" s="126" t="s">
        <v>82</v>
      </c>
      <c r="AC66" s="126" t="s">
        <v>83</v>
      </c>
      <c r="AD66" s="126" t="s">
        <v>84</v>
      </c>
      <c r="AE66" s="126" t="s">
        <v>85</v>
      </c>
      <c r="AF66" s="126" t="s">
        <v>86</v>
      </c>
      <c r="AG66" s="126" t="s">
        <v>87</v>
      </c>
      <c r="AH66" s="126" t="s">
        <v>88</v>
      </c>
      <c r="AI66" s="126" t="s">
        <v>89</v>
      </c>
      <c r="AJ66" s="126" t="s">
        <v>90</v>
      </c>
      <c r="AK66" s="126" t="s">
        <v>91</v>
      </c>
      <c r="AL66" s="126" t="s">
        <v>92</v>
      </c>
      <c r="AM66" s="126" t="str">
        <f>AM50</f>
        <v>FY 16~17</v>
      </c>
      <c r="AN66" s="126" t="str">
        <f>AN2</f>
        <v>Apr'17</v>
      </c>
      <c r="AO66" s="126" t="str">
        <f t="shared" ref="AO66:AY66" si="153">AO2</f>
        <v>May'17</v>
      </c>
      <c r="AP66" s="126" t="str">
        <f t="shared" si="153"/>
        <v>Jun'17</v>
      </c>
      <c r="AQ66" s="126" t="str">
        <f t="shared" si="153"/>
        <v>Jul'17</v>
      </c>
      <c r="AR66" s="126" t="str">
        <f t="shared" si="153"/>
        <v>Aug'17</v>
      </c>
      <c r="AS66" s="126" t="str">
        <f t="shared" si="153"/>
        <v>Sep'17</v>
      </c>
      <c r="AT66" s="126" t="str">
        <f t="shared" si="153"/>
        <v>Oct'17</v>
      </c>
      <c r="AU66" s="126" t="str">
        <f t="shared" si="153"/>
        <v>Nov'17</v>
      </c>
      <c r="AV66" s="126" t="str">
        <f t="shared" si="153"/>
        <v>Dec'17</v>
      </c>
      <c r="AW66" s="126" t="str">
        <f t="shared" si="153"/>
        <v>Jan'18</v>
      </c>
      <c r="AX66" s="126" t="str">
        <f t="shared" si="153"/>
        <v>Feb'18</v>
      </c>
      <c r="AY66" s="126" t="str">
        <f t="shared" si="153"/>
        <v>Mar'18</v>
      </c>
      <c r="AZ66" s="126" t="str">
        <f>AZ50</f>
        <v>FY 1718</v>
      </c>
      <c r="BB66" s="115">
        <v>245</v>
      </c>
      <c r="BU66" s="128">
        <f>BB68</f>
        <v>8.8803991957349698E-2</v>
      </c>
      <c r="BV66" s="128">
        <f>BR68</f>
        <v>0.11226260474977696</v>
      </c>
      <c r="BX66" s="126" t="s">
        <v>127</v>
      </c>
      <c r="BY66" s="126" t="s">
        <v>128</v>
      </c>
      <c r="BZ66" s="126" t="str">
        <f>BZ50</f>
        <v>Jun'18</v>
      </c>
      <c r="CA66" s="129" t="s">
        <v>130</v>
      </c>
      <c r="CB66" s="129" t="s">
        <v>131</v>
      </c>
      <c r="CC66" s="129" t="s">
        <v>132</v>
      </c>
      <c r="CD66" s="129" t="s">
        <v>133</v>
      </c>
      <c r="CE66" s="129" t="s">
        <v>134</v>
      </c>
      <c r="CF66" s="129" t="s">
        <v>135</v>
      </c>
      <c r="CG66" s="129" t="s">
        <v>136</v>
      </c>
      <c r="CH66" s="129" t="s">
        <v>137</v>
      </c>
      <c r="CI66" s="129" t="s">
        <v>138</v>
      </c>
      <c r="CJ66" s="129" t="str">
        <f>CJ2</f>
        <v>FY 1819</v>
      </c>
      <c r="CL66" s="115" t="s">
        <v>127</v>
      </c>
      <c r="CM66" s="115" t="s">
        <v>128</v>
      </c>
      <c r="CN66" s="115" t="s">
        <v>159</v>
      </c>
      <c r="CO66" s="116" t="s">
        <v>130</v>
      </c>
      <c r="CP66" s="116" t="s">
        <v>131</v>
      </c>
      <c r="CQ66" s="116" t="s">
        <v>132</v>
      </c>
      <c r="CR66" s="116" t="s">
        <v>133</v>
      </c>
      <c r="CS66" s="116" t="s">
        <v>134</v>
      </c>
      <c r="CT66" s="116" t="s">
        <v>135</v>
      </c>
      <c r="CU66" s="116" t="s">
        <v>136</v>
      </c>
      <c r="CV66" s="116" t="s">
        <v>137</v>
      </c>
      <c r="CW66" s="116" t="s">
        <v>138</v>
      </c>
      <c r="CX66" s="116" t="s">
        <v>169</v>
      </c>
      <c r="CZ66" s="167" t="s">
        <v>127</v>
      </c>
      <c r="DA66" s="167" t="s">
        <v>128</v>
      </c>
      <c r="DB66" s="167" t="s">
        <v>129</v>
      </c>
      <c r="DC66" s="167" t="s">
        <v>130</v>
      </c>
      <c r="DD66" s="167" t="s">
        <v>131</v>
      </c>
      <c r="DE66" s="167" t="s">
        <v>132</v>
      </c>
      <c r="DF66" s="167" t="s">
        <v>133</v>
      </c>
      <c r="DG66" s="167" t="s">
        <v>134</v>
      </c>
      <c r="DH66" s="167" t="s">
        <v>135</v>
      </c>
      <c r="DI66" s="167" t="s">
        <v>136</v>
      </c>
      <c r="DJ66" s="167" t="s">
        <v>137</v>
      </c>
      <c r="DK66" s="167" t="s">
        <v>138</v>
      </c>
      <c r="DL66" s="167" t="s">
        <v>169</v>
      </c>
    </row>
    <row r="67" spans="8:116" ht="13.5" thickTop="1" thickBot="1">
      <c r="H67" s="115">
        <f>AM67*100000</f>
        <v>1590853280.3952327</v>
      </c>
      <c r="K67" s="110" t="s">
        <v>100</v>
      </c>
      <c r="L67" s="131" t="s">
        <v>39</v>
      </c>
      <c r="M67" s="110"/>
      <c r="N67" s="109">
        <f t="shared" ref="N67:Y67" si="154">SUM(N51,N35,N19,N3)</f>
        <v>1090.5852368454723</v>
      </c>
      <c r="O67" s="109">
        <f t="shared" si="154"/>
        <v>1100.8504211396264</v>
      </c>
      <c r="P67" s="109">
        <f t="shared" si="154"/>
        <v>1087.2585036495466</v>
      </c>
      <c r="Q67" s="109">
        <f t="shared" si="154"/>
        <v>1083.6940231565113</v>
      </c>
      <c r="R67" s="132">
        <f t="shared" si="154"/>
        <v>1258.8222153014076</v>
      </c>
      <c r="S67" s="132">
        <f t="shared" si="154"/>
        <v>1254.3905772382991</v>
      </c>
      <c r="T67" s="132">
        <f t="shared" si="154"/>
        <v>1252.5737805014037</v>
      </c>
      <c r="U67" s="109">
        <f t="shared" si="154"/>
        <v>1123.2341774716831</v>
      </c>
      <c r="V67" s="109">
        <f t="shared" si="154"/>
        <v>1065.784721189455</v>
      </c>
      <c r="W67" s="109">
        <f t="shared" si="154"/>
        <v>1063.5057897305871</v>
      </c>
      <c r="X67" s="109">
        <f t="shared" si="154"/>
        <v>1044.9494849462933</v>
      </c>
      <c r="Y67" s="109">
        <f t="shared" si="154"/>
        <v>1118.8349869242795</v>
      </c>
      <c r="Z67" s="111">
        <f>SUM(N67:Y67)</f>
        <v>13544.483918094564</v>
      </c>
      <c r="AA67" s="109">
        <f t="shared" ref="AA67:AI67" si="155">SUM(AA51,AA35,AA19,AA3)</f>
        <v>1276.6574149213218</v>
      </c>
      <c r="AB67" s="109">
        <f t="shared" si="155"/>
        <v>1298.8840014978769</v>
      </c>
      <c r="AC67" s="109">
        <f t="shared" si="155"/>
        <v>1284.6375357426218</v>
      </c>
      <c r="AD67" s="109">
        <f t="shared" si="155"/>
        <v>1280.8104073075428</v>
      </c>
      <c r="AE67" s="109">
        <f t="shared" si="155"/>
        <v>1489.5039732750733</v>
      </c>
      <c r="AF67" s="109">
        <f t="shared" si="155"/>
        <v>1485.372613999966</v>
      </c>
      <c r="AG67" s="109">
        <f t="shared" si="155"/>
        <v>1509.5713974925375</v>
      </c>
      <c r="AH67" s="109">
        <f t="shared" si="155"/>
        <v>1274.2477759162325</v>
      </c>
      <c r="AI67" s="109">
        <f t="shared" si="155"/>
        <v>1234.5370962262325</v>
      </c>
      <c r="AJ67" s="109">
        <f t="shared" ref="AJ67:AK67" si="156">SUM(AJ51,AJ35,AJ19,AJ3)</f>
        <v>1241.6170397735832</v>
      </c>
      <c r="AK67" s="109">
        <f t="shared" si="156"/>
        <v>1228.8848639985231</v>
      </c>
      <c r="AL67" s="109">
        <f t="shared" ref="AL67" si="157">SUM(AL51,AL35,AL19,AL3)</f>
        <v>1303.8086838008121</v>
      </c>
      <c r="AM67" s="111">
        <f>SUM(AA67:AL67)</f>
        <v>15908.532803952327</v>
      </c>
      <c r="AN67" s="133">
        <f>IF(SUM(AN51,AN35,AN19,AN3)=0,"",SUM(AN51,AN35,AN19,AN3))</f>
        <v>1481.6683526184993</v>
      </c>
      <c r="AO67" s="133">
        <f t="shared" ref="AO67:AW68" si="158">IF(SUM(AO51,AO35,AO19,AO3)=0,"",SUM(AO51,AO35,AO19,AO3))</f>
        <v>1484.9506797793911</v>
      </c>
      <c r="AP67" s="133">
        <f t="shared" si="158"/>
        <v>1486.4545993165107</v>
      </c>
      <c r="AQ67" s="133">
        <f t="shared" ref="AQ67" si="159">IF(SUM(AQ51,AQ35,AQ19,AQ3)=0,"",SUM(AQ51,AQ35,AQ19,AQ3))</f>
        <v>1485.2315680954885</v>
      </c>
      <c r="AR67" s="133">
        <f t="shared" si="158"/>
        <v>1567.7400629381154</v>
      </c>
      <c r="AS67" s="133">
        <f t="shared" si="158"/>
        <v>1564.5217186654659</v>
      </c>
      <c r="AT67" s="133">
        <f t="shared" si="158"/>
        <v>1582.5757560408661</v>
      </c>
      <c r="AU67" s="133">
        <f t="shared" ref="AU67:AV67" si="160">IF(SUM(AU51,AU35,AU19,AU3)=0,"",SUM(AU51,AU35,AU19,AU3))</f>
        <v>1577.2455764428892</v>
      </c>
      <c r="AV67" s="133">
        <f t="shared" si="160"/>
        <v>1530.4465078832357</v>
      </c>
      <c r="AW67" s="133">
        <f t="shared" si="158"/>
        <v>1781.5012860057459</v>
      </c>
      <c r="AX67" s="133">
        <f t="shared" ref="AX67:AY67" si="161">IF(SUM(AX51,AX35,AX19,AX3)=0,"",SUM(AX51,AX35,AX19,AX3))</f>
        <v>1752.4642290969709</v>
      </c>
      <c r="AY67" s="133">
        <f t="shared" si="161"/>
        <v>1810.4616994506468</v>
      </c>
      <c r="AZ67" s="111">
        <f>SUM(AN67:AY67)</f>
        <v>19105.262036333825</v>
      </c>
      <c r="BA67" s="156"/>
      <c r="BB67" s="118">
        <f>AQ67-BB66</f>
        <v>1240.2315680954885</v>
      </c>
      <c r="BC67" s="118"/>
      <c r="BD67" s="118"/>
      <c r="BE67" s="118"/>
      <c r="BF67" s="118"/>
      <c r="BG67" s="118"/>
      <c r="BH67" s="118"/>
      <c r="BI67" s="118"/>
      <c r="BJ67" s="118"/>
      <c r="BK67" s="118"/>
      <c r="BL67" s="118"/>
      <c r="BM67" s="118"/>
      <c r="BN67" s="118"/>
      <c r="BO67" s="118"/>
      <c r="BP67" s="118"/>
      <c r="BQ67" s="118"/>
      <c r="BR67" s="127">
        <f>AZ67-(BB66+BK66+BL66)</f>
        <v>18860.262036333825</v>
      </c>
      <c r="BS67" s="127"/>
      <c r="BX67" s="133">
        <f t="shared" ref="BX67:BZ68" si="162">IF(SUM(BX51,BX35,BX19,BX3,BX85)=0,"",SUM(BX51,BX35,BX19,BX3,BX85))</f>
        <v>1609.9447213324861</v>
      </c>
      <c r="BY67" s="133">
        <f t="shared" si="162"/>
        <v>1596.8162218954324</v>
      </c>
      <c r="BZ67" s="133">
        <f t="shared" si="162"/>
        <v>1590.1204497605668</v>
      </c>
      <c r="CA67" s="133">
        <f t="shared" ref="CA67:CB67" si="163">IF(SUM(CA51,CA35,CA19,CA3,CA85)=0,"",SUM(CA51,CA35,CA19,CA3,CA85))</f>
        <v>1725.6678959700509</v>
      </c>
      <c r="CB67" s="133">
        <f t="shared" si="163"/>
        <v>1724.9788854343956</v>
      </c>
      <c r="CC67" s="133">
        <f t="shared" ref="CC67:CD67" si="164">IF(SUM(CC51,CC35,CC19,CC3,CC85)=0,"",SUM(CC51,CC35,CC19,CC3,CC85))</f>
        <v>1702.4297112129098</v>
      </c>
      <c r="CD67" s="133">
        <f t="shared" si="164"/>
        <v>1631.3617119884382</v>
      </c>
      <c r="CE67" s="133">
        <f t="shared" ref="CE67:CF67" si="165">IF(SUM(CE51,CE35,CE19,CE3,CE85)=0,"",SUM(CE51,CE35,CE19,CE3,CE85))</f>
        <v>1660.5211064804455</v>
      </c>
      <c r="CF67" s="133">
        <f t="shared" si="165"/>
        <v>1640.1078568732628</v>
      </c>
      <c r="CG67" s="133">
        <f t="shared" ref="CG67" si="166">IF(SUM(CG51,CG35,CG19,CG3,CG85)=0,"",SUM(CG51,CG35,CG19,CG3,CG85))</f>
        <v>1915.7130551321497</v>
      </c>
      <c r="CH67" s="133">
        <f t="shared" ref="CH67:CI67" si="167">IF(SUM(CH51,CH35,CH19,CH3,CH85)=0,"",SUM(CH51,CH35,CH19,CH3,CH85))</f>
        <v>1899.2217428148479</v>
      </c>
      <c r="CI67" s="133">
        <f t="shared" si="167"/>
        <v>1948.348173910287</v>
      </c>
      <c r="CJ67" s="111">
        <f>SUM(BX67:CI67)</f>
        <v>20645.231532805272</v>
      </c>
      <c r="CK67" s="166" t="s">
        <v>155</v>
      </c>
      <c r="CL67" s="171">
        <f t="shared" ref="CL67:CW67" si="168">BX67-CL2</f>
        <v>1609.9447213324861</v>
      </c>
      <c r="CM67" s="171">
        <f t="shared" si="168"/>
        <v>1596.8162218954324</v>
      </c>
      <c r="CN67" s="171">
        <f t="shared" si="168"/>
        <v>1590.1204497605668</v>
      </c>
      <c r="CO67" s="171">
        <f t="shared" si="168"/>
        <v>1628.4578959700509</v>
      </c>
      <c r="CP67" s="171">
        <f t="shared" si="168"/>
        <v>1627.7688854343955</v>
      </c>
      <c r="CQ67" s="171">
        <f t="shared" si="168"/>
        <v>1605.2197112129097</v>
      </c>
      <c r="CR67" s="171">
        <f t="shared" si="168"/>
        <v>1631.3617119884382</v>
      </c>
      <c r="CS67" s="171">
        <f t="shared" si="168"/>
        <v>1660.5211064804455</v>
      </c>
      <c r="CT67" s="171">
        <f t="shared" si="168"/>
        <v>1640.1078568732628</v>
      </c>
      <c r="CU67" s="171">
        <f t="shared" si="168"/>
        <v>1603.7152182438306</v>
      </c>
      <c r="CV67" s="171">
        <f t="shared" si="168"/>
        <v>1587.2239059265287</v>
      </c>
      <c r="CW67" s="171">
        <f t="shared" si="168"/>
        <v>1636.3503370219678</v>
      </c>
      <c r="CX67" s="171">
        <f>CJ67-CP2-CO2-CQ2-CR2-CS2-CT2-CU2-CV2-CW2</f>
        <v>19417.608022140314</v>
      </c>
      <c r="CY67" s="127"/>
      <c r="CZ67" s="168">
        <f t="shared" ref="CZ67:DK67" si="169">CL68</f>
        <v>0.10808625185179498</v>
      </c>
      <c r="DA67" s="168">
        <f t="shared" si="169"/>
        <v>0.10193528387458872</v>
      </c>
      <c r="DB67" s="168">
        <f t="shared" si="169"/>
        <v>0.11445479376380673</v>
      </c>
      <c r="DC67" s="168">
        <f t="shared" si="169"/>
        <v>0.10217454485945858</v>
      </c>
      <c r="DD67" s="168">
        <f t="shared" si="169"/>
        <v>0.10003496100260544</v>
      </c>
      <c r="DE67" s="168">
        <f t="shared" si="169"/>
        <v>0.10142927531991089</v>
      </c>
      <c r="DF67" s="168">
        <f t="shared" si="169"/>
        <v>0.10751032766498209</v>
      </c>
      <c r="DG67" s="168">
        <f t="shared" si="169"/>
        <v>0.1148116646947691</v>
      </c>
      <c r="DH67" s="168">
        <f t="shared" si="169"/>
        <v>0.11530567047759159</v>
      </c>
      <c r="DI67" s="168">
        <f t="shared" si="169"/>
        <v>0.10946114382935163</v>
      </c>
      <c r="DJ67" s="168">
        <f t="shared" si="169"/>
        <v>0.10259349143084019</v>
      </c>
      <c r="DK67" s="168">
        <f t="shared" si="169"/>
        <v>0.10415316256266105</v>
      </c>
      <c r="DL67" s="168">
        <f t="shared" ref="DL67" si="170">CX68</f>
        <v>0.10658298536164358</v>
      </c>
    </row>
    <row r="68" spans="8:116" ht="13.5" thickTop="1" thickBot="1">
      <c r="H68" s="115">
        <f>AM68*100000</f>
        <v>1676166215.9027739</v>
      </c>
      <c r="K68" s="110"/>
      <c r="L68" s="131" t="s">
        <v>78</v>
      </c>
      <c r="M68" s="110"/>
      <c r="N68" s="109">
        <f t="shared" ref="N68:Y68" si="171">SUM(N52,N36,N20,N4)</f>
        <v>1080.0771244666666</v>
      </c>
      <c r="O68" s="109">
        <f t="shared" si="171"/>
        <v>1072.7817192666662</v>
      </c>
      <c r="P68" s="109">
        <f t="shared" si="171"/>
        <v>1079.0436116666672</v>
      </c>
      <c r="Q68" s="109">
        <f t="shared" si="171"/>
        <v>1125.6290739999997</v>
      </c>
      <c r="R68" s="109">
        <f t="shared" si="171"/>
        <v>1106.634543541026</v>
      </c>
      <c r="S68" s="109">
        <f t="shared" si="171"/>
        <v>1137.6934777827846</v>
      </c>
      <c r="T68" s="109">
        <f t="shared" si="171"/>
        <v>1215.390758809523</v>
      </c>
      <c r="U68" s="109">
        <f t="shared" si="171"/>
        <v>1192.4022617488122</v>
      </c>
      <c r="V68" s="109">
        <f t="shared" si="171"/>
        <v>1135.6070918666637</v>
      </c>
      <c r="W68" s="109">
        <f t="shared" si="171"/>
        <v>1127.0170475666682</v>
      </c>
      <c r="X68" s="109">
        <f t="shared" si="171"/>
        <v>1145.6083047666698</v>
      </c>
      <c r="Y68" s="109">
        <f t="shared" si="171"/>
        <v>1626.8346707168505</v>
      </c>
      <c r="Z68" s="111">
        <f>SUM(N68:Y68)</f>
        <v>14044.719686198996</v>
      </c>
      <c r="AA68" s="109">
        <f t="shared" ref="AA68:AI68" si="172">SUM(AA52,AA36,AA20,AA4)</f>
        <v>1259.8128649</v>
      </c>
      <c r="AB68" s="109">
        <f t="shared" si="172"/>
        <v>1308.0971200212894</v>
      </c>
      <c r="AC68" s="109">
        <f t="shared" si="172"/>
        <v>1342.1437776106445</v>
      </c>
      <c r="AD68" s="109">
        <f t="shared" si="172"/>
        <v>1327.1546460425798</v>
      </c>
      <c r="AE68" s="109">
        <f t="shared" si="172"/>
        <v>1341.574480343977</v>
      </c>
      <c r="AF68" s="109">
        <f t="shared" si="172"/>
        <v>1458.3512325173119</v>
      </c>
      <c r="AG68" s="109">
        <f t="shared" si="172"/>
        <v>1548.5087367373121</v>
      </c>
      <c r="AH68" s="109">
        <f t="shared" si="172"/>
        <v>1422.6579547773104</v>
      </c>
      <c r="AI68" s="109">
        <f t="shared" si="172"/>
        <v>1366.4934615773132</v>
      </c>
      <c r="AJ68" s="109">
        <f t="shared" ref="AJ68:AK68" si="173">SUM(AJ52,AJ36,AJ20,AJ4)</f>
        <v>1392.7792859731117</v>
      </c>
      <c r="AK68" s="109">
        <f t="shared" si="173"/>
        <v>1364.5263223773131</v>
      </c>
      <c r="AL68" s="109">
        <f t="shared" ref="AL68" si="174">SUM(AL52,AL36,AL20,AL4)</f>
        <v>1599.5622761495758</v>
      </c>
      <c r="AM68" s="111">
        <f>SUM(AA68:AL68)+30</f>
        <v>16761.662159027739</v>
      </c>
      <c r="AN68" s="133">
        <f>IF(SUM(AN52,AN36,AN20,AN4)=0,"",SUM(AN52,AN36,AN20,AN4))</f>
        <v>1472.2158471366147</v>
      </c>
      <c r="AO68" s="133">
        <f t="shared" si="158"/>
        <v>1495.4845133300519</v>
      </c>
      <c r="AP68" s="133">
        <f t="shared" si="158"/>
        <v>1512.1392448333336</v>
      </c>
      <c r="AQ68" s="133">
        <f t="shared" ref="AQ68" si="175">IF(SUM(AQ52,AQ36,AQ20,AQ4)=0,"",SUM(AQ52,AQ36,AQ20,AQ4))</f>
        <v>1544.8981005666669</v>
      </c>
      <c r="AR68" s="133">
        <f t="shared" si="158"/>
        <v>1547.9181772333347</v>
      </c>
      <c r="AS68" s="133">
        <f t="shared" si="158"/>
        <v>1549.1767381999971</v>
      </c>
      <c r="AT68" s="133">
        <f t="shared" si="158"/>
        <v>1602.8543940000002</v>
      </c>
      <c r="AU68" s="133">
        <f t="shared" ref="AU68:AV68" si="176">IF(SUM(AU52,AU36,AU20,AU4)=0,"",SUM(AU52,AU36,AU20,AU4))</f>
        <v>1579.1321280000011</v>
      </c>
      <c r="AV68" s="133">
        <f t="shared" si="176"/>
        <v>1605.0112704000007</v>
      </c>
      <c r="AW68" s="133">
        <f t="shared" si="158"/>
        <v>1938.3367038999972</v>
      </c>
      <c r="AX68" s="133">
        <f t="shared" ref="AX68:AY68" si="177">IF(SUM(AX52,AX36,AX20,AX4)=0,"",SUM(AX52,AX36,AX20,AX4))</f>
        <v>1673.6219274436744</v>
      </c>
      <c r="AY68" s="133">
        <f t="shared" si="177"/>
        <v>1718.9343257000055</v>
      </c>
      <c r="AZ68" s="111">
        <f>SUM(AN68:AY68)</f>
        <v>19239.723370743675</v>
      </c>
      <c r="BA68" s="135">
        <f>(AZ68-AZ67)/AZ67</f>
        <v>7.0379214979693063E-3</v>
      </c>
      <c r="BB68" s="135">
        <f>BB67/AQ69</f>
        <v>8.8803991957349698E-2</v>
      </c>
      <c r="BC68" s="118"/>
      <c r="BD68" s="135"/>
      <c r="BE68" s="135"/>
      <c r="BF68" s="135"/>
      <c r="BG68" s="135"/>
      <c r="BH68" s="135"/>
      <c r="BI68" s="135"/>
      <c r="BJ68" s="135"/>
      <c r="BK68" s="135"/>
      <c r="BL68" s="135"/>
      <c r="BM68" s="135"/>
      <c r="BN68" s="136"/>
      <c r="BO68" s="136"/>
      <c r="BP68" s="136"/>
      <c r="BQ68" s="136"/>
      <c r="BR68" s="135">
        <f>BR67/AZ69</f>
        <v>0.11226260474977696</v>
      </c>
      <c r="BS68" s="135"/>
      <c r="BW68" s="127">
        <f>AZ67-AZ68</f>
        <v>-134.46133440985068</v>
      </c>
      <c r="BX68" s="133">
        <f t="shared" si="162"/>
        <v>1603.0107571000001</v>
      </c>
      <c r="BY68" s="133">
        <f t="shared" si="162"/>
        <v>1634.3517028999997</v>
      </c>
      <c r="BZ68" s="133">
        <f t="shared" si="162"/>
        <v>1643.3412936000002</v>
      </c>
      <c r="CA68" s="133">
        <f t="shared" ref="CA68:CB68" si="178">IF(SUM(CA52,CA36,CA20,CA4,CA86)=0,"",SUM(CA52,CA36,CA20,CA4,CA86))</f>
        <v>1674.2519284000007</v>
      </c>
      <c r="CB68" s="133">
        <f t="shared" si="178"/>
        <v>1662.2723856999999</v>
      </c>
      <c r="CC68" s="133">
        <f t="shared" ref="CC68:CD68" si="179">IF(SUM(CC52,CC36,CC20,CC4,CC86)=0,"",SUM(CC52,CC36,CC20,CC4,CC86))</f>
        <v>1656.7310290999992</v>
      </c>
      <c r="CD68" s="133">
        <f t="shared" si="179"/>
        <v>1753.8064325999994</v>
      </c>
      <c r="CE68" s="133">
        <f t="shared" ref="CE68:CF68" si="180">IF(SUM(CE52,CE36,CE20,CE4,CE86)=0,"",SUM(CE52,CE36,CE20,CE4,CE86))</f>
        <v>1654.3333754000023</v>
      </c>
      <c r="CF68" s="133">
        <f t="shared" si="180"/>
        <v>1560.9989794999981</v>
      </c>
      <c r="CG68" s="133">
        <f t="shared" ref="CG68:CH68" si="181">IF(SUM(CG52,CG36,CG20,CG4,CG86)=0,"",SUM(CG52,CG36,CG20,CG4,CG86))</f>
        <v>1523.384147199999</v>
      </c>
      <c r="CH68" s="133">
        <f t="shared" si="181"/>
        <v>1551.8212590100013</v>
      </c>
      <c r="CI68" s="133">
        <f t="shared" ref="CI68" si="182">IF(SUM(CI52,CI36,CI20,CI4,CI86)=0,"",SUM(CI52,CI36,CI20,CI4,CI86))</f>
        <v>1723.5479945001143</v>
      </c>
      <c r="CJ68" s="111">
        <f>SUM(BX68:CI68)</f>
        <v>19641.851285010114</v>
      </c>
      <c r="CK68" s="166" t="s">
        <v>156</v>
      </c>
      <c r="CL68" s="151">
        <f t="shared" ref="CL68:CN68" si="183">CL67/BX69</f>
        <v>0.10808625185179498</v>
      </c>
      <c r="CM68" s="151">
        <f t="shared" si="183"/>
        <v>0.10193528387458872</v>
      </c>
      <c r="CN68" s="151">
        <f t="shared" si="183"/>
        <v>0.11445479376380673</v>
      </c>
      <c r="CO68" s="151">
        <f t="shared" ref="CO68:CW68" si="184">CO67/CA69</f>
        <v>0.10217454485945858</v>
      </c>
      <c r="CP68" s="151">
        <f t="shared" si="184"/>
        <v>0.10003496100260544</v>
      </c>
      <c r="CQ68" s="151">
        <f t="shared" si="184"/>
        <v>0.10142927531991089</v>
      </c>
      <c r="CR68" s="151">
        <f t="shared" si="184"/>
        <v>0.10751032766498209</v>
      </c>
      <c r="CS68" s="151">
        <f t="shared" si="184"/>
        <v>0.1148116646947691</v>
      </c>
      <c r="CT68" s="151">
        <f t="shared" si="184"/>
        <v>0.11530567047759159</v>
      </c>
      <c r="CU68" s="151">
        <f t="shared" si="184"/>
        <v>0.10946114382935163</v>
      </c>
      <c r="CV68" s="151">
        <f t="shared" si="184"/>
        <v>0.10259349143084019</v>
      </c>
      <c r="CW68" s="151">
        <f t="shared" si="184"/>
        <v>0.10415316256266105</v>
      </c>
      <c r="CX68" s="151">
        <f>CX67/CJ69</f>
        <v>0.10658298536164358</v>
      </c>
    </row>
    <row r="69" spans="8:116" ht="13.5" thickTop="1" thickBot="1">
      <c r="H69" s="115">
        <f>H67/10000000</f>
        <v>159.08532803952326</v>
      </c>
      <c r="K69" s="110" t="s">
        <v>102</v>
      </c>
      <c r="L69" s="131" t="s">
        <v>39</v>
      </c>
      <c r="M69" s="110"/>
      <c r="N69" s="109">
        <f t="shared" ref="N69:Y69" si="185">SUM(N53,N37,N21,N5)</f>
        <v>10328</v>
      </c>
      <c r="O69" s="109">
        <f t="shared" si="185"/>
        <v>10432</v>
      </c>
      <c r="P69" s="109">
        <f t="shared" si="185"/>
        <v>9772</v>
      </c>
      <c r="Q69" s="109">
        <f t="shared" si="185"/>
        <v>11143</v>
      </c>
      <c r="R69" s="109">
        <f t="shared" si="185"/>
        <v>10946</v>
      </c>
      <c r="S69" s="109">
        <f t="shared" si="185"/>
        <v>11124</v>
      </c>
      <c r="T69" s="109">
        <f t="shared" si="185"/>
        <v>11245</v>
      </c>
      <c r="U69" s="109">
        <f t="shared" si="185"/>
        <v>11060</v>
      </c>
      <c r="V69" s="109">
        <f t="shared" si="185"/>
        <v>11084</v>
      </c>
      <c r="W69" s="109">
        <f t="shared" si="185"/>
        <v>11691</v>
      </c>
      <c r="X69" s="109">
        <f t="shared" si="185"/>
        <v>11973</v>
      </c>
      <c r="Y69" s="109">
        <f t="shared" si="185"/>
        <v>12561</v>
      </c>
      <c r="Z69" s="111">
        <f>SUM(N69:Y69)</f>
        <v>133359</v>
      </c>
      <c r="AA69" s="109">
        <f t="shared" ref="AA69:AI69" si="186">SUM(AA53,AA37,AA21,AA5)</f>
        <v>12223</v>
      </c>
      <c r="AB69" s="109">
        <f t="shared" si="186"/>
        <v>12058</v>
      </c>
      <c r="AC69" s="109">
        <f t="shared" si="186"/>
        <v>12634</v>
      </c>
      <c r="AD69" s="109">
        <f t="shared" si="186"/>
        <v>12915</v>
      </c>
      <c r="AE69" s="109">
        <f t="shared" si="186"/>
        <v>12781</v>
      </c>
      <c r="AF69" s="109">
        <f t="shared" si="186"/>
        <v>13147</v>
      </c>
      <c r="AG69" s="109">
        <f t="shared" si="186"/>
        <v>12021</v>
      </c>
      <c r="AH69" s="109">
        <f t="shared" si="186"/>
        <v>12407</v>
      </c>
      <c r="AI69" s="109">
        <f t="shared" si="186"/>
        <v>11864</v>
      </c>
      <c r="AJ69" s="109">
        <f t="shared" ref="AJ69:AK69" si="187">SUM(AJ53,AJ37,AJ21,AJ5)</f>
        <v>12201</v>
      </c>
      <c r="AK69" s="109">
        <f t="shared" si="187"/>
        <v>12946</v>
      </c>
      <c r="AL69" s="109">
        <f t="shared" ref="AL69" si="188">SUM(AL53,AL37,AL21,AL5)</f>
        <v>13348</v>
      </c>
      <c r="AM69" s="111">
        <f>SUM(AA69:AL69)</f>
        <v>150545</v>
      </c>
      <c r="AN69" s="133">
        <f>IF(SUM(AN53,AN37,AN21,AN5)=0,"",SUM(AN53,AN37,AN21,AN5))</f>
        <v>13752.955171875632</v>
      </c>
      <c r="AO69" s="133">
        <f t="shared" ref="AO69:AW70" si="189">IF(SUM(AO53,AO37,AO21,AO5)=0,"",SUM(AO53,AO37,AO21,AO5))</f>
        <v>14342.790625292295</v>
      </c>
      <c r="AP69" s="133">
        <f t="shared" si="189"/>
        <v>13340.109660239801</v>
      </c>
      <c r="AQ69" s="133">
        <f t="shared" ref="AQ69" si="190">IF(SUM(AQ53,AQ37,AQ21,AQ5)=0,"",SUM(AQ53,AQ37,AQ21,AQ5))</f>
        <v>13965.943881116742</v>
      </c>
      <c r="AR69" s="133">
        <f t="shared" si="189"/>
        <v>13863.351216358535</v>
      </c>
      <c r="AS69" s="133">
        <f t="shared" si="189"/>
        <v>14557.731356331718</v>
      </c>
      <c r="AT69" s="133">
        <f t="shared" si="189"/>
        <v>13341.978987792132</v>
      </c>
      <c r="AU69" s="133">
        <f t="shared" ref="AU69:AV69" si="191">IF(SUM(AU53,AU37,AU21,AU5)=0,"",SUM(AU53,AU37,AU21,AU5))</f>
        <v>14343.029126955611</v>
      </c>
      <c r="AV69" s="133">
        <f t="shared" si="191"/>
        <v>13043.801263118819</v>
      </c>
      <c r="AW69" s="133">
        <f t="shared" si="189"/>
        <v>14122.353683874924</v>
      </c>
      <c r="AX69" s="133">
        <f t="shared" ref="AX69:AY69" si="192">IF(SUM(AX53,AX37,AX21,AX5)=0,"",SUM(AX53,AX37,AX21,AX5))</f>
        <v>14360.144011545328</v>
      </c>
      <c r="AY69" s="133">
        <f t="shared" si="192"/>
        <v>14967.097627114301</v>
      </c>
      <c r="AZ69" s="111">
        <f>SUM(AN69:AY69)</f>
        <v>168001.28661161583</v>
      </c>
      <c r="BA69" s="127">
        <f>168484</f>
        <v>168484</v>
      </c>
      <c r="BB69" s="139" t="s">
        <v>97</v>
      </c>
      <c r="BX69" s="133">
        <f t="shared" ref="BX69:BY69" si="193">IF(SUM(BX53,BX37,BX21,BX5)=0,"",SUM(BX53,BX37,BX21,BX5))</f>
        <v>14895</v>
      </c>
      <c r="BY69" s="133">
        <f t="shared" si="193"/>
        <v>15665</v>
      </c>
      <c r="BZ69" s="133">
        <f t="shared" ref="BZ69:CA69" si="194">IF(SUM(BZ53,BZ37,BZ21,BZ5)=0,"",SUM(BZ53,BZ37,BZ21,BZ5))</f>
        <v>13893</v>
      </c>
      <c r="CA69" s="133">
        <f t="shared" si="194"/>
        <v>15938</v>
      </c>
      <c r="CB69" s="133">
        <f t="shared" ref="CB69:CD69" si="195">IF(SUM(CB53,CB37,CB21,CB5)=0,"",SUM(CB53,CB37,CB21,CB5))</f>
        <v>16272</v>
      </c>
      <c r="CC69" s="133">
        <f t="shared" si="195"/>
        <v>15826</v>
      </c>
      <c r="CD69" s="133">
        <f t="shared" si="195"/>
        <v>15174</v>
      </c>
      <c r="CE69" s="133">
        <f t="shared" ref="CE69:CF69" si="196">IF(SUM(CE53,CE37,CE21,CE5)=0,"",SUM(CE53,CE37,CE21,CE5))</f>
        <v>14463</v>
      </c>
      <c r="CF69" s="133">
        <f t="shared" si="196"/>
        <v>14224</v>
      </c>
      <c r="CG69" s="133">
        <f t="shared" ref="CG69" si="197">IF(SUM(CG53,CG37,CG21,CG5)=0,"",SUM(CG53,CG37,CG21,CG5))</f>
        <v>14651</v>
      </c>
      <c r="CH69" s="133">
        <f t="shared" ref="CH69:CI69" si="198">IF(SUM(CH53,CH37,CH21,CH5)=0,"",SUM(CH53,CH37,CH21,CH5))</f>
        <v>15471</v>
      </c>
      <c r="CI69" s="133">
        <f t="shared" si="198"/>
        <v>15711</v>
      </c>
      <c r="CJ69" s="111">
        <f>SUM(BX69:CI69)</f>
        <v>182183</v>
      </c>
      <c r="CV69" s="151"/>
      <c r="CW69" s="151"/>
      <c r="CX69" s="189">
        <f>CX68-CJ72</f>
        <v>-5.6733525918448435E-3</v>
      </c>
    </row>
    <row r="70" spans="8:116" ht="17.25" customHeight="1" thickTop="1" thickBot="1">
      <c r="H70" s="115">
        <f>H68/10000000</f>
        <v>167.61662159027739</v>
      </c>
      <c r="K70" s="110"/>
      <c r="L70" s="131" t="s">
        <v>78</v>
      </c>
      <c r="M70" s="110"/>
      <c r="N70" s="109">
        <f t="shared" ref="N70:Y70" si="199">SUM(N54,N38,N22,N6)</f>
        <v>10684.087388905913</v>
      </c>
      <c r="O70" s="109">
        <f t="shared" si="199"/>
        <v>10859.948174809659</v>
      </c>
      <c r="P70" s="109">
        <f t="shared" si="199"/>
        <v>10514.428871270282</v>
      </c>
      <c r="Q70" s="109">
        <f t="shared" si="199"/>
        <v>11862.846533826334</v>
      </c>
      <c r="R70" s="109">
        <f t="shared" si="199"/>
        <v>11398.280640509176</v>
      </c>
      <c r="S70" s="109">
        <f t="shared" si="199"/>
        <v>11649.368938517651</v>
      </c>
      <c r="T70" s="109">
        <f t="shared" si="199"/>
        <v>11590.676795553012</v>
      </c>
      <c r="U70" s="109">
        <f t="shared" si="199"/>
        <v>10293.053493375215</v>
      </c>
      <c r="V70" s="109">
        <f t="shared" si="199"/>
        <v>10962.199565941784</v>
      </c>
      <c r="W70" s="109">
        <f t="shared" si="199"/>
        <v>10971.346914563321</v>
      </c>
      <c r="X70" s="109">
        <f t="shared" si="199"/>
        <v>11836.67795612169</v>
      </c>
      <c r="Y70" s="109">
        <f t="shared" si="199"/>
        <v>12204.290175578299</v>
      </c>
      <c r="Z70" s="111">
        <f>SUM(N70:Y70)</f>
        <v>134827.20544897232</v>
      </c>
      <c r="AA70" s="109">
        <f t="shared" ref="AA70:AI70" si="200">SUM(AA54,AA38,AA22,AA6)</f>
        <v>12376.99033052537</v>
      </c>
      <c r="AB70" s="109">
        <f t="shared" si="200"/>
        <v>11946.803973721655</v>
      </c>
      <c r="AC70" s="109">
        <f t="shared" si="200"/>
        <v>11940.416829043508</v>
      </c>
      <c r="AD70" s="109">
        <f t="shared" si="200"/>
        <v>13293.498275256989</v>
      </c>
      <c r="AE70" s="109">
        <f t="shared" si="200"/>
        <v>12927.156245806935</v>
      </c>
      <c r="AF70" s="109">
        <f t="shared" si="200"/>
        <v>13224.982559118998</v>
      </c>
      <c r="AG70" s="109">
        <f t="shared" si="200"/>
        <v>12298.582360827284</v>
      </c>
      <c r="AH70" s="109">
        <f t="shared" si="200"/>
        <v>13117.282695290236</v>
      </c>
      <c r="AI70" s="109">
        <f t="shared" si="200"/>
        <v>11245.205322380098</v>
      </c>
      <c r="AJ70" s="109">
        <f t="shared" ref="AJ70:AK70" si="201">SUM(AJ54,AJ38,AJ22,AJ6)</f>
        <v>12634.473426043744</v>
      </c>
      <c r="AK70" s="109">
        <f t="shared" si="201"/>
        <v>13047.76846470033</v>
      </c>
      <c r="AL70" s="109">
        <f t="shared" ref="AL70" si="202">SUM(AL54,AL38,AL22,AL6)</f>
        <v>14068.121565387646</v>
      </c>
      <c r="AM70" s="111">
        <f>SUM(AA70:AL70)</f>
        <v>152121.28204810282</v>
      </c>
      <c r="AN70" s="133">
        <f>IF(SUM(AN54,AN38,AN22,AN6)=0,"",SUM(AN54,AN38,AN22,AN6))</f>
        <v>13192.357517097702</v>
      </c>
      <c r="AO70" s="133">
        <f t="shared" si="189"/>
        <v>13529.524079971696</v>
      </c>
      <c r="AP70" s="133">
        <f t="shared" si="189"/>
        <v>13309.301389624294</v>
      </c>
      <c r="AQ70" s="133">
        <f t="shared" ref="AQ70" si="203">IF(SUM(AQ54,AQ38,AQ22,AQ6)=0,"",SUM(AQ54,AQ38,AQ22,AQ6))</f>
        <v>14268.532964247075</v>
      </c>
      <c r="AR70" s="133">
        <f t="shared" si="189"/>
        <v>14383.21990030873</v>
      </c>
      <c r="AS70" s="133">
        <f t="shared" si="189"/>
        <v>14155.321375164822</v>
      </c>
      <c r="AT70" s="133">
        <f t="shared" si="189"/>
        <v>13809.512244492029</v>
      </c>
      <c r="AU70" s="133">
        <f t="shared" ref="AU70:AV70" si="204">IF(SUM(AU54,AU38,AU22,AU6)=0,"",SUM(AU54,AU38,AU22,AU6))</f>
        <v>14294.223092536762</v>
      </c>
      <c r="AV70" s="133">
        <f t="shared" si="204"/>
        <v>12605.115984107582</v>
      </c>
      <c r="AW70" s="133">
        <f t="shared" si="189"/>
        <v>14313.560225153547</v>
      </c>
      <c r="AX70" s="133">
        <f t="shared" ref="AX70:AY70" si="205">IF(SUM(AX54,AX38,AX22,AX6)=0,"",SUM(AX54,AX38,AX22,AX6))</f>
        <v>14346</v>
      </c>
      <c r="AY70" s="133">
        <f t="shared" si="205"/>
        <v>15684.383586065011</v>
      </c>
      <c r="AZ70" s="111">
        <f>SUM(AN70:AY70)</f>
        <v>167891.05235876923</v>
      </c>
      <c r="BA70" s="135">
        <f>(AZ70-AZ69)/AZ69</f>
        <v>-6.5615124187372938E-4</v>
      </c>
      <c r="BB70" s="127">
        <f>AZ67-BB66</f>
        <v>18860.262036333825</v>
      </c>
      <c r="BC70" s="157" t="s">
        <v>80</v>
      </c>
      <c r="BK70" s="127">
        <f>BB70-AZ68</f>
        <v>-379.46133440985068</v>
      </c>
      <c r="BL70" s="115">
        <f>224.64+134+69+243+29</f>
        <v>699.64</v>
      </c>
      <c r="BM70" s="127">
        <f>BL70+BK70</f>
        <v>320.17866559014931</v>
      </c>
      <c r="BR70" s="127">
        <f>AZ68-BB70</f>
        <v>379.46133440985068</v>
      </c>
      <c r="BU70" s="127">
        <f>BB70-AZ68</f>
        <v>-379.46133440985068</v>
      </c>
      <c r="BX70" s="133">
        <f t="shared" ref="BX70:BY70" si="206">IF(SUM(BX54,BX38,BX22,BX6)=0,"",SUM(BX54,BX38,BX22,BX6))</f>
        <v>15275.916960219594</v>
      </c>
      <c r="BY70" s="133">
        <f t="shared" si="206"/>
        <v>15848.220784259584</v>
      </c>
      <c r="BZ70" s="133">
        <f t="shared" ref="BZ70:CA70" si="207">IF(SUM(BZ54,BZ38,BZ22,BZ6)=0,"",SUM(BZ54,BZ38,BZ22,BZ6))</f>
        <v>14183.791037682859</v>
      </c>
      <c r="CA70" s="133">
        <f t="shared" si="207"/>
        <v>16520.473557463403</v>
      </c>
      <c r="CB70" s="133">
        <f t="shared" ref="CB70:CD70" si="208">IF(SUM(CB54,CB38,CB22,CB6)=0,"",SUM(CB54,CB38,CB22,CB6))</f>
        <v>15511.95991322233</v>
      </c>
      <c r="CC70" s="133">
        <f t="shared" si="208"/>
        <v>14960.460500929952</v>
      </c>
      <c r="CD70" s="133">
        <f t="shared" si="208"/>
        <v>15111.497319053384</v>
      </c>
      <c r="CE70" s="133">
        <f t="shared" ref="CE70:CF70" si="209">IF(SUM(CE54,CE38,CE22,CE6)=0,"",SUM(CE54,CE38,CE22,CE6))</f>
        <v>12707.600736479788</v>
      </c>
      <c r="CF70" s="133">
        <f t="shared" si="209"/>
        <v>13065.151040484376</v>
      </c>
      <c r="CG70" s="133">
        <f t="shared" ref="CG70" si="210">IF(SUM(CG54,CG38,CG22,CG6)=0,"",SUM(CG54,CG38,CG22,CG6))</f>
        <v>13742.488109020263</v>
      </c>
      <c r="CH70" s="133">
        <f t="shared" ref="CH70:CI70" si="211">IF(SUM(CH54,CH38,CH22,CH6)=0,"",SUM(CH54,CH38,CH22,CH6))</f>
        <v>13709.909253326237</v>
      </c>
      <c r="CI70" s="133">
        <f t="shared" si="211"/>
        <v>14335.736248634945</v>
      </c>
      <c r="CJ70" s="111">
        <f>SUM(BX70:CI70)</f>
        <v>174973.20546077669</v>
      </c>
      <c r="CK70" s="135">
        <f>(CF69-CF70)/CF69</f>
        <v>8.1471383542999459E-2</v>
      </c>
      <c r="CL70" s="135"/>
      <c r="CM70" s="135"/>
      <c r="CN70" s="135"/>
      <c r="CO70" s="135">
        <f>(CJ69-CJ70)/CJ69</f>
        <v>3.9574463804105259E-2</v>
      </c>
      <c r="CP70" s="127">
        <f>CP67-CB68</f>
        <v>-34.503500265604316</v>
      </c>
    </row>
    <row r="71" spans="8:116" ht="13.5" thickTop="1" thickBot="1">
      <c r="K71" s="110" t="s">
        <v>8</v>
      </c>
      <c r="L71" s="131" t="s">
        <v>39</v>
      </c>
      <c r="M71" s="110"/>
      <c r="N71" s="112">
        <f t="shared" ref="N71:Y71" si="212">N67/N69</f>
        <v>0.10559500744049886</v>
      </c>
      <c r="O71" s="112">
        <f t="shared" si="212"/>
        <v>0.10552630570740283</v>
      </c>
      <c r="P71" s="112">
        <f t="shared" si="212"/>
        <v>0.11126263852328556</v>
      </c>
      <c r="Q71" s="112">
        <f t="shared" si="212"/>
        <v>9.7253344983981985E-2</v>
      </c>
      <c r="R71" s="140">
        <f t="shared" si="212"/>
        <v>0.11500294311176755</v>
      </c>
      <c r="S71" s="140">
        <f t="shared" si="212"/>
        <v>0.11276434531088629</v>
      </c>
      <c r="T71" s="140">
        <f t="shared" si="212"/>
        <v>0.11138939799923554</v>
      </c>
      <c r="U71" s="112">
        <f t="shared" si="212"/>
        <v>0.10155824389436556</v>
      </c>
      <c r="V71" s="112">
        <f t="shared" si="212"/>
        <v>9.615524370168306E-2</v>
      </c>
      <c r="W71" s="112">
        <f t="shared" si="212"/>
        <v>9.0967906058556772E-2</v>
      </c>
      <c r="X71" s="112">
        <f t="shared" si="212"/>
        <v>8.7275493606138246E-2</v>
      </c>
      <c r="Y71" s="112">
        <f t="shared" si="212"/>
        <v>8.9072126974307733E-2</v>
      </c>
      <c r="Z71" s="112">
        <f t="shared" ref="Z71:AB72" si="213">Z67/Z69</f>
        <v>0.10156407830063635</v>
      </c>
      <c r="AA71" s="112">
        <f t="shared" si="213"/>
        <v>0.10444714185726268</v>
      </c>
      <c r="AB71" s="112">
        <f t="shared" si="213"/>
        <v>0.10771968829804916</v>
      </c>
      <c r="AC71" s="112">
        <f t="shared" ref="AC71:AI72" si="214">AC67/AC69</f>
        <v>0.10168098272460201</v>
      </c>
      <c r="AD71" s="112">
        <f t="shared" si="214"/>
        <v>9.9172311831788068E-2</v>
      </c>
      <c r="AE71" s="112">
        <f t="shared" si="214"/>
        <v>0.11654048769854262</v>
      </c>
      <c r="AF71" s="112">
        <f t="shared" si="214"/>
        <v>0.11298186765041196</v>
      </c>
      <c r="AG71" s="112">
        <f t="shared" si="214"/>
        <v>0.12557785521109205</v>
      </c>
      <c r="AH71" s="112">
        <f t="shared" si="214"/>
        <v>0.10270393938230293</v>
      </c>
      <c r="AI71" s="112">
        <f t="shared" si="214"/>
        <v>0.10405740865022189</v>
      </c>
      <c r="AJ71" s="112">
        <f t="shared" ref="AJ71:AK71" si="215">AJ67/AJ69</f>
        <v>0.10176354723166815</v>
      </c>
      <c r="AK71" s="112">
        <f t="shared" si="215"/>
        <v>9.4923904217404848E-2</v>
      </c>
      <c r="AL71" s="112">
        <f t="shared" ref="AL71" si="216">AL67/AL69</f>
        <v>9.7678205259275702E-2</v>
      </c>
      <c r="AM71" s="112">
        <f>AM67/AM69</f>
        <v>0.10567294034310223</v>
      </c>
      <c r="AN71" s="141">
        <f>AN67/AN69</f>
        <v>0.10773454389268027</v>
      </c>
      <c r="AO71" s="141">
        <f t="shared" ref="AO71:AZ71" si="217">IFERROR(AO67/AO69,"")</f>
        <v>0.1035328980652347</v>
      </c>
      <c r="AP71" s="141">
        <f t="shared" si="217"/>
        <v>0.11142746477916061</v>
      </c>
      <c r="AQ71" s="141">
        <f t="shared" ref="AQ71" si="218">IFERROR(AQ67/AQ69,"")</f>
        <v>0.10634666591376327</v>
      </c>
      <c r="AR71" s="141">
        <f t="shared" si="217"/>
        <v>0.11308521572245872</v>
      </c>
      <c r="AS71" s="141">
        <f t="shared" si="217"/>
        <v>0.10747016003870652</v>
      </c>
      <c r="AT71" s="141">
        <f t="shared" si="217"/>
        <v>0.1186162680580533</v>
      </c>
      <c r="AU71" s="141">
        <f t="shared" ref="AU71:AV71" si="219">IFERROR(AU67/AU69,"")</f>
        <v>0.10996600247284503</v>
      </c>
      <c r="AV71" s="141">
        <f t="shared" si="219"/>
        <v>0.11733132673606071</v>
      </c>
      <c r="AW71" s="141">
        <f t="shared" si="217"/>
        <v>0.12614761858286314</v>
      </c>
      <c r="AX71" s="141">
        <f t="shared" ref="AX71:AY71" si="220">IFERROR(AX67/AX69,"")</f>
        <v>0.12203667509796681</v>
      </c>
      <c r="AY71" s="141">
        <f t="shared" si="220"/>
        <v>0.12096277745732251</v>
      </c>
      <c r="AZ71" s="112">
        <f t="shared" si="217"/>
        <v>0.11372092691469222</v>
      </c>
      <c r="BB71" s="127"/>
      <c r="BK71" s="127">
        <f>BB71-AM68</f>
        <v>-16761.662159027739</v>
      </c>
      <c r="BX71" s="141">
        <f t="shared" ref="BX71:BY71" si="221">IFERROR(BX67/BX69,"")</f>
        <v>0.10808625185179498</v>
      </c>
      <c r="BY71" s="141">
        <f t="shared" si="221"/>
        <v>0.10193528387458872</v>
      </c>
      <c r="BZ71" s="141">
        <f t="shared" ref="BZ71:CA71" si="222">IFERROR(BZ67/BZ69,"")</f>
        <v>0.11445479376380673</v>
      </c>
      <c r="CA71" s="141">
        <f t="shared" si="222"/>
        <v>0.10827380449052898</v>
      </c>
      <c r="CB71" s="141">
        <f t="shared" ref="CB71:CD71" si="223">IFERROR(CB67/CB69,"")</f>
        <v>0.10600902688264477</v>
      </c>
      <c r="CC71" s="141">
        <f t="shared" si="223"/>
        <v>0.10757169917938264</v>
      </c>
      <c r="CD71" s="141">
        <f t="shared" si="223"/>
        <v>0.10751032766498209</v>
      </c>
      <c r="CE71" s="141">
        <f t="shared" ref="CE71:CF71" si="224">IFERROR(CE67/CE69,"")</f>
        <v>0.1148116646947691</v>
      </c>
      <c r="CF71" s="141">
        <f t="shared" si="224"/>
        <v>0.11530567047759159</v>
      </c>
      <c r="CG71" s="141">
        <f t="shared" ref="CG71" si="225">IFERROR(CG67/CG69,"")</f>
        <v>0.13075647089837894</v>
      </c>
      <c r="CH71" s="141">
        <f t="shared" ref="CH71:CI71" si="226">IFERROR(CH67/CH69,"")</f>
        <v>0.12276011523591544</v>
      </c>
      <c r="CI71" s="141">
        <f t="shared" si="226"/>
        <v>0.12401172260901833</v>
      </c>
      <c r="CJ71" s="112">
        <f>IFERROR(CJ67/CJ69,"")</f>
        <v>0.11332139405326112</v>
      </c>
      <c r="CX71" s="190">
        <f>CX67-CJ68</f>
        <v>-224.24326286980067</v>
      </c>
    </row>
    <row r="72" spans="8:116" ht="13.5" thickTop="1" thickBot="1">
      <c r="K72" s="110" t="s">
        <v>8</v>
      </c>
      <c r="L72" s="131" t="s">
        <v>78</v>
      </c>
      <c r="M72" s="110"/>
      <c r="N72" s="112">
        <f t="shared" ref="N72:Y72" si="227">N68/N70</f>
        <v>0.10109212749309703</v>
      </c>
      <c r="O72" s="112">
        <f t="shared" si="227"/>
        <v>9.8783318483512808E-2</v>
      </c>
      <c r="P72" s="112">
        <f t="shared" si="227"/>
        <v>0.10262503316894896</v>
      </c>
      <c r="Q72" s="112">
        <f t="shared" si="227"/>
        <v>9.4886928764552653E-2</v>
      </c>
      <c r="R72" s="112">
        <f t="shared" si="227"/>
        <v>9.7087848460940443E-2</v>
      </c>
      <c r="S72" s="112">
        <f t="shared" si="227"/>
        <v>9.7661382671219002E-2</v>
      </c>
      <c r="T72" s="112">
        <f t="shared" si="227"/>
        <v>0.10485934344022355</v>
      </c>
      <c r="U72" s="142">
        <f t="shared" si="227"/>
        <v>0.11584533807351362</v>
      </c>
      <c r="V72" s="142">
        <f t="shared" si="227"/>
        <v>0.1035929956424855</v>
      </c>
      <c r="W72" s="142">
        <f t="shared" si="227"/>
        <v>0.10272367252107127</v>
      </c>
      <c r="X72" s="142">
        <f t="shared" si="227"/>
        <v>9.6784613809162937E-2</v>
      </c>
      <c r="Y72" s="142">
        <f t="shared" si="227"/>
        <v>0.13330022863372004</v>
      </c>
      <c r="Z72" s="142">
        <f t="shared" si="213"/>
        <v>0.10416829184755641</v>
      </c>
      <c r="AA72" s="112">
        <f>AA68/AA70</f>
        <v>0.10178668894916429</v>
      </c>
      <c r="AB72" s="112">
        <f>AB68/AB70</f>
        <v>0.10949347816358222</v>
      </c>
      <c r="AC72" s="142">
        <f t="shared" si="214"/>
        <v>0.11240342752072563</v>
      </c>
      <c r="AD72" s="142">
        <f t="shared" si="214"/>
        <v>9.9834868035661842E-2</v>
      </c>
      <c r="AE72" s="112">
        <f t="shared" si="214"/>
        <v>0.10377955173080944</v>
      </c>
      <c r="AF72" s="112">
        <f t="shared" si="214"/>
        <v>0.11027245034147419</v>
      </c>
      <c r="AG72" s="112">
        <f t="shared" si="214"/>
        <v>0.1259095309772881</v>
      </c>
      <c r="AH72" s="112">
        <f t="shared" si="214"/>
        <v>0.10845675799059482</v>
      </c>
      <c r="AI72" s="112">
        <f t="shared" si="214"/>
        <v>0.121517875610304</v>
      </c>
      <c r="AJ72" s="112">
        <f t="shared" ref="AJ72:AK72" si="228">AJ68/AJ70</f>
        <v>0.11023643320996206</v>
      </c>
      <c r="AK72" s="112">
        <f t="shared" si="228"/>
        <v>0.10457928695385173</v>
      </c>
      <c r="AL72" s="112">
        <f t="shared" ref="AL72" si="229">AL68/AL70</f>
        <v>0.11370119803947686</v>
      </c>
      <c r="AM72" s="143">
        <f>AM68/AM70</f>
        <v>0.11018617469794577</v>
      </c>
      <c r="AN72" s="144">
        <f>IFERROR(AN68/AN70,"")</f>
        <v>0.11159611504074064</v>
      </c>
      <c r="AO72" s="144">
        <f t="shared" ref="AO72:AZ72" si="230">IFERROR(AO68/AO70,"")</f>
        <v>0.11053489424242781</v>
      </c>
      <c r="AP72" s="144">
        <f t="shared" si="230"/>
        <v>0.11361522296070113</v>
      </c>
      <c r="AQ72" s="144">
        <f t="shared" ref="AQ72" si="231">IFERROR(AQ68/AQ70,"")</f>
        <v>0.10827308626876683</v>
      </c>
      <c r="AR72" s="145">
        <f t="shared" si="230"/>
        <v>0.10761972548303383</v>
      </c>
      <c r="AS72" s="144">
        <f t="shared" si="230"/>
        <v>0.1094412975263134</v>
      </c>
      <c r="AT72" s="145">
        <f t="shared" si="230"/>
        <v>0.11606886366600704</v>
      </c>
      <c r="AU72" s="144">
        <f t="shared" ref="AU72:AV72" si="232">IFERROR(AU68/AU70,"")</f>
        <v>0.11047344915334999</v>
      </c>
      <c r="AV72" s="144">
        <f t="shared" si="232"/>
        <v>0.12733014693586198</v>
      </c>
      <c r="AW72" s="144">
        <f t="shared" si="230"/>
        <v>0.13541960724025276</v>
      </c>
      <c r="AX72" s="145">
        <f t="shared" ref="AX72:AY72" si="233">IFERROR(AX68/AX70,"")</f>
        <v>0.11666122455344169</v>
      </c>
      <c r="AY72" s="145">
        <f t="shared" si="233"/>
        <v>0.10959527457790655</v>
      </c>
      <c r="AZ72" s="143">
        <f t="shared" si="230"/>
        <v>0.11459647849267146</v>
      </c>
      <c r="BA72" s="136">
        <f>AZ72-AZ71</f>
        <v>8.7555157797923611E-4</v>
      </c>
      <c r="BB72" s="127"/>
      <c r="BK72" s="127">
        <v>-1006.64</v>
      </c>
      <c r="BX72" s="145">
        <f t="shared" ref="BX72:BY72" si="234">IFERROR(BX68/BX70,"")</f>
        <v>0.10493712169779669</v>
      </c>
      <c r="BY72" s="144">
        <f t="shared" si="234"/>
        <v>0.10312524826277245</v>
      </c>
      <c r="BZ72" s="144">
        <f t="shared" ref="BZ72:CA72" si="235">IFERROR(BZ68/BZ70,"")</f>
        <v>0.11586051213205588</v>
      </c>
      <c r="CA72" s="145">
        <f t="shared" si="235"/>
        <v>0.10134406393233378</v>
      </c>
      <c r="CB72" s="144">
        <f t="shared" ref="CB72:CD72" si="236">IFERROR(CB68/CB70,"")</f>
        <v>0.10716069374851116</v>
      </c>
      <c r="CC72" s="144">
        <f t="shared" si="236"/>
        <v>0.11074064391246617</v>
      </c>
      <c r="CD72" s="144">
        <f t="shared" si="236"/>
        <v>0.11605775361444207</v>
      </c>
      <c r="CE72" s="144">
        <f t="shared" ref="CE72:CF72" si="237">IFERROR(CE68/CE70,"")</f>
        <v>0.1301845572351748</v>
      </c>
      <c r="CF72" s="144">
        <f t="shared" si="237"/>
        <v>0.11947806609070215</v>
      </c>
      <c r="CG72" s="145">
        <f t="shared" ref="CG72" si="238">IFERROR(CG68/CG70,"")</f>
        <v>0.11085213500749427</v>
      </c>
      <c r="CH72" s="145">
        <f t="shared" ref="CH72:CI72" si="239">IFERROR(CH68/CH70,"")</f>
        <v>0.11318975423805269</v>
      </c>
      <c r="CI72" s="145">
        <f t="shared" si="239"/>
        <v>0.12022737895057405</v>
      </c>
      <c r="CJ72" s="145">
        <f>IFERROR(CJ68/CJ70,"")</f>
        <v>0.11225633795348842</v>
      </c>
      <c r="CO72" s="184">
        <f>SUM(BX67:CG67)</f>
        <v>16797.661616080139</v>
      </c>
      <c r="CP72" s="185" t="s">
        <v>158</v>
      </c>
    </row>
    <row r="73" spans="8:116" ht="13.5" thickTop="1" thickBot="1">
      <c r="K73" s="110" t="s">
        <v>9</v>
      </c>
      <c r="L73" s="131" t="s">
        <v>39</v>
      </c>
      <c r="M73" s="110"/>
      <c r="N73" s="111">
        <f>SUM(N57,N41,N25,N9)+'Manpower Backup'!C65</f>
        <v>3824.8</v>
      </c>
      <c r="O73" s="111">
        <f>SUM(O57,O41,O25,O9)+'Manpower Backup'!D65</f>
        <v>3830</v>
      </c>
      <c r="P73" s="111">
        <f>SUM(P57,P41,P25,P9)+'Manpower Backup'!E65</f>
        <v>3826.5</v>
      </c>
      <c r="Q73" s="111">
        <f>SUM(Q57,Q41,Q25,Q9)+'Manpower Backup'!F65</f>
        <v>3796.8</v>
      </c>
      <c r="R73" s="111">
        <f>SUM(R57,R41,R25,R9)+'Manpower Backup'!G65</f>
        <v>3811.8</v>
      </c>
      <c r="S73" s="111">
        <f>SUM(S57,S41,S25,S9)+'Manpower Backup'!H65</f>
        <v>3769.3</v>
      </c>
      <c r="T73" s="111">
        <f>SUM(T57,T41,T25,T9)+'Manpower Backup'!I65</f>
        <v>3752.3</v>
      </c>
      <c r="U73" s="111">
        <f>SUM(U57,U41,U25,U9)+'Manpower Backup'!J65</f>
        <v>3774.3</v>
      </c>
      <c r="V73" s="111">
        <f>SUM(V57,V41,V25,V9)+'Manpower Backup'!K65</f>
        <v>3736.3</v>
      </c>
      <c r="W73" s="111">
        <f>SUM(W57,W41,W25,W9)+'Manpower Backup'!L65</f>
        <v>3690.8</v>
      </c>
      <c r="X73" s="111">
        <f>SUM(X57,X41,X25,X9)+'Manpower Backup'!M65</f>
        <v>3655.8</v>
      </c>
      <c r="Y73" s="111">
        <f>SUM(Y57,Y41,Y25,Y9)+'Manpower Backup'!N65</f>
        <v>3653.3</v>
      </c>
      <c r="Z73" s="111">
        <f>AVERAGE(N73:Y73)</f>
        <v>3760.1666666666674</v>
      </c>
      <c r="AA73" s="111">
        <f>SUM(AA57,AA41,AA25,AA9)+'Manpower Backup'!CN65</f>
        <v>4010</v>
      </c>
      <c r="AB73" s="111">
        <f>SUM(AB57,AB41,AB25,AB9)+'Manpower Backup'!CO65</f>
        <v>4032</v>
      </c>
      <c r="AC73" s="111">
        <f>SUM(AC57,AC41,AC25,AC9)+'Manpower Backup'!CP65</f>
        <v>4029</v>
      </c>
      <c r="AD73" s="111">
        <f>SUM(AD57,AD41,AD25,AD9)+'Manpower Backup'!CQ65</f>
        <v>3987</v>
      </c>
      <c r="AE73" s="111">
        <f>SUM(AE57,AE41,AE25,AE9)+'Manpower Backup'!CR65</f>
        <v>3980</v>
      </c>
      <c r="AF73" s="111">
        <f>SUM(AF57,AF41,AF25,AF9)+'Manpower Backup'!CS65</f>
        <v>3953</v>
      </c>
      <c r="AG73" s="111">
        <f>SUM(AG57,AG41,AG25,AG9)+'Manpower Backup'!CT65</f>
        <v>3953</v>
      </c>
      <c r="AH73" s="111">
        <f>SUM(AH57,AH41,AH25,AH9)+'Manpower Backup'!CU65</f>
        <v>3930</v>
      </c>
      <c r="AI73" s="111">
        <f>SUM(AI57,AI41,AI25,AI9)+'Manpower Backup'!CV65</f>
        <v>3923.5</v>
      </c>
      <c r="AJ73" s="111">
        <f>SUM(AJ57,AJ41,AJ25,AJ9)+'Manpower Backup'!CW65</f>
        <v>3902</v>
      </c>
      <c r="AK73" s="111">
        <f>SUM(AK57,AK41,AK25,AK9)+'Manpower Backup'!CX65</f>
        <v>3904</v>
      </c>
      <c r="AL73" s="111">
        <f>SUM(AL57,AL41,AL25,AL9)+'Manpower Backup'!CY65</f>
        <v>3903</v>
      </c>
      <c r="AM73" s="111">
        <f>AVERAGE(AA73:AL73)</f>
        <v>3958.875</v>
      </c>
      <c r="AN73" s="133">
        <f>SUM(AN57,AN41,AN25,AN9)+'Manpower Backup'!FO65</f>
        <v>4248</v>
      </c>
      <c r="AO73" s="133">
        <f>SUM(AO57,AO41,AO25,AO9)+'Manpower Backup'!FP65</f>
        <v>4235</v>
      </c>
      <c r="AP73" s="158">
        <f>SUM(AP57,AP41,AP25,AP9)+'Manpower Backup'!FQ65</f>
        <v>4219</v>
      </c>
      <c r="AQ73" s="158">
        <f>SUM(AQ57,AQ41,AQ25,AQ9)+'Manpower Backup'!FR65</f>
        <v>4215.5</v>
      </c>
      <c r="AR73" s="158">
        <f>SUM(AR57,AR41,AR25,AR9)+'Manpower Backup'!FS65</f>
        <v>4196</v>
      </c>
      <c r="AS73" s="158">
        <f>SUM(AS57,AS41,AS25,AS9)+'Manpower Backup'!FT65</f>
        <v>4190</v>
      </c>
      <c r="AT73" s="158">
        <f>SUM(AT57,AT41,AT25,AT9)+'Manpower Backup'!FU65</f>
        <v>4141</v>
      </c>
      <c r="AU73" s="158">
        <f>SUM(AU57,AU41,AU25,AU9)+'Manpower Backup'!FV65</f>
        <v>4141</v>
      </c>
      <c r="AV73" s="158">
        <f>SUM(AV57,AV41,AV25,AV9)+'Manpower Backup'!FW65</f>
        <v>4128</v>
      </c>
      <c r="AW73" s="158">
        <f>SUM(AW57,AW41,AW25,AW9)+'Manpower Backup'!FX65</f>
        <v>4144</v>
      </c>
      <c r="AX73" s="158">
        <f>SUM(AX57,AX41,AX25,AX9)+'Manpower Backup'!FY65</f>
        <v>4117</v>
      </c>
      <c r="AY73" s="158">
        <f>SUM(AY57,AY41,AY25,AY9)+'Manpower Backup'!FZ65</f>
        <v>4121</v>
      </c>
      <c r="AZ73" s="111">
        <f>AVERAGE(AN73:AY73)</f>
        <v>4174.625</v>
      </c>
      <c r="BA73" s="136">
        <f>SUM(BA56,BA40,BA24,BA8)</f>
        <v>-2.4509819426979246E-3</v>
      </c>
      <c r="BK73" s="127">
        <f>BK72-BK71</f>
        <v>15755.02215902774</v>
      </c>
      <c r="BX73" s="159">
        <f t="shared" ref="BX73:BZ74" si="240">SUM(BX57,BX41,BX25,BX9,BX88,BX92)</f>
        <v>4303.3</v>
      </c>
      <c r="BY73" s="159">
        <f t="shared" si="240"/>
        <v>4363.3</v>
      </c>
      <c r="BZ73" s="159">
        <f t="shared" si="240"/>
        <v>4350.8</v>
      </c>
      <c r="CA73" s="159">
        <f t="shared" ref="CA73:CB73" si="241">SUM(CA57,CA41,CA25,CA9,CA88,CA92)</f>
        <v>4346.8</v>
      </c>
      <c r="CB73" s="159">
        <f t="shared" si="241"/>
        <v>4363.8</v>
      </c>
      <c r="CC73" s="159">
        <f t="shared" ref="CC73:CD73" si="242">SUM(CC57,CC41,CC25,CC9,CC88,CC92)</f>
        <v>4364.8</v>
      </c>
      <c r="CD73" s="159">
        <f t="shared" si="242"/>
        <v>4375.3</v>
      </c>
      <c r="CE73" s="159">
        <f t="shared" ref="CE73:CF73" si="243">SUM(CE57,CE41,CE25,CE9,CE88,CE92)</f>
        <v>4332.4250000000002</v>
      </c>
      <c r="CF73" s="159">
        <f t="shared" si="243"/>
        <v>4327.9250000000002</v>
      </c>
      <c r="CG73" s="159">
        <f t="shared" ref="CG73:CH73" si="244">SUM(CG57,CG41,CG25,CG9,CG88,CG92)</f>
        <v>4327.4250000000002</v>
      </c>
      <c r="CH73" s="159">
        <f t="shared" si="244"/>
        <v>4327.2062500000002</v>
      </c>
      <c r="CI73" s="159">
        <f t="shared" ref="CI73" si="245">SUM(CI57,CI41,CI25,CI9,CI88,CI92)</f>
        <v>4294.6812499999996</v>
      </c>
      <c r="CJ73" s="111">
        <f t="shared" ref="CJ73:CJ80" si="246">AVERAGE(BX73:CI73)</f>
        <v>4339.8135416666673</v>
      </c>
      <c r="CL73" s="127"/>
      <c r="CO73" s="184">
        <f>SUM(BX68:CG68)</f>
        <v>16366.482031499998</v>
      </c>
    </row>
    <row r="74" spans="8:116" ht="13.5" thickTop="1" thickBot="1">
      <c r="K74" s="110"/>
      <c r="L74" s="131" t="s">
        <v>78</v>
      </c>
      <c r="M74" s="110"/>
      <c r="N74" s="111">
        <f>SUM(N58,N42,N26,N10)+'Manpower Backup'!C59</f>
        <v>3785.5</v>
      </c>
      <c r="O74" s="111">
        <f>SUM(O58,O42,O26,O10)+'Manpower Backup'!D59</f>
        <v>3787</v>
      </c>
      <c r="P74" s="111">
        <f>SUM(P58,P42,P26,P10)+'Manpower Backup'!E59</f>
        <v>3805.5</v>
      </c>
      <c r="Q74" s="111">
        <f>SUM(Q58,Q42,Q26,Q10)+'Manpower Backup'!F59</f>
        <v>3725.5</v>
      </c>
      <c r="R74" s="111">
        <f>SUM(R58,R42,R26,R10)+'Manpower Backup'!G59</f>
        <v>3835.5</v>
      </c>
      <c r="S74" s="111">
        <f>SUM(S58,S42,S26,S10)+'Manpower Backup'!H59</f>
        <v>3856.5</v>
      </c>
      <c r="T74" s="111">
        <f>SUM(T58,T42,T26,T10)+'Manpower Backup'!I59</f>
        <v>4007.5</v>
      </c>
      <c r="U74" s="111">
        <f>SUM(U58,U42,U26,U10)+'Manpower Backup'!J59</f>
        <v>3937.5</v>
      </c>
      <c r="V74" s="111">
        <f>SUM(V58,V42,V26,V10)+'Manpower Backup'!K59</f>
        <v>3869.5</v>
      </c>
      <c r="W74" s="111">
        <f>SUM(W58,W42,W26,W10)+'Manpower Backup'!L59</f>
        <v>3813.5</v>
      </c>
      <c r="X74" s="111">
        <f>SUM(X58,X42,X26,X10)+'Manpower Backup'!M59</f>
        <v>3862.5</v>
      </c>
      <c r="Y74" s="111">
        <f>SUM(Y58,Y42,Y26,Y10)+'Manpower Backup'!N59</f>
        <v>3978.5</v>
      </c>
      <c r="Z74" s="111">
        <f>AVERAGE(N74:Y74)</f>
        <v>3855.375</v>
      </c>
      <c r="AA74" s="111">
        <f>SUM(AA58,AA42,AA26,AA10)+'Manpower Backup'!CN59</f>
        <v>3906.5</v>
      </c>
      <c r="AB74" s="111">
        <f>SUM(AB58,AB42,AB26,AB10)+'Manpower Backup'!CO59</f>
        <v>3982.5</v>
      </c>
      <c r="AC74" s="111">
        <f>SUM(AC58,AC42,AC26,AC10)+'Manpower Backup'!CP59</f>
        <v>4044.5</v>
      </c>
      <c r="AD74" s="111">
        <f>SUM(AD58,AD42,AD26,AD10)+'Manpower Backup'!CQ59</f>
        <v>4081.5</v>
      </c>
      <c r="AE74" s="111">
        <f>SUM(AE58,AE42,AE26,AE10)+'Manpower Backup'!CR59</f>
        <v>4106.5</v>
      </c>
      <c r="AF74" s="111">
        <f>SUM(AF58,AF42,AF26,AF10)+'Manpower Backup'!CS59</f>
        <v>4046.5</v>
      </c>
      <c r="AG74" s="111">
        <f>SUM(AG58,AG42,AG26,AG10)+'Manpower Backup'!CT59</f>
        <v>4055</v>
      </c>
      <c r="AH74" s="111">
        <f>SUM(AH58,AH42,AH26,AH10)+'Manpower Backup'!CU59</f>
        <v>4063</v>
      </c>
      <c r="AI74" s="111">
        <f>SUM(AI58,AI42,AI26,AI10)+'Manpower Backup'!CV59</f>
        <v>4064</v>
      </c>
      <c r="AJ74" s="111">
        <f>SUM(AJ58,AJ42,AJ26,AJ10)+'Manpower Backup'!CW59</f>
        <v>4081</v>
      </c>
      <c r="AK74" s="111">
        <f>SUM(AK58,AK42,AK26,AK10)+'Manpower Backup'!CX59</f>
        <v>4033</v>
      </c>
      <c r="AL74" s="111">
        <f>SUM(AL58,AL42,AL26,AL10)+'Manpower Backup'!CY59</f>
        <v>4087</v>
      </c>
      <c r="AM74" s="111">
        <f>SUM(AM58,AM42,AM26,AM10)+[2]Sheet1!$M$36</f>
        <v>4064.8749999999995</v>
      </c>
      <c r="AN74" s="133">
        <f>(SUM(AN58,AN42,AN26,AN10)+'Manpower Backup'!FO59)</f>
        <v>4109.5</v>
      </c>
      <c r="AO74" s="133">
        <f>(SUM(AO58,AO42,AO26,AO10)+'Manpower Backup'!FP59)</f>
        <v>4126.5</v>
      </c>
      <c r="AP74" s="133">
        <f>(SUM(AP58,AP42,AP26,AP10)+'Manpower Backup'!FQ59)</f>
        <v>4273.5</v>
      </c>
      <c r="AQ74" s="133">
        <f>(SUM(AQ58,AQ42,AQ26,AQ10)+'Manpower Backup'!FR59)</f>
        <v>4384</v>
      </c>
      <c r="AR74" s="158">
        <f>(SUM(AR58,AR42,AR26,AR10)+'Manpower Backup'!FS59)</f>
        <v>4266</v>
      </c>
      <c r="AS74" s="158">
        <f>(SUM(AS58,AS42,AS26,AS10)+'Manpower Backup'!FT59)</f>
        <v>4272</v>
      </c>
      <c r="AT74" s="158">
        <f>(SUM(AT58,AT42,AT26,AT10)+'Manpower Backup'!FU59)</f>
        <v>4262</v>
      </c>
      <c r="AU74" s="158">
        <f>(SUM(AU58,AU42,AU26,AU10)+'Manpower Backup'!FV59)</f>
        <v>4249.5</v>
      </c>
      <c r="AV74" s="158">
        <f>(SUM(AV58,AV42,AV26,AV10)+'Manpower Backup'!FW59)</f>
        <v>4278</v>
      </c>
      <c r="AW74" s="158">
        <f>(SUM(AW58,AW42,AW26,AW10)+'Manpower Backup'!FX59)</f>
        <v>4264</v>
      </c>
      <c r="AX74" s="158">
        <f>(SUM(AX58,AX42,AX26,AX10)+'Manpower Backup'!FY59)</f>
        <v>4243</v>
      </c>
      <c r="AY74" s="158">
        <f>(SUM(AY58,AY42,AY26,AY10)+'Manpower Backup'!FZ59)</f>
        <v>4189</v>
      </c>
      <c r="AZ74" s="111">
        <f>AVERAGE(AN74:AY74)</f>
        <v>4243.083333333333</v>
      </c>
      <c r="BA74" s="138">
        <f>(AX74-AX73)/AX73</f>
        <v>3.0604809327179985E-2</v>
      </c>
      <c r="BX74" s="159">
        <f t="shared" si="240"/>
        <v>4210.8</v>
      </c>
      <c r="BY74" s="159">
        <f t="shared" si="240"/>
        <v>4335.3</v>
      </c>
      <c r="BZ74" s="159">
        <f t="shared" si="240"/>
        <v>4367.3</v>
      </c>
      <c r="CA74" s="159">
        <f t="shared" ref="CA74:CB74" si="247">SUM(CA58,CA42,CA26,CA10,CA89,CA93)</f>
        <v>4379.3</v>
      </c>
      <c r="CB74" s="159">
        <f t="shared" si="247"/>
        <v>4412.3</v>
      </c>
      <c r="CC74" s="159">
        <f t="shared" ref="CC74:CD74" si="248">SUM(CC58,CC42,CC26,CC10,CC89,CC93)</f>
        <v>4333.3</v>
      </c>
      <c r="CD74" s="159">
        <f t="shared" si="248"/>
        <v>4373.3</v>
      </c>
      <c r="CE74" s="159">
        <f t="shared" ref="CE74:CF74" si="249">SUM(CE58,CE42,CE26,CE10,CE89,CE93)</f>
        <v>4181.3</v>
      </c>
      <c r="CF74" s="159">
        <f t="shared" si="249"/>
        <v>4044.2807692307688</v>
      </c>
      <c r="CG74" s="159">
        <f t="shared" ref="CG74:CH74" si="250">SUM(CG58,CG42,CG26,CG10,CG89,CG93)</f>
        <v>3881.3384615384612</v>
      </c>
      <c r="CH74" s="159">
        <f t="shared" si="250"/>
        <v>4042.3</v>
      </c>
      <c r="CI74" s="159">
        <f t="shared" ref="CI74" si="251">SUM(CI58,CI42,CI26,CI10,CI89,CI93)</f>
        <v>4009.3</v>
      </c>
      <c r="CJ74" s="111">
        <f t="shared" si="246"/>
        <v>4214.1766025641036</v>
      </c>
      <c r="CO74" s="184">
        <f>SUM(BX69:CG69)</f>
        <v>151001</v>
      </c>
      <c r="CP74" s="185" t="s">
        <v>51</v>
      </c>
      <c r="CZ74" s="194" t="s">
        <v>170</v>
      </c>
      <c r="DA74" s="192">
        <f>DA12</f>
        <v>214.23</v>
      </c>
    </row>
    <row r="75" spans="8:116" ht="13.5" thickTop="1" thickBot="1">
      <c r="K75" s="110" t="s">
        <v>10</v>
      </c>
      <c r="L75" s="131" t="s">
        <v>39</v>
      </c>
      <c r="M75" s="110"/>
      <c r="N75" s="111">
        <f>'Production in Sqm'!B52/'Main Sheet'!N73*12</f>
        <v>2975.192428362267</v>
      </c>
      <c r="O75" s="111">
        <f>'Production in Sqm'!C52/'Main Sheet'!O73*12</f>
        <v>2993.5488250652743</v>
      </c>
      <c r="P75" s="111">
        <f>'Production in Sqm'!D52/'Main Sheet'!P73*12</f>
        <v>2766.6452371618971</v>
      </c>
      <c r="Q75" s="111">
        <f>'Production in Sqm'!E52/'Main Sheet'!Q73*12</f>
        <v>3237.6801517066997</v>
      </c>
      <c r="R75" s="111">
        <f>'Production in Sqm'!F52/'Main Sheet'!R73*12</f>
        <v>3180.2014796159292</v>
      </c>
      <c r="S75" s="111">
        <f>'Production in Sqm'!G52/'Main Sheet'!S73*12</f>
        <v>3256.5261454381443</v>
      </c>
      <c r="T75" s="111">
        <f>'Production in Sqm'!H52/'Main Sheet'!T73*12</f>
        <v>3309.9027263278522</v>
      </c>
      <c r="U75" s="111">
        <f>'Production in Sqm'!I52/'Main Sheet'!U73*12</f>
        <v>3229.0088228280738</v>
      </c>
      <c r="V75" s="111">
        <f>'Production in Sqm'!J52/'Main Sheet'!V73*12</f>
        <v>3265.0547332922943</v>
      </c>
      <c r="W75" s="111">
        <f>'Production in Sqm'!K52/'Main Sheet'!W73*12</f>
        <v>3480.3836566598029</v>
      </c>
      <c r="X75" s="111">
        <f>'Production in Sqm'!L52/'Main Sheet'!X73*12</f>
        <v>3602.6555063187266</v>
      </c>
      <c r="Y75" s="111">
        <f>'Production in Sqm'!M52/'Main Sheet'!Y73*12</f>
        <v>3784.4294199764595</v>
      </c>
      <c r="Z75" s="111">
        <f t="shared" ref="Z75:Z80" si="252">AVERAGE(N75:Y75)</f>
        <v>3256.7690943961188</v>
      </c>
      <c r="AA75" s="111">
        <f>'Production in Sqm'!N52/'Main Sheet'!AA73*12</f>
        <v>3213.2498753117206</v>
      </c>
      <c r="AB75" s="111">
        <f>'Production in Sqm'!O52/'Main Sheet'!AB73*12</f>
        <v>3154.8035714285711</v>
      </c>
      <c r="AC75" s="111">
        <f>'Production in Sqm'!P52/'Main Sheet'!AC73*12</f>
        <v>3268.4080416976917</v>
      </c>
      <c r="AD75" s="111">
        <f>'Production in Sqm'!Q52/'Main Sheet'!AD73*12</f>
        <v>3411.6267870579386</v>
      </c>
      <c r="AE75" s="111">
        <f>'Production in Sqm'!R52/'Main Sheet'!AE73*12</f>
        <v>3395.7708542713567</v>
      </c>
      <c r="AF75" s="111">
        <f>'Production in Sqm'!S52/'Main Sheet'!AF73*12</f>
        <v>3522.6875790538834</v>
      </c>
      <c r="AG75" s="111">
        <f>'Production in Sqm'!T52/'Main Sheet'!AG73*12</f>
        <v>3203.4566152289399</v>
      </c>
      <c r="AH75" s="111">
        <f>'Production in Sqm'!U52/'Main Sheet'!AH73*12</f>
        <v>3326.7908396946568</v>
      </c>
      <c r="AI75" s="111">
        <f>'Production in Sqm'!V52/'Main Sheet'!AI73*12</f>
        <v>3178.5670957053653</v>
      </c>
      <c r="AJ75" s="111">
        <f>'Production in Sqm'!W52/'Main Sheet'!AJ73*12</f>
        <v>3302.128139415684</v>
      </c>
      <c r="AK75" s="111">
        <f>'Production in Sqm'!X52/'Main Sheet'!AK73*12</f>
        <v>3526.3002049180332</v>
      </c>
      <c r="AL75" s="111">
        <f>'Production in Sqm'!Y52/'Main Sheet'!AL73*12</f>
        <v>3630.2966948501153</v>
      </c>
      <c r="AM75" s="111">
        <f t="shared" ref="AM75:AM80" si="253">AVERAGE(AA75:AL75)</f>
        <v>3344.5071915528297</v>
      </c>
      <c r="AN75" s="133">
        <f>IFERROR('Production in Sqm'!AA52/'Main Sheet'!AN73*12,"")</f>
        <v>3369.7951749011054</v>
      </c>
      <c r="AO75" s="133">
        <f>IFERROR('Production in Sqm'!AB52/'Main Sheet'!AO73*12,"")</f>
        <v>3516.2563232264247</v>
      </c>
      <c r="AP75" s="133">
        <f>IFERROR('Production in Sqm'!AC52/'Main Sheet'!AP73*12,"")</f>
        <v>3252.3206617012793</v>
      </c>
      <c r="AQ75" s="133">
        <f>IFERROR('Production in Sqm'!AD52/'Main Sheet'!AQ73*12,"")</f>
        <v>3433.522388640894</v>
      </c>
      <c r="AR75" s="133">
        <f>IFERROR('Production in Sqm'!AE52/'Main Sheet'!AR73*12,"")</f>
        <v>3416.4387402450284</v>
      </c>
      <c r="AS75" s="133">
        <f>IFERROR('Production in Sqm'!AF52/'Main Sheet'!AS73*12,"")</f>
        <v>3610.339165667001</v>
      </c>
      <c r="AT75" s="133">
        <f>IFERROR('Production in Sqm'!AG52/'Main Sheet'!AT73*12,"")</f>
        <v>3323.1945568190977</v>
      </c>
      <c r="AU75" s="133">
        <f>IFERROR('Production in Sqm'!AH52/'Main Sheet'!AU73*12,"")</f>
        <v>3590.3587174520781</v>
      </c>
      <c r="AV75" s="133">
        <f>IFERROR('Production in Sqm'!AI52/'Main Sheet'!AV73*12,"")</f>
        <v>3258.9223687724534</v>
      </c>
      <c r="AW75" s="133">
        <f>IFERROR('Production in Sqm'!AJ52/'Main Sheet'!AW73*12,"")</f>
        <v>3536.4172794849283</v>
      </c>
      <c r="AX75" s="133">
        <f>IFERROR('Production in Sqm'!AK52/'Main Sheet'!AX73*12,"")</f>
        <v>3625.6287749916364</v>
      </c>
      <c r="AY75" s="133">
        <f>IFERROR('Production in Sqm'!AL52/'Main Sheet'!AY73*12,"")</f>
        <v>3795.9797985201376</v>
      </c>
      <c r="AZ75" s="111">
        <f t="shared" ref="AZ75:AZ76" si="254">AVERAGE(AN75:AY75)</f>
        <v>3477.4311625351716</v>
      </c>
      <c r="BC75" s="135">
        <f>(U75-U76)/U75</f>
        <v>3.3856234517028051E-2</v>
      </c>
      <c r="BD75" s="135">
        <f>(V73-V74)/V73</f>
        <v>-3.5650242218237246E-2</v>
      </c>
      <c r="BX75" s="133">
        <f>IFERROR('Production in Sqm'!AO61/'Main Sheet'!BX73*12,"")</f>
        <v>3580.0478702391183</v>
      </c>
      <c r="BY75" s="133">
        <f>IFERROR('Production in Sqm'!AP61/'Main Sheet'!BY73*12,"")</f>
        <v>3668.3097655444271</v>
      </c>
      <c r="BZ75" s="133">
        <f>IFERROR('Production in Sqm'!AQ61/'Main Sheet'!BZ73*12,"")</f>
        <v>3232.3214121540864</v>
      </c>
      <c r="CA75" s="133">
        <f>IFERROR('Production in Sqm'!AR61/'Main Sheet'!CA73*12,"")</f>
        <v>3716.3918284715191</v>
      </c>
      <c r="CB75" s="133">
        <f>IFERROR('Production in Sqm'!AS61/'Main Sheet'!CB73*12,"")</f>
        <v>3828.8079197030111</v>
      </c>
      <c r="CC75" s="133">
        <f>IFERROR('Production in Sqm'!AT61/'Main Sheet'!CC73*12,"")</f>
        <v>3684.5646994134895</v>
      </c>
      <c r="CD75" s="133">
        <f>IFERROR('Production in Sqm'!AU61/'Main Sheet'!CD73*12,"")</f>
        <v>3526.3593353598608</v>
      </c>
      <c r="CE75" s="133">
        <f>IFERROR('Production in Sqm'!AV61/'Main Sheet'!CE73*12,"")</f>
        <v>3320.4000069245285</v>
      </c>
      <c r="CF75" s="133">
        <f>IFERROR('Production in Sqm'!AW61/'Main Sheet'!CF73*12,"")</f>
        <v>3338.9885453190614</v>
      </c>
      <c r="CG75" s="133">
        <f>IFERROR('Production in Sqm'!AX61/'Main Sheet'!CG73*12,"")</f>
        <v>3432.2480458933428</v>
      </c>
      <c r="CH75" s="133">
        <f>IFERROR('Production in Sqm'!AY61/'Main Sheet'!CH73*12,"")</f>
        <v>3640.4717246837954</v>
      </c>
      <c r="CI75" s="133">
        <f>IFERROR('Production in Sqm'!AZ61/'Main Sheet'!CI73*12,"")</f>
        <v>3729.5163639909251</v>
      </c>
      <c r="CJ75" s="111">
        <f t="shared" si="246"/>
        <v>3558.2022931414308</v>
      </c>
      <c r="CO75" s="184">
        <f>SUM(BX70:CG70)</f>
        <v>146927.55995881552</v>
      </c>
      <c r="CZ75" s="194" t="s">
        <v>165</v>
      </c>
      <c r="DA75" s="192">
        <f>DA13</f>
        <v>80.083200000000005</v>
      </c>
    </row>
    <row r="76" spans="8:116" ht="13.5" thickTop="1" thickBot="1">
      <c r="K76" s="110" t="s">
        <v>10</v>
      </c>
      <c r="L76" s="131" t="s">
        <v>78</v>
      </c>
      <c r="M76" s="110"/>
      <c r="N76" s="111">
        <f>'Production in Sqm'!B48/'Main Sheet'!N74*12</f>
        <v>3186.5280864564907</v>
      </c>
      <c r="O76" s="111">
        <f>'Production in Sqm'!C48/'Main Sheet'!O74*12</f>
        <v>3241.3193765211886</v>
      </c>
      <c r="P76" s="111">
        <f>'Production in Sqm'!D48/'Main Sheet'!P74*12</f>
        <v>3103.8270478473341</v>
      </c>
      <c r="Q76" s="111">
        <f>'Production in Sqm'!E48/'Main Sheet'!Q74*12</f>
        <v>3441.1531198927651</v>
      </c>
      <c r="R76" s="111">
        <f>'Production in Sqm'!F48/'Main Sheet'!R74*12</f>
        <v>3372.9260003253494</v>
      </c>
      <c r="S76" s="111">
        <f>'Production in Sqm'!G48/'Main Sheet'!S74*12</f>
        <v>3307.2469310101915</v>
      </c>
      <c r="T76" s="146">
        <f>'Production in Sqm'!H48/'Main Sheet'!T74*12</f>
        <v>3162.4655634031888</v>
      </c>
      <c r="U76" s="146">
        <f>'Production in Sqm'!I48/'Main Sheet'!U74*12</f>
        <v>3119.6867428648538</v>
      </c>
      <c r="V76" s="146">
        <f>'Production in Sqm'!J48/'Main Sheet'!V74*12</f>
        <v>3223.6374550978412</v>
      </c>
      <c r="W76" s="146">
        <f>'Production in Sqm'!K48/'Main Sheet'!W74*12</f>
        <v>2935.6527724666703</v>
      </c>
      <c r="X76" s="146">
        <f>'Production in Sqm'!L48/'Main Sheet'!X74*12</f>
        <v>3283.9095693595027</v>
      </c>
      <c r="Y76" s="146">
        <f>'Production in Sqm'!M48/'Main Sheet'!Y74*12</f>
        <v>3330.9738291780714</v>
      </c>
      <c r="Z76" s="146">
        <f t="shared" si="252"/>
        <v>3225.7772078686207</v>
      </c>
      <c r="AA76" s="111">
        <f>'Production in Sqm'!N48/'Main Sheet'!AA74*12</f>
        <v>3266.4739492206963</v>
      </c>
      <c r="AB76" s="111">
        <f>'Production in Sqm'!O48/'Main Sheet'!AB74*12</f>
        <v>3157.8702213402694</v>
      </c>
      <c r="AC76" s="146">
        <f>'Production in Sqm'!P48/'Main Sheet'!AC74*12</f>
        <v>3161.7847371492217</v>
      </c>
      <c r="AD76" s="147">
        <f>'Production in Sqm'!Q48/'Main Sheet'!AD74*12</f>
        <v>3506.1608576054905</v>
      </c>
      <c r="AE76" s="111">
        <f>'Production in Sqm'!R48/'Main Sheet'!AE74*12</f>
        <v>3379.1206719875881</v>
      </c>
      <c r="AF76" s="111">
        <f>'Production in Sqm'!S48/'Main Sheet'!AF74*12</f>
        <v>3475.9439079287463</v>
      </c>
      <c r="AG76" s="147">
        <f>'Production in Sqm'!T48/'Main Sheet'!AG74*12</f>
        <v>3416.4698220600803</v>
      </c>
      <c r="AH76" s="147">
        <f>'Production in Sqm'!U48/'Main Sheet'!AH74*12</f>
        <v>3480.2041946159652</v>
      </c>
      <c r="AI76" s="147">
        <f>'Production in Sqm'!V48/'Main Sheet'!AI74*12</f>
        <v>3349.7768164804611</v>
      </c>
      <c r="AJ76" s="111">
        <f>'Production in Sqm'!W48/'Main Sheet'!AJ74*12</f>
        <v>3230.5408725110701</v>
      </c>
      <c r="AK76" s="111">
        <f>'Production in Sqm'!X48/'Main Sheet'!AK74*12</f>
        <v>3428.4974040278521</v>
      </c>
      <c r="AL76" s="111">
        <f>'Production in Sqm'!Y48/'Main Sheet'!AL74*12</f>
        <v>3615.5458695508678</v>
      </c>
      <c r="AM76" s="148">
        <f t="shared" si="253"/>
        <v>3372.365777039859</v>
      </c>
      <c r="AN76" s="149">
        <f>'Production in Sqm'!AA48/'Main Sheet'!AN74*12</f>
        <v>3672.0520862886369</v>
      </c>
      <c r="AO76" s="150">
        <f>'Production in Sqm'!AB48/'Main Sheet'!AO74*12</f>
        <v>3468.2107261435058</v>
      </c>
      <c r="AP76" s="149">
        <f>'Production in Sqm'!AC48/'Main Sheet'!AP74*12</f>
        <v>3362.6000153738314</v>
      </c>
      <c r="AQ76" s="149">
        <f>'Production in Sqm'!AD48/'Main Sheet'!AQ74*12</f>
        <v>3545.2279929610891</v>
      </c>
      <c r="AR76" s="149">
        <f>'Production in Sqm'!AE48/'Main Sheet'!AR74*12</f>
        <v>3546.1643912276013</v>
      </c>
      <c r="AS76" s="150">
        <f>'Production in Sqm'!AF48/'Main Sheet'!AS74*12</f>
        <v>3553.2241462108545</v>
      </c>
      <c r="AT76" s="149">
        <f>'Production in Sqm'!AG48/'Main Sheet'!AT74*12</f>
        <v>3572.7073491366591</v>
      </c>
      <c r="AU76" s="149">
        <f>'Production in Sqm'!AH48/'Main Sheet'!AU74*12</f>
        <v>3777.5517840154134</v>
      </c>
      <c r="AV76" s="149">
        <f>'Production in Sqm'!AI48/'Main Sheet'!AV74*12</f>
        <v>3774.0529289458741</v>
      </c>
      <c r="AW76" s="150">
        <f>'Production in Sqm'!AJ48/'Main Sheet'!AW74*12</f>
        <v>3406.4834915835381</v>
      </c>
      <c r="AX76" s="150">
        <f>'Production in Sqm'!AK48/'Main Sheet'!AX74*12</f>
        <v>3438.1222296517826</v>
      </c>
      <c r="AY76" s="150">
        <f>'Production in Sqm'!AL48/'Main Sheet'!AY74*12</f>
        <v>3702.9096988954689</v>
      </c>
      <c r="AZ76" s="148">
        <f t="shared" si="254"/>
        <v>3568.2755700361872</v>
      </c>
      <c r="BA76" s="138">
        <f>(AZ76-AZ75)/AZ75</f>
        <v>2.6123998795359864E-2</v>
      </c>
      <c r="BB76" s="138"/>
      <c r="BX76" s="148">
        <f>IFERROR('Production in Sqm'!AO57/'Main Sheet'!BX74*12,"")</f>
        <v>3827.9195541638519</v>
      </c>
      <c r="BY76" s="148">
        <f>IFERROR('Production in Sqm'!AP57/'Main Sheet'!BY74*12,"")</f>
        <v>3716.4515265989671</v>
      </c>
      <c r="BZ76" s="148">
        <f>IFERROR('Production in Sqm'!AQ57/'Main Sheet'!BZ74*12,"")</f>
        <v>3612.95922339761</v>
      </c>
      <c r="CA76" s="148">
        <f>IFERROR('Production in Sqm'!AR57/'Main Sheet'!CA74*12,"")</f>
        <v>3969.4917018524256</v>
      </c>
      <c r="CB76" s="148">
        <f>IFERROR('Production in Sqm'!AS57/'Main Sheet'!CB74*12,"")</f>
        <v>3837.5765236039456</v>
      </c>
      <c r="CC76" s="148">
        <f>IFERROR('Production in Sqm'!AT57/'Main Sheet'!CC74*12,"")</f>
        <v>3841.5585938858858</v>
      </c>
      <c r="CD76" s="148">
        <f>IFERROR('Production in Sqm'!AU57/'Main Sheet'!CD74*12,"")</f>
        <v>3812.6483485401318</v>
      </c>
      <c r="CE76" s="148">
        <f>IFERROR('Production in Sqm'!AV57/'Main Sheet'!CE74*12,"")</f>
        <v>3484.2247358018062</v>
      </c>
      <c r="CF76" s="152">
        <f>IFERROR('Production in Sqm'!AW57/'Main Sheet'!CF74*12,"")</f>
        <v>3219.3879245281332</v>
      </c>
      <c r="CG76" s="152">
        <f>IFERROR('Production in Sqm'!AX57/'Main Sheet'!CG74*12,"")</f>
        <v>3162.1113741439203</v>
      </c>
      <c r="CH76" s="152">
        <f>IFERROR('Production in Sqm'!AY57/'Main Sheet'!CH74*12,"")</f>
        <v>3544.7614963805145</v>
      </c>
      <c r="CI76" s="148">
        <f>IFERROR('Production in Sqm'!AZ57/'Main Sheet'!CI74*12,"")</f>
        <v>3786.4168306188985</v>
      </c>
      <c r="CJ76" s="148">
        <f t="shared" si="246"/>
        <v>3651.2923194596747</v>
      </c>
      <c r="CO76" s="182">
        <f>IFERROR(CO72/CO74,"")</f>
        <v>0.1112420554571171</v>
      </c>
      <c r="CP76" s="185" t="s">
        <v>8</v>
      </c>
      <c r="CZ76" s="194" t="s">
        <v>21</v>
      </c>
      <c r="DA76" s="192">
        <f>SUM(DA74:DA75)</f>
        <v>294.31319999999999</v>
      </c>
    </row>
    <row r="77" spans="8:116" ht="13.5" thickTop="1" thickBot="1">
      <c r="K77" s="110" t="s">
        <v>11</v>
      </c>
      <c r="L77" s="131" t="s">
        <v>39</v>
      </c>
      <c r="M77" s="110"/>
      <c r="N77" s="111">
        <f>SUM(N61,N45,N29,N13)</f>
        <v>2960.8</v>
      </c>
      <c r="O77" s="111">
        <f t="shared" ref="O77:R78" si="255">SUM(O61,O45,O29,O13)</f>
        <v>2961</v>
      </c>
      <c r="P77" s="111">
        <f t="shared" si="255"/>
        <v>2955.5</v>
      </c>
      <c r="Q77" s="111">
        <f t="shared" si="255"/>
        <v>2923.8</v>
      </c>
      <c r="R77" s="111">
        <f t="shared" si="255"/>
        <v>2938.8</v>
      </c>
      <c r="S77" s="111">
        <f t="shared" ref="S77:Y78" si="256">SUM(S61,S45,S29,S13)</f>
        <v>2896.3</v>
      </c>
      <c r="T77" s="111">
        <f t="shared" si="256"/>
        <v>2878.3</v>
      </c>
      <c r="U77" s="111">
        <f t="shared" si="256"/>
        <v>2900.3</v>
      </c>
      <c r="V77" s="111">
        <f t="shared" si="256"/>
        <v>2865.3</v>
      </c>
      <c r="W77" s="111">
        <f t="shared" si="256"/>
        <v>2821.8</v>
      </c>
      <c r="X77" s="111">
        <f t="shared" si="256"/>
        <v>2786.8</v>
      </c>
      <c r="Y77" s="111">
        <f t="shared" si="256"/>
        <v>2784.3</v>
      </c>
      <c r="Z77" s="111">
        <f t="shared" si="252"/>
        <v>2889.4166666666661</v>
      </c>
      <c r="AA77" s="111">
        <f t="shared" ref="AA77:AI77" si="257">SUM(AA61,AA45,AA29,AA13)</f>
        <v>3000.5</v>
      </c>
      <c r="AB77" s="111">
        <f t="shared" si="257"/>
        <v>3019.5</v>
      </c>
      <c r="AC77" s="111">
        <f t="shared" si="257"/>
        <v>3022.5</v>
      </c>
      <c r="AD77" s="111">
        <f t="shared" si="257"/>
        <v>2975.5</v>
      </c>
      <c r="AE77" s="111">
        <f t="shared" si="257"/>
        <v>2955.5</v>
      </c>
      <c r="AF77" s="111">
        <f t="shared" si="257"/>
        <v>2927.5</v>
      </c>
      <c r="AG77" s="111">
        <f t="shared" si="257"/>
        <v>2927.5</v>
      </c>
      <c r="AH77" s="111">
        <f t="shared" si="257"/>
        <v>2921.5</v>
      </c>
      <c r="AI77" s="111">
        <f t="shared" si="257"/>
        <v>2915</v>
      </c>
      <c r="AJ77" s="111">
        <f t="shared" ref="AJ77:AK77" si="258">SUM(AJ61,AJ45,AJ29,AJ13)</f>
        <v>2886.5</v>
      </c>
      <c r="AK77" s="111">
        <f t="shared" si="258"/>
        <v>2883.5</v>
      </c>
      <c r="AL77" s="111">
        <f t="shared" ref="AL77" si="259">SUM(AL61,AL45,AL29,AL13)</f>
        <v>2877.5</v>
      </c>
      <c r="AM77" s="111">
        <f t="shared" si="253"/>
        <v>2942.7083333333335</v>
      </c>
      <c r="AN77" s="133">
        <f>IF(SUM(AN61,AN45,AN29,AN13)=0,"",SUM(AN61,AN45,AN29,AN13))</f>
        <v>3080</v>
      </c>
      <c r="AO77" s="133">
        <f t="shared" ref="AO77:AW77" si="260">IF(SUM(AO61,AO45,AO29,AO13)=0,"",SUM(AO61,AO45,AO29,AO13))</f>
        <v>3069</v>
      </c>
      <c r="AP77" s="133">
        <f t="shared" si="260"/>
        <v>3053</v>
      </c>
      <c r="AQ77" s="133">
        <f t="shared" ref="AQ77" si="261">IF(SUM(AQ61,AQ45,AQ29,AQ13)=0,"",SUM(AQ61,AQ45,AQ29,AQ13))</f>
        <v>3047.5</v>
      </c>
      <c r="AR77" s="133">
        <f t="shared" si="260"/>
        <v>3028</v>
      </c>
      <c r="AS77" s="133">
        <f t="shared" si="260"/>
        <v>3021</v>
      </c>
      <c r="AT77" s="133">
        <f t="shared" si="260"/>
        <v>2962</v>
      </c>
      <c r="AU77" s="133">
        <f t="shared" ref="AU77:AV77" si="262">IF(SUM(AU61,AU45,AU29,AU13)=0,"",SUM(AU61,AU45,AU29,AU13))</f>
        <v>2961</v>
      </c>
      <c r="AV77" s="133">
        <f t="shared" si="262"/>
        <v>2948</v>
      </c>
      <c r="AW77" s="133">
        <f t="shared" si="260"/>
        <v>2961</v>
      </c>
      <c r="AX77" s="133">
        <f t="shared" ref="AX77:AY77" si="263">IF(SUM(AX61,AX45,AX29,AX13)=0,"",SUM(AX61,AX45,AX29,AX13))</f>
        <v>2934</v>
      </c>
      <c r="AY77" s="133">
        <f t="shared" si="263"/>
        <v>2939</v>
      </c>
      <c r="AZ77" s="111">
        <f t="shared" ref="AZ77:AZ80" si="264">AVERAGE(AN77:AY77)</f>
        <v>3000.2916666666665</v>
      </c>
      <c r="BX77" s="133">
        <f t="shared" ref="BX77:BX78" si="265">IF(SUM(BX61,BX45,BX29,BX13)=0,"",SUM(BX61,BX45,BX29,BX13))</f>
        <v>3102.6333333333332</v>
      </c>
      <c r="BY77" s="133">
        <f t="shared" ref="BY77:BZ77" si="266">IF(SUM(BY61,BY45,BY29,BY13)=0,"",SUM(BY61,BY45,BY29,BY13))</f>
        <v>3132.6333333333332</v>
      </c>
      <c r="BZ77" s="133">
        <f t="shared" si="266"/>
        <v>3135.1333333333332</v>
      </c>
      <c r="CA77" s="133">
        <f t="shared" ref="CA77:CB77" si="267">IF(SUM(CA61,CA45,CA29,CA13)=0,"",SUM(CA61,CA45,CA29,CA13))</f>
        <v>3119.6333333333332</v>
      </c>
      <c r="CB77" s="133">
        <f t="shared" si="267"/>
        <v>3127.6333333333332</v>
      </c>
      <c r="CC77" s="133">
        <f t="shared" ref="CC77:CD77" si="268">IF(SUM(CC61,CC45,CC29,CC13)=0,"",SUM(CC61,CC45,CC29,CC13))</f>
        <v>3128.6333333333332</v>
      </c>
      <c r="CD77" s="133">
        <f t="shared" si="268"/>
        <v>3146.1333333333332</v>
      </c>
      <c r="CE77" s="133">
        <f t="shared" ref="CE77:CF77" si="269">IF(SUM(CE61,CE45,CE29,CE13)=0,"",SUM(CE61,CE45,CE29,CE13))</f>
        <v>3148.2583333333332</v>
      </c>
      <c r="CF77" s="133">
        <f t="shared" si="269"/>
        <v>3142.7583333333332</v>
      </c>
      <c r="CG77" s="133">
        <f t="shared" ref="CG77" si="270">IF(SUM(CG61,CG45,CG29,CG13)=0,"",SUM(CG61,CG45,CG29,CG13))</f>
        <v>3140.2583333333332</v>
      </c>
      <c r="CH77" s="133">
        <f t="shared" ref="CH77:CI77" si="271">IF(SUM(CH61,CH45,CH29,CH13)=0,"",SUM(CH61,CH45,CH29,CH13))</f>
        <v>3140.0395833333332</v>
      </c>
      <c r="CI77" s="133">
        <f t="shared" si="271"/>
        <v>3129.4145833333332</v>
      </c>
      <c r="CJ77" s="111">
        <f t="shared" si="246"/>
        <v>3132.7635416666658</v>
      </c>
      <c r="CO77" s="183">
        <f>IFERROR(CO73/CO75,"")</f>
        <v>0.11139150501163703</v>
      </c>
      <c r="CZ77" s="201"/>
      <c r="DA77" s="196">
        <f>DA15</f>
        <v>933.31031066495734</v>
      </c>
    </row>
    <row r="78" spans="8:116" ht="13.5" thickTop="1" thickBot="1">
      <c r="K78" s="110"/>
      <c r="L78" s="131" t="s">
        <v>78</v>
      </c>
      <c r="M78" s="110"/>
      <c r="N78" s="111">
        <f>SUM(N62,N46,N30,N14)</f>
        <v>2956.5</v>
      </c>
      <c r="O78" s="111">
        <f t="shared" si="255"/>
        <v>2929</v>
      </c>
      <c r="P78" s="111">
        <f t="shared" si="255"/>
        <v>2947.5</v>
      </c>
      <c r="Q78" s="111">
        <f t="shared" si="255"/>
        <v>2855.5</v>
      </c>
      <c r="R78" s="111">
        <f t="shared" si="255"/>
        <v>2950.5</v>
      </c>
      <c r="S78" s="111">
        <f t="shared" si="256"/>
        <v>2952.5</v>
      </c>
      <c r="T78" s="111">
        <f t="shared" si="256"/>
        <v>3104.5</v>
      </c>
      <c r="U78" s="111">
        <f t="shared" si="256"/>
        <v>3024.5</v>
      </c>
      <c r="V78" s="111">
        <f t="shared" si="256"/>
        <v>2966.5</v>
      </c>
      <c r="W78" s="111">
        <f t="shared" si="256"/>
        <v>2918.5</v>
      </c>
      <c r="X78" s="111">
        <f t="shared" si="256"/>
        <v>2922.5</v>
      </c>
      <c r="Y78" s="111">
        <f t="shared" si="256"/>
        <v>3044.5</v>
      </c>
      <c r="Z78" s="111">
        <f t="shared" si="252"/>
        <v>2964.375</v>
      </c>
      <c r="AA78" s="111">
        <f t="shared" ref="AA78:AI78" si="272">SUM(AA62,AA46,AA30,AA14)</f>
        <v>3002.5</v>
      </c>
      <c r="AB78" s="111">
        <f t="shared" si="272"/>
        <v>3049.5</v>
      </c>
      <c r="AC78" s="111">
        <f t="shared" si="272"/>
        <v>3037.5</v>
      </c>
      <c r="AD78" s="111">
        <f t="shared" si="272"/>
        <v>3041.5</v>
      </c>
      <c r="AE78" s="111">
        <f t="shared" si="272"/>
        <v>3057.5</v>
      </c>
      <c r="AF78" s="111">
        <f t="shared" si="272"/>
        <v>3013.5</v>
      </c>
      <c r="AG78" s="111">
        <f t="shared" si="272"/>
        <v>3014</v>
      </c>
      <c r="AH78" s="111">
        <f t="shared" si="272"/>
        <v>3035</v>
      </c>
      <c r="AI78" s="111">
        <f t="shared" si="272"/>
        <v>3037</v>
      </c>
      <c r="AJ78" s="111">
        <f t="shared" ref="AJ78:AK78" si="273">SUM(AJ62,AJ46,AJ30,AJ14)</f>
        <v>3061</v>
      </c>
      <c r="AK78" s="111">
        <f t="shared" si="273"/>
        <v>2992</v>
      </c>
      <c r="AL78" s="111">
        <f t="shared" ref="AL78" si="274">SUM(AL62,AL46,AL30,AL14)</f>
        <v>3074</v>
      </c>
      <c r="AM78" s="111">
        <f t="shared" si="253"/>
        <v>3034.5833333333335</v>
      </c>
      <c r="AN78" s="133">
        <f>IF(SUM(AN62,AN46,AN30,AN14)=0,"",SUM(AN62,AN46,AN30,AN14))</f>
        <v>3073.5</v>
      </c>
      <c r="AO78" s="133">
        <f t="shared" ref="AO78:AW78" si="275">IF(SUM(AO62,AO46,AO30,AO14)=0,"",SUM(AO62,AO46,AO30,AO14))</f>
        <v>3035</v>
      </c>
      <c r="AP78" s="133">
        <f t="shared" si="275"/>
        <v>3147.5</v>
      </c>
      <c r="AQ78" s="133">
        <f t="shared" ref="AQ78" si="276">IF(SUM(AQ62,AQ46,AQ30,AQ14)=0,"",SUM(AQ62,AQ46,AQ30,AQ14))</f>
        <v>3192</v>
      </c>
      <c r="AR78" s="133">
        <f t="shared" si="275"/>
        <v>3122</v>
      </c>
      <c r="AS78" s="133">
        <f t="shared" si="275"/>
        <v>3139.5</v>
      </c>
      <c r="AT78" s="133">
        <f t="shared" si="275"/>
        <v>3129</v>
      </c>
      <c r="AU78" s="133">
        <f t="shared" ref="AU78:AV78" si="277">IF(SUM(AU62,AU46,AU30,AU14)=0,"",SUM(AU62,AU46,AU30,AU14))</f>
        <v>3091</v>
      </c>
      <c r="AV78" s="133">
        <f t="shared" si="277"/>
        <v>3128.5</v>
      </c>
      <c r="AW78" s="133">
        <f t="shared" si="275"/>
        <v>3157</v>
      </c>
      <c r="AX78" s="133">
        <f t="shared" ref="AX78:AY78" si="278">IF(SUM(AX62,AX46,AX30,AX14)=0,"",SUM(AX62,AX46,AX30,AX14))</f>
        <v>3107</v>
      </c>
      <c r="AY78" s="133">
        <f t="shared" si="278"/>
        <v>3081</v>
      </c>
      <c r="AZ78" s="111">
        <f t="shared" si="264"/>
        <v>3116.9166666666665</v>
      </c>
      <c r="BA78" s="127">
        <f>AX78-AX77</f>
        <v>173</v>
      </c>
      <c r="BX78" s="133">
        <f t="shared" si="265"/>
        <v>3101.7423076923078</v>
      </c>
      <c r="BY78" s="133">
        <f t="shared" ref="BY78:BZ78" si="279">IF(SUM(BY62,BY46,BY30,BY14)=0,"",SUM(BY62,BY46,BY30,BY14))</f>
        <v>3186.3</v>
      </c>
      <c r="BZ78" s="133">
        <f t="shared" si="279"/>
        <v>3216.3</v>
      </c>
      <c r="CA78" s="133">
        <f t="shared" ref="CA78:CB78" si="280">IF(SUM(CA62,CA46,CA30,CA14)=0,"",SUM(CA62,CA46,CA30,CA14))</f>
        <v>3217.3</v>
      </c>
      <c r="CB78" s="133">
        <f t="shared" si="280"/>
        <v>3215.3</v>
      </c>
      <c r="CC78" s="133">
        <f t="shared" ref="CC78:CD78" si="281">IF(SUM(CC62,CC46,CC30,CC14)=0,"",SUM(CC62,CC46,CC30,CC14))</f>
        <v>3216.3</v>
      </c>
      <c r="CD78" s="133">
        <f t="shared" si="281"/>
        <v>3236.3</v>
      </c>
      <c r="CE78" s="133">
        <f t="shared" ref="CE78:CF78" si="282">IF(SUM(CE62,CE46,CE30,CE14)=0,"",SUM(CE62,CE46,CE30,CE14))</f>
        <v>3173.3</v>
      </c>
      <c r="CF78" s="133">
        <f t="shared" si="282"/>
        <v>2963.665384615384</v>
      </c>
      <c r="CG78" s="133">
        <f t="shared" ref="CG78" si="283">IF(SUM(CG62,CG46,CG30,CG14)=0,"",SUM(CG62,CG46,CG30,CG14))</f>
        <v>2884.3</v>
      </c>
      <c r="CH78" s="133">
        <f t="shared" ref="CH78:CI78" si="284">IF(SUM(CH62,CH46,CH30,CH14)=0,"",SUM(CH62,CH46,CH30,CH14))</f>
        <v>3040.3</v>
      </c>
      <c r="CI78" s="133">
        <f t="shared" si="284"/>
        <v>3004.3</v>
      </c>
      <c r="CJ78" s="111">
        <f t="shared" si="246"/>
        <v>3121.2839743589743</v>
      </c>
      <c r="CZ78" s="197" t="s">
        <v>167</v>
      </c>
      <c r="DA78" s="192">
        <f>CJ67-DA77</f>
        <v>19711.921222140314</v>
      </c>
    </row>
    <row r="79" spans="8:116" ht="13.5" thickTop="1" thickBot="1">
      <c r="K79" s="110" t="s">
        <v>12</v>
      </c>
      <c r="L79" s="131" t="s">
        <v>39</v>
      </c>
      <c r="M79" s="110"/>
      <c r="N79" s="111">
        <f>'Production in Sqm'!B52/'Main Sheet'!N77*12</f>
        <v>3843.3923263982706</v>
      </c>
      <c r="O79" s="111">
        <f>'Production in Sqm'!C52/'Main Sheet'!O77*12</f>
        <v>3872.1013171225932</v>
      </c>
      <c r="P79" s="111">
        <f>'Production in Sqm'!D52/'Main Sheet'!P77*12</f>
        <v>3581.9888343765861</v>
      </c>
      <c r="Q79" s="111">
        <f>'Production in Sqm'!E52/'Main Sheet'!Q77*12</f>
        <v>4204.399753745126</v>
      </c>
      <c r="R79" s="111">
        <f>'Production in Sqm'!F52/'Main Sheet'!R77*12</f>
        <v>4124.9122090649234</v>
      </c>
      <c r="S79" s="111">
        <f>'Production in Sqm'!G52/'Main Sheet'!S77*12</f>
        <v>4238.1051686634673</v>
      </c>
      <c r="T79" s="111">
        <f>'Production in Sqm'!H52/'Main Sheet'!T77*12</f>
        <v>4314.959524719452</v>
      </c>
      <c r="U79" s="111">
        <f>'Production in Sqm'!I52/'Main Sheet'!U77*12</f>
        <v>4202.0646140054478</v>
      </c>
      <c r="V79" s="111">
        <f>'Production in Sqm'!J52/'Main Sheet'!V77*12</f>
        <v>4257.5730290021984</v>
      </c>
      <c r="W79" s="111">
        <f>'Production in Sqm'!K52/'Main Sheet'!W77*12</f>
        <v>4552.2007229428018</v>
      </c>
      <c r="X79" s="111">
        <f>'Production in Sqm'!L52/'Main Sheet'!X77*12</f>
        <v>4726.0614324673461</v>
      </c>
      <c r="Y79" s="111">
        <f>'Production in Sqm'!M52/'Main Sheet'!Y77*12</f>
        <v>4965.5769852386593</v>
      </c>
      <c r="Z79" s="111">
        <f t="shared" si="252"/>
        <v>4240.2779931455725</v>
      </c>
      <c r="AA79" s="111">
        <f>'Production in Sqm'!N52/'Main Sheet'!AA77*12</f>
        <v>4294.3282786202299</v>
      </c>
      <c r="AB79" s="111">
        <f>'Production in Sqm'!O52/'Main Sheet'!AB77*12</f>
        <v>4212.6736214605071</v>
      </c>
      <c r="AC79" s="111">
        <f>'Production in Sqm'!P52/'Main Sheet'!AC77*12</f>
        <v>4356.7960297766749</v>
      </c>
      <c r="AD79" s="111">
        <f>'Production in Sqm'!Q52/'Main Sheet'!AD77*12</f>
        <v>4571.3849773147367</v>
      </c>
      <c r="AE79" s="111">
        <f>'Production in Sqm'!R52/'Main Sheet'!AE77*12</f>
        <v>4572.8871595330738</v>
      </c>
      <c r="AF79" s="111">
        <f>'Production in Sqm'!S52/'Main Sheet'!AF77*12</f>
        <v>4756.6811272416735</v>
      </c>
      <c r="AG79" s="111">
        <f>'Production in Sqm'!T52/'Main Sheet'!AG77*12</f>
        <v>4325.62391118702</v>
      </c>
      <c r="AH79" s="111">
        <f>'Production in Sqm'!U52/'Main Sheet'!AH77*12</f>
        <v>4475.196987848708</v>
      </c>
      <c r="AI79" s="111">
        <f>'Production in Sqm'!V52/'Main Sheet'!AI77*12</f>
        <v>4278.253173241852</v>
      </c>
      <c r="AJ79" s="111">
        <f>'Production in Sqm'!W52/'Main Sheet'!AJ77*12</f>
        <v>4463.8503377793177</v>
      </c>
      <c r="AK79" s="111">
        <f>'Production in Sqm'!X52/'Main Sheet'!AK77*12</f>
        <v>4774.2937402462285</v>
      </c>
      <c r="AL79" s="111">
        <f>'Production in Sqm'!Y52/'Main Sheet'!AL77*12</f>
        <v>4924.0827106863599</v>
      </c>
      <c r="AM79" s="111">
        <f t="shared" si="253"/>
        <v>4500.5043379113649</v>
      </c>
      <c r="AN79" s="133">
        <f>IFERROR('Production in Sqm'!AA52/'Main Sheet'!AN77*12,"")</f>
        <v>4647.691526941524</v>
      </c>
      <c r="AO79" s="133">
        <f>IFERROR('Production in Sqm'!AB52/'Main Sheet'!AO77*12,"")</f>
        <v>4852.1816646672878</v>
      </c>
      <c r="AP79" s="133">
        <f>IFERROR('Production in Sqm'!AC52/'Main Sheet'!AP77*12,"")</f>
        <v>4494.4450939134294</v>
      </c>
      <c r="AQ79" s="133">
        <f>IFERROR('Production in Sqm'!AD52/'Main Sheet'!AQ77*12,"")</f>
        <v>4749.471248339848</v>
      </c>
      <c r="AR79" s="133">
        <f>IFERROR('Production in Sqm'!AE52/'Main Sheet'!AR77*12,"")</f>
        <v>4734.2724418983289</v>
      </c>
      <c r="AS79" s="133">
        <f>IFERROR('Production in Sqm'!AF52/'Main Sheet'!AS77*12,"")</f>
        <v>5007.388647515636</v>
      </c>
      <c r="AT79" s="133">
        <f>IFERROR('Production in Sqm'!AG52/'Main Sheet'!AT77*12,"")</f>
        <v>4645.9651113395958</v>
      </c>
      <c r="AU79" s="133">
        <f>IFERROR('Production in Sqm'!AH52/'Main Sheet'!AU77*12,"")</f>
        <v>5021.1669871560462</v>
      </c>
      <c r="AV79" s="133">
        <f>IFERROR('Production in Sqm'!AI52/'Main Sheet'!AV77*12,"")</f>
        <v>4563.375691415431</v>
      </c>
      <c r="AW79" s="133">
        <f>IFERROR('Production in Sqm'!AJ52/'Main Sheet'!AW77*12,"")</f>
        <v>4949.312126371341</v>
      </c>
      <c r="AX79" s="133">
        <f>IFERROR('Production in Sqm'!AK52/'Main Sheet'!AX77*12,"")</f>
        <v>5087.4961372326406</v>
      </c>
      <c r="AY79" s="133">
        <f>IFERROR('Production in Sqm'!AL52/'Main Sheet'!AY77*12,"")</f>
        <v>5322.6378869348364</v>
      </c>
      <c r="AZ79" s="111">
        <f t="shared" si="264"/>
        <v>4839.6170469771614</v>
      </c>
      <c r="BX79" s="133">
        <f>IFERROR('Production in Sqm'!AO61/'Main Sheet'!BX77*12,"")</f>
        <v>4965.4658945626834</v>
      </c>
      <c r="BY79" s="133">
        <f>IFERROR('Production in Sqm'!AP61/'Main Sheet'!BY77*12,"")</f>
        <v>5109.4189127358241</v>
      </c>
      <c r="BZ79" s="133">
        <f>IFERROR('Production in Sqm'!AQ61/'Main Sheet'!BZ77*12,"")</f>
        <v>4485.6733365938717</v>
      </c>
      <c r="CA79" s="133">
        <f>IFERROR('Production in Sqm'!AR61/'Main Sheet'!CA77*12,"")</f>
        <v>5178.3047152977379</v>
      </c>
      <c r="CB79" s="133">
        <f>IFERROR('Production in Sqm'!AS61/'Main Sheet'!CB77*12,"")</f>
        <v>5342.1070244807042</v>
      </c>
      <c r="CC79" s="133">
        <f>IFERROR('Production in Sqm'!AT61/'Main Sheet'!CC77*12,"")</f>
        <v>5140.3876026806174</v>
      </c>
      <c r="CD79" s="133">
        <f>IFERROR('Production in Sqm'!AU61/'Main Sheet'!CD77*12,"")</f>
        <v>4904.076962196983</v>
      </c>
      <c r="CE79" s="133">
        <f>IFERROR('Production in Sqm'!AV61/'Main Sheet'!CE77*12,"")</f>
        <v>4569.314991622352</v>
      </c>
      <c r="CF79" s="133">
        <f>IFERROR('Production in Sqm'!AW61/'Main Sheet'!CF77*12,"")</f>
        <v>4598.155654136096</v>
      </c>
      <c r="CG79" s="133">
        <f>IFERROR('Production in Sqm'!AX61/'Main Sheet'!CG77*12,"")</f>
        <v>4729.8006798803708</v>
      </c>
      <c r="CH79" s="133">
        <f>IFERROR('Production in Sqm'!AY61/'Main Sheet'!CH77*12,"")</f>
        <v>5016.8386677715716</v>
      </c>
      <c r="CI79" s="133">
        <f>IFERROR('Production in Sqm'!AZ61/'Main Sheet'!CI77*12,"")</f>
        <v>5118.236517879076</v>
      </c>
      <c r="CJ79" s="111">
        <f t="shared" si="246"/>
        <v>4929.8150799864916</v>
      </c>
      <c r="CZ79" s="198" t="s">
        <v>78</v>
      </c>
      <c r="DA79" s="192">
        <f>CJ68</f>
        <v>19641.851285010114</v>
      </c>
    </row>
    <row r="80" spans="8:116" ht="13.5" thickTop="1" thickBot="1">
      <c r="K80" s="110" t="s">
        <v>12</v>
      </c>
      <c r="L80" s="131" t="s">
        <v>78</v>
      </c>
      <c r="M80" s="110"/>
      <c r="N80" s="111">
        <f>'Production in Sqm'!B48/'Main Sheet'!N78*12</f>
        <v>4080.0277596079977</v>
      </c>
      <c r="O80" s="111">
        <f>'Production in Sqm'!C48/'Main Sheet'!O78*12</f>
        <v>4190.807947724732</v>
      </c>
      <c r="P80" s="111">
        <f>'Production in Sqm'!D48/'Main Sheet'!P78*12</f>
        <v>4007.3329365845739</v>
      </c>
      <c r="Q80" s="111">
        <f>'Production in Sqm'!E48/'Main Sheet'!Q78*12</f>
        <v>4489.5870944354747</v>
      </c>
      <c r="R80" s="111">
        <f>'Production in Sqm'!F48/'Main Sheet'!R78*12</f>
        <v>4384.6323247747423</v>
      </c>
      <c r="S80" s="111">
        <f>'Production in Sqm'!G48/'Main Sheet'!S78*12</f>
        <v>4319.8637728842687</v>
      </c>
      <c r="T80" s="111">
        <f>'Production in Sqm'!H48/'Main Sheet'!T78*12</f>
        <v>4082.3258963885587</v>
      </c>
      <c r="U80" s="111">
        <f>'Production in Sqm'!I48/'Main Sheet'!U78*12</f>
        <v>4061.4205819244053</v>
      </c>
      <c r="V80" s="111">
        <f>'Production in Sqm'!J48/'Main Sheet'!V78*12</f>
        <v>4204.9098710605422</v>
      </c>
      <c r="W80" s="111">
        <f>'Production in Sqm'!K48/'Main Sheet'!W78*12</f>
        <v>3835.912916841407</v>
      </c>
      <c r="X80" s="111">
        <f>'Production in Sqm'!L48/'Main Sheet'!X78*12</f>
        <v>4340.1542212664081</v>
      </c>
      <c r="Y80" s="111">
        <f>'Production in Sqm'!M48/'Main Sheet'!Y78*12</f>
        <v>4352.8590505452303</v>
      </c>
      <c r="Z80" s="111">
        <f t="shared" si="252"/>
        <v>4195.819531169861</v>
      </c>
      <c r="AA80" s="111">
        <f>'Production in Sqm'!N48/'Main Sheet'!AA78*12</f>
        <v>4249.9518676538391</v>
      </c>
      <c r="AB80" s="111">
        <f>'Production in Sqm'!O48/'Main Sheet'!AB78*12</f>
        <v>4124.0262851246516</v>
      </c>
      <c r="AC80" s="146">
        <f>'Production in Sqm'!P48/'Main Sheet'!AC78*12</f>
        <v>4209.9879405432184</v>
      </c>
      <c r="AD80" s="147">
        <f>'Production in Sqm'!Q48/'Main Sheet'!AD78*12</f>
        <v>4705.0453856047379</v>
      </c>
      <c r="AE80" s="111">
        <f>'Production in Sqm'!R48/'Main Sheet'!AE78*12</f>
        <v>4538.4657529082688</v>
      </c>
      <c r="AF80" s="111">
        <f>'Production in Sqm'!S48/'Main Sheet'!AF78*12</f>
        <v>4667.4654134506964</v>
      </c>
      <c r="AG80" s="147">
        <f>'Production in Sqm'!T48/'Main Sheet'!AG78*12</f>
        <v>4596.478144808767</v>
      </c>
      <c r="AH80" s="147">
        <f>'Production in Sqm'!U48/'Main Sheet'!AH78*12</f>
        <v>4659.0015297280615</v>
      </c>
      <c r="AI80" s="147">
        <f>'Production in Sqm'!V48/'Main Sheet'!AI78*12</f>
        <v>4482.5462568905477</v>
      </c>
      <c r="AJ80" s="111">
        <f>'Production in Sqm'!W48/'Main Sheet'!AJ78*12</f>
        <v>4307.0360342102831</v>
      </c>
      <c r="AK80" s="111">
        <f>'Production in Sqm'!X48/'Main Sheet'!AK78*12</f>
        <v>4621.3669887848682</v>
      </c>
      <c r="AL80" s="111">
        <f>'Production in Sqm'!Y48/'Main Sheet'!AL78*12</f>
        <v>4807.0058454308382</v>
      </c>
      <c r="AM80" s="152">
        <f t="shared" si="253"/>
        <v>4497.364787094898</v>
      </c>
      <c r="AN80" s="149">
        <f>'Production in Sqm'!AA48/'Main Sheet'!AN78*12</f>
        <v>4909.8090283400543</v>
      </c>
      <c r="AO80" s="150">
        <f>'Production in Sqm'!AB48/'Main Sheet'!AO78*12</f>
        <v>4715.5095754303711</v>
      </c>
      <c r="AP80" s="149">
        <f>'Production in Sqm'!AC48/'Main Sheet'!AP78*12</f>
        <v>4565.5508072120956</v>
      </c>
      <c r="AQ80" s="149">
        <f>'Production in Sqm'!AD48/'Main Sheet'!AQ78*12</f>
        <v>4869.1351883275111</v>
      </c>
      <c r="AR80" s="149">
        <f>'Production in Sqm'!AE48/'Main Sheet'!AR78*12</f>
        <v>4845.5917017863385</v>
      </c>
      <c r="AS80" s="150">
        <f>'Production in Sqm'!AF48/'Main Sheet'!AS78*12</f>
        <v>4834.9652978540444</v>
      </c>
      <c r="AT80" s="149">
        <f>'Production in Sqm'!AG48/'Main Sheet'!AT78*12</f>
        <v>4866.3722345862707</v>
      </c>
      <c r="AU80" s="149">
        <f>'Production in Sqm'!AH48/'Main Sheet'!AU78*12</f>
        <v>5193.3698822948882</v>
      </c>
      <c r="AV80" s="149">
        <f>'Production in Sqm'!AI48/'Main Sheet'!AV78*12</f>
        <v>5160.7474604540348</v>
      </c>
      <c r="AW80" s="150">
        <f>'Production in Sqm'!AJ48/'Main Sheet'!AW78*12</f>
        <v>4600.9647159050382</v>
      </c>
      <c r="AX80" s="150">
        <f>'Production in Sqm'!AK48/'Main Sheet'!AX78*12</f>
        <v>4695.1891279087577</v>
      </c>
      <c r="AY80" s="150">
        <f>'Production in Sqm'!AL48/'Main Sheet'!AY78*12</f>
        <v>5034.563040789717</v>
      </c>
      <c r="AZ80" s="148">
        <f t="shared" si="264"/>
        <v>4857.6473384074261</v>
      </c>
      <c r="BX80" s="148">
        <f>IFERROR('Production in Sqm'!AO57/'Main Sheet'!BX78*12,"")</f>
        <v>5196.628881354547</v>
      </c>
      <c r="BY80" s="150">
        <f>IFERROR('Production in Sqm'!AP57/'Main Sheet'!BY78*12,"")</f>
        <v>5056.6275313889164</v>
      </c>
      <c r="BZ80" s="149">
        <f>IFERROR('Production in Sqm'!AQ57/'Main Sheet'!BZ78*12,"")</f>
        <v>4905.9095284470914</v>
      </c>
      <c r="CA80" s="149">
        <f>IFERROR('Production in Sqm'!AR57/'Main Sheet'!CA78*12,"")</f>
        <v>5403.1625928332232</v>
      </c>
      <c r="CB80" s="150">
        <f>IFERROR('Production in Sqm'!AS57/'Main Sheet'!CB78*12,"")</f>
        <v>5266.2391985499598</v>
      </c>
      <c r="CC80" s="149">
        <f>IFERROR('Production in Sqm'!AT57/'Main Sheet'!CC78*12,"")</f>
        <v>5175.7068230220157</v>
      </c>
      <c r="CD80" s="149">
        <f>IFERROR('Production in Sqm'!AU57/'Main Sheet'!CD78*12,"")</f>
        <v>5152.1351613480074</v>
      </c>
      <c r="CE80" s="149">
        <f>IFERROR('Production in Sqm'!AV57/'Main Sheet'!CE78*12,"")</f>
        <v>4590.9901010960493</v>
      </c>
      <c r="CF80" s="150">
        <f>IFERROR('Production in Sqm'!AW57/'Main Sheet'!CF78*12,"")</f>
        <v>4393.2451819464095</v>
      </c>
      <c r="CG80" s="150">
        <f>IFERROR('Production in Sqm'!AX57/'Main Sheet'!CG78*12,"")</f>
        <v>4255.1830586738661</v>
      </c>
      <c r="CH80" s="150">
        <f>IFERROR('Production in Sqm'!AY57/'Main Sheet'!CH78*12,"")</f>
        <v>4713.0182537311957</v>
      </c>
      <c r="CI80" s="150">
        <f>IFERROR('Production in Sqm'!AZ57/'Main Sheet'!CI78*12,"")</f>
        <v>5053.0509599575116</v>
      </c>
      <c r="CJ80" s="148">
        <f t="shared" si="246"/>
        <v>4930.1581060290655</v>
      </c>
      <c r="CZ80" s="198" t="s">
        <v>161</v>
      </c>
      <c r="DA80" s="196">
        <f>DA78-DA79</f>
        <v>70.069937130199833</v>
      </c>
    </row>
    <row r="81" spans="18:105" ht="12.75" thickTop="1">
      <c r="AN81" s="118"/>
      <c r="AR81" s="127"/>
      <c r="CZ81" s="197" t="s">
        <v>156</v>
      </c>
      <c r="DA81" s="202">
        <f>DA78/CJ69</f>
        <v>0.108198466498742</v>
      </c>
    </row>
    <row r="82" spans="18:105">
      <c r="R82" s="160">
        <f>R67-R1</f>
        <v>1099.8222153014076</v>
      </c>
      <c r="S82" s="160">
        <f>S67-S1</f>
        <v>1095.3905772382991</v>
      </c>
      <c r="T82" s="160">
        <f>T67-T1</f>
        <v>1093.5737805014037</v>
      </c>
      <c r="U82" s="118">
        <f>U67</f>
        <v>1123.2341774716831</v>
      </c>
      <c r="V82" s="118">
        <f>V67</f>
        <v>1065.784721189455</v>
      </c>
      <c r="W82" s="118">
        <f>W67</f>
        <v>1063.5057897305871</v>
      </c>
      <c r="X82" s="118">
        <f>X67</f>
        <v>1044.9494849462933</v>
      </c>
      <c r="Y82" s="118">
        <f>Y67</f>
        <v>1118.8349869242795</v>
      </c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>
        <f>AV67-AV68</f>
        <v>-74.564762516765086</v>
      </c>
      <c r="AW82" s="118"/>
      <c r="AX82" s="138"/>
      <c r="AY82" s="138"/>
      <c r="AZ82" s="118"/>
      <c r="BX82" s="161"/>
      <c r="BY82" s="138"/>
      <c r="BZ82" s="161">
        <f>BZ74-BZ78</f>
        <v>1151</v>
      </c>
      <c r="DA82" s="202">
        <f>DA81-CJ72</f>
        <v>-4.0578714547464256E-3</v>
      </c>
    </row>
    <row r="83" spans="18:105" ht="12.75" thickBot="1">
      <c r="R83" s="151">
        <f t="shared" ref="R83:Y83" si="285">R82/R69</f>
        <v>0.10047708891845493</v>
      </c>
      <c r="S83" s="151">
        <f t="shared" si="285"/>
        <v>9.8470925677660831E-2</v>
      </c>
      <c r="T83" s="151">
        <f t="shared" si="285"/>
        <v>9.7249780391409843E-2</v>
      </c>
      <c r="U83" s="151">
        <f t="shared" si="285"/>
        <v>0.10155824389436556</v>
      </c>
      <c r="V83" s="151">
        <f t="shared" si="285"/>
        <v>9.615524370168306E-2</v>
      </c>
      <c r="W83" s="151">
        <f t="shared" si="285"/>
        <v>9.0967906058556772E-2</v>
      </c>
      <c r="X83" s="151">
        <f t="shared" si="285"/>
        <v>8.7275493606138246E-2</v>
      </c>
      <c r="Y83" s="151">
        <f t="shared" si="285"/>
        <v>8.9072126974307733E-2</v>
      </c>
      <c r="Z83" s="162">
        <f>AVERAGE(N71:Q71,R83:T83)</f>
        <v>0.10226215594895641</v>
      </c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  <c r="AP83" s="151"/>
      <c r="AQ83" s="151"/>
      <c r="AR83" s="151"/>
      <c r="AS83" s="151"/>
      <c r="AT83" s="151"/>
      <c r="AU83" s="151"/>
      <c r="AV83" s="151"/>
      <c r="AW83" s="151"/>
      <c r="AX83" s="151"/>
      <c r="AY83" s="151"/>
      <c r="AZ83" s="151"/>
      <c r="BX83" s="161"/>
      <c r="BY83" s="151"/>
      <c r="BZ83" s="151"/>
    </row>
    <row r="84" spans="18:105" ht="24">
      <c r="AR84" s="127">
        <f>AR67-AR68</f>
        <v>19.821885704780698</v>
      </c>
      <c r="AS84" s="127">
        <f>AS67-AS68</f>
        <v>15.34498046546878</v>
      </c>
      <c r="AZ84" s="139" t="s">
        <v>124</v>
      </c>
      <c r="BC84" s="157" t="s">
        <v>80</v>
      </c>
      <c r="BX84" s="127"/>
    </row>
    <row r="85" spans="18:105" ht="12.75" thickBot="1">
      <c r="R85" s="160">
        <f>R68-R82</f>
        <v>6.8123282396184095</v>
      </c>
      <c r="S85" s="160">
        <f>S68-S82</f>
        <v>42.30290054448551</v>
      </c>
      <c r="T85" s="160">
        <f>T68-T82</f>
        <v>121.81697830811936</v>
      </c>
      <c r="Z85" s="162">
        <f>AVERAGE(N71:Q71,R83:Y83)</f>
        <v>9.8405342156478851E-2</v>
      </c>
      <c r="AZ85" s="115" t="s">
        <v>151</v>
      </c>
      <c r="BC85" s="163">
        <f>Z85</f>
        <v>9.8405342156478851E-2</v>
      </c>
      <c r="BX85" s="127">
        <f>'Production in Sqm'!AO54</f>
        <v>5.0215148300661836</v>
      </c>
      <c r="BY85" s="127">
        <f>'Production in Sqm'!AP54</f>
        <v>9.6811309599378106</v>
      </c>
      <c r="BZ85" s="127">
        <f>'Production in Sqm'!AQ54</f>
        <v>8.9528351383229516</v>
      </c>
      <c r="CA85" s="127">
        <f>'Production in Sqm'!AR54</f>
        <v>11.548139347105774</v>
      </c>
      <c r="CB85" s="127">
        <f>'Production in Sqm'!AS54</f>
        <v>11.457420952615397</v>
      </c>
      <c r="CC85" s="127">
        <f>'Production in Sqm'!AT54</f>
        <v>11.466251818501409</v>
      </c>
      <c r="CD85" s="127">
        <f>'Production in Sqm'!AU54</f>
        <v>11.731066901644981</v>
      </c>
      <c r="CE85" s="127">
        <f>'Production in Sqm'!AV54</f>
        <v>11.960984824501544</v>
      </c>
      <c r="CF85" s="127">
        <f>'Production in Sqm'!AW54</f>
        <v>11.634848030114039</v>
      </c>
      <c r="CG85" s="127">
        <f>'Production in Sqm'!AX54</f>
        <v>11.642063342832154</v>
      </c>
      <c r="CH85" s="127">
        <f>'Production in Sqm'!AY54</f>
        <v>11.658629557691368</v>
      </c>
      <c r="CI85" s="127">
        <f>'Production in Sqm'!AZ54</f>
        <v>11.653708846152977</v>
      </c>
      <c r="CJ85" s="187">
        <f>SUM(BX85:CI85)</f>
        <v>128.40859454948659</v>
      </c>
    </row>
    <row r="86" spans="18:105">
      <c r="R86" s="116">
        <f>R85*1000000</f>
        <v>6812328.2396184094</v>
      </c>
      <c r="AZ86" s="115" t="s">
        <v>152</v>
      </c>
      <c r="BX86" s="127">
        <f>'Production in Sqm'!AO50</f>
        <v>3.8124943</v>
      </c>
      <c r="BY86" s="127">
        <f>'Production in Sqm'!AP50</f>
        <v>3.8321543000000009</v>
      </c>
      <c r="BZ86" s="127">
        <f>'Production in Sqm'!AQ50</f>
        <v>4.5130495000000028</v>
      </c>
      <c r="CA86" s="127">
        <f>'Production in Sqm'!AR50</f>
        <v>5.4722955000000013</v>
      </c>
      <c r="CB86" s="127">
        <f>'Production in Sqm'!AS50</f>
        <v>11.428418799999999</v>
      </c>
      <c r="CC86" s="127">
        <f>'Production in Sqm'!AT50</f>
        <v>7.9127805999999978</v>
      </c>
      <c r="CD86" s="127">
        <f>'Production in Sqm'!AU50</f>
        <v>9.3896832000000003</v>
      </c>
      <c r="CE86" s="127">
        <f>'Production in Sqm'!AV50</f>
        <v>5.500559299999999</v>
      </c>
      <c r="CF86" s="127">
        <f>'Production in Sqm'!AW50</f>
        <v>7.407980600000009</v>
      </c>
      <c r="CG86" s="127">
        <f>'Production in Sqm'!AX50</f>
        <v>5.2026003999999944</v>
      </c>
      <c r="CH86" s="127">
        <f>'Production in Sqm'!AY50</f>
        <v>6.8363464999999906</v>
      </c>
      <c r="CI86" s="127">
        <f>'Production in Sqm'!AZ50</f>
        <v>10.473388900000003</v>
      </c>
      <c r="CJ86" s="187">
        <f>SUM(BX86:CI86)</f>
        <v>81.781751899999989</v>
      </c>
    </row>
    <row r="87" spans="18:105">
      <c r="CJ87" s="188"/>
    </row>
    <row r="88" spans="18:105">
      <c r="AZ88" s="115" t="s">
        <v>153</v>
      </c>
      <c r="BX88" s="127">
        <f>'Manpower Backup'!IP65</f>
        <v>7</v>
      </c>
      <c r="BY88" s="127">
        <f>'Manpower Backup'!IQ65</f>
        <v>11</v>
      </c>
      <c r="BZ88" s="127">
        <f>'Manpower Backup'!IR65</f>
        <v>12</v>
      </c>
      <c r="CA88" s="127">
        <f>'Manpower Backup'!IS65</f>
        <v>18</v>
      </c>
      <c r="CB88" s="127">
        <f>'Manpower Backup'!IT65</f>
        <v>17</v>
      </c>
      <c r="CC88" s="127">
        <f>'Manpower Backup'!IU65</f>
        <v>17</v>
      </c>
      <c r="CD88" s="127">
        <f>'Manpower Backup'!IV65</f>
        <v>18</v>
      </c>
      <c r="CE88" s="127">
        <f>'Manpower Backup'!IW65</f>
        <v>18</v>
      </c>
      <c r="CF88" s="127">
        <f>'Manpower Backup'!IX65</f>
        <v>18</v>
      </c>
      <c r="CG88" s="127">
        <f>'Manpower Backup'!IY65</f>
        <v>18</v>
      </c>
      <c r="CH88" s="127">
        <f>'Manpower Backup'!IZ65</f>
        <v>18</v>
      </c>
      <c r="CI88" s="127">
        <f>'Manpower Backup'!JA65</f>
        <v>18</v>
      </c>
    </row>
    <row r="89" spans="18:105">
      <c r="AZ89" s="115" t="s">
        <v>154</v>
      </c>
      <c r="BX89" s="127">
        <f>'Manpower Backup'!IP59</f>
        <v>5</v>
      </c>
      <c r="BY89" s="127">
        <f>'Manpower Backup'!IQ59</f>
        <v>6</v>
      </c>
      <c r="BZ89" s="127">
        <f>'Manpower Backup'!IR59</f>
        <v>6</v>
      </c>
      <c r="CA89" s="127">
        <f>'Manpower Backup'!IS59</f>
        <v>6</v>
      </c>
      <c r="CB89" s="127">
        <f>'Manpower Backup'!IT59</f>
        <v>7</v>
      </c>
      <c r="CC89" s="127">
        <f>'Manpower Backup'!IU59</f>
        <v>7</v>
      </c>
      <c r="CD89" s="127">
        <f>'Manpower Backup'!IV59</f>
        <v>8</v>
      </c>
      <c r="CE89" s="127">
        <f>'Manpower Backup'!IW59</f>
        <v>9</v>
      </c>
      <c r="CF89" s="127">
        <f>'Manpower Backup'!IX59</f>
        <v>9</v>
      </c>
      <c r="CG89" s="127">
        <f>'Manpower Backup'!IY59</f>
        <v>9</v>
      </c>
      <c r="CH89" s="127">
        <f>'Manpower Backup'!IZ59</f>
        <v>9</v>
      </c>
      <c r="CI89" s="127">
        <f>'Manpower Backup'!JA59</f>
        <v>9</v>
      </c>
    </row>
    <row r="91" spans="18:105">
      <c r="AZ91" s="139" t="s">
        <v>57</v>
      </c>
    </row>
    <row r="92" spans="18:105">
      <c r="AZ92" s="115" t="s">
        <v>153</v>
      </c>
      <c r="BX92" s="127">
        <f>'Manpower Backup'!IP78</f>
        <v>80</v>
      </c>
      <c r="BY92" s="127">
        <f>'Manpower Backup'!IQ78</f>
        <v>80</v>
      </c>
      <c r="BZ92" s="127">
        <f>'Manpower Backup'!IR78</f>
        <v>80</v>
      </c>
      <c r="CA92" s="127">
        <f>'Manpower Backup'!IS78</f>
        <v>82</v>
      </c>
      <c r="CB92" s="127">
        <f>'Manpower Backup'!IT78</f>
        <v>82</v>
      </c>
      <c r="CC92" s="127">
        <f>'Manpower Backup'!IU78</f>
        <v>82</v>
      </c>
      <c r="CD92" s="127">
        <f>'Manpower Backup'!IV78</f>
        <v>82</v>
      </c>
      <c r="CE92" s="127">
        <f>'Manpower Backup'!IW78</f>
        <v>82</v>
      </c>
      <c r="CF92" s="127">
        <f>'Manpower Backup'!IX78</f>
        <v>82</v>
      </c>
      <c r="CG92" s="127">
        <f>'Manpower Backup'!IY78</f>
        <v>84</v>
      </c>
      <c r="CH92" s="127">
        <f>'Manpower Backup'!IZ78</f>
        <v>84</v>
      </c>
      <c r="CI92" s="127">
        <f>'Manpower Backup'!JA78</f>
        <v>84</v>
      </c>
    </row>
    <row r="93" spans="18:105">
      <c r="AZ93" s="115" t="s">
        <v>154</v>
      </c>
      <c r="BX93" s="127">
        <f>'Manpower Backup'!IP72</f>
        <v>72</v>
      </c>
      <c r="BY93" s="127">
        <f>'Manpower Backup'!IQ72</f>
        <v>73</v>
      </c>
      <c r="BZ93" s="127">
        <f>'Manpower Backup'!IR72</f>
        <v>79</v>
      </c>
      <c r="CA93" s="127">
        <f>'Manpower Backup'!IS72</f>
        <v>82</v>
      </c>
      <c r="CB93" s="127">
        <f>'Manpower Backup'!IT72</f>
        <v>81</v>
      </c>
      <c r="CC93" s="127">
        <f>'Manpower Backup'!IU72</f>
        <v>79</v>
      </c>
      <c r="CD93" s="127">
        <f>'Manpower Backup'!IV72</f>
        <v>77</v>
      </c>
      <c r="CE93" s="127">
        <f>'Manpower Backup'!IW72</f>
        <v>78</v>
      </c>
      <c r="CF93" s="127">
        <f>'Manpower Backup'!IX72</f>
        <v>78</v>
      </c>
      <c r="CG93" s="127">
        <f>'Manpower Backup'!IY72</f>
        <v>78</v>
      </c>
      <c r="CH93" s="127">
        <f>'Manpower Backup'!IZ72</f>
        <v>79</v>
      </c>
      <c r="CI93" s="127">
        <f>'Manpower Backup'!JA72</f>
        <v>80</v>
      </c>
    </row>
  </sheetData>
  <pageMargins left="0.7" right="0.7" top="0.75" bottom="0.75" header="0.3" footer="0.3"/>
  <pageSetup paperSize="9"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O100"/>
  <sheetViews>
    <sheetView showGridLines="0" zoomScale="80" zoomScaleNormal="80" workbookViewId="0">
      <pane xSplit="1" ySplit="3" topLeftCell="IL80" activePane="bottomRight" state="frozen"/>
      <selection pane="topRight" activeCell="B1" sqref="B1"/>
      <selection pane="bottomLeft" activeCell="A4" sqref="A4"/>
      <selection pane="bottomRight" activeCell="JB88" sqref="JB88"/>
    </sheetView>
  </sheetViews>
  <sheetFormatPr defaultRowHeight="15" outlineLevelCol="1"/>
  <cols>
    <col min="1" max="1" width="13.5703125" style="3" customWidth="1"/>
    <col min="2" max="2" width="13.42578125" style="3" customWidth="1"/>
    <col min="3" max="3" width="11.7109375" style="3" hidden="1" customWidth="1" outlineLevel="1"/>
    <col min="4" max="14" width="9.140625" style="3" hidden="1" customWidth="1" outlineLevel="1"/>
    <col min="15" max="15" width="9.140625" style="3" collapsed="1"/>
    <col min="16" max="16" width="9.85546875" style="3" hidden="1" customWidth="1" outlineLevel="1"/>
    <col min="17" max="30" width="9.140625" style="3" hidden="1" customWidth="1" outlineLevel="1"/>
    <col min="31" max="31" width="9.85546875" style="3" hidden="1" customWidth="1" outlineLevel="1"/>
    <col min="32" max="45" width="9.140625" style="3" hidden="1" customWidth="1" outlineLevel="1"/>
    <col min="46" max="46" width="9.85546875" style="3" hidden="1" customWidth="1" outlineLevel="1"/>
    <col min="47" max="60" width="9.140625" style="3" hidden="1" customWidth="1" outlineLevel="1"/>
    <col min="61" max="61" width="9.85546875" style="3" hidden="1" customWidth="1" outlineLevel="1"/>
    <col min="62" max="75" width="9.140625" style="3" hidden="1" customWidth="1" outlineLevel="1"/>
    <col min="76" max="76" width="9.85546875" style="3" hidden="1" customWidth="1" outlineLevel="1"/>
    <col min="77" max="90" width="9.140625" style="3" hidden="1" customWidth="1" outlineLevel="1"/>
    <col min="91" max="91" width="9.140625" style="3" hidden="1" customWidth="1" collapsed="1"/>
    <col min="92" max="103" width="9.140625" style="3" hidden="1" customWidth="1" outlineLevel="1"/>
    <col min="104" max="104" width="9.140625" style="3" collapsed="1"/>
    <col min="105" max="117" width="9.140625" style="3" hidden="1" customWidth="1"/>
    <col min="118" max="169" width="9.140625" style="22" hidden="1" customWidth="1"/>
    <col min="170" max="170" width="0" style="22" hidden="1" customWidth="1"/>
    <col min="171" max="196" width="9.140625" style="3"/>
    <col min="197" max="248" width="9.140625" style="22"/>
    <col min="249" max="249" width="11" style="22" bestFit="1" customWidth="1"/>
    <col min="250" max="262" width="9.140625" style="22"/>
    <col min="263" max="263" width="11.42578125" style="22" bestFit="1" customWidth="1"/>
    <col min="264" max="16384" width="9.140625" style="22"/>
  </cols>
  <sheetData>
    <row r="1" spans="1:275">
      <c r="H1" s="41">
        <f>'Main Sheet'!S10-115</f>
        <v>1911</v>
      </c>
      <c r="I1" s="58">
        <f>'Production in Sqm'!G12</f>
        <v>549098.60257899016</v>
      </c>
      <c r="J1" s="41">
        <f>I1/H1*12</f>
        <v>3448.0289015949147</v>
      </c>
    </row>
    <row r="2" spans="1:275" ht="15.75" thickBot="1">
      <c r="A2" s="2" t="s">
        <v>34</v>
      </c>
      <c r="P2" s="2" t="s">
        <v>0</v>
      </c>
      <c r="AE2" s="2" t="s">
        <v>35</v>
      </c>
      <c r="AT2" s="2" t="s">
        <v>36</v>
      </c>
      <c r="BI2" s="2" t="s">
        <v>37</v>
      </c>
      <c r="BX2" s="2" t="s">
        <v>38</v>
      </c>
      <c r="CN2" s="2" t="s">
        <v>54</v>
      </c>
      <c r="DA2" s="2" t="s">
        <v>0</v>
      </c>
      <c r="DN2" s="29" t="s">
        <v>94</v>
      </c>
      <c r="EA2" s="29" t="s">
        <v>36</v>
      </c>
      <c r="FO2" s="2" t="s">
        <v>54</v>
      </c>
      <c r="GB2" s="2" t="s">
        <v>0</v>
      </c>
      <c r="GO2" s="29" t="s">
        <v>94</v>
      </c>
      <c r="HB2" s="29" t="s">
        <v>36</v>
      </c>
      <c r="HP2" s="2" t="s">
        <v>54</v>
      </c>
      <c r="IC2" s="2" t="s">
        <v>0</v>
      </c>
      <c r="ID2" s="3"/>
      <c r="IE2" s="3"/>
      <c r="IF2" s="3"/>
      <c r="IG2" s="58"/>
      <c r="IH2" s="3"/>
      <c r="II2" s="3"/>
      <c r="IJ2" s="3"/>
      <c r="IK2" s="3"/>
      <c r="IL2" s="58"/>
      <c r="IM2" s="3"/>
      <c r="IN2" s="3"/>
      <c r="IO2" s="3"/>
      <c r="IP2" s="100" t="s">
        <v>147</v>
      </c>
      <c r="JC2" s="29" t="s">
        <v>36</v>
      </c>
    </row>
    <row r="3" spans="1:275">
      <c r="A3" s="8" t="s">
        <v>17</v>
      </c>
      <c r="B3" s="9" t="s">
        <v>6</v>
      </c>
      <c r="C3" s="9" t="s">
        <v>22</v>
      </c>
      <c r="D3" s="9" t="s">
        <v>23</v>
      </c>
      <c r="E3" s="9" t="s">
        <v>24</v>
      </c>
      <c r="F3" s="9" t="s">
        <v>25</v>
      </c>
      <c r="G3" s="9" t="s">
        <v>26</v>
      </c>
      <c r="H3" s="9" t="s">
        <v>27</v>
      </c>
      <c r="I3" s="9" t="s">
        <v>28</v>
      </c>
      <c r="J3" s="9" t="s">
        <v>29</v>
      </c>
      <c r="K3" s="9" t="s">
        <v>30</v>
      </c>
      <c r="L3" s="9" t="s">
        <v>31</v>
      </c>
      <c r="M3" s="9" t="s">
        <v>32</v>
      </c>
      <c r="N3" s="9" t="s">
        <v>33</v>
      </c>
      <c r="O3" s="9" t="s">
        <v>7</v>
      </c>
      <c r="P3" s="10" t="s">
        <v>17</v>
      </c>
      <c r="Q3" s="9" t="s">
        <v>6</v>
      </c>
      <c r="R3" s="9" t="s">
        <v>22</v>
      </c>
      <c r="S3" s="9" t="s">
        <v>23</v>
      </c>
      <c r="T3" s="9" t="s">
        <v>24</v>
      </c>
      <c r="U3" s="9" t="s">
        <v>25</v>
      </c>
      <c r="V3" s="9" t="s">
        <v>26</v>
      </c>
      <c r="W3" s="9" t="s">
        <v>27</v>
      </c>
      <c r="X3" s="9" t="s">
        <v>28</v>
      </c>
      <c r="Y3" s="9" t="s">
        <v>29</v>
      </c>
      <c r="Z3" s="9" t="s">
        <v>30</v>
      </c>
      <c r="AA3" s="9" t="s">
        <v>31</v>
      </c>
      <c r="AB3" s="9" t="s">
        <v>32</v>
      </c>
      <c r="AC3" s="9" t="s">
        <v>33</v>
      </c>
      <c r="AD3" s="9" t="s">
        <v>7</v>
      </c>
      <c r="AE3" s="10" t="s">
        <v>17</v>
      </c>
      <c r="AF3" s="9" t="s">
        <v>6</v>
      </c>
      <c r="AG3" s="9" t="s">
        <v>22</v>
      </c>
      <c r="AH3" s="9" t="s">
        <v>23</v>
      </c>
      <c r="AI3" s="9" t="s">
        <v>24</v>
      </c>
      <c r="AJ3" s="9" t="s">
        <v>25</v>
      </c>
      <c r="AK3" s="9" t="s">
        <v>26</v>
      </c>
      <c r="AL3" s="9" t="s">
        <v>27</v>
      </c>
      <c r="AM3" s="9" t="s">
        <v>28</v>
      </c>
      <c r="AN3" s="9" t="s">
        <v>29</v>
      </c>
      <c r="AO3" s="9" t="s">
        <v>30</v>
      </c>
      <c r="AP3" s="9" t="s">
        <v>31</v>
      </c>
      <c r="AQ3" s="9" t="s">
        <v>32</v>
      </c>
      <c r="AR3" s="9" t="s">
        <v>33</v>
      </c>
      <c r="AS3" s="9" t="s">
        <v>7</v>
      </c>
      <c r="AT3" s="10" t="s">
        <v>17</v>
      </c>
      <c r="AU3" s="9" t="s">
        <v>6</v>
      </c>
      <c r="AV3" s="9" t="s">
        <v>22</v>
      </c>
      <c r="AW3" s="9" t="s">
        <v>23</v>
      </c>
      <c r="AX3" s="9" t="s">
        <v>24</v>
      </c>
      <c r="AY3" s="9" t="s">
        <v>25</v>
      </c>
      <c r="AZ3" s="9" t="s">
        <v>26</v>
      </c>
      <c r="BA3" s="9" t="s">
        <v>27</v>
      </c>
      <c r="BB3" s="9" t="s">
        <v>28</v>
      </c>
      <c r="BC3" s="9" t="s">
        <v>29</v>
      </c>
      <c r="BD3" s="9" t="s">
        <v>30</v>
      </c>
      <c r="BE3" s="9" t="s">
        <v>31</v>
      </c>
      <c r="BF3" s="9" t="s">
        <v>32</v>
      </c>
      <c r="BG3" s="9" t="s">
        <v>33</v>
      </c>
      <c r="BH3" s="9" t="s">
        <v>7</v>
      </c>
      <c r="BI3" s="10" t="s">
        <v>17</v>
      </c>
      <c r="BJ3" s="9" t="s">
        <v>6</v>
      </c>
      <c r="BK3" s="9" t="s">
        <v>22</v>
      </c>
      <c r="BL3" s="9" t="s">
        <v>23</v>
      </c>
      <c r="BM3" s="9" t="s">
        <v>24</v>
      </c>
      <c r="BN3" s="9" t="s">
        <v>25</v>
      </c>
      <c r="BO3" s="9" t="s">
        <v>26</v>
      </c>
      <c r="BP3" s="9" t="s">
        <v>27</v>
      </c>
      <c r="BQ3" s="9" t="s">
        <v>28</v>
      </c>
      <c r="BR3" s="9" t="s">
        <v>29</v>
      </c>
      <c r="BS3" s="9" t="s">
        <v>30</v>
      </c>
      <c r="BT3" s="9" t="s">
        <v>31</v>
      </c>
      <c r="BU3" s="9" t="s">
        <v>32</v>
      </c>
      <c r="BV3" s="9" t="s">
        <v>33</v>
      </c>
      <c r="BW3" s="9" t="s">
        <v>7</v>
      </c>
      <c r="BX3" s="10" t="s">
        <v>17</v>
      </c>
      <c r="BY3" s="9" t="s">
        <v>6</v>
      </c>
      <c r="BZ3" s="9" t="s">
        <v>22</v>
      </c>
      <c r="CA3" s="9" t="s">
        <v>23</v>
      </c>
      <c r="CB3" s="9" t="s">
        <v>24</v>
      </c>
      <c r="CC3" s="9" t="s">
        <v>25</v>
      </c>
      <c r="CD3" s="9" t="s">
        <v>26</v>
      </c>
      <c r="CE3" s="9" t="s">
        <v>27</v>
      </c>
      <c r="CF3" s="9" t="s">
        <v>28</v>
      </c>
      <c r="CG3" s="9" t="s">
        <v>29</v>
      </c>
      <c r="CH3" s="9" t="s">
        <v>30</v>
      </c>
      <c r="CI3" s="9" t="s">
        <v>31</v>
      </c>
      <c r="CJ3" s="9" t="s">
        <v>32</v>
      </c>
      <c r="CK3" s="9" t="s">
        <v>33</v>
      </c>
      <c r="CL3" s="11" t="s">
        <v>7</v>
      </c>
      <c r="CN3" s="57" t="s">
        <v>81</v>
      </c>
      <c r="CO3" s="57" t="s">
        <v>82</v>
      </c>
      <c r="CP3" s="57" t="s">
        <v>83</v>
      </c>
      <c r="CQ3" s="57" t="s">
        <v>84</v>
      </c>
      <c r="CR3" s="57" t="s">
        <v>85</v>
      </c>
      <c r="CS3" s="57" t="s">
        <v>86</v>
      </c>
      <c r="CT3" s="57" t="s">
        <v>87</v>
      </c>
      <c r="CU3" s="57" t="s">
        <v>88</v>
      </c>
      <c r="CV3" s="57" t="s">
        <v>89</v>
      </c>
      <c r="CW3" s="57" t="s">
        <v>90</v>
      </c>
      <c r="CX3" s="57" t="s">
        <v>91</v>
      </c>
      <c r="CY3" s="57" t="s">
        <v>92</v>
      </c>
      <c r="CZ3" s="57" t="s">
        <v>93</v>
      </c>
      <c r="DA3" s="57" t="s">
        <v>81</v>
      </c>
      <c r="DB3" s="57" t="s">
        <v>82</v>
      </c>
      <c r="DC3" s="57" t="s">
        <v>83</v>
      </c>
      <c r="DD3" s="57" t="s">
        <v>84</v>
      </c>
      <c r="DE3" s="57" t="s">
        <v>85</v>
      </c>
      <c r="DF3" s="57" t="s">
        <v>86</v>
      </c>
      <c r="DG3" s="57" t="s">
        <v>87</v>
      </c>
      <c r="DH3" s="57" t="s">
        <v>88</v>
      </c>
      <c r="DI3" s="57" t="s">
        <v>89</v>
      </c>
      <c r="DJ3" s="57" t="s">
        <v>90</v>
      </c>
      <c r="DK3" s="57" t="s">
        <v>91</v>
      </c>
      <c r="DL3" s="57" t="s">
        <v>92</v>
      </c>
      <c r="DM3" s="57" t="s">
        <v>93</v>
      </c>
      <c r="DN3" s="57" t="s">
        <v>81</v>
      </c>
      <c r="DO3" s="57" t="s">
        <v>82</v>
      </c>
      <c r="DP3" s="57" t="s">
        <v>83</v>
      </c>
      <c r="DQ3" s="57" t="s">
        <v>84</v>
      </c>
      <c r="DR3" s="57" t="s">
        <v>85</v>
      </c>
      <c r="DS3" s="57" t="s">
        <v>86</v>
      </c>
      <c r="DT3" s="57" t="s">
        <v>87</v>
      </c>
      <c r="DU3" s="57" t="s">
        <v>88</v>
      </c>
      <c r="DV3" s="57" t="s">
        <v>89</v>
      </c>
      <c r="DW3" s="57" t="s">
        <v>90</v>
      </c>
      <c r="DX3" s="57" t="s">
        <v>91</v>
      </c>
      <c r="DY3" s="57" t="s">
        <v>92</v>
      </c>
      <c r="DZ3" s="57" t="s">
        <v>93</v>
      </c>
      <c r="EA3" s="57" t="s">
        <v>81</v>
      </c>
      <c r="EB3" s="57" t="s">
        <v>82</v>
      </c>
      <c r="EC3" s="57" t="s">
        <v>83</v>
      </c>
      <c r="ED3" s="57" t="s">
        <v>84</v>
      </c>
      <c r="EE3" s="57" t="s">
        <v>85</v>
      </c>
      <c r="EF3" s="57" t="s">
        <v>86</v>
      </c>
      <c r="EG3" s="57" t="s">
        <v>87</v>
      </c>
      <c r="EH3" s="57" t="s">
        <v>88</v>
      </c>
      <c r="EI3" s="57" t="s">
        <v>89</v>
      </c>
      <c r="EJ3" s="57" t="s">
        <v>90</v>
      </c>
      <c r="EK3" s="57" t="s">
        <v>91</v>
      </c>
      <c r="EL3" s="57" t="s">
        <v>92</v>
      </c>
      <c r="EM3" s="57" t="s">
        <v>93</v>
      </c>
      <c r="FO3" s="57" t="s">
        <v>104</v>
      </c>
      <c r="FP3" s="57" t="s">
        <v>105</v>
      </c>
      <c r="FQ3" s="57" t="s">
        <v>106</v>
      </c>
      <c r="FR3" s="57" t="s">
        <v>107</v>
      </c>
      <c r="FS3" s="57" t="s">
        <v>108</v>
      </c>
      <c r="FT3" s="57" t="s">
        <v>109</v>
      </c>
      <c r="FU3" s="57" t="s">
        <v>110</v>
      </c>
      <c r="FV3" s="57" t="s">
        <v>111</v>
      </c>
      <c r="FW3" s="57" t="s">
        <v>112</v>
      </c>
      <c r="FX3" s="57" t="s">
        <v>113</v>
      </c>
      <c r="FY3" s="57" t="s">
        <v>114</v>
      </c>
      <c r="FZ3" s="57" t="s">
        <v>115</v>
      </c>
      <c r="GA3" s="57" t="s">
        <v>116</v>
      </c>
      <c r="GB3" s="57" t="s">
        <v>104</v>
      </c>
      <c r="GC3" s="57" t="s">
        <v>105</v>
      </c>
      <c r="GD3" s="57" t="s">
        <v>106</v>
      </c>
      <c r="GE3" s="57" t="s">
        <v>107</v>
      </c>
      <c r="GF3" s="57" t="s">
        <v>108</v>
      </c>
      <c r="GG3" s="57" t="s">
        <v>109</v>
      </c>
      <c r="GH3" s="57" t="s">
        <v>110</v>
      </c>
      <c r="GI3" s="57" t="s">
        <v>111</v>
      </c>
      <c r="GJ3" s="57" t="s">
        <v>112</v>
      </c>
      <c r="GK3" s="57" t="s">
        <v>113</v>
      </c>
      <c r="GL3" s="57" t="s">
        <v>114</v>
      </c>
      <c r="GM3" s="57" t="s">
        <v>115</v>
      </c>
      <c r="GN3" s="57" t="s">
        <v>116</v>
      </c>
      <c r="GO3" s="57" t="s">
        <v>104</v>
      </c>
      <c r="GP3" s="57" t="s">
        <v>105</v>
      </c>
      <c r="GQ3" s="57" t="s">
        <v>106</v>
      </c>
      <c r="GR3" s="57" t="s">
        <v>107</v>
      </c>
      <c r="GS3" s="57" t="s">
        <v>108</v>
      </c>
      <c r="GT3" s="57" t="s">
        <v>109</v>
      </c>
      <c r="GU3" s="57" t="s">
        <v>110</v>
      </c>
      <c r="GV3" s="57" t="s">
        <v>111</v>
      </c>
      <c r="GW3" s="57" t="s">
        <v>112</v>
      </c>
      <c r="GX3" s="57" t="s">
        <v>113</v>
      </c>
      <c r="GY3" s="57" t="s">
        <v>114</v>
      </c>
      <c r="GZ3" s="57" t="s">
        <v>115</v>
      </c>
      <c r="HA3" s="57" t="s">
        <v>116</v>
      </c>
      <c r="HB3" s="57" t="s">
        <v>104</v>
      </c>
      <c r="HC3" s="57" t="s">
        <v>105</v>
      </c>
      <c r="HD3" s="57" t="s">
        <v>106</v>
      </c>
      <c r="HE3" s="57" t="s">
        <v>107</v>
      </c>
      <c r="HF3" s="57" t="s">
        <v>108</v>
      </c>
      <c r="HG3" s="57" t="s">
        <v>109</v>
      </c>
      <c r="HH3" s="57" t="s">
        <v>110</v>
      </c>
      <c r="HI3" s="57" t="s">
        <v>111</v>
      </c>
      <c r="HJ3" s="57" t="s">
        <v>112</v>
      </c>
      <c r="HK3" s="57" t="s">
        <v>113</v>
      </c>
      <c r="HL3" s="57" t="s">
        <v>114</v>
      </c>
      <c r="HM3" s="57" t="s">
        <v>115</v>
      </c>
      <c r="HN3" s="57" t="s">
        <v>116</v>
      </c>
      <c r="HP3" s="98" t="s">
        <v>127</v>
      </c>
      <c r="HQ3" s="98" t="s">
        <v>128</v>
      </c>
      <c r="HR3" s="99" t="s">
        <v>129</v>
      </c>
      <c r="HS3" s="99" t="s">
        <v>130</v>
      </c>
      <c r="HT3" s="99" t="s">
        <v>131</v>
      </c>
      <c r="HU3" s="99" t="s">
        <v>132</v>
      </c>
      <c r="HV3" s="99" t="s">
        <v>133</v>
      </c>
      <c r="HW3" s="99" t="s">
        <v>134</v>
      </c>
      <c r="HX3" s="99" t="s">
        <v>135</v>
      </c>
      <c r="HY3" s="99" t="s">
        <v>136</v>
      </c>
      <c r="HZ3" s="99" t="s">
        <v>137</v>
      </c>
      <c r="IA3" s="99" t="s">
        <v>138</v>
      </c>
      <c r="IB3" s="99" t="s">
        <v>139</v>
      </c>
      <c r="IC3" s="98" t="s">
        <v>127</v>
      </c>
      <c r="ID3" s="98" t="s">
        <v>128</v>
      </c>
      <c r="IE3" s="99" t="s">
        <v>129</v>
      </c>
      <c r="IF3" s="99" t="s">
        <v>130</v>
      </c>
      <c r="IG3" s="99" t="s">
        <v>131</v>
      </c>
      <c r="IH3" s="99" t="s">
        <v>132</v>
      </c>
      <c r="II3" s="99" t="s">
        <v>133</v>
      </c>
      <c r="IJ3" s="99" t="s">
        <v>134</v>
      </c>
      <c r="IK3" s="99" t="s">
        <v>135</v>
      </c>
      <c r="IL3" s="99" t="s">
        <v>136</v>
      </c>
      <c r="IM3" s="99" t="s">
        <v>137</v>
      </c>
      <c r="IN3" s="99" t="s">
        <v>138</v>
      </c>
      <c r="IO3" s="99" t="s">
        <v>139</v>
      </c>
      <c r="IP3" s="98" t="s">
        <v>127</v>
      </c>
      <c r="IQ3" s="98" t="s">
        <v>128</v>
      </c>
      <c r="IR3" s="99" t="s">
        <v>129</v>
      </c>
      <c r="IS3" s="99" t="s">
        <v>130</v>
      </c>
      <c r="IT3" s="99" t="s">
        <v>131</v>
      </c>
      <c r="IU3" s="99" t="s">
        <v>132</v>
      </c>
      <c r="IV3" s="99" t="s">
        <v>133</v>
      </c>
      <c r="IW3" s="99" t="s">
        <v>134</v>
      </c>
      <c r="IX3" s="99" t="s">
        <v>135</v>
      </c>
      <c r="IY3" s="99" t="s">
        <v>136</v>
      </c>
      <c r="IZ3" s="99" t="s">
        <v>137</v>
      </c>
      <c r="JA3" s="99" t="s">
        <v>138</v>
      </c>
      <c r="JB3" s="99" t="s">
        <v>139</v>
      </c>
      <c r="JC3" s="98" t="s">
        <v>127</v>
      </c>
      <c r="JD3" s="98" t="s">
        <v>128</v>
      </c>
      <c r="JE3" s="99" t="s">
        <v>129</v>
      </c>
      <c r="JF3" s="99" t="s">
        <v>130</v>
      </c>
      <c r="JG3" s="99" t="s">
        <v>131</v>
      </c>
      <c r="JH3" s="99" t="s">
        <v>132</v>
      </c>
      <c r="JI3" s="99" t="s">
        <v>133</v>
      </c>
      <c r="JJ3" s="99" t="s">
        <v>134</v>
      </c>
      <c r="JK3" s="99" t="s">
        <v>135</v>
      </c>
      <c r="JL3" s="99" t="s">
        <v>136</v>
      </c>
      <c r="JM3" s="99" t="s">
        <v>137</v>
      </c>
      <c r="JN3" s="99" t="s">
        <v>138</v>
      </c>
      <c r="JO3" s="99" t="s">
        <v>139</v>
      </c>
    </row>
    <row r="4" spans="1:275" ht="16.5" customHeight="1">
      <c r="A4" s="12" t="s">
        <v>18</v>
      </c>
      <c r="B4" s="5">
        <f>SUM(Q4,AF4,AU4,BJ4,BY4)</f>
        <v>189</v>
      </c>
      <c r="C4" s="5">
        <f t="shared" ref="C4:N6" si="0">SUM(R4,AG4,AV4,BK4,BZ4)</f>
        <v>181</v>
      </c>
      <c r="D4" s="5">
        <f t="shared" si="0"/>
        <v>185</v>
      </c>
      <c r="E4" s="5">
        <f t="shared" si="0"/>
        <v>186</v>
      </c>
      <c r="F4" s="5">
        <f t="shared" si="0"/>
        <v>191</v>
      </c>
      <c r="G4" s="5">
        <f t="shared" si="0"/>
        <v>194</v>
      </c>
      <c r="H4" s="5">
        <f t="shared" si="0"/>
        <v>196</v>
      </c>
      <c r="I4" s="5">
        <f t="shared" si="0"/>
        <v>208</v>
      </c>
      <c r="J4" s="5">
        <f t="shared" si="0"/>
        <v>205</v>
      </c>
      <c r="K4" s="5">
        <f t="shared" si="0"/>
        <v>210</v>
      </c>
      <c r="L4" s="5">
        <f t="shared" si="0"/>
        <v>230</v>
      </c>
      <c r="M4" s="5">
        <f t="shared" si="0"/>
        <v>224</v>
      </c>
      <c r="N4" s="5">
        <f t="shared" si="0"/>
        <v>223</v>
      </c>
      <c r="O4" s="7">
        <f>AVERAGE(C4:N4)</f>
        <v>202.75</v>
      </c>
      <c r="P4" s="4" t="s">
        <v>18</v>
      </c>
      <c r="Q4" s="5">
        <f>173-3</f>
        <v>170</v>
      </c>
      <c r="R4" s="5">
        <f>166-AG4-AV4</f>
        <v>164</v>
      </c>
      <c r="S4" s="20">
        <f>169-AH4-AW4</f>
        <v>167</v>
      </c>
      <c r="T4" s="20">
        <f>169-AI4-AX4</f>
        <v>167</v>
      </c>
      <c r="U4" s="20">
        <f>174-AJ4-AY4</f>
        <v>172</v>
      </c>
      <c r="V4" s="20">
        <f>178-AK4-AZ4</f>
        <v>176</v>
      </c>
      <c r="W4" s="20">
        <f>180-AL4-BA4</f>
        <v>178</v>
      </c>
      <c r="X4" s="20">
        <f>192-AM4-BB4</f>
        <v>190</v>
      </c>
      <c r="Y4" s="20">
        <f>189-AN4-BC4</f>
        <v>183</v>
      </c>
      <c r="Z4" s="20">
        <f>195-AO4-BD4</f>
        <v>189</v>
      </c>
      <c r="AA4" s="20">
        <f>214-AP4-BE4</f>
        <v>208</v>
      </c>
      <c r="AB4" s="20">
        <f>208-AQ4-BF4</f>
        <v>202</v>
      </c>
      <c r="AC4" s="20">
        <f>207-AR4-BG4</f>
        <v>201</v>
      </c>
      <c r="AD4" s="7">
        <f>AVERAGE(R4:AC4)</f>
        <v>183.08333333333334</v>
      </c>
      <c r="AE4" s="4" t="s">
        <v>18</v>
      </c>
      <c r="AF4" s="5">
        <v>3</v>
      </c>
      <c r="AG4" s="22">
        <v>2</v>
      </c>
      <c r="AH4" s="22">
        <v>2</v>
      </c>
      <c r="AI4" s="22">
        <v>2</v>
      </c>
      <c r="AJ4" s="22">
        <v>2</v>
      </c>
      <c r="AK4" s="22">
        <v>2</v>
      </c>
      <c r="AL4" s="22">
        <v>2</v>
      </c>
      <c r="AM4" s="22">
        <v>2</v>
      </c>
      <c r="AN4" s="22">
        <f>6</f>
        <v>6</v>
      </c>
      <c r="AO4" s="22">
        <f>6</f>
        <v>6</v>
      </c>
      <c r="AP4" s="22">
        <f>6</f>
        <v>6</v>
      </c>
      <c r="AQ4" s="22">
        <f>6</f>
        <v>6</v>
      </c>
      <c r="AR4" s="22">
        <f>6</f>
        <v>6</v>
      </c>
      <c r="AS4" s="7">
        <f>AVERAGE(AG4:AR4)</f>
        <v>3.6666666666666665</v>
      </c>
      <c r="AT4" s="4" t="s">
        <v>18</v>
      </c>
      <c r="AU4" s="5">
        <v>0</v>
      </c>
      <c r="AV4" s="5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7" t="e">
        <f>AVERAGE(AV4:BG4)</f>
        <v>#DIV/0!</v>
      </c>
      <c r="BI4" s="4" t="s">
        <v>18</v>
      </c>
      <c r="BJ4" s="5">
        <f>14</f>
        <v>14</v>
      </c>
      <c r="BK4" s="5">
        <f>13</f>
        <v>13</v>
      </c>
      <c r="BL4" s="20">
        <f>14</f>
        <v>14</v>
      </c>
      <c r="BM4" s="20">
        <f>15</f>
        <v>15</v>
      </c>
      <c r="BN4" s="20">
        <f>15</f>
        <v>15</v>
      </c>
      <c r="BO4" s="20">
        <f>14</f>
        <v>14</v>
      </c>
      <c r="BP4" s="20">
        <f>14</f>
        <v>14</v>
      </c>
      <c r="BQ4" s="20">
        <f>14</f>
        <v>14</v>
      </c>
      <c r="BR4" s="20">
        <f>14</f>
        <v>14</v>
      </c>
      <c r="BS4" s="20">
        <f>13</f>
        <v>13</v>
      </c>
      <c r="BT4" s="20">
        <f>14</f>
        <v>14</v>
      </c>
      <c r="BU4" s="20">
        <f>14</f>
        <v>14</v>
      </c>
      <c r="BV4" s="20">
        <f>14</f>
        <v>14</v>
      </c>
      <c r="BW4" s="7">
        <f>AVERAGE(BK4:BV4)</f>
        <v>14</v>
      </c>
      <c r="BX4" s="4" t="s">
        <v>18</v>
      </c>
      <c r="BY4" s="5">
        <v>2</v>
      </c>
      <c r="BZ4" s="5">
        <f>2</f>
        <v>2</v>
      </c>
      <c r="CA4" s="5">
        <f>2</f>
        <v>2</v>
      </c>
      <c r="CB4" s="5">
        <f>2</f>
        <v>2</v>
      </c>
      <c r="CC4" s="5">
        <f>2</f>
        <v>2</v>
      </c>
      <c r="CD4" s="5">
        <f>2</f>
        <v>2</v>
      </c>
      <c r="CE4" s="5">
        <f>2</f>
        <v>2</v>
      </c>
      <c r="CF4" s="5">
        <f>2</f>
        <v>2</v>
      </c>
      <c r="CG4" s="5">
        <f>2</f>
        <v>2</v>
      </c>
      <c r="CH4" s="5">
        <f>2</f>
        <v>2</v>
      </c>
      <c r="CI4" s="5">
        <f>2</f>
        <v>2</v>
      </c>
      <c r="CJ4" s="5">
        <f>2</f>
        <v>2</v>
      </c>
      <c r="CK4" s="5">
        <f>2</f>
        <v>2</v>
      </c>
      <c r="CL4" s="13">
        <f>AVERAGE(BZ4:CK4)</f>
        <v>2</v>
      </c>
      <c r="CN4" s="5">
        <f t="shared" ref="CN4:CY6" si="1">SUM(DA4,DN4,EA4)</f>
        <v>206</v>
      </c>
      <c r="CO4" s="5">
        <f t="shared" si="1"/>
        <v>202</v>
      </c>
      <c r="CP4" s="5">
        <f t="shared" si="1"/>
        <v>199</v>
      </c>
      <c r="CQ4" s="5">
        <f t="shared" si="1"/>
        <v>203</v>
      </c>
      <c r="CR4" s="5">
        <f t="shared" si="1"/>
        <v>213</v>
      </c>
      <c r="CS4" s="5">
        <f t="shared" si="1"/>
        <v>218</v>
      </c>
      <c r="CT4" s="5">
        <f t="shared" si="1"/>
        <v>216</v>
      </c>
      <c r="CU4" s="5">
        <f t="shared" si="1"/>
        <v>216</v>
      </c>
      <c r="CV4" s="5">
        <f t="shared" si="1"/>
        <v>216</v>
      </c>
      <c r="CW4" s="5">
        <f t="shared" si="1"/>
        <v>228</v>
      </c>
      <c r="CX4" s="5">
        <f t="shared" si="1"/>
        <v>234</v>
      </c>
      <c r="CY4" s="5">
        <f t="shared" si="1"/>
        <v>232</v>
      </c>
      <c r="CZ4" s="13">
        <f>AVERAGE(CN4:CY4)</f>
        <v>215.25</v>
      </c>
      <c r="DA4" s="5">
        <f>206-DN4</f>
        <v>201</v>
      </c>
      <c r="DB4" s="5">
        <f>202-DO4</f>
        <v>197</v>
      </c>
      <c r="DC4" s="5">
        <f>199-DP4</f>
        <v>194</v>
      </c>
      <c r="DD4" s="5">
        <f>203-DQ4</f>
        <v>198</v>
      </c>
      <c r="DE4" s="5">
        <f>213-DR4</f>
        <v>208</v>
      </c>
      <c r="DF4" s="5">
        <f>218-DS4</f>
        <v>213</v>
      </c>
      <c r="DG4" s="5">
        <f>216-DT4</f>
        <v>211</v>
      </c>
      <c r="DH4" s="5">
        <f>216-DU4</f>
        <v>211</v>
      </c>
      <c r="DI4" s="5">
        <f>216-DV4</f>
        <v>211</v>
      </c>
      <c r="DJ4" s="5">
        <f>228-DW4</f>
        <v>222</v>
      </c>
      <c r="DK4" s="5">
        <f>234-DX4</f>
        <v>228</v>
      </c>
      <c r="DL4" s="5">
        <f>232-DY4</f>
        <v>226</v>
      </c>
      <c r="DM4" s="13">
        <f>AVERAGE(DA4:DL4)</f>
        <v>210</v>
      </c>
      <c r="DN4" s="22">
        <f>5</f>
        <v>5</v>
      </c>
      <c r="DO4" s="22">
        <f>5</f>
        <v>5</v>
      </c>
      <c r="DP4" s="22">
        <f>5</f>
        <v>5</v>
      </c>
      <c r="DQ4" s="22">
        <f>5</f>
        <v>5</v>
      </c>
      <c r="DR4" s="22">
        <f>5</f>
        <v>5</v>
      </c>
      <c r="DS4" s="22">
        <f>5</f>
        <v>5</v>
      </c>
      <c r="DT4" s="22">
        <f>5</f>
        <v>5</v>
      </c>
      <c r="DU4" s="22">
        <f>5</f>
        <v>5</v>
      </c>
      <c r="DV4" s="22">
        <v>5</v>
      </c>
      <c r="DW4" s="22">
        <f>[3]Staff!$L$20</f>
        <v>6</v>
      </c>
      <c r="DX4" s="22">
        <v>6</v>
      </c>
      <c r="DY4" s="22">
        <v>6</v>
      </c>
      <c r="DZ4" s="63">
        <f>AVERAGE(DN4:DY4)</f>
        <v>5.25</v>
      </c>
      <c r="EM4" s="63" t="e">
        <f>AVERAGE(EA4:EL4)</f>
        <v>#DIV/0!</v>
      </c>
      <c r="FO4" s="5">
        <f t="shared" ref="FO4:FO6" si="2">SUM(GB4,GO4,HB4)</f>
        <v>241</v>
      </c>
      <c r="FP4" s="5">
        <f t="shared" ref="FP4:FP6" si="3">SUM(GC4,GP4,HC4)</f>
        <v>246</v>
      </c>
      <c r="FQ4" s="5">
        <f t="shared" ref="FQ4:FQ6" si="4">SUM(GD4,GQ4,HD4)</f>
        <v>242</v>
      </c>
      <c r="FR4" s="5">
        <f t="shared" ref="FR4:FR6" si="5">SUM(GE4,GR4,HE4)</f>
        <v>259</v>
      </c>
      <c r="FS4" s="5">
        <f t="shared" ref="FS4:FS6" si="6">SUM(GF4,GS4,HF4)</f>
        <v>258</v>
      </c>
      <c r="FT4" s="5">
        <f t="shared" ref="FT4:FT6" si="7">SUM(GG4,GT4,HG4)</f>
        <v>261</v>
      </c>
      <c r="FU4" s="5">
        <f t="shared" ref="FU4:FU6" si="8">SUM(GH4,GU4,HH4)</f>
        <v>259</v>
      </c>
      <c r="FV4" s="5">
        <f t="shared" ref="FV4:FV6" si="9">SUM(GI4,GV4,HI4)</f>
        <v>256</v>
      </c>
      <c r="FW4" s="5">
        <f t="shared" ref="FW4:FW6" si="10">SUM(GJ4,GW4,HJ4)</f>
        <v>260</v>
      </c>
      <c r="FX4" s="5">
        <f t="shared" ref="FX4:FX6" si="11">SUM(GK4,GX4,HK4)</f>
        <v>261</v>
      </c>
      <c r="FY4" s="5">
        <f t="shared" ref="FY4:FY6" si="12">SUM(GL4,GY4,HL4)</f>
        <v>271</v>
      </c>
      <c r="FZ4" s="5">
        <f t="shared" ref="FZ4:FZ6" si="13">SUM(GM4,GZ4,HM4)</f>
        <v>262</v>
      </c>
      <c r="GA4" s="13">
        <f>AVERAGE(FO4:FZ4)</f>
        <v>256.33333333333331</v>
      </c>
      <c r="GB4" s="5">
        <f>241-GO4</f>
        <v>235</v>
      </c>
      <c r="GC4" s="5">
        <f>246-GP4</f>
        <v>240</v>
      </c>
      <c r="GD4" s="5">
        <f>242-GQ4</f>
        <v>236</v>
      </c>
      <c r="GE4" s="5">
        <f>259-GR4</f>
        <v>253</v>
      </c>
      <c r="GF4" s="5">
        <f>258-GS4</f>
        <v>252</v>
      </c>
      <c r="GG4" s="5">
        <f>261-GT4</f>
        <v>255</v>
      </c>
      <c r="GH4" s="5">
        <f>259-GU4</f>
        <v>254</v>
      </c>
      <c r="GI4" s="5">
        <f>256-GV4</f>
        <v>251</v>
      </c>
      <c r="GJ4" s="5">
        <f>260-GW4</f>
        <v>255</v>
      </c>
      <c r="GK4" s="5">
        <f>261-GX4</f>
        <v>254</v>
      </c>
      <c r="GL4" s="5">
        <f>271-GY4</f>
        <v>264</v>
      </c>
      <c r="GM4" s="5">
        <f>262-GZ4</f>
        <v>255</v>
      </c>
      <c r="GN4" s="13">
        <f>AVERAGE(GB4:GM4)</f>
        <v>250.33333333333334</v>
      </c>
      <c r="GO4" s="22">
        <f>6</f>
        <v>6</v>
      </c>
      <c r="GP4" s="22">
        <v>6</v>
      </c>
      <c r="GQ4" s="22">
        <v>6</v>
      </c>
      <c r="GR4" s="22">
        <v>6</v>
      </c>
      <c r="GS4" s="22">
        <v>6</v>
      </c>
      <c r="GT4" s="22">
        <v>6</v>
      </c>
      <c r="GU4" s="22">
        <f>5</f>
        <v>5</v>
      </c>
      <c r="GV4" s="22">
        <f>5</f>
        <v>5</v>
      </c>
      <c r="GW4" s="22">
        <v>5</v>
      </c>
      <c r="GX4" s="22">
        <v>7</v>
      </c>
      <c r="GY4" s="22">
        <v>7</v>
      </c>
      <c r="GZ4" s="22">
        <v>7</v>
      </c>
      <c r="HA4" s="63">
        <f>AVERAGE(GO4:GZ4)</f>
        <v>6</v>
      </c>
      <c r="HN4" s="63" t="e">
        <f>AVERAGE(HB4:HM4)</f>
        <v>#DIV/0!</v>
      </c>
      <c r="HP4" s="5">
        <f t="shared" ref="HP4:HP6" si="14">SUM(IC4,IP4,JC4)</f>
        <v>260</v>
      </c>
      <c r="HQ4" s="5">
        <f t="shared" ref="HQ4:HQ6" si="15">SUM(ID4,IQ4,JD4)</f>
        <v>256</v>
      </c>
      <c r="HR4" s="5">
        <f t="shared" ref="HR4:HR6" si="16">SUM(IE4,IR4,JE4)</f>
        <v>253</v>
      </c>
      <c r="HS4" s="5">
        <f>SUM(IF4,IS4,JF4)</f>
        <v>252</v>
      </c>
      <c r="HT4" s="5">
        <f t="shared" ref="HT4:HT6" si="17">SUM(IG4,IT4,JG4)</f>
        <v>258</v>
      </c>
      <c r="HU4" s="5">
        <f t="shared" ref="HU4:HU6" si="18">SUM(IH4,IU4,JH4)</f>
        <v>253</v>
      </c>
      <c r="HV4" s="5">
        <f t="shared" ref="HV4:HV6" si="19">SUM(II4,IV4,JI4)</f>
        <v>254</v>
      </c>
      <c r="HW4" s="5">
        <f t="shared" ref="HW4:HW6" si="20">SUM(IJ4,IW4,JJ4)</f>
        <v>259</v>
      </c>
      <c r="HX4" s="5">
        <f t="shared" ref="HX4:HX6" si="21">SUM(IK4,IX4,JK4)</f>
        <v>258</v>
      </c>
      <c r="HY4" s="5">
        <f t="shared" ref="HY4:HY6" si="22">SUM(IL4,IY4,JL4)</f>
        <v>257</v>
      </c>
      <c r="HZ4" s="5">
        <f t="shared" ref="HZ4:IA6" si="23">SUM(IM4,IZ4,JM4)</f>
        <v>257</v>
      </c>
      <c r="IA4" s="5">
        <f t="shared" si="23"/>
        <v>255</v>
      </c>
      <c r="IB4" s="63">
        <f>AVERAGE(HP4:IA4)</f>
        <v>256</v>
      </c>
      <c r="IC4" s="21">
        <f>[4]Sheet1!B5-SUM(IP4)</f>
        <v>252</v>
      </c>
      <c r="ID4" s="21">
        <f>[4]Sheet1!J5-SUM(IQ4)</f>
        <v>248</v>
      </c>
      <c r="IE4" s="21">
        <f>[4]Sheet1!P5-SUM(IR4)</f>
        <v>245</v>
      </c>
      <c r="IF4" s="21">
        <f>[5]Sheet1!$H$5+[5]Sheet1!$I$5-SUM(IS4)</f>
        <v>244</v>
      </c>
      <c r="IG4" s="20">
        <f>'[6]Manpower Strength Aug''18'!$B$4+'[6]Manpower Strength Aug''18'!$C$4-IT4</f>
        <v>247</v>
      </c>
      <c r="IH4" s="20">
        <f>'[6]Manpower Strength Sep''18'!B4+'[6]Manpower Strength Sep''18'!C4-IU4</f>
        <v>242</v>
      </c>
      <c r="II4" s="20">
        <f>'[6]Manpower Strength Oct''18'!$B$4+'[6]Manpower Strength Oct''18'!$C$4-IV4</f>
        <v>243</v>
      </c>
      <c r="IJ4" s="21">
        <f>'[6]Manpower Strength Nov''18'!$B$4+'[6]Manpower Strength Nov''18'!$C$4-IW4</f>
        <v>248</v>
      </c>
      <c r="IK4" s="21">
        <f>'[6]Manpower Strength Dec''18'!$B$4+'[6]Manpower Strength Dec''18'!$C$4-IX4</f>
        <v>247</v>
      </c>
      <c r="IL4" s="21">
        <f>'[6]Manpower Strength Jan''19'!$B$4+'[6]Manpower Strength Jan''19'!$C$4-IY4</f>
        <v>246</v>
      </c>
      <c r="IM4" s="21">
        <f>'[6]Manpower Strength Feb''19'!$B$4+'[6]Manpower Strength Feb''19'!$C$4-IZ4</f>
        <v>246</v>
      </c>
      <c r="IN4" s="21">
        <f>'[6]Manpower Strength Mar''19'!$B$4+'[6]Manpower Strength Mar''19'!$C$4-JA4</f>
        <v>244</v>
      </c>
      <c r="IO4" s="63">
        <f>IFERROR(AVERAGE(IC4:IN4),"")</f>
        <v>246</v>
      </c>
      <c r="IP4" s="21">
        <f>'[7]Department Wise Manpower'!C23</f>
        <v>8</v>
      </c>
      <c r="IQ4" s="21">
        <f>'[7]Department Wise Manpower'!D23</f>
        <v>8</v>
      </c>
      <c r="IR4" s="21">
        <f>'[7]Department Wise Manpower'!E23</f>
        <v>8</v>
      </c>
      <c r="IS4" s="21">
        <f>'[8]Department Wise Manpower'!$F$23</f>
        <v>8</v>
      </c>
      <c r="IT4" s="21">
        <f>'[9]Department Wise Manpower'!$G$23</f>
        <v>11</v>
      </c>
      <c r="IU4" s="21">
        <f>'[9]Department Wise Manpower'!H23</f>
        <v>11</v>
      </c>
      <c r="IV4" s="21">
        <f>'[10]Department Wise Manpower'!$I$23</f>
        <v>11</v>
      </c>
      <c r="IW4" s="21">
        <f>'[11]Department Wise Manpower'!$J$23</f>
        <v>11</v>
      </c>
      <c r="IX4" s="21">
        <f>'[12]Department Wise Manpower'!K23</f>
        <v>11</v>
      </c>
      <c r="IY4" s="21">
        <f>'[13]Department Wise Manpower'!$L$23</f>
        <v>11</v>
      </c>
      <c r="IZ4" s="21">
        <f>'[14]Department Wise Manpower'!$M$23</f>
        <v>11</v>
      </c>
      <c r="JA4" s="21">
        <f>'[15]Department Wise Manpower'!$N$23</f>
        <v>11</v>
      </c>
      <c r="JB4" s="63">
        <f>IFERROR(AVERAGE(IP4:JA4),"")</f>
        <v>10</v>
      </c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63" t="str">
        <f>IFERROR(AVERAGE(JC4:JN4),"")</f>
        <v/>
      </c>
    </row>
    <row r="5" spans="1:275" ht="16.5" customHeight="1">
      <c r="A5" s="12" t="s">
        <v>19</v>
      </c>
      <c r="B5" s="5">
        <f>SUM(Q5,AF5,AU5,BJ5,BY5)</f>
        <v>488</v>
      </c>
      <c r="C5" s="5">
        <f t="shared" si="0"/>
        <v>481</v>
      </c>
      <c r="D5" s="5">
        <f t="shared" si="0"/>
        <v>480</v>
      </c>
      <c r="E5" s="5">
        <f t="shared" si="0"/>
        <v>479</v>
      </c>
      <c r="F5" s="5">
        <f t="shared" si="0"/>
        <v>479</v>
      </c>
      <c r="G5" s="5">
        <f t="shared" si="0"/>
        <v>479</v>
      </c>
      <c r="H5" s="5">
        <f t="shared" si="0"/>
        <v>529</v>
      </c>
      <c r="I5" s="5">
        <f t="shared" si="0"/>
        <v>518</v>
      </c>
      <c r="J5" s="5">
        <f t="shared" si="0"/>
        <v>517</v>
      </c>
      <c r="K5" s="5">
        <f t="shared" si="0"/>
        <v>516</v>
      </c>
      <c r="L5" s="5">
        <f t="shared" si="0"/>
        <v>514</v>
      </c>
      <c r="M5" s="5">
        <f t="shared" si="0"/>
        <v>514</v>
      </c>
      <c r="N5" s="5">
        <f t="shared" si="0"/>
        <v>514</v>
      </c>
      <c r="O5" s="7">
        <f>AVERAGE(C5:N5)</f>
        <v>501.66666666666669</v>
      </c>
      <c r="P5" s="4" t="s">
        <v>19</v>
      </c>
      <c r="Q5" s="5">
        <f>483-21</f>
        <v>462</v>
      </c>
      <c r="R5" s="5">
        <f>480-AG5-AV5</f>
        <v>459</v>
      </c>
      <c r="S5" s="5">
        <f>479-AH5-AW5</f>
        <v>459</v>
      </c>
      <c r="T5" s="20">
        <f>478-AI5-AX5</f>
        <v>458</v>
      </c>
      <c r="U5" s="20">
        <f>478-AJ5-AY5</f>
        <v>458</v>
      </c>
      <c r="V5" s="20">
        <f>478-AK5-AZ5</f>
        <v>458</v>
      </c>
      <c r="W5" s="20">
        <f>528-AL5-BA5</f>
        <v>507</v>
      </c>
      <c r="X5" s="20">
        <f>517-AM5-BB5</f>
        <v>496</v>
      </c>
      <c r="Y5" s="20">
        <f>516-AN5-BC5</f>
        <v>494</v>
      </c>
      <c r="Z5" s="20">
        <f>515-AO5-BD5</f>
        <v>493</v>
      </c>
      <c r="AA5" s="20">
        <f>513-AP5-BE5</f>
        <v>491</v>
      </c>
      <c r="AB5" s="20">
        <f>513-AQ5-BF5</f>
        <v>491</v>
      </c>
      <c r="AC5" s="20">
        <f>513-AR5-BG5</f>
        <v>491</v>
      </c>
      <c r="AD5" s="7">
        <f>AVERAGE(R5:AC5)</f>
        <v>479.58333333333331</v>
      </c>
      <c r="AE5" s="4" t="s">
        <v>19</v>
      </c>
      <c r="AF5" s="5">
        <v>21</v>
      </c>
      <c r="AG5" s="22">
        <v>21</v>
      </c>
      <c r="AH5" s="22">
        <v>20</v>
      </c>
      <c r="AI5" s="22">
        <v>20</v>
      </c>
      <c r="AJ5" s="22">
        <v>20</v>
      </c>
      <c r="AK5" s="22">
        <v>20</v>
      </c>
      <c r="AL5" s="22">
        <f>20+1</f>
        <v>21</v>
      </c>
      <c r="AM5" s="22">
        <f>20+1</f>
        <v>21</v>
      </c>
      <c r="AN5" s="22">
        <f>22</f>
        <v>22</v>
      </c>
      <c r="AO5" s="22">
        <f>22</f>
        <v>22</v>
      </c>
      <c r="AP5" s="22">
        <f>22</f>
        <v>22</v>
      </c>
      <c r="AQ5" s="22">
        <f>22</f>
        <v>22</v>
      </c>
      <c r="AR5" s="22">
        <f>22</f>
        <v>22</v>
      </c>
      <c r="AS5" s="7">
        <f>AVERAGE(AG5:AR5)</f>
        <v>21.083333333333332</v>
      </c>
      <c r="AT5" s="4" t="s">
        <v>19</v>
      </c>
      <c r="AU5" s="5">
        <v>0</v>
      </c>
      <c r="AV5" s="5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7" t="e">
        <f>AVERAGE(AV5:BG5)</f>
        <v>#DIV/0!</v>
      </c>
      <c r="BI5" s="4" t="s">
        <v>19</v>
      </c>
      <c r="BJ5" s="5">
        <v>5</v>
      </c>
      <c r="BK5" s="5">
        <f>1</f>
        <v>1</v>
      </c>
      <c r="BL5" s="5">
        <f>1</f>
        <v>1</v>
      </c>
      <c r="BM5" s="5">
        <f>1</f>
        <v>1</v>
      </c>
      <c r="BN5" s="5">
        <f>1</f>
        <v>1</v>
      </c>
      <c r="BO5" s="5">
        <f>1</f>
        <v>1</v>
      </c>
      <c r="BP5" s="5">
        <f>1</f>
        <v>1</v>
      </c>
      <c r="BQ5" s="5">
        <f>1</f>
        <v>1</v>
      </c>
      <c r="BR5" s="5">
        <f>1</f>
        <v>1</v>
      </c>
      <c r="BS5" s="5">
        <f>1</f>
        <v>1</v>
      </c>
      <c r="BT5" s="5">
        <f>1</f>
        <v>1</v>
      </c>
      <c r="BU5" s="5">
        <f>1</f>
        <v>1</v>
      </c>
      <c r="BV5" s="5">
        <f>1</f>
        <v>1</v>
      </c>
      <c r="BW5" s="7">
        <f>AVERAGE(BK5:BV5)</f>
        <v>1</v>
      </c>
      <c r="BX5" s="4" t="s">
        <v>19</v>
      </c>
      <c r="BY5" s="5">
        <v>0</v>
      </c>
      <c r="BZ5" s="5">
        <f>0</f>
        <v>0</v>
      </c>
      <c r="CA5" s="5">
        <f>0</f>
        <v>0</v>
      </c>
      <c r="CB5" s="5">
        <f>0</f>
        <v>0</v>
      </c>
      <c r="CC5" s="5">
        <f>0</f>
        <v>0</v>
      </c>
      <c r="CD5" s="5">
        <f>0</f>
        <v>0</v>
      </c>
      <c r="CE5" s="5">
        <f>0</f>
        <v>0</v>
      </c>
      <c r="CF5" s="5">
        <f>0</f>
        <v>0</v>
      </c>
      <c r="CG5" s="5">
        <f>0</f>
        <v>0</v>
      </c>
      <c r="CH5" s="5">
        <f>0</f>
        <v>0</v>
      </c>
      <c r="CI5" s="5">
        <f>0</f>
        <v>0</v>
      </c>
      <c r="CJ5" s="5">
        <f>0</f>
        <v>0</v>
      </c>
      <c r="CK5" s="5">
        <f>0</f>
        <v>0</v>
      </c>
      <c r="CL5" s="13">
        <f>AVERAGE(BZ5:CK5)</f>
        <v>0</v>
      </c>
      <c r="CN5" s="5">
        <f t="shared" si="1"/>
        <v>513</v>
      </c>
      <c r="CO5" s="5">
        <f t="shared" si="1"/>
        <v>511</v>
      </c>
      <c r="CP5" s="5">
        <f t="shared" si="1"/>
        <v>509</v>
      </c>
      <c r="CQ5" s="5">
        <f t="shared" si="1"/>
        <v>508</v>
      </c>
      <c r="CR5" s="5">
        <f t="shared" si="1"/>
        <v>506</v>
      </c>
      <c r="CS5" s="5">
        <f t="shared" si="1"/>
        <v>509</v>
      </c>
      <c r="CT5" s="5">
        <f t="shared" si="1"/>
        <v>510</v>
      </c>
      <c r="CU5" s="5">
        <f t="shared" si="1"/>
        <v>509</v>
      </c>
      <c r="CV5" s="5">
        <f t="shared" si="1"/>
        <v>509</v>
      </c>
      <c r="CW5" s="5">
        <f t="shared" si="1"/>
        <v>509</v>
      </c>
      <c r="CX5" s="5">
        <f t="shared" si="1"/>
        <v>510</v>
      </c>
      <c r="CY5" s="5">
        <f t="shared" si="1"/>
        <v>510</v>
      </c>
      <c r="CZ5" s="13">
        <f>AVERAGE(CN5:CY5)</f>
        <v>509.41666666666669</v>
      </c>
      <c r="DA5" s="5">
        <f>513-DN5</f>
        <v>491</v>
      </c>
      <c r="DB5" s="5">
        <f>511-DO5</f>
        <v>489</v>
      </c>
      <c r="DC5" s="5">
        <f>509-DP5</f>
        <v>487</v>
      </c>
      <c r="DD5" s="5">
        <f>508-DQ5</f>
        <v>486</v>
      </c>
      <c r="DE5" s="5">
        <f>506-DR5</f>
        <v>484</v>
      </c>
      <c r="DF5" s="5">
        <f>509-DS5</f>
        <v>487</v>
      </c>
      <c r="DG5" s="5">
        <f>510-DT5</f>
        <v>487</v>
      </c>
      <c r="DH5" s="5">
        <f>509-DU5</f>
        <v>486</v>
      </c>
      <c r="DI5" s="5">
        <f>509-DV5</f>
        <v>487</v>
      </c>
      <c r="DJ5" s="5">
        <f>509-DW5</f>
        <v>487</v>
      </c>
      <c r="DK5" s="5">
        <f>510-DX5</f>
        <v>488</v>
      </c>
      <c r="DL5" s="5">
        <f>510-DY5</f>
        <v>488</v>
      </c>
      <c r="DM5" s="13">
        <f>AVERAGE(DA5:DL5)</f>
        <v>487.25</v>
      </c>
      <c r="DN5" s="22">
        <v>22</v>
      </c>
      <c r="DO5" s="22">
        <v>22</v>
      </c>
      <c r="DP5" s="22">
        <v>22</v>
      </c>
      <c r="DQ5" s="22">
        <v>22</v>
      </c>
      <c r="DR5" s="22">
        <v>22</v>
      </c>
      <c r="DS5" s="22">
        <v>22</v>
      </c>
      <c r="DT5" s="22">
        <v>23</v>
      </c>
      <c r="DU5" s="22">
        <v>23</v>
      </c>
      <c r="DV5" s="22">
        <v>22</v>
      </c>
      <c r="DW5" s="22">
        <f>22</f>
        <v>22</v>
      </c>
      <c r="DX5" s="22">
        <v>22</v>
      </c>
      <c r="DY5" s="22">
        <v>22</v>
      </c>
      <c r="DZ5" s="63">
        <f>AVERAGE(DN5:DY5)</f>
        <v>22.166666666666668</v>
      </c>
      <c r="EM5" s="63" t="e">
        <f>AVERAGE(EA5:EL5)</f>
        <v>#DIV/0!</v>
      </c>
      <c r="FO5" s="5">
        <f t="shared" si="2"/>
        <v>503</v>
      </c>
      <c r="FP5" s="5">
        <f t="shared" si="3"/>
        <v>501</v>
      </c>
      <c r="FQ5" s="5">
        <f t="shared" si="4"/>
        <v>501</v>
      </c>
      <c r="FR5" s="5">
        <f t="shared" si="5"/>
        <v>501</v>
      </c>
      <c r="FS5" s="5">
        <f t="shared" si="6"/>
        <v>500</v>
      </c>
      <c r="FT5" s="5">
        <f t="shared" si="7"/>
        <v>499</v>
      </c>
      <c r="FU5" s="5">
        <f t="shared" si="8"/>
        <v>499</v>
      </c>
      <c r="FV5" s="5">
        <f t="shared" si="9"/>
        <v>499</v>
      </c>
      <c r="FW5" s="5">
        <f t="shared" si="10"/>
        <v>496</v>
      </c>
      <c r="FX5" s="5">
        <f t="shared" si="11"/>
        <v>474</v>
      </c>
      <c r="FY5" s="5">
        <f t="shared" si="12"/>
        <v>466</v>
      </c>
      <c r="FZ5" s="5">
        <f t="shared" si="13"/>
        <v>465</v>
      </c>
      <c r="GA5" s="13">
        <f>AVERAGE(FO5:FZ5)</f>
        <v>492</v>
      </c>
      <c r="GB5" s="5">
        <f>503-GO5</f>
        <v>480</v>
      </c>
      <c r="GC5" s="5">
        <f>501-GP5</f>
        <v>478</v>
      </c>
      <c r="GD5" s="5">
        <f>501-GQ5</f>
        <v>478</v>
      </c>
      <c r="GE5" s="5">
        <f>501-GR5</f>
        <v>478</v>
      </c>
      <c r="GF5" s="5">
        <f>500-GS5</f>
        <v>477</v>
      </c>
      <c r="GG5" s="5">
        <f>499-GT5</f>
        <v>476</v>
      </c>
      <c r="GH5" s="5">
        <f>499-GU5</f>
        <v>476</v>
      </c>
      <c r="GI5" s="5">
        <f>499-GV5</f>
        <v>476</v>
      </c>
      <c r="GJ5" s="5">
        <f>496-GW5</f>
        <v>473</v>
      </c>
      <c r="GK5" s="5">
        <f>474-GX5</f>
        <v>455</v>
      </c>
      <c r="GL5" s="5">
        <f>466-GY5</f>
        <v>447</v>
      </c>
      <c r="GM5" s="5">
        <f>465-GZ5</f>
        <v>446</v>
      </c>
      <c r="GN5" s="13">
        <f>AVERAGE(GB5:GM5)</f>
        <v>470</v>
      </c>
      <c r="GO5" s="22">
        <v>23</v>
      </c>
      <c r="GP5" s="22">
        <v>23</v>
      </c>
      <c r="GQ5" s="22">
        <v>23</v>
      </c>
      <c r="GR5" s="22">
        <v>23</v>
      </c>
      <c r="GS5" s="22">
        <v>23</v>
      </c>
      <c r="GT5" s="22">
        <v>23</v>
      </c>
      <c r="GU5" s="22">
        <v>23</v>
      </c>
      <c r="GV5" s="22">
        <v>23</v>
      </c>
      <c r="GW5" s="22">
        <v>23</v>
      </c>
      <c r="GX5" s="22">
        <v>19</v>
      </c>
      <c r="GY5" s="22">
        <v>19</v>
      </c>
      <c r="GZ5" s="22">
        <v>19</v>
      </c>
      <c r="HA5" s="63">
        <f>AVERAGE(GO5:GZ5)</f>
        <v>22</v>
      </c>
      <c r="HN5" s="63" t="e">
        <f>AVERAGE(HB5:HM5)</f>
        <v>#DIV/0!</v>
      </c>
      <c r="HP5" s="5">
        <f t="shared" si="14"/>
        <v>465</v>
      </c>
      <c r="HQ5" s="5">
        <f t="shared" si="15"/>
        <v>465</v>
      </c>
      <c r="HR5" s="5">
        <f t="shared" si="16"/>
        <v>464</v>
      </c>
      <c r="HS5" s="5">
        <f t="shared" ref="HS5:HS6" si="24">SUM(IF5,IS5,JF5)</f>
        <v>464</v>
      </c>
      <c r="HT5" s="5">
        <f t="shared" si="17"/>
        <v>464</v>
      </c>
      <c r="HU5" s="5">
        <f t="shared" si="18"/>
        <v>462</v>
      </c>
      <c r="HV5" s="5">
        <f t="shared" si="19"/>
        <v>460</v>
      </c>
      <c r="HW5" s="5">
        <f t="shared" si="20"/>
        <v>458</v>
      </c>
      <c r="HX5" s="5">
        <f t="shared" si="21"/>
        <v>455</v>
      </c>
      <c r="HY5" s="5">
        <f t="shared" si="22"/>
        <v>455</v>
      </c>
      <c r="HZ5" s="5">
        <f t="shared" si="23"/>
        <v>453</v>
      </c>
      <c r="IA5" s="5">
        <f t="shared" si="23"/>
        <v>451</v>
      </c>
      <c r="IB5" s="63">
        <f>AVERAGE(HP5:IA5)</f>
        <v>459.66666666666669</v>
      </c>
      <c r="IC5" s="101">
        <f>'[7]Annualized manpower'!C26-SUM(IP5,JC5)</f>
        <v>446</v>
      </c>
      <c r="ID5" s="101">
        <f>'[7]Annualized manpower'!F26-SUM(IQ5,JD5)</f>
        <v>446</v>
      </c>
      <c r="IE5" s="101">
        <f>'[7]Annualized manpower'!I26-SUM(IR5,JE5)</f>
        <v>445</v>
      </c>
      <c r="IF5" s="21">
        <f>[5]Sheet1!$J$5-SUM(IS5,JF5)</f>
        <v>445</v>
      </c>
      <c r="IG5" s="21">
        <f>'[6]Manpower Strength Aug''18'!$D$4-SUM(IT5,JG5)</f>
        <v>445</v>
      </c>
      <c r="IH5" s="21">
        <f>'[6]Manpower Strength Sep''18'!$D$4-SUM(IU5,JH5)</f>
        <v>443</v>
      </c>
      <c r="II5" s="21">
        <f>'[6]Manpower Strength Oct''18'!$D$4-SUM(IV5,JI5)</f>
        <v>441</v>
      </c>
      <c r="IJ5" s="21">
        <f>'[6]Manpower Strength Nov''18'!$D$4-SUM(IW5,JJ5)</f>
        <v>439</v>
      </c>
      <c r="IK5" s="21">
        <f>'[6]Manpower Strength Dec''18'!$D$4-SUM(IX5,JK5)</f>
        <v>437</v>
      </c>
      <c r="IL5" s="21">
        <f>'[6]Manpower Strength Jan''19'!$D$4-SUM(IY5,JL5)</f>
        <v>437</v>
      </c>
      <c r="IM5" s="21">
        <f>'[6]Manpower Strength Feb''19'!$D$4-SUM(IZ5,JM5)</f>
        <v>435</v>
      </c>
      <c r="IN5" s="21">
        <f>'[6]Manpower Strength Mar''19'!$D$4-SUM(JA5,JN5)</f>
        <v>433</v>
      </c>
      <c r="IO5" s="63">
        <f t="shared" ref="IO5:IO6" si="25">IFERROR(AVERAGE(IC5:IN5),"")</f>
        <v>441</v>
      </c>
      <c r="IP5" s="21">
        <f>'[7]Department Wise Manpower'!C60</f>
        <v>19</v>
      </c>
      <c r="IQ5" s="21">
        <f>'[7]Department Wise Manpower'!D60</f>
        <v>19</v>
      </c>
      <c r="IR5" s="21">
        <f>'[7]Department Wise Manpower'!E60</f>
        <v>19</v>
      </c>
      <c r="IS5" s="21">
        <f>'[8]Department Wise Manpower'!$F$60</f>
        <v>19</v>
      </c>
      <c r="IT5" s="21">
        <f>'[9]Department Wise Manpower'!$G$60</f>
        <v>19</v>
      </c>
      <c r="IU5" s="21">
        <f>'[9]Department Wise Manpower'!H60</f>
        <v>19</v>
      </c>
      <c r="IV5" s="21">
        <f>'[10]Department Wise Manpower'!$I$60</f>
        <v>19</v>
      </c>
      <c r="IW5" s="21">
        <f>'[11]Department Wise Manpower'!$J$60</f>
        <v>19</v>
      </c>
      <c r="IX5" s="21">
        <f>'[12]Department Wise Manpower'!$K$60</f>
        <v>18</v>
      </c>
      <c r="IY5" s="21">
        <f>'[13]Department Wise Manpower'!$L$60</f>
        <v>18</v>
      </c>
      <c r="IZ5" s="21">
        <f>'[14]Department Wise Manpower'!$M$60</f>
        <v>18</v>
      </c>
      <c r="JA5" s="21">
        <f>'[15]Department Wise Manpower'!$N$60</f>
        <v>18</v>
      </c>
      <c r="JB5" s="63">
        <f t="shared" ref="JB5:JB6" si="26">IFERROR(AVERAGE(IP5:JA5),"")</f>
        <v>18.666666666666668</v>
      </c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63" t="str">
        <f t="shared" ref="JO5:JO6" si="27">IFERROR(AVERAGE(JC5:JN5),"")</f>
        <v/>
      </c>
    </row>
    <row r="6" spans="1:275" ht="16.5" customHeight="1">
      <c r="A6" s="12" t="s">
        <v>20</v>
      </c>
      <c r="B6" s="5">
        <f>SUM(Q6,AF6,AU6,BJ6,BY6)</f>
        <v>1142</v>
      </c>
      <c r="C6" s="5">
        <f>SUM(R6,AG6,AV6,BK6,BZ6)</f>
        <v>1302</v>
      </c>
      <c r="D6" s="5">
        <f t="shared" si="0"/>
        <v>1292</v>
      </c>
      <c r="E6" s="5">
        <f t="shared" si="0"/>
        <v>1295</v>
      </c>
      <c r="F6" s="5">
        <f t="shared" si="0"/>
        <v>1198</v>
      </c>
      <c r="G6" s="5">
        <f t="shared" si="0"/>
        <v>1292</v>
      </c>
      <c r="H6" s="5">
        <f t="shared" si="0"/>
        <v>1301</v>
      </c>
      <c r="I6" s="5">
        <f t="shared" si="0"/>
        <v>1402</v>
      </c>
      <c r="J6" s="5">
        <f t="shared" si="0"/>
        <v>1389</v>
      </c>
      <c r="K6" s="5">
        <f t="shared" si="0"/>
        <v>1372</v>
      </c>
      <c r="L6" s="5">
        <f t="shared" si="0"/>
        <v>1301</v>
      </c>
      <c r="M6" s="5">
        <f t="shared" si="0"/>
        <v>1274</v>
      </c>
      <c r="N6" s="5">
        <f t="shared" si="0"/>
        <v>1374</v>
      </c>
      <c r="O6" s="7">
        <f>AVERAGE(C6:N6)</f>
        <v>1316</v>
      </c>
      <c r="P6" s="4" t="s">
        <v>20</v>
      </c>
      <c r="Q6" s="5">
        <f>1035-100-189-2</f>
        <v>744</v>
      </c>
      <c r="R6" s="5">
        <f>1191-AG6-AV6</f>
        <v>874</v>
      </c>
      <c r="S6" s="20">
        <f>1182-AH6-AW6</f>
        <v>868</v>
      </c>
      <c r="T6" s="20">
        <f>1185-AI6-AX6</f>
        <v>867</v>
      </c>
      <c r="U6" s="20">
        <f>1082-AJ6-AY6</f>
        <v>769</v>
      </c>
      <c r="V6" s="20">
        <f>1176-AK6-AZ6</f>
        <v>827</v>
      </c>
      <c r="W6" s="20">
        <f>1178-AL6-BA6</f>
        <v>832</v>
      </c>
      <c r="X6" s="20">
        <f>1286-AM6-BB6</f>
        <v>937</v>
      </c>
      <c r="Y6" s="20">
        <f>1274-AN6-BC6</f>
        <v>913</v>
      </c>
      <c r="Z6" s="20">
        <f>1253-AO6-BD6</f>
        <v>895</v>
      </c>
      <c r="AA6" s="20">
        <f>1185-AP6-BE6</f>
        <v>827</v>
      </c>
      <c r="AB6" s="20">
        <f>1154-AQ6-BF6</f>
        <v>796</v>
      </c>
      <c r="AC6" s="20">
        <f>1254-AR6-BG6</f>
        <v>902</v>
      </c>
      <c r="AD6" s="7">
        <f>AVERAGE(R6:AC6)</f>
        <v>858.91666666666663</v>
      </c>
      <c r="AE6" s="4" t="s">
        <v>20</v>
      </c>
      <c r="AF6" s="5">
        <f>191-2</f>
        <v>189</v>
      </c>
      <c r="AG6" s="22">
        <v>213</v>
      </c>
      <c r="AH6" s="22">
        <v>213</v>
      </c>
      <c r="AI6" s="22">
        <v>213</v>
      </c>
      <c r="AJ6" s="22">
        <v>213</v>
      </c>
      <c r="AK6" s="22">
        <f>228+18</f>
        <v>246</v>
      </c>
      <c r="AL6" s="22">
        <f>228+18</f>
        <v>246</v>
      </c>
      <c r="AM6" s="22">
        <f>228+18</f>
        <v>246</v>
      </c>
      <c r="AN6" s="22">
        <f>361-103</f>
        <v>258</v>
      </c>
      <c r="AO6" s="22">
        <f>361-103</f>
        <v>258</v>
      </c>
      <c r="AP6" s="22">
        <f>361-103</f>
        <v>258</v>
      </c>
      <c r="AQ6" s="22">
        <f>361-103</f>
        <v>258</v>
      </c>
      <c r="AR6" s="22">
        <f>352-103</f>
        <v>249</v>
      </c>
      <c r="AS6" s="7">
        <f>AVERAGE(AG6:AR6)</f>
        <v>239.25</v>
      </c>
      <c r="AT6" s="4" t="s">
        <v>20</v>
      </c>
      <c r="AU6" s="5">
        <v>100</v>
      </c>
      <c r="AV6" s="5">
        <f>104</f>
        <v>104</v>
      </c>
      <c r="AW6" s="20">
        <v>101</v>
      </c>
      <c r="AX6" s="20">
        <v>105</v>
      </c>
      <c r="AY6" s="20">
        <v>100</v>
      </c>
      <c r="AZ6" s="20">
        <v>103</v>
      </c>
      <c r="BA6" s="20">
        <f>100</f>
        <v>100</v>
      </c>
      <c r="BB6" s="20">
        <v>103</v>
      </c>
      <c r="BC6" s="20">
        <v>103</v>
      </c>
      <c r="BD6" s="20">
        <v>100</v>
      </c>
      <c r="BE6" s="20">
        <v>100</v>
      </c>
      <c r="BF6" s="20">
        <v>100</v>
      </c>
      <c r="BG6" s="20">
        <f>103</f>
        <v>103</v>
      </c>
      <c r="BH6" s="7">
        <f>AVERAGE(AV6:BG6)</f>
        <v>101.83333333333333</v>
      </c>
      <c r="BI6" s="4" t="s">
        <v>20</v>
      </c>
      <c r="BJ6" s="5">
        <v>92</v>
      </c>
      <c r="BK6" s="5">
        <f>93</f>
        <v>93</v>
      </c>
      <c r="BL6" s="5">
        <f>92</f>
        <v>92</v>
      </c>
      <c r="BM6" s="20">
        <f>93</f>
        <v>93</v>
      </c>
      <c r="BN6" s="20">
        <f>99</f>
        <v>99</v>
      </c>
      <c r="BO6" s="20">
        <f>99</f>
        <v>99</v>
      </c>
      <c r="BP6" s="20">
        <f>106</f>
        <v>106</v>
      </c>
      <c r="BQ6" s="20">
        <f>99</f>
        <v>99</v>
      </c>
      <c r="BR6" s="20">
        <f>99-1</f>
        <v>98</v>
      </c>
      <c r="BS6" s="20">
        <f>102</f>
        <v>102</v>
      </c>
      <c r="BT6" s="20">
        <f>99</f>
        <v>99</v>
      </c>
      <c r="BU6" s="20">
        <f>103</f>
        <v>103</v>
      </c>
      <c r="BV6" s="20">
        <f>103</f>
        <v>103</v>
      </c>
      <c r="BW6" s="7">
        <f>AVERAGE(BK6:BV6)</f>
        <v>98.833333333333329</v>
      </c>
      <c r="BX6" s="4" t="s">
        <v>20</v>
      </c>
      <c r="BY6" s="5">
        <v>17</v>
      </c>
      <c r="BZ6" s="5">
        <f>18</f>
        <v>18</v>
      </c>
      <c r="CA6" s="5">
        <f>18</f>
        <v>18</v>
      </c>
      <c r="CB6" s="5">
        <f>17</f>
        <v>17</v>
      </c>
      <c r="CC6" s="5">
        <f>17</f>
        <v>17</v>
      </c>
      <c r="CD6" s="5">
        <f>17</f>
        <v>17</v>
      </c>
      <c r="CE6" s="5">
        <f>17</f>
        <v>17</v>
      </c>
      <c r="CF6" s="5">
        <f>17</f>
        <v>17</v>
      </c>
      <c r="CG6" s="5">
        <f>17</f>
        <v>17</v>
      </c>
      <c r="CH6" s="5">
        <f>17</f>
        <v>17</v>
      </c>
      <c r="CI6" s="5">
        <f>17</f>
        <v>17</v>
      </c>
      <c r="CJ6" s="5">
        <f>17</f>
        <v>17</v>
      </c>
      <c r="CK6" s="5">
        <f>17</f>
        <v>17</v>
      </c>
      <c r="CL6" s="13">
        <f>AVERAGE(BZ6:CK6)</f>
        <v>17.166666666666668</v>
      </c>
      <c r="CN6" s="5">
        <f t="shared" si="1"/>
        <v>1173</v>
      </c>
      <c r="CO6" s="5">
        <f t="shared" si="1"/>
        <v>1197</v>
      </c>
      <c r="CP6" s="5">
        <f t="shared" si="1"/>
        <v>1155</v>
      </c>
      <c r="CQ6" s="5">
        <f t="shared" si="1"/>
        <v>1179</v>
      </c>
      <c r="CR6" s="5">
        <f t="shared" si="1"/>
        <v>1217</v>
      </c>
      <c r="CS6" s="5">
        <f t="shared" si="1"/>
        <v>1265</v>
      </c>
      <c r="CT6" s="5">
        <f t="shared" si="1"/>
        <v>1241</v>
      </c>
      <c r="CU6" s="5">
        <f t="shared" si="1"/>
        <v>1245</v>
      </c>
      <c r="CV6" s="5">
        <f t="shared" si="1"/>
        <v>1256</v>
      </c>
      <c r="CW6" s="5">
        <f t="shared" si="1"/>
        <v>1266</v>
      </c>
      <c r="CX6" s="5">
        <f t="shared" si="1"/>
        <v>1242</v>
      </c>
      <c r="CY6" s="5">
        <f t="shared" si="1"/>
        <v>1252</v>
      </c>
      <c r="CZ6" s="13">
        <f>AVERAGE(CN6:CY6)</f>
        <v>1224</v>
      </c>
      <c r="DA6" s="5">
        <f>1173-DN6-EA6</f>
        <v>863</v>
      </c>
      <c r="DB6" s="5">
        <f>1197-DO6-EB6</f>
        <v>877</v>
      </c>
      <c r="DC6" s="5">
        <f>1155-DP6-EC6</f>
        <v>814</v>
      </c>
      <c r="DD6" s="5">
        <f>1179-DQ6-ED6</f>
        <v>810</v>
      </c>
      <c r="DE6" s="5">
        <f>1217-DR6-EE6</f>
        <v>841</v>
      </c>
      <c r="DF6" s="5">
        <f>1265-DS6-EF6</f>
        <v>872</v>
      </c>
      <c r="DG6" s="5">
        <f>1241-DT6-EG6</f>
        <v>841</v>
      </c>
      <c r="DH6" s="5">
        <f>1245-DU6-EH6</f>
        <v>872</v>
      </c>
      <c r="DI6" s="5">
        <f>1256-DV6-EI6</f>
        <v>881</v>
      </c>
      <c r="DJ6" s="5">
        <f>1266-DW6-EJ6</f>
        <v>893</v>
      </c>
      <c r="DK6" s="5">
        <f>1242-DX6-EK6</f>
        <v>848</v>
      </c>
      <c r="DL6" s="5">
        <f>1252-DY6-EL6</f>
        <v>873</v>
      </c>
      <c r="DM6" s="13">
        <f>AVERAGE(DA6:DL6)</f>
        <v>857.08333333333337</v>
      </c>
      <c r="DN6" s="22">
        <f>310-EA6</f>
        <v>207</v>
      </c>
      <c r="DO6" s="22">
        <f>320-EB6</f>
        <v>219</v>
      </c>
      <c r="DP6" s="22">
        <f>341-EC6</f>
        <v>240</v>
      </c>
      <c r="DQ6" s="22">
        <f>369-ED6</f>
        <v>272</v>
      </c>
      <c r="DR6" s="22">
        <f>376-EE6</f>
        <v>279</v>
      </c>
      <c r="DS6" s="22">
        <f>393-EF6</f>
        <v>296</v>
      </c>
      <c r="DT6" s="22">
        <f>400-EG6</f>
        <v>303</v>
      </c>
      <c r="DU6" s="22">
        <f>373-EH6</f>
        <v>276</v>
      </c>
      <c r="DV6" s="22">
        <v>278</v>
      </c>
      <c r="DW6" s="22">
        <f>276</f>
        <v>276</v>
      </c>
      <c r="DX6" s="22">
        <v>294</v>
      </c>
      <c r="DY6" s="22">
        <v>282</v>
      </c>
      <c r="DZ6" s="63">
        <f>AVERAGE(DN6:DY6)</f>
        <v>268.5</v>
      </c>
      <c r="EA6" s="22">
        <f>103</f>
        <v>103</v>
      </c>
      <c r="EB6" s="22">
        <f>101</f>
        <v>101</v>
      </c>
      <c r="EC6" s="22">
        <f>101</f>
        <v>101</v>
      </c>
      <c r="ED6" s="22">
        <f>97</f>
        <v>97</v>
      </c>
      <c r="EE6" s="22">
        <f>97</f>
        <v>97</v>
      </c>
      <c r="EF6" s="22">
        <f>97</f>
        <v>97</v>
      </c>
      <c r="EG6" s="22">
        <f>97</f>
        <v>97</v>
      </c>
      <c r="EH6" s="22">
        <f>97</f>
        <v>97</v>
      </c>
      <c r="EI6" s="22">
        <v>97</v>
      </c>
      <c r="EJ6" s="22">
        <f>97</f>
        <v>97</v>
      </c>
      <c r="EK6" s="22">
        <v>100</v>
      </c>
      <c r="EL6" s="22">
        <v>97</v>
      </c>
      <c r="EM6" s="63">
        <f>AVERAGE(EA6:EL6)</f>
        <v>98.416666666666671</v>
      </c>
      <c r="FO6" s="5">
        <f t="shared" si="2"/>
        <v>1309</v>
      </c>
      <c r="FP6" s="5">
        <f t="shared" si="3"/>
        <v>1309</v>
      </c>
      <c r="FQ6" s="5">
        <f t="shared" si="4"/>
        <v>1353</v>
      </c>
      <c r="FR6" s="5">
        <f t="shared" si="5"/>
        <v>1404</v>
      </c>
      <c r="FS6" s="5">
        <f t="shared" si="6"/>
        <v>1324</v>
      </c>
      <c r="FT6" s="5">
        <f t="shared" si="7"/>
        <v>1376</v>
      </c>
      <c r="FU6" s="5">
        <f t="shared" si="8"/>
        <v>1335</v>
      </c>
      <c r="FV6" s="5">
        <f t="shared" si="9"/>
        <v>1315</v>
      </c>
      <c r="FW6" s="5">
        <f t="shared" si="10"/>
        <v>1344</v>
      </c>
      <c r="FX6" s="5">
        <f t="shared" si="11"/>
        <v>1374</v>
      </c>
      <c r="FY6" s="5">
        <f t="shared" si="12"/>
        <v>1352</v>
      </c>
      <c r="FZ6" s="5">
        <f t="shared" si="13"/>
        <v>1323</v>
      </c>
      <c r="GA6" s="13">
        <f>AVERAGE(FO6:FZ6)</f>
        <v>1343.1666666666667</v>
      </c>
      <c r="GB6" s="5">
        <f>1191-GO6-HB6+118</f>
        <v>917</v>
      </c>
      <c r="GC6" s="5">
        <f>1309-GP6-HC6</f>
        <v>870</v>
      </c>
      <c r="GD6" s="5">
        <f>1353-GQ6-HD6</f>
        <v>916</v>
      </c>
      <c r="GE6" s="5">
        <f>1404-GR6-HE6</f>
        <v>939</v>
      </c>
      <c r="GF6" s="5">
        <f>1324-GS6-HF6</f>
        <v>897</v>
      </c>
      <c r="GG6" s="5">
        <f>1376-GT6-HG6</f>
        <v>939</v>
      </c>
      <c r="GH6" s="5">
        <f>1335-GU6-HH6</f>
        <v>915</v>
      </c>
      <c r="GI6" s="5">
        <f>1315-GV6-HI6</f>
        <v>898</v>
      </c>
      <c r="GJ6" s="5">
        <f>1344-GW6-HJ6</f>
        <v>916</v>
      </c>
      <c r="GK6" s="5">
        <f>1374-GX6-HK6</f>
        <v>962</v>
      </c>
      <c r="GL6" s="5">
        <f>1352-GY6-HL6</f>
        <v>940</v>
      </c>
      <c r="GM6" s="5">
        <f>1323-GZ6-HM6</f>
        <v>910</v>
      </c>
      <c r="GN6" s="13">
        <f>AVERAGE(GB6:GM6)</f>
        <v>918.25</v>
      </c>
      <c r="GO6" s="22">
        <f>289</f>
        <v>289</v>
      </c>
      <c r="GP6" s="22">
        <v>336</v>
      </c>
      <c r="GQ6" s="22">
        <v>335</v>
      </c>
      <c r="GR6" s="22">
        <v>356</v>
      </c>
      <c r="GS6" s="22">
        <v>319</v>
      </c>
      <c r="GT6" s="22">
        <v>328</v>
      </c>
      <c r="GU6" s="22">
        <v>313</v>
      </c>
      <c r="GV6" s="22">
        <v>317</v>
      </c>
      <c r="GW6" s="22">
        <v>321</v>
      </c>
      <c r="GX6" s="22">
        <v>307</v>
      </c>
      <c r="GY6" s="22">
        <v>307</v>
      </c>
      <c r="GZ6" s="22">
        <v>307</v>
      </c>
      <c r="HA6" s="63">
        <f>AVERAGE(GO6:GZ6)</f>
        <v>319.58333333333331</v>
      </c>
      <c r="HB6" s="22">
        <v>103</v>
      </c>
      <c r="HC6" s="22">
        <v>103</v>
      </c>
      <c r="HD6" s="22">
        <v>102</v>
      </c>
      <c r="HE6" s="22">
        <v>109</v>
      </c>
      <c r="HF6" s="22">
        <v>108</v>
      </c>
      <c r="HG6" s="22">
        <v>109</v>
      </c>
      <c r="HH6" s="22">
        <v>107</v>
      </c>
      <c r="HI6" s="22">
        <v>100</v>
      </c>
      <c r="HJ6" s="22">
        <v>107</v>
      </c>
      <c r="HK6" s="22">
        <v>105</v>
      </c>
      <c r="HL6" s="22">
        <v>105</v>
      </c>
      <c r="HM6" s="22">
        <v>106</v>
      </c>
      <c r="HN6" s="63">
        <f>AVERAGE(HB6:HM6)</f>
        <v>105.33333333333333</v>
      </c>
      <c r="HP6" s="5">
        <f t="shared" si="14"/>
        <v>1271.5</v>
      </c>
      <c r="HQ6" s="5">
        <f t="shared" si="15"/>
        <v>1330</v>
      </c>
      <c r="HR6" s="5">
        <f t="shared" si="16"/>
        <v>1314</v>
      </c>
      <c r="HS6" s="5">
        <f t="shared" si="24"/>
        <v>1402</v>
      </c>
      <c r="HT6" s="5">
        <f t="shared" si="17"/>
        <v>1388</v>
      </c>
      <c r="HU6" s="5">
        <f t="shared" si="18"/>
        <v>1299</v>
      </c>
      <c r="HV6" s="5">
        <f t="shared" si="19"/>
        <v>1339</v>
      </c>
      <c r="HW6" s="5">
        <f t="shared" si="20"/>
        <v>1248</v>
      </c>
      <c r="HX6" s="5">
        <f t="shared" si="21"/>
        <v>1272.9807692307691</v>
      </c>
      <c r="HY6" s="5">
        <f t="shared" si="22"/>
        <v>1158.0384615384614</v>
      </c>
      <c r="HZ6" s="5">
        <f t="shared" si="23"/>
        <v>1217</v>
      </c>
      <c r="IA6" s="5">
        <f t="shared" si="23"/>
        <v>1170</v>
      </c>
      <c r="IB6" s="63">
        <f>AVERAGE(HP6:IA6)</f>
        <v>1284.1266025641025</v>
      </c>
      <c r="IC6" s="101">
        <f>'[7]Annualized manpower'!D26-SUM(IP6,JC6)</f>
        <v>880.44230769230762</v>
      </c>
      <c r="ID6" s="101">
        <f>'[7]Annualized manpower'!G26-SUM(IQ6,JD6)</f>
        <v>898</v>
      </c>
      <c r="IE6" s="101">
        <f>'[7]Annualized manpower'!J26-SUM(IR6,JE6)</f>
        <v>898</v>
      </c>
      <c r="IF6" s="21">
        <f>[5]Sheet1!$K$5-SUM(IS6,JF6)</f>
        <v>952</v>
      </c>
      <c r="IG6" s="21">
        <f>'[6]Manpower Strength Aug''18'!$E$4-SUM(IT6,JG6)</f>
        <v>951</v>
      </c>
      <c r="IH6" s="21">
        <f>'[6]Manpower Strength Sep''18'!$E$4-SUM(IU6,JH6)</f>
        <v>901</v>
      </c>
      <c r="II6" s="21">
        <f>'[6]Manpower Strength Oct''18'!$E$4-SUM(IV6,JI6)</f>
        <v>917</v>
      </c>
      <c r="IJ6" s="21">
        <f>'[6]Manpower Strength Nov''18'!$E$4-SUM(IW6,JJ6)</f>
        <v>937</v>
      </c>
      <c r="IK6" s="21">
        <f>'[6]Manpower Strength Dec''18'!$E$4-SUM(IX6,JK6)</f>
        <v>860.36538461538441</v>
      </c>
      <c r="IL6" s="21">
        <f>'[6]Manpower Strength Jan''19'!$E$4-SUM(IY6,JL6)</f>
        <v>838.99999999999989</v>
      </c>
      <c r="IM6" s="21">
        <f>'[6]Manpower Strength Feb''19'!$E$4-SUM(IZ6,JM6)</f>
        <v>888</v>
      </c>
      <c r="IN6" s="21">
        <f>'[6]Manpower Strength Mar''19'!$E$4-SUM(JA6,JN6)</f>
        <v>848</v>
      </c>
      <c r="IO6" s="63">
        <f t="shared" si="25"/>
        <v>897.48397435897425</v>
      </c>
      <c r="IP6" s="21">
        <f>'[7]Department Wise Manpower'!C97</f>
        <v>283.05769230769232</v>
      </c>
      <c r="IQ6" s="21">
        <f>'[7]Department Wise Manpower'!D97</f>
        <v>322</v>
      </c>
      <c r="IR6" s="21">
        <f>'[7]Department Wise Manpower'!E97</f>
        <v>333</v>
      </c>
      <c r="IS6" s="21">
        <f>'[8]Department Wise Manpower'!$F$97</f>
        <v>338</v>
      </c>
      <c r="IT6" s="21">
        <f>'[9]Department Wise Manpower'!$G$97</f>
        <v>329</v>
      </c>
      <c r="IU6" s="21">
        <f>'[9]Department Wise Manpower'!H97</f>
        <v>295</v>
      </c>
      <c r="IV6" s="21">
        <f>'[10]Department Wise Manpower'!$I$97</f>
        <v>323</v>
      </c>
      <c r="IW6" s="21">
        <f>'[11]Department Wise Manpower'!$J$97</f>
        <v>222</v>
      </c>
      <c r="IX6" s="21">
        <f>'[12]Department Wise Manpower'!$K$97</f>
        <v>313.61538461538464</v>
      </c>
      <c r="IY6" s="21">
        <f>'[13]Department Wise Manpower'!$L$97</f>
        <v>225</v>
      </c>
      <c r="IZ6" s="21">
        <f>'[14]Department Wise Manpower'!$M$97</f>
        <v>232</v>
      </c>
      <c r="JA6" s="20">
        <f>'[15]Department Wise Manpower'!$N$97</f>
        <v>221</v>
      </c>
      <c r="JB6" s="63">
        <f t="shared" si="26"/>
        <v>286.38942307692309</v>
      </c>
      <c r="JC6" s="21">
        <f>'[7]Department Wise Manpower'!C110</f>
        <v>108</v>
      </c>
      <c r="JD6" s="21">
        <f>'[7]Department Wise Manpower'!D110</f>
        <v>110</v>
      </c>
      <c r="JE6" s="21">
        <f>'[7]Department Wise Manpower'!E110</f>
        <v>83</v>
      </c>
      <c r="JF6" s="21">
        <f>'[8]Department Wise Manpower'!$F$110</f>
        <v>112</v>
      </c>
      <c r="JG6" s="21">
        <f>'[9]Department Wise Manpower'!$G$110</f>
        <v>108</v>
      </c>
      <c r="JH6" s="21">
        <f>'[9]Department Wise Manpower'!H110</f>
        <v>103</v>
      </c>
      <c r="JI6" s="21">
        <f>'[10]Department Wise Manpower'!$I$110</f>
        <v>99</v>
      </c>
      <c r="JJ6" s="21">
        <f>'[11]Department Wise Manpower'!$J$110</f>
        <v>89</v>
      </c>
      <c r="JK6" s="21">
        <f>'[12]Department Wise Manpower'!$K$110</f>
        <v>99</v>
      </c>
      <c r="JL6" s="21">
        <f>'[13]Department Wise Manpower'!$L$110</f>
        <v>94.038461538461533</v>
      </c>
      <c r="JM6" s="21">
        <f>'[14]Department Wise Manpower'!$M$110</f>
        <v>97</v>
      </c>
      <c r="JN6" s="21">
        <f>'[15]Department Wise Manpower'!$N$110</f>
        <v>101</v>
      </c>
      <c r="JO6" s="63">
        <f t="shared" si="27"/>
        <v>100.25320512820512</v>
      </c>
    </row>
    <row r="7" spans="1:275" ht="16.5" customHeight="1" thickBot="1">
      <c r="A7" s="14" t="s">
        <v>21</v>
      </c>
      <c r="B7" s="15">
        <f>SUM(B4:B6)</f>
        <v>1819</v>
      </c>
      <c r="C7" s="15">
        <f>SUM(C4:C6)</f>
        <v>1964</v>
      </c>
      <c r="D7" s="15">
        <f t="shared" ref="D7:M7" si="28">SUM(D4:D6)</f>
        <v>1957</v>
      </c>
      <c r="E7" s="15">
        <f t="shared" si="28"/>
        <v>1960</v>
      </c>
      <c r="F7" s="15">
        <f t="shared" si="28"/>
        <v>1868</v>
      </c>
      <c r="G7" s="15">
        <f t="shared" si="28"/>
        <v>1965</v>
      </c>
      <c r="H7" s="15">
        <f t="shared" si="28"/>
        <v>2026</v>
      </c>
      <c r="I7" s="15">
        <f t="shared" si="28"/>
        <v>2128</v>
      </c>
      <c r="J7" s="15">
        <f t="shared" si="28"/>
        <v>2111</v>
      </c>
      <c r="K7" s="15">
        <f t="shared" si="28"/>
        <v>2098</v>
      </c>
      <c r="L7" s="15">
        <f t="shared" si="28"/>
        <v>2045</v>
      </c>
      <c r="M7" s="15">
        <f t="shared" si="28"/>
        <v>2012</v>
      </c>
      <c r="N7" s="15">
        <f>SUM(N4:N6)</f>
        <v>2111</v>
      </c>
      <c r="O7" s="16">
        <f>AVERAGE(C7:N7)</f>
        <v>2020.4166666666667</v>
      </c>
      <c r="P7" s="17" t="s">
        <v>21</v>
      </c>
      <c r="Q7" s="15">
        <f t="shared" ref="Q7:AC7" si="29">SUM(Q4:Q6)</f>
        <v>1376</v>
      </c>
      <c r="R7" s="15">
        <f t="shared" si="29"/>
        <v>1497</v>
      </c>
      <c r="S7" s="15">
        <f t="shared" si="29"/>
        <v>1494</v>
      </c>
      <c r="T7" s="15">
        <f t="shared" si="29"/>
        <v>1492</v>
      </c>
      <c r="U7" s="15">
        <f t="shared" si="29"/>
        <v>1399</v>
      </c>
      <c r="V7" s="15">
        <f t="shared" si="29"/>
        <v>1461</v>
      </c>
      <c r="W7" s="15">
        <f t="shared" si="29"/>
        <v>1517</v>
      </c>
      <c r="X7" s="15">
        <f t="shared" si="29"/>
        <v>1623</v>
      </c>
      <c r="Y7" s="15">
        <f t="shared" si="29"/>
        <v>1590</v>
      </c>
      <c r="Z7" s="15">
        <f t="shared" si="29"/>
        <v>1577</v>
      </c>
      <c r="AA7" s="15">
        <f t="shared" si="29"/>
        <v>1526</v>
      </c>
      <c r="AB7" s="15">
        <f t="shared" si="29"/>
        <v>1489</v>
      </c>
      <c r="AC7" s="15">
        <f t="shared" si="29"/>
        <v>1594</v>
      </c>
      <c r="AD7" s="16">
        <f>AVERAGE(R7:AC7)</f>
        <v>1521.5833333333333</v>
      </c>
      <c r="AE7" s="17" t="s">
        <v>21</v>
      </c>
      <c r="AF7" s="15">
        <f t="shared" ref="AF7:AR7" si="30">SUM(AF4:AF6)</f>
        <v>213</v>
      </c>
      <c r="AG7" s="15">
        <f t="shared" si="30"/>
        <v>236</v>
      </c>
      <c r="AH7" s="15">
        <f t="shared" si="30"/>
        <v>235</v>
      </c>
      <c r="AI7" s="15">
        <f t="shared" si="30"/>
        <v>235</v>
      </c>
      <c r="AJ7" s="15">
        <f t="shared" si="30"/>
        <v>235</v>
      </c>
      <c r="AK7" s="15">
        <f t="shared" si="30"/>
        <v>268</v>
      </c>
      <c r="AL7" s="15">
        <f t="shared" si="30"/>
        <v>269</v>
      </c>
      <c r="AM7" s="15">
        <f t="shared" si="30"/>
        <v>269</v>
      </c>
      <c r="AN7" s="15">
        <f t="shared" si="30"/>
        <v>286</v>
      </c>
      <c r="AO7" s="15">
        <f t="shared" si="30"/>
        <v>286</v>
      </c>
      <c r="AP7" s="15">
        <f t="shared" si="30"/>
        <v>286</v>
      </c>
      <c r="AQ7" s="15">
        <f t="shared" si="30"/>
        <v>286</v>
      </c>
      <c r="AR7" s="15">
        <f t="shared" si="30"/>
        <v>277</v>
      </c>
      <c r="AS7" s="16">
        <f>AVERAGE(AG7:AR7)</f>
        <v>264</v>
      </c>
      <c r="AT7" s="17" t="s">
        <v>21</v>
      </c>
      <c r="AU7" s="15">
        <f t="shared" ref="AU7:BG7" si="31">SUM(AU4:AU6)</f>
        <v>100</v>
      </c>
      <c r="AV7" s="15">
        <f t="shared" si="31"/>
        <v>104</v>
      </c>
      <c r="AW7" s="15">
        <f t="shared" si="31"/>
        <v>101</v>
      </c>
      <c r="AX7" s="15">
        <f t="shared" si="31"/>
        <v>105</v>
      </c>
      <c r="AY7" s="15">
        <f t="shared" si="31"/>
        <v>100</v>
      </c>
      <c r="AZ7" s="15">
        <f t="shared" si="31"/>
        <v>103</v>
      </c>
      <c r="BA7" s="15">
        <f t="shared" si="31"/>
        <v>100</v>
      </c>
      <c r="BB7" s="15">
        <f t="shared" si="31"/>
        <v>103</v>
      </c>
      <c r="BC7" s="15">
        <f t="shared" si="31"/>
        <v>103</v>
      </c>
      <c r="BD7" s="15">
        <f t="shared" si="31"/>
        <v>100</v>
      </c>
      <c r="BE7" s="15">
        <f t="shared" si="31"/>
        <v>100</v>
      </c>
      <c r="BF7" s="15">
        <f t="shared" si="31"/>
        <v>100</v>
      </c>
      <c r="BG7" s="15">
        <f t="shared" si="31"/>
        <v>103</v>
      </c>
      <c r="BH7" s="16">
        <f>AVERAGE(AV7:BG7)</f>
        <v>101.83333333333333</v>
      </c>
      <c r="BI7" s="17" t="s">
        <v>21</v>
      </c>
      <c r="BJ7" s="15">
        <f t="shared" ref="BJ7:BV7" si="32">SUM(BJ4:BJ6)</f>
        <v>111</v>
      </c>
      <c r="BK7" s="15">
        <f t="shared" si="32"/>
        <v>107</v>
      </c>
      <c r="BL7" s="15">
        <f t="shared" si="32"/>
        <v>107</v>
      </c>
      <c r="BM7" s="15">
        <f t="shared" si="32"/>
        <v>109</v>
      </c>
      <c r="BN7" s="15">
        <f t="shared" si="32"/>
        <v>115</v>
      </c>
      <c r="BO7" s="15">
        <f t="shared" si="32"/>
        <v>114</v>
      </c>
      <c r="BP7" s="15">
        <f t="shared" si="32"/>
        <v>121</v>
      </c>
      <c r="BQ7" s="15">
        <f t="shared" si="32"/>
        <v>114</v>
      </c>
      <c r="BR7" s="15">
        <f t="shared" si="32"/>
        <v>113</v>
      </c>
      <c r="BS7" s="15">
        <f t="shared" si="32"/>
        <v>116</v>
      </c>
      <c r="BT7" s="15">
        <f t="shared" si="32"/>
        <v>114</v>
      </c>
      <c r="BU7" s="15">
        <f t="shared" si="32"/>
        <v>118</v>
      </c>
      <c r="BV7" s="15">
        <f t="shared" si="32"/>
        <v>118</v>
      </c>
      <c r="BW7" s="16">
        <f>AVERAGE(BK7:BV7)</f>
        <v>113.83333333333333</v>
      </c>
      <c r="BX7" s="17" t="s">
        <v>21</v>
      </c>
      <c r="BY7" s="15">
        <f t="shared" ref="BY7:CK7" si="33">SUM(BY4:BY6)</f>
        <v>19</v>
      </c>
      <c r="BZ7" s="15">
        <f t="shared" si="33"/>
        <v>20</v>
      </c>
      <c r="CA7" s="15">
        <f t="shared" si="33"/>
        <v>20</v>
      </c>
      <c r="CB7" s="15">
        <f t="shared" si="33"/>
        <v>19</v>
      </c>
      <c r="CC7" s="15">
        <f t="shared" si="33"/>
        <v>19</v>
      </c>
      <c r="CD7" s="15">
        <f t="shared" si="33"/>
        <v>19</v>
      </c>
      <c r="CE7" s="15">
        <f t="shared" si="33"/>
        <v>19</v>
      </c>
      <c r="CF7" s="15">
        <f t="shared" si="33"/>
        <v>19</v>
      </c>
      <c r="CG7" s="15">
        <f t="shared" si="33"/>
        <v>19</v>
      </c>
      <c r="CH7" s="15">
        <f t="shared" si="33"/>
        <v>19</v>
      </c>
      <c r="CI7" s="15">
        <f t="shared" si="33"/>
        <v>19</v>
      </c>
      <c r="CJ7" s="15">
        <f t="shared" si="33"/>
        <v>19</v>
      </c>
      <c r="CK7" s="15">
        <f t="shared" si="33"/>
        <v>19</v>
      </c>
      <c r="CL7" s="18">
        <f>AVERAGE(BZ7:CK7)</f>
        <v>19.166666666666668</v>
      </c>
      <c r="CN7" s="15">
        <f t="shared" ref="CN7:CY7" si="34">SUM(CN4:CN6)</f>
        <v>1892</v>
      </c>
      <c r="CO7" s="15">
        <f t="shared" si="34"/>
        <v>1910</v>
      </c>
      <c r="CP7" s="15">
        <f t="shared" si="34"/>
        <v>1863</v>
      </c>
      <c r="CQ7" s="15">
        <f t="shared" si="34"/>
        <v>1890</v>
      </c>
      <c r="CR7" s="15">
        <f t="shared" si="34"/>
        <v>1936</v>
      </c>
      <c r="CS7" s="15">
        <f t="shared" si="34"/>
        <v>1992</v>
      </c>
      <c r="CT7" s="15">
        <f t="shared" si="34"/>
        <v>1967</v>
      </c>
      <c r="CU7" s="15">
        <f t="shared" si="34"/>
        <v>1970</v>
      </c>
      <c r="CV7" s="15">
        <f t="shared" si="34"/>
        <v>1981</v>
      </c>
      <c r="CW7" s="15">
        <f t="shared" si="34"/>
        <v>2003</v>
      </c>
      <c r="CX7" s="15">
        <f t="shared" si="34"/>
        <v>1986</v>
      </c>
      <c r="CY7" s="15">
        <f t="shared" si="34"/>
        <v>1994</v>
      </c>
      <c r="CZ7" s="18">
        <f>AVERAGE(CN7:CY7)</f>
        <v>1948.6666666666667</v>
      </c>
      <c r="DA7" s="15">
        <f t="shared" ref="DA7:DL7" si="35">SUM(DA4:DA6)</f>
        <v>1555</v>
      </c>
      <c r="DB7" s="15">
        <f t="shared" si="35"/>
        <v>1563</v>
      </c>
      <c r="DC7" s="15">
        <f t="shared" si="35"/>
        <v>1495</v>
      </c>
      <c r="DD7" s="15">
        <f t="shared" si="35"/>
        <v>1494</v>
      </c>
      <c r="DE7" s="15">
        <f t="shared" si="35"/>
        <v>1533</v>
      </c>
      <c r="DF7" s="15">
        <f t="shared" si="35"/>
        <v>1572</v>
      </c>
      <c r="DG7" s="15">
        <f t="shared" si="35"/>
        <v>1539</v>
      </c>
      <c r="DH7" s="15">
        <f t="shared" si="35"/>
        <v>1569</v>
      </c>
      <c r="DI7" s="15">
        <f t="shared" si="35"/>
        <v>1579</v>
      </c>
      <c r="DJ7" s="15">
        <f t="shared" si="35"/>
        <v>1602</v>
      </c>
      <c r="DK7" s="15">
        <f t="shared" si="35"/>
        <v>1564</v>
      </c>
      <c r="DL7" s="15">
        <f t="shared" si="35"/>
        <v>1587</v>
      </c>
      <c r="DM7" s="18">
        <f>AVERAGE(DA7:DL7)</f>
        <v>1554.3333333333333</v>
      </c>
      <c r="DN7" s="15">
        <f t="shared" ref="DN7:DY7" si="36">SUM(DN4:DN6)</f>
        <v>234</v>
      </c>
      <c r="DO7" s="15">
        <f t="shared" si="36"/>
        <v>246</v>
      </c>
      <c r="DP7" s="15">
        <f t="shared" si="36"/>
        <v>267</v>
      </c>
      <c r="DQ7" s="15">
        <f t="shared" si="36"/>
        <v>299</v>
      </c>
      <c r="DR7" s="15">
        <f t="shared" si="36"/>
        <v>306</v>
      </c>
      <c r="DS7" s="15">
        <f t="shared" si="36"/>
        <v>323</v>
      </c>
      <c r="DT7" s="15">
        <f t="shared" si="36"/>
        <v>331</v>
      </c>
      <c r="DU7" s="15">
        <f t="shared" si="36"/>
        <v>304</v>
      </c>
      <c r="DV7" s="15">
        <f t="shared" si="36"/>
        <v>305</v>
      </c>
      <c r="DW7" s="15">
        <f t="shared" si="36"/>
        <v>304</v>
      </c>
      <c r="DX7" s="15">
        <f t="shared" si="36"/>
        <v>322</v>
      </c>
      <c r="DY7" s="15">
        <f t="shared" si="36"/>
        <v>310</v>
      </c>
      <c r="DZ7" s="64">
        <f>AVERAGE(DN7:DY7)</f>
        <v>295.91666666666669</v>
      </c>
      <c r="EA7" s="15">
        <f t="shared" ref="EA7:EL7" si="37">SUM(EA4:EA6)</f>
        <v>103</v>
      </c>
      <c r="EB7" s="15">
        <f t="shared" si="37"/>
        <v>101</v>
      </c>
      <c r="EC7" s="15">
        <f t="shared" si="37"/>
        <v>101</v>
      </c>
      <c r="ED7" s="15">
        <f t="shared" si="37"/>
        <v>97</v>
      </c>
      <c r="EE7" s="15">
        <f t="shared" si="37"/>
        <v>97</v>
      </c>
      <c r="EF7" s="15">
        <f t="shared" si="37"/>
        <v>97</v>
      </c>
      <c r="EG7" s="15">
        <f t="shared" si="37"/>
        <v>97</v>
      </c>
      <c r="EH7" s="15">
        <f t="shared" si="37"/>
        <v>97</v>
      </c>
      <c r="EI7" s="15">
        <f t="shared" si="37"/>
        <v>97</v>
      </c>
      <c r="EJ7" s="15">
        <f t="shared" si="37"/>
        <v>97</v>
      </c>
      <c r="EK7" s="15">
        <f t="shared" si="37"/>
        <v>100</v>
      </c>
      <c r="EL7" s="15">
        <f t="shared" si="37"/>
        <v>97</v>
      </c>
      <c r="EM7" s="64">
        <f>AVERAGE(EA7:EL7)</f>
        <v>98.416666666666671</v>
      </c>
      <c r="FO7" s="15">
        <f t="shared" ref="FO7:FZ7" si="38">SUM(FO4:FO6)</f>
        <v>2053</v>
      </c>
      <c r="FP7" s="15">
        <f t="shared" si="38"/>
        <v>2056</v>
      </c>
      <c r="FQ7" s="15">
        <f t="shared" si="38"/>
        <v>2096</v>
      </c>
      <c r="FR7" s="15">
        <f t="shared" si="38"/>
        <v>2164</v>
      </c>
      <c r="FS7" s="15">
        <f t="shared" si="38"/>
        <v>2082</v>
      </c>
      <c r="FT7" s="15">
        <f t="shared" si="38"/>
        <v>2136</v>
      </c>
      <c r="FU7" s="15">
        <f t="shared" si="38"/>
        <v>2093</v>
      </c>
      <c r="FV7" s="15">
        <f t="shared" si="38"/>
        <v>2070</v>
      </c>
      <c r="FW7" s="15">
        <f t="shared" si="38"/>
        <v>2100</v>
      </c>
      <c r="FX7" s="15">
        <f t="shared" si="38"/>
        <v>2109</v>
      </c>
      <c r="FY7" s="15">
        <f t="shared" si="38"/>
        <v>2089</v>
      </c>
      <c r="FZ7" s="15">
        <f t="shared" si="38"/>
        <v>2050</v>
      </c>
      <c r="GA7" s="18">
        <f>AVERAGE(FO7:FZ7)</f>
        <v>2091.5</v>
      </c>
      <c r="GB7" s="15">
        <f t="shared" ref="GB7:GM7" si="39">SUM(GB4:GB6)</f>
        <v>1632</v>
      </c>
      <c r="GC7" s="15">
        <f t="shared" si="39"/>
        <v>1588</v>
      </c>
      <c r="GD7" s="15">
        <f t="shared" si="39"/>
        <v>1630</v>
      </c>
      <c r="GE7" s="15">
        <f t="shared" si="39"/>
        <v>1670</v>
      </c>
      <c r="GF7" s="15">
        <f t="shared" si="39"/>
        <v>1626</v>
      </c>
      <c r="GG7" s="15">
        <f t="shared" si="39"/>
        <v>1670</v>
      </c>
      <c r="GH7" s="15">
        <f t="shared" si="39"/>
        <v>1645</v>
      </c>
      <c r="GI7" s="15">
        <f t="shared" si="39"/>
        <v>1625</v>
      </c>
      <c r="GJ7" s="15">
        <f t="shared" si="39"/>
        <v>1644</v>
      </c>
      <c r="GK7" s="15">
        <f t="shared" si="39"/>
        <v>1671</v>
      </c>
      <c r="GL7" s="15">
        <f t="shared" si="39"/>
        <v>1651</v>
      </c>
      <c r="GM7" s="15">
        <f t="shared" si="39"/>
        <v>1611</v>
      </c>
      <c r="GN7" s="18">
        <f>AVERAGE(GB7:GM7)</f>
        <v>1638.5833333333333</v>
      </c>
      <c r="GO7" s="15">
        <f t="shared" ref="GO7:GZ7" si="40">SUM(GO4:GO6)</f>
        <v>318</v>
      </c>
      <c r="GP7" s="15">
        <f t="shared" si="40"/>
        <v>365</v>
      </c>
      <c r="GQ7" s="15">
        <f t="shared" si="40"/>
        <v>364</v>
      </c>
      <c r="GR7" s="15">
        <f t="shared" si="40"/>
        <v>385</v>
      </c>
      <c r="GS7" s="15">
        <f t="shared" si="40"/>
        <v>348</v>
      </c>
      <c r="GT7" s="15">
        <f t="shared" si="40"/>
        <v>357</v>
      </c>
      <c r="GU7" s="15">
        <f t="shared" si="40"/>
        <v>341</v>
      </c>
      <c r="GV7" s="15">
        <f t="shared" si="40"/>
        <v>345</v>
      </c>
      <c r="GW7" s="15">
        <f t="shared" si="40"/>
        <v>349</v>
      </c>
      <c r="GX7" s="15">
        <f t="shared" si="40"/>
        <v>333</v>
      </c>
      <c r="GY7" s="15">
        <f t="shared" si="40"/>
        <v>333</v>
      </c>
      <c r="GZ7" s="15">
        <f t="shared" si="40"/>
        <v>333</v>
      </c>
      <c r="HA7" s="64">
        <f>AVERAGE(GO7:GZ7)</f>
        <v>347.58333333333331</v>
      </c>
      <c r="HB7" s="15">
        <f t="shared" ref="HB7:HM7" si="41">SUM(HB4:HB6)</f>
        <v>103</v>
      </c>
      <c r="HC7" s="15">
        <f t="shared" si="41"/>
        <v>103</v>
      </c>
      <c r="HD7" s="15">
        <f t="shared" si="41"/>
        <v>102</v>
      </c>
      <c r="HE7" s="15">
        <f t="shared" si="41"/>
        <v>109</v>
      </c>
      <c r="HF7" s="15">
        <f t="shared" si="41"/>
        <v>108</v>
      </c>
      <c r="HG7" s="15">
        <f t="shared" si="41"/>
        <v>109</v>
      </c>
      <c r="HH7" s="15">
        <f t="shared" si="41"/>
        <v>107</v>
      </c>
      <c r="HI7" s="15">
        <f t="shared" si="41"/>
        <v>100</v>
      </c>
      <c r="HJ7" s="15">
        <f t="shared" si="41"/>
        <v>107</v>
      </c>
      <c r="HK7" s="15">
        <f t="shared" si="41"/>
        <v>105</v>
      </c>
      <c r="HL7" s="15">
        <f t="shared" si="41"/>
        <v>105</v>
      </c>
      <c r="HM7" s="15">
        <f t="shared" si="41"/>
        <v>106</v>
      </c>
      <c r="HN7" s="64">
        <f>AVERAGE(HB7:HM7)</f>
        <v>105.33333333333333</v>
      </c>
      <c r="HP7" s="15">
        <f t="shared" ref="HP7:IB7" si="42">SUM(HP4:HP6)</f>
        <v>1996.5</v>
      </c>
      <c r="HQ7" s="15">
        <f t="shared" si="42"/>
        <v>2051</v>
      </c>
      <c r="HR7" s="15">
        <f t="shared" si="42"/>
        <v>2031</v>
      </c>
      <c r="HS7" s="15">
        <f t="shared" si="42"/>
        <v>2118</v>
      </c>
      <c r="HT7" s="15">
        <f t="shared" si="42"/>
        <v>2110</v>
      </c>
      <c r="HU7" s="15">
        <f t="shared" si="42"/>
        <v>2014</v>
      </c>
      <c r="HV7" s="15">
        <f t="shared" si="42"/>
        <v>2053</v>
      </c>
      <c r="HW7" s="15">
        <f t="shared" si="42"/>
        <v>1965</v>
      </c>
      <c r="HX7" s="15">
        <f t="shared" si="42"/>
        <v>1985.9807692307691</v>
      </c>
      <c r="HY7" s="15">
        <f t="shared" si="42"/>
        <v>1870.0384615384614</v>
      </c>
      <c r="HZ7" s="15">
        <f t="shared" si="42"/>
        <v>1927</v>
      </c>
      <c r="IA7" s="15">
        <f t="shared" si="42"/>
        <v>1876</v>
      </c>
      <c r="IB7" s="15">
        <f t="shared" si="42"/>
        <v>1999.7932692307693</v>
      </c>
      <c r="IC7" s="15">
        <f t="shared" ref="IC7:JO7" si="43">SUM(IC4:IC6)</f>
        <v>1578.4423076923076</v>
      </c>
      <c r="ID7" s="15">
        <f t="shared" si="43"/>
        <v>1592</v>
      </c>
      <c r="IE7" s="15">
        <f t="shared" si="43"/>
        <v>1588</v>
      </c>
      <c r="IF7" s="15">
        <f t="shared" si="43"/>
        <v>1641</v>
      </c>
      <c r="IG7" s="15">
        <f t="shared" si="43"/>
        <v>1643</v>
      </c>
      <c r="IH7" s="15">
        <f t="shared" si="43"/>
        <v>1586</v>
      </c>
      <c r="II7" s="15">
        <f t="shared" si="43"/>
        <v>1601</v>
      </c>
      <c r="IJ7" s="15">
        <f t="shared" si="43"/>
        <v>1624</v>
      </c>
      <c r="IK7" s="15">
        <f t="shared" si="43"/>
        <v>1544.3653846153843</v>
      </c>
      <c r="IL7" s="15">
        <f t="shared" si="43"/>
        <v>1522</v>
      </c>
      <c r="IM7" s="15">
        <f t="shared" si="43"/>
        <v>1569</v>
      </c>
      <c r="IN7" s="15">
        <f t="shared" si="43"/>
        <v>1525</v>
      </c>
      <c r="IO7" s="15">
        <f t="shared" si="43"/>
        <v>1584.4839743589741</v>
      </c>
      <c r="IP7" s="15">
        <f t="shared" si="43"/>
        <v>310.05769230769232</v>
      </c>
      <c r="IQ7" s="15">
        <f t="shared" si="43"/>
        <v>349</v>
      </c>
      <c r="IR7" s="15">
        <f t="shared" si="43"/>
        <v>360</v>
      </c>
      <c r="IS7" s="15">
        <f t="shared" si="43"/>
        <v>365</v>
      </c>
      <c r="IT7" s="15">
        <f t="shared" si="43"/>
        <v>359</v>
      </c>
      <c r="IU7" s="15">
        <f t="shared" si="43"/>
        <v>325</v>
      </c>
      <c r="IV7" s="15">
        <f t="shared" si="43"/>
        <v>353</v>
      </c>
      <c r="IW7" s="15">
        <f t="shared" si="43"/>
        <v>252</v>
      </c>
      <c r="IX7" s="15">
        <f t="shared" si="43"/>
        <v>342.61538461538464</v>
      </c>
      <c r="IY7" s="15">
        <f t="shared" si="43"/>
        <v>254</v>
      </c>
      <c r="IZ7" s="15">
        <f t="shared" si="43"/>
        <v>261</v>
      </c>
      <c r="JA7" s="15">
        <f t="shared" si="43"/>
        <v>250</v>
      </c>
      <c r="JB7" s="15">
        <f t="shared" si="43"/>
        <v>315.05608974358978</v>
      </c>
      <c r="JC7" s="15">
        <f t="shared" si="43"/>
        <v>108</v>
      </c>
      <c r="JD7" s="15">
        <f t="shared" si="43"/>
        <v>110</v>
      </c>
      <c r="JE7" s="15">
        <f t="shared" si="43"/>
        <v>83</v>
      </c>
      <c r="JF7" s="15">
        <f t="shared" si="43"/>
        <v>112</v>
      </c>
      <c r="JG7" s="15">
        <f t="shared" si="43"/>
        <v>108</v>
      </c>
      <c r="JH7" s="15">
        <f t="shared" si="43"/>
        <v>103</v>
      </c>
      <c r="JI7" s="15">
        <f t="shared" si="43"/>
        <v>99</v>
      </c>
      <c r="JJ7" s="15">
        <f t="shared" si="43"/>
        <v>89</v>
      </c>
      <c r="JK7" s="15">
        <f t="shared" si="43"/>
        <v>99</v>
      </c>
      <c r="JL7" s="15">
        <f t="shared" si="43"/>
        <v>94.038461538461533</v>
      </c>
      <c r="JM7" s="15">
        <f t="shared" si="43"/>
        <v>97</v>
      </c>
      <c r="JN7" s="15">
        <f t="shared" si="43"/>
        <v>101</v>
      </c>
      <c r="JO7" s="15">
        <f t="shared" si="43"/>
        <v>100.25320512820512</v>
      </c>
    </row>
    <row r="8" spans="1:275" ht="15.75" thickBot="1">
      <c r="A8" s="2" t="s">
        <v>39</v>
      </c>
      <c r="P8" s="2" t="s">
        <v>0</v>
      </c>
      <c r="AE8" s="2" t="s">
        <v>35</v>
      </c>
      <c r="AT8" s="2" t="s">
        <v>36</v>
      </c>
      <c r="BI8" s="2" t="s">
        <v>37</v>
      </c>
      <c r="BX8" s="2" t="s">
        <v>38</v>
      </c>
      <c r="CN8" s="2" t="s">
        <v>39</v>
      </c>
      <c r="DA8" s="2" t="s">
        <v>0</v>
      </c>
      <c r="DN8" s="29" t="s">
        <v>94</v>
      </c>
      <c r="EA8" s="29" t="s">
        <v>36</v>
      </c>
      <c r="FO8" s="2" t="s">
        <v>39</v>
      </c>
      <c r="FR8" s="58">
        <f>FR7-'[16]Main Sheet'!$BU$8</f>
        <v>-0.15384615384664357</v>
      </c>
      <c r="GB8" s="2" t="s">
        <v>0</v>
      </c>
      <c r="GO8" s="29" t="s">
        <v>94</v>
      </c>
      <c r="HB8" s="29" t="s">
        <v>36</v>
      </c>
      <c r="HP8" s="2" t="s">
        <v>39</v>
      </c>
      <c r="IC8" s="2" t="s">
        <v>0</v>
      </c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100" t="s">
        <v>147</v>
      </c>
      <c r="JC8" s="29" t="s">
        <v>36</v>
      </c>
    </row>
    <row r="9" spans="1:275">
      <c r="A9" s="8" t="s">
        <v>17</v>
      </c>
      <c r="B9" s="9" t="s">
        <v>6</v>
      </c>
      <c r="C9" s="9" t="s">
        <v>22</v>
      </c>
      <c r="D9" s="9" t="s">
        <v>23</v>
      </c>
      <c r="E9" s="9" t="s">
        <v>24</v>
      </c>
      <c r="F9" s="9" t="s">
        <v>25</v>
      </c>
      <c r="G9" s="9" t="s">
        <v>26</v>
      </c>
      <c r="H9" s="9" t="s">
        <v>27</v>
      </c>
      <c r="I9" s="9" t="s">
        <v>28</v>
      </c>
      <c r="J9" s="9" t="s">
        <v>29</v>
      </c>
      <c r="K9" s="9" t="s">
        <v>30</v>
      </c>
      <c r="L9" s="9" t="s">
        <v>31</v>
      </c>
      <c r="M9" s="9" t="s">
        <v>32</v>
      </c>
      <c r="N9" s="9" t="s">
        <v>33</v>
      </c>
      <c r="O9" s="9" t="s">
        <v>7</v>
      </c>
      <c r="P9" s="10" t="s">
        <v>17</v>
      </c>
      <c r="Q9" s="9" t="s">
        <v>6</v>
      </c>
      <c r="R9" s="9" t="s">
        <v>22</v>
      </c>
      <c r="S9" s="9" t="s">
        <v>23</v>
      </c>
      <c r="T9" s="9" t="s">
        <v>24</v>
      </c>
      <c r="U9" s="9" t="s">
        <v>25</v>
      </c>
      <c r="V9" s="9" t="s">
        <v>26</v>
      </c>
      <c r="W9" s="9" t="s">
        <v>27</v>
      </c>
      <c r="X9" s="9" t="s">
        <v>28</v>
      </c>
      <c r="Y9" s="9" t="s">
        <v>29</v>
      </c>
      <c r="Z9" s="9" t="s">
        <v>30</v>
      </c>
      <c r="AA9" s="9" t="s">
        <v>31</v>
      </c>
      <c r="AB9" s="9" t="s">
        <v>32</v>
      </c>
      <c r="AC9" s="9" t="s">
        <v>33</v>
      </c>
      <c r="AD9" s="9" t="s">
        <v>7</v>
      </c>
      <c r="AE9" s="10" t="s">
        <v>17</v>
      </c>
      <c r="AF9" s="9" t="s">
        <v>6</v>
      </c>
      <c r="AG9" s="9" t="s">
        <v>22</v>
      </c>
      <c r="AH9" s="9" t="s">
        <v>23</v>
      </c>
      <c r="AI9" s="9" t="s">
        <v>24</v>
      </c>
      <c r="AJ9" s="9" t="s">
        <v>25</v>
      </c>
      <c r="AK9" s="9" t="s">
        <v>26</v>
      </c>
      <c r="AL9" s="9" t="s">
        <v>27</v>
      </c>
      <c r="AM9" s="9" t="s">
        <v>28</v>
      </c>
      <c r="AN9" s="9" t="s">
        <v>29</v>
      </c>
      <c r="AO9" s="9" t="s">
        <v>30</v>
      </c>
      <c r="AP9" s="9" t="s">
        <v>31</v>
      </c>
      <c r="AQ9" s="9" t="s">
        <v>32</v>
      </c>
      <c r="AR9" s="9" t="s">
        <v>33</v>
      </c>
      <c r="AS9" s="9" t="s">
        <v>7</v>
      </c>
      <c r="AT9" s="10" t="s">
        <v>17</v>
      </c>
      <c r="AU9" s="9" t="s">
        <v>6</v>
      </c>
      <c r="AV9" s="9" t="s">
        <v>22</v>
      </c>
      <c r="AW9" s="9" t="s">
        <v>23</v>
      </c>
      <c r="AX9" s="9" t="s">
        <v>24</v>
      </c>
      <c r="AY9" s="9" t="s">
        <v>25</v>
      </c>
      <c r="AZ9" s="9" t="s">
        <v>26</v>
      </c>
      <c r="BA9" s="9" t="s">
        <v>27</v>
      </c>
      <c r="BB9" s="9" t="s">
        <v>28</v>
      </c>
      <c r="BC9" s="9" t="s">
        <v>29</v>
      </c>
      <c r="BD9" s="9" t="s">
        <v>30</v>
      </c>
      <c r="BE9" s="9" t="s">
        <v>31</v>
      </c>
      <c r="BF9" s="9" t="s">
        <v>32</v>
      </c>
      <c r="BG9" s="9" t="s">
        <v>33</v>
      </c>
      <c r="BH9" s="9" t="s">
        <v>7</v>
      </c>
      <c r="BI9" s="10" t="s">
        <v>17</v>
      </c>
      <c r="BJ9" s="9" t="s">
        <v>6</v>
      </c>
      <c r="BK9" s="9" t="s">
        <v>22</v>
      </c>
      <c r="BL9" s="9" t="s">
        <v>23</v>
      </c>
      <c r="BM9" s="9" t="s">
        <v>24</v>
      </c>
      <c r="BN9" s="9" t="s">
        <v>25</v>
      </c>
      <c r="BO9" s="9" t="s">
        <v>26</v>
      </c>
      <c r="BP9" s="9" t="s">
        <v>27</v>
      </c>
      <c r="BQ9" s="9" t="s">
        <v>28</v>
      </c>
      <c r="BR9" s="9" t="s">
        <v>29</v>
      </c>
      <c r="BS9" s="9" t="s">
        <v>30</v>
      </c>
      <c r="BT9" s="9" t="s">
        <v>31</v>
      </c>
      <c r="BU9" s="9" t="s">
        <v>32</v>
      </c>
      <c r="BV9" s="9" t="s">
        <v>33</v>
      </c>
      <c r="BW9" s="9" t="s">
        <v>7</v>
      </c>
      <c r="BX9" s="10" t="s">
        <v>17</v>
      </c>
      <c r="BY9" s="9" t="s">
        <v>6</v>
      </c>
      <c r="BZ9" s="9" t="s">
        <v>22</v>
      </c>
      <c r="CA9" s="9" t="s">
        <v>23</v>
      </c>
      <c r="CB9" s="9" t="s">
        <v>24</v>
      </c>
      <c r="CC9" s="9" t="s">
        <v>25</v>
      </c>
      <c r="CD9" s="9" t="s">
        <v>26</v>
      </c>
      <c r="CE9" s="9" t="s">
        <v>27</v>
      </c>
      <c r="CF9" s="9" t="s">
        <v>28</v>
      </c>
      <c r="CG9" s="9" t="s">
        <v>29</v>
      </c>
      <c r="CH9" s="9" t="s">
        <v>30</v>
      </c>
      <c r="CI9" s="9" t="s">
        <v>31</v>
      </c>
      <c r="CJ9" s="9" t="s">
        <v>32</v>
      </c>
      <c r="CK9" s="9" t="s">
        <v>33</v>
      </c>
      <c r="CL9" s="11" t="s">
        <v>7</v>
      </c>
      <c r="CN9" s="57" t="s">
        <v>81</v>
      </c>
      <c r="CO9" s="57" t="s">
        <v>82</v>
      </c>
      <c r="CP9" s="57" t="s">
        <v>83</v>
      </c>
      <c r="CQ9" s="57" t="s">
        <v>84</v>
      </c>
      <c r="CR9" s="57" t="s">
        <v>85</v>
      </c>
      <c r="CS9" s="57" t="s">
        <v>86</v>
      </c>
      <c r="CT9" s="57" t="s">
        <v>87</v>
      </c>
      <c r="CU9" s="57" t="s">
        <v>88</v>
      </c>
      <c r="CV9" s="57" t="s">
        <v>89</v>
      </c>
      <c r="CW9" s="57" t="s">
        <v>90</v>
      </c>
      <c r="CX9" s="57" t="s">
        <v>91</v>
      </c>
      <c r="CY9" s="57" t="s">
        <v>92</v>
      </c>
      <c r="CZ9" s="57" t="s">
        <v>93</v>
      </c>
      <c r="DA9" s="57" t="s">
        <v>81</v>
      </c>
      <c r="DB9" s="57" t="s">
        <v>82</v>
      </c>
      <c r="DC9" s="57" t="s">
        <v>83</v>
      </c>
      <c r="DD9" s="57" t="s">
        <v>84</v>
      </c>
      <c r="DE9" s="57" t="s">
        <v>85</v>
      </c>
      <c r="DF9" s="57" t="s">
        <v>86</v>
      </c>
      <c r="DG9" s="57" t="s">
        <v>87</v>
      </c>
      <c r="DH9" s="57" t="s">
        <v>88</v>
      </c>
      <c r="DI9" s="57" t="s">
        <v>89</v>
      </c>
      <c r="DJ9" s="57" t="s">
        <v>90</v>
      </c>
      <c r="DK9" s="57" t="s">
        <v>91</v>
      </c>
      <c r="DL9" s="57" t="s">
        <v>92</v>
      </c>
      <c r="DM9" s="57" t="s">
        <v>93</v>
      </c>
      <c r="DN9" s="57" t="s">
        <v>81</v>
      </c>
      <c r="DO9" s="57" t="s">
        <v>82</v>
      </c>
      <c r="DP9" s="57" t="s">
        <v>83</v>
      </c>
      <c r="DQ9" s="57" t="s">
        <v>84</v>
      </c>
      <c r="DR9" s="57" t="s">
        <v>85</v>
      </c>
      <c r="DS9" s="57" t="s">
        <v>86</v>
      </c>
      <c r="DT9" s="57" t="s">
        <v>87</v>
      </c>
      <c r="DU9" s="57" t="s">
        <v>88</v>
      </c>
      <c r="DV9" s="57" t="s">
        <v>89</v>
      </c>
      <c r="DW9" s="57" t="s">
        <v>90</v>
      </c>
      <c r="DX9" s="57" t="s">
        <v>91</v>
      </c>
      <c r="DY9" s="57" t="s">
        <v>92</v>
      </c>
      <c r="DZ9" s="57" t="s">
        <v>93</v>
      </c>
      <c r="EA9" s="57" t="s">
        <v>81</v>
      </c>
      <c r="EB9" s="57" t="s">
        <v>82</v>
      </c>
      <c r="EC9" s="57" t="s">
        <v>83</v>
      </c>
      <c r="ED9" s="57" t="s">
        <v>84</v>
      </c>
      <c r="EE9" s="57" t="s">
        <v>85</v>
      </c>
      <c r="EF9" s="57" t="s">
        <v>86</v>
      </c>
      <c r="EG9" s="57" t="s">
        <v>87</v>
      </c>
      <c r="EH9" s="57" t="s">
        <v>88</v>
      </c>
      <c r="EI9" s="57" t="s">
        <v>89</v>
      </c>
      <c r="EJ9" s="57" t="s">
        <v>90</v>
      </c>
      <c r="EK9" s="57" t="s">
        <v>91</v>
      </c>
      <c r="EL9" s="57" t="s">
        <v>92</v>
      </c>
      <c r="EM9" s="57" t="s">
        <v>93</v>
      </c>
      <c r="FO9" s="57" t="str">
        <f>FO3</f>
        <v>Apr'17</v>
      </c>
      <c r="FP9" s="57" t="str">
        <f t="shared" ref="FP9:HN9" si="44">FP3</f>
        <v>May'17</v>
      </c>
      <c r="FQ9" s="57" t="str">
        <f t="shared" si="44"/>
        <v>Jun'17</v>
      </c>
      <c r="FR9" s="57" t="str">
        <f t="shared" si="44"/>
        <v>Jul'17</v>
      </c>
      <c r="FS9" s="57" t="str">
        <f t="shared" si="44"/>
        <v>Aug'17</v>
      </c>
      <c r="FT9" s="57" t="str">
        <f t="shared" si="44"/>
        <v>Sep'17</v>
      </c>
      <c r="FU9" s="57" t="str">
        <f t="shared" si="44"/>
        <v>Oct'17</v>
      </c>
      <c r="FV9" s="57" t="str">
        <f t="shared" si="44"/>
        <v>Nov'17</v>
      </c>
      <c r="FW9" s="57" t="str">
        <f t="shared" si="44"/>
        <v>Dec'17</v>
      </c>
      <c r="FX9" s="57" t="str">
        <f t="shared" si="44"/>
        <v>Jan'18</v>
      </c>
      <c r="FY9" s="57" t="str">
        <f t="shared" si="44"/>
        <v>Feb'18</v>
      </c>
      <c r="FZ9" s="57" t="str">
        <f t="shared" si="44"/>
        <v>Mar'18</v>
      </c>
      <c r="GA9" s="57" t="str">
        <f t="shared" si="44"/>
        <v>FY 17~18</v>
      </c>
      <c r="GB9" s="57" t="str">
        <f t="shared" si="44"/>
        <v>Apr'17</v>
      </c>
      <c r="GC9" s="57" t="str">
        <f t="shared" si="44"/>
        <v>May'17</v>
      </c>
      <c r="GD9" s="57" t="str">
        <f t="shared" si="44"/>
        <v>Jun'17</v>
      </c>
      <c r="GE9" s="57" t="str">
        <f t="shared" si="44"/>
        <v>Jul'17</v>
      </c>
      <c r="GF9" s="57" t="str">
        <f t="shared" si="44"/>
        <v>Aug'17</v>
      </c>
      <c r="GG9" s="57" t="str">
        <f t="shared" si="44"/>
        <v>Sep'17</v>
      </c>
      <c r="GH9" s="57" t="str">
        <f t="shared" si="44"/>
        <v>Oct'17</v>
      </c>
      <c r="GI9" s="57" t="str">
        <f t="shared" si="44"/>
        <v>Nov'17</v>
      </c>
      <c r="GJ9" s="57" t="str">
        <f t="shared" si="44"/>
        <v>Dec'17</v>
      </c>
      <c r="GK9" s="57" t="str">
        <f t="shared" si="44"/>
        <v>Jan'18</v>
      </c>
      <c r="GL9" s="57" t="str">
        <f t="shared" si="44"/>
        <v>Feb'18</v>
      </c>
      <c r="GM9" s="57" t="str">
        <f t="shared" si="44"/>
        <v>Mar'18</v>
      </c>
      <c r="GN9" s="57" t="str">
        <f t="shared" si="44"/>
        <v>FY 17~18</v>
      </c>
      <c r="GO9" s="57" t="str">
        <f t="shared" si="44"/>
        <v>Apr'17</v>
      </c>
      <c r="GP9" s="57" t="str">
        <f t="shared" si="44"/>
        <v>May'17</v>
      </c>
      <c r="GQ9" s="57" t="str">
        <f t="shared" si="44"/>
        <v>Jun'17</v>
      </c>
      <c r="GR9" s="57" t="str">
        <f t="shared" si="44"/>
        <v>Jul'17</v>
      </c>
      <c r="GS9" s="57" t="str">
        <f t="shared" si="44"/>
        <v>Aug'17</v>
      </c>
      <c r="GT9" s="57" t="str">
        <f t="shared" si="44"/>
        <v>Sep'17</v>
      </c>
      <c r="GU9" s="57" t="str">
        <f t="shared" si="44"/>
        <v>Oct'17</v>
      </c>
      <c r="GV9" s="57" t="str">
        <f t="shared" si="44"/>
        <v>Nov'17</v>
      </c>
      <c r="GW9" s="57" t="str">
        <f t="shared" si="44"/>
        <v>Dec'17</v>
      </c>
      <c r="GX9" s="57" t="str">
        <f t="shared" si="44"/>
        <v>Jan'18</v>
      </c>
      <c r="GY9" s="57" t="str">
        <f t="shared" si="44"/>
        <v>Feb'18</v>
      </c>
      <c r="GZ9" s="57" t="str">
        <f t="shared" si="44"/>
        <v>Mar'18</v>
      </c>
      <c r="HA9" s="57" t="str">
        <f t="shared" si="44"/>
        <v>FY 17~18</v>
      </c>
      <c r="HB9" s="57" t="str">
        <f t="shared" si="44"/>
        <v>Apr'17</v>
      </c>
      <c r="HC9" s="57" t="str">
        <f t="shared" si="44"/>
        <v>May'17</v>
      </c>
      <c r="HD9" s="57" t="str">
        <f t="shared" si="44"/>
        <v>Jun'17</v>
      </c>
      <c r="HE9" s="57" t="str">
        <f t="shared" si="44"/>
        <v>Jul'17</v>
      </c>
      <c r="HF9" s="57" t="str">
        <f t="shared" si="44"/>
        <v>Aug'17</v>
      </c>
      <c r="HG9" s="57" t="str">
        <f t="shared" si="44"/>
        <v>Sep'17</v>
      </c>
      <c r="HH9" s="57" t="str">
        <f t="shared" si="44"/>
        <v>Oct'17</v>
      </c>
      <c r="HI9" s="57" t="str">
        <f t="shared" si="44"/>
        <v>Nov'17</v>
      </c>
      <c r="HJ9" s="57" t="str">
        <f t="shared" si="44"/>
        <v>Dec'17</v>
      </c>
      <c r="HK9" s="57" t="str">
        <f t="shared" si="44"/>
        <v>Jan'18</v>
      </c>
      <c r="HL9" s="57" t="str">
        <f t="shared" si="44"/>
        <v>Feb'18</v>
      </c>
      <c r="HM9" s="57" t="str">
        <f t="shared" si="44"/>
        <v>Mar'18</v>
      </c>
      <c r="HN9" s="57" t="str">
        <f t="shared" si="44"/>
        <v>FY 17~18</v>
      </c>
      <c r="HP9" s="98" t="s">
        <v>127</v>
      </c>
      <c r="HQ9" s="98" t="s">
        <v>128</v>
      </c>
      <c r="HR9" s="99" t="s">
        <v>129</v>
      </c>
      <c r="HS9" s="99" t="s">
        <v>130</v>
      </c>
      <c r="HT9" s="99" t="s">
        <v>131</v>
      </c>
      <c r="HU9" s="99" t="s">
        <v>132</v>
      </c>
      <c r="HV9" s="99" t="s">
        <v>133</v>
      </c>
      <c r="HW9" s="99" t="s">
        <v>134</v>
      </c>
      <c r="HX9" s="99" t="s">
        <v>135</v>
      </c>
      <c r="HY9" s="99" t="s">
        <v>136</v>
      </c>
      <c r="HZ9" s="99" t="s">
        <v>137</v>
      </c>
      <c r="IA9" s="99" t="s">
        <v>138</v>
      </c>
      <c r="IB9" s="99" t="s">
        <v>139</v>
      </c>
      <c r="IC9" s="98" t="s">
        <v>127</v>
      </c>
      <c r="ID9" s="98" t="s">
        <v>128</v>
      </c>
      <c r="IE9" s="99" t="s">
        <v>129</v>
      </c>
      <c r="IF9" s="99" t="s">
        <v>130</v>
      </c>
      <c r="IG9" s="99" t="s">
        <v>131</v>
      </c>
      <c r="IH9" s="99" t="s">
        <v>132</v>
      </c>
      <c r="II9" s="99" t="s">
        <v>133</v>
      </c>
      <c r="IJ9" s="99" t="s">
        <v>134</v>
      </c>
      <c r="IK9" s="99" t="s">
        <v>135</v>
      </c>
      <c r="IL9" s="99" t="s">
        <v>136</v>
      </c>
      <c r="IM9" s="99" t="s">
        <v>137</v>
      </c>
      <c r="IN9" s="99" t="s">
        <v>138</v>
      </c>
      <c r="IO9" s="99" t="s">
        <v>139</v>
      </c>
      <c r="IP9" s="98" t="s">
        <v>127</v>
      </c>
      <c r="IQ9" s="98" t="s">
        <v>128</v>
      </c>
      <c r="IR9" s="99" t="s">
        <v>129</v>
      </c>
      <c r="IS9" s="99" t="s">
        <v>130</v>
      </c>
      <c r="IT9" s="99" t="s">
        <v>131</v>
      </c>
      <c r="IU9" s="99" t="s">
        <v>132</v>
      </c>
      <c r="IV9" s="99" t="s">
        <v>133</v>
      </c>
      <c r="IW9" s="99" t="s">
        <v>134</v>
      </c>
      <c r="IX9" s="99" t="s">
        <v>135</v>
      </c>
      <c r="IY9" s="99" t="s">
        <v>136</v>
      </c>
      <c r="IZ9" s="99" t="s">
        <v>137</v>
      </c>
      <c r="JA9" s="99" t="s">
        <v>138</v>
      </c>
      <c r="JB9" s="99" t="s">
        <v>139</v>
      </c>
      <c r="JC9" s="98" t="s">
        <v>127</v>
      </c>
      <c r="JD9" s="98" t="s">
        <v>128</v>
      </c>
      <c r="JE9" s="99" t="s">
        <v>129</v>
      </c>
      <c r="JF9" s="99" t="s">
        <v>130</v>
      </c>
      <c r="JG9" s="99" t="s">
        <v>131</v>
      </c>
      <c r="JH9" s="99" t="s">
        <v>132</v>
      </c>
      <c r="JI9" s="99" t="s">
        <v>133</v>
      </c>
      <c r="JJ9" s="99" t="s">
        <v>134</v>
      </c>
      <c r="JK9" s="99" t="s">
        <v>135</v>
      </c>
      <c r="JL9" s="99" t="s">
        <v>136</v>
      </c>
      <c r="JM9" s="99" t="s">
        <v>137</v>
      </c>
      <c r="JN9" s="99" t="s">
        <v>138</v>
      </c>
      <c r="JO9" s="99" t="s">
        <v>139</v>
      </c>
    </row>
    <row r="10" spans="1:275">
      <c r="A10" s="12" t="s">
        <v>18</v>
      </c>
      <c r="B10" s="5">
        <f>SUM(Q10,AF10,AU10,BJ10,BY10)</f>
        <v>0</v>
      </c>
      <c r="C10" s="5">
        <f t="shared" ref="C10:N12" si="45">SUM(R10,AG10,AV10,BK10,BZ10)</f>
        <v>198</v>
      </c>
      <c r="D10" s="5">
        <f t="shared" si="45"/>
        <v>200</v>
      </c>
      <c r="E10" s="5">
        <f t="shared" si="45"/>
        <v>201</v>
      </c>
      <c r="F10" s="5">
        <f t="shared" si="45"/>
        <v>207</v>
      </c>
      <c r="G10" s="5">
        <f t="shared" si="45"/>
        <v>207</v>
      </c>
      <c r="H10" s="5">
        <f t="shared" si="45"/>
        <v>207</v>
      </c>
      <c r="I10" s="5">
        <f t="shared" si="45"/>
        <v>207</v>
      </c>
      <c r="J10" s="5">
        <f t="shared" si="45"/>
        <v>207</v>
      </c>
      <c r="K10" s="5">
        <f t="shared" si="45"/>
        <v>207</v>
      </c>
      <c r="L10" s="5">
        <f t="shared" si="45"/>
        <v>195</v>
      </c>
      <c r="M10" s="5">
        <f t="shared" si="45"/>
        <v>195</v>
      </c>
      <c r="N10" s="5">
        <f t="shared" si="45"/>
        <v>195</v>
      </c>
      <c r="O10" s="7">
        <f>AVERAGE(C10:N10)</f>
        <v>202.16666666666666</v>
      </c>
      <c r="P10" s="4" t="s">
        <v>18</v>
      </c>
      <c r="R10" s="22">
        <f>181-AG10-AV10</f>
        <v>175</v>
      </c>
      <c r="S10" s="22">
        <f>181-AH10-AW10</f>
        <v>175</v>
      </c>
      <c r="T10" s="22">
        <f>182-AI10-AX10</f>
        <v>176</v>
      </c>
      <c r="U10" s="22">
        <f t="shared" ref="U10:Z10" si="46">186-AJ10-AY10</f>
        <v>180</v>
      </c>
      <c r="V10" s="22">
        <f t="shared" si="46"/>
        <v>180</v>
      </c>
      <c r="W10" s="22">
        <f t="shared" si="46"/>
        <v>180</v>
      </c>
      <c r="X10" s="22">
        <f t="shared" si="46"/>
        <v>180</v>
      </c>
      <c r="Y10" s="22">
        <f t="shared" si="46"/>
        <v>180</v>
      </c>
      <c r="Z10" s="22">
        <f t="shared" si="46"/>
        <v>180</v>
      </c>
      <c r="AA10" s="22">
        <f>176-AP10-BE10</f>
        <v>170</v>
      </c>
      <c r="AB10" s="22">
        <f>176-AQ10-BF10</f>
        <v>170</v>
      </c>
      <c r="AC10" s="22">
        <f>176-AR10-BG10</f>
        <v>170</v>
      </c>
      <c r="AD10" s="7">
        <f>AVERAGE(R10:AC10)</f>
        <v>176.33333333333334</v>
      </c>
      <c r="AE10" s="4" t="s">
        <v>18</v>
      </c>
      <c r="AG10" s="22">
        <f>6</f>
        <v>6</v>
      </c>
      <c r="AH10" s="22">
        <f>6</f>
        <v>6</v>
      </c>
      <c r="AI10" s="22">
        <f>6</f>
        <v>6</v>
      </c>
      <c r="AJ10" s="22">
        <f>6</f>
        <v>6</v>
      </c>
      <c r="AK10" s="22">
        <f>6</f>
        <v>6</v>
      </c>
      <c r="AL10" s="22">
        <f>6</f>
        <v>6</v>
      </c>
      <c r="AM10" s="22">
        <f>6</f>
        <v>6</v>
      </c>
      <c r="AN10" s="22">
        <f>6</f>
        <v>6</v>
      </c>
      <c r="AO10" s="22">
        <f>6</f>
        <v>6</v>
      </c>
      <c r="AP10" s="22">
        <f>6</f>
        <v>6</v>
      </c>
      <c r="AQ10" s="22">
        <f>6</f>
        <v>6</v>
      </c>
      <c r="AR10" s="22">
        <f>6</f>
        <v>6</v>
      </c>
      <c r="AS10" s="7">
        <f>AVERAGE(AG10:AR10)</f>
        <v>6</v>
      </c>
      <c r="AT10" s="4" t="s">
        <v>18</v>
      </c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7" t="e">
        <f>AVERAGE(AV10:BG10)</f>
        <v>#DIV/0!</v>
      </c>
      <c r="BI10" s="4" t="s">
        <v>18</v>
      </c>
      <c r="BK10" s="22">
        <f>15</f>
        <v>15</v>
      </c>
      <c r="BL10" s="22">
        <f>17</f>
        <v>17</v>
      </c>
      <c r="BM10" s="22">
        <f>17</f>
        <v>17</v>
      </c>
      <c r="BN10" s="22">
        <f>18</f>
        <v>18</v>
      </c>
      <c r="BO10" s="22">
        <f>18</f>
        <v>18</v>
      </c>
      <c r="BP10" s="22">
        <f>18</f>
        <v>18</v>
      </c>
      <c r="BQ10" s="22">
        <f>18</f>
        <v>18</v>
      </c>
      <c r="BR10" s="22">
        <f>18</f>
        <v>18</v>
      </c>
      <c r="BS10" s="22">
        <f>18</f>
        <v>18</v>
      </c>
      <c r="BT10" s="22">
        <f>17</f>
        <v>17</v>
      </c>
      <c r="BU10" s="22">
        <f>17</f>
        <v>17</v>
      </c>
      <c r="BV10" s="22">
        <f>17</f>
        <v>17</v>
      </c>
      <c r="BW10" s="7">
        <f>AVERAGE(BK10:BV10)</f>
        <v>17.333333333333332</v>
      </c>
      <c r="BX10" s="4" t="s">
        <v>18</v>
      </c>
      <c r="BZ10" s="22">
        <f>2</f>
        <v>2</v>
      </c>
      <c r="CA10" s="22">
        <f>2</f>
        <v>2</v>
      </c>
      <c r="CB10" s="22">
        <f>2</f>
        <v>2</v>
      </c>
      <c r="CC10" s="22">
        <f>3</f>
        <v>3</v>
      </c>
      <c r="CD10" s="22">
        <f>3</f>
        <v>3</v>
      </c>
      <c r="CE10" s="22">
        <f>3</f>
        <v>3</v>
      </c>
      <c r="CF10" s="22">
        <f>3</f>
        <v>3</v>
      </c>
      <c r="CG10" s="22">
        <f>3</f>
        <v>3</v>
      </c>
      <c r="CH10" s="22">
        <f>3</f>
        <v>3</v>
      </c>
      <c r="CI10" s="22">
        <f>2</f>
        <v>2</v>
      </c>
      <c r="CJ10" s="22">
        <f>2</f>
        <v>2</v>
      </c>
      <c r="CK10" s="22">
        <f>2</f>
        <v>2</v>
      </c>
      <c r="CL10" s="13">
        <f>AVERAGE(BZ10:CK10)</f>
        <v>2.5</v>
      </c>
      <c r="CN10" s="5">
        <f t="shared" ref="CN10:CY12" si="47">SUM(DA10,DN10,EA10)</f>
        <v>211</v>
      </c>
      <c r="CO10" s="5">
        <f t="shared" si="47"/>
        <v>227</v>
      </c>
      <c r="CP10" s="5">
        <f t="shared" si="47"/>
        <v>228</v>
      </c>
      <c r="CQ10" s="5">
        <f t="shared" si="47"/>
        <v>230</v>
      </c>
      <c r="CR10" s="5">
        <f t="shared" si="47"/>
        <v>230</v>
      </c>
      <c r="CS10" s="5">
        <f t="shared" si="47"/>
        <v>225</v>
      </c>
      <c r="CT10" s="5">
        <f t="shared" si="47"/>
        <v>225</v>
      </c>
      <c r="CU10" s="5">
        <f t="shared" si="47"/>
        <v>225</v>
      </c>
      <c r="CV10" s="5">
        <f t="shared" si="47"/>
        <v>223</v>
      </c>
      <c r="CW10" s="5">
        <f t="shared" si="47"/>
        <v>223</v>
      </c>
      <c r="CX10" s="5">
        <f t="shared" si="47"/>
        <v>223</v>
      </c>
      <c r="CY10" s="5">
        <f t="shared" si="47"/>
        <v>220</v>
      </c>
      <c r="CZ10" s="13">
        <f>AVERAGE(CN10:CY10)</f>
        <v>224.16666666666666</v>
      </c>
      <c r="DA10" s="5">
        <f>211-DN10</f>
        <v>206</v>
      </c>
      <c r="DB10" s="5">
        <f>227-DO10</f>
        <v>222</v>
      </c>
      <c r="DC10" s="5">
        <f>228-DP10</f>
        <v>223</v>
      </c>
      <c r="DD10" s="5">
        <f>230-DQ10</f>
        <v>225</v>
      </c>
      <c r="DE10" s="5">
        <f>230-DR10</f>
        <v>225</v>
      </c>
      <c r="DF10" s="5">
        <f>225-DS10</f>
        <v>220</v>
      </c>
      <c r="DG10" s="5">
        <f>225-DT10</f>
        <v>220</v>
      </c>
      <c r="DH10" s="5">
        <f>225-DU10</f>
        <v>220</v>
      </c>
      <c r="DI10" s="5">
        <f>223-DV10</f>
        <v>218</v>
      </c>
      <c r="DJ10" s="5">
        <f>223-DW10</f>
        <v>218</v>
      </c>
      <c r="DK10" s="5">
        <f>223-DX10</f>
        <v>218</v>
      </c>
      <c r="DL10" s="5">
        <f>220-DY10</f>
        <v>215</v>
      </c>
      <c r="DM10" s="13">
        <f>AVERAGE(DA10:DL10)</f>
        <v>219.16666666666666</v>
      </c>
      <c r="DN10" s="22">
        <f>5</f>
        <v>5</v>
      </c>
      <c r="DO10" s="22">
        <f>5</f>
        <v>5</v>
      </c>
      <c r="DP10" s="22">
        <f>5</f>
        <v>5</v>
      </c>
      <c r="DQ10" s="22">
        <f>5</f>
        <v>5</v>
      </c>
      <c r="DR10" s="22">
        <f>5</f>
        <v>5</v>
      </c>
      <c r="DS10" s="22">
        <f>5</f>
        <v>5</v>
      </c>
      <c r="DT10" s="22">
        <f>5</f>
        <v>5</v>
      </c>
      <c r="DU10" s="22">
        <f>5</f>
        <v>5</v>
      </c>
      <c r="DV10" s="22">
        <f>5</f>
        <v>5</v>
      </c>
      <c r="DW10" s="22">
        <f>5</f>
        <v>5</v>
      </c>
      <c r="DX10" s="22">
        <f>5</f>
        <v>5</v>
      </c>
      <c r="DY10" s="22">
        <f>5</f>
        <v>5</v>
      </c>
      <c r="DZ10" s="63">
        <f>AVERAGE(DN10:DY10)</f>
        <v>5</v>
      </c>
      <c r="EM10" s="63" t="e">
        <f>AVERAGE(EA10:EL10)</f>
        <v>#DIV/0!</v>
      </c>
      <c r="FO10" s="5">
        <f t="shared" ref="FO10:FO12" si="48">SUM(GB10,GO10,HB10)</f>
        <v>275</v>
      </c>
      <c r="FP10" s="5">
        <f t="shared" ref="FP10:FP12" si="49">SUM(GC10,GP10,HC10)</f>
        <v>275</v>
      </c>
      <c r="FQ10" s="5">
        <f t="shared" ref="FQ10:FQ12" si="50">SUM(GD10,GQ10,HD10)</f>
        <v>274</v>
      </c>
      <c r="FR10" s="5">
        <f t="shared" ref="FR10:FR12" si="51">SUM(GE10,GR10,HE10)</f>
        <v>271</v>
      </c>
      <c r="FS10" s="5">
        <f t="shared" ref="FS10:FS12" si="52">SUM(GF10,GS10,HF10)</f>
        <v>269</v>
      </c>
      <c r="FT10" s="5">
        <f t="shared" ref="FT10:FT12" si="53">SUM(GG10,GT10,HG10)</f>
        <v>272</v>
      </c>
      <c r="FU10" s="5">
        <f t="shared" ref="FU10:FU12" si="54">SUM(GH10,GU10,HH10)</f>
        <v>265</v>
      </c>
      <c r="FV10" s="5">
        <f t="shared" ref="FV10:FV12" si="55">SUM(GI10,GV10,HI10)</f>
        <v>265</v>
      </c>
      <c r="FW10" s="5">
        <f t="shared" ref="FW10:FW12" si="56">SUM(GJ10,GW10,HJ10)</f>
        <v>266</v>
      </c>
      <c r="FX10" s="5">
        <f t="shared" ref="FX10:FX12" si="57">SUM(GK10,GX10,HK10)</f>
        <v>265</v>
      </c>
      <c r="FY10" s="5">
        <f t="shared" ref="FY10:FY12" si="58">SUM(GL10,GY10,HL10)</f>
        <v>258</v>
      </c>
      <c r="FZ10" s="5">
        <f t="shared" ref="FZ10:FZ12" si="59">SUM(GM10,GZ10,HM10)</f>
        <v>258</v>
      </c>
      <c r="GA10" s="13">
        <f>AVERAGE(FO10:FZ10)</f>
        <v>267.75</v>
      </c>
      <c r="GB10" s="5">
        <f>275-GO10</f>
        <v>267</v>
      </c>
      <c r="GC10" s="5">
        <f>275-GP10</f>
        <v>267</v>
      </c>
      <c r="GD10" s="5">
        <f>274-GQ10</f>
        <v>266</v>
      </c>
      <c r="GE10" s="5">
        <f>271-GR10</f>
        <v>263</v>
      </c>
      <c r="GF10" s="5">
        <f>269-GS10</f>
        <v>261</v>
      </c>
      <c r="GG10" s="5">
        <f>272-GT10</f>
        <v>264</v>
      </c>
      <c r="GH10" s="5">
        <f>265-GU10</f>
        <v>257</v>
      </c>
      <c r="GI10" s="5">
        <f>265-GV10</f>
        <v>257</v>
      </c>
      <c r="GJ10" s="5">
        <f>266-GW10</f>
        <v>258</v>
      </c>
      <c r="GK10" s="5">
        <f>265-GX10</f>
        <v>257</v>
      </c>
      <c r="GL10" s="5">
        <f>258-GY10</f>
        <v>250</v>
      </c>
      <c r="GM10" s="5">
        <f>258-GZ10</f>
        <v>250</v>
      </c>
      <c r="GN10" s="13">
        <f>AVERAGE(GB10:GM10)</f>
        <v>259.75</v>
      </c>
      <c r="GO10" s="22">
        <f>8</f>
        <v>8</v>
      </c>
      <c r="GP10" s="22">
        <f>8</f>
        <v>8</v>
      </c>
      <c r="GQ10" s="22">
        <f>8</f>
        <v>8</v>
      </c>
      <c r="GR10" s="22">
        <f>8</f>
        <v>8</v>
      </c>
      <c r="GS10" s="22">
        <f>8</f>
        <v>8</v>
      </c>
      <c r="GT10" s="22">
        <f>8</f>
        <v>8</v>
      </c>
      <c r="GU10" s="22">
        <f>8</f>
        <v>8</v>
      </c>
      <c r="GV10" s="22">
        <f>8</f>
        <v>8</v>
      </c>
      <c r="GW10" s="22">
        <f>8</f>
        <v>8</v>
      </c>
      <c r="GX10" s="22">
        <f>8</f>
        <v>8</v>
      </c>
      <c r="GY10" s="22">
        <f>8</f>
        <v>8</v>
      </c>
      <c r="GZ10" s="22">
        <f>8</f>
        <v>8</v>
      </c>
      <c r="HA10" s="63">
        <f>AVERAGE(GO10:GZ10)</f>
        <v>8</v>
      </c>
      <c r="HN10" s="63" t="e">
        <f>AVERAGE(HB10:HM10)</f>
        <v>#DIV/0!</v>
      </c>
      <c r="HP10" s="5">
        <f t="shared" ref="HP10:HP12" si="60">SUM(IC10,IP10,JC10)</f>
        <v>273</v>
      </c>
      <c r="HQ10" s="5">
        <f t="shared" ref="HQ10:HQ12" si="61">SUM(ID10,IQ10,JD10)</f>
        <v>275</v>
      </c>
      <c r="HR10" s="5">
        <f t="shared" ref="HR10:HR12" si="62">SUM(IE10,IR10,JE10)</f>
        <v>275</v>
      </c>
      <c r="HS10" s="5">
        <f t="shared" ref="HS10:HS12" si="63">SUM(IF10,IS10,JF10)</f>
        <v>275</v>
      </c>
      <c r="HT10" s="5">
        <f t="shared" ref="HT10:HT12" si="64">SUM(IG10,IT10,JG10)</f>
        <v>285.5</v>
      </c>
      <c r="HU10" s="5">
        <f t="shared" ref="HU10:HU12" si="65">SUM(IH10,IU10,JH10)</f>
        <v>285.5</v>
      </c>
      <c r="HV10" s="5">
        <f t="shared" ref="HV10:HV12" si="66">SUM(II10,IV10,JI10)</f>
        <v>285.5</v>
      </c>
      <c r="HW10" s="5">
        <f t="shared" ref="HW10:HW12" si="67">SUM(IJ10,IW10,JJ10)</f>
        <v>284.625</v>
      </c>
      <c r="HX10" s="5">
        <f t="shared" ref="HX10:HX12" si="68">SUM(IK10,IX10,JK10)</f>
        <v>284.625</v>
      </c>
      <c r="HY10" s="5">
        <f t="shared" ref="HY10:HY12" si="69">SUM(IL10,IY10,JL10)</f>
        <v>284.625</v>
      </c>
      <c r="HZ10" s="5">
        <f t="shared" ref="HZ10:HZ12" si="70">SUM(IM10,IZ10,JM10)</f>
        <v>284.40625</v>
      </c>
      <c r="IA10" s="5">
        <f t="shared" ref="IA10:IA12" si="71">SUM(IN10,JA10,JN10)</f>
        <v>284.40625</v>
      </c>
      <c r="IB10" s="63">
        <f>AVERAGE(HP10:IA10)</f>
        <v>281.43229166666669</v>
      </c>
      <c r="IC10" s="21">
        <f>SUM([17]Manpower_month!AI5:AI6)-SUM(IP10,JC10)</f>
        <v>265</v>
      </c>
      <c r="ID10" s="21">
        <f>SUM([17]Manpower_month!AJ5:AJ6)-SUM(IQ10,JD10)</f>
        <v>267</v>
      </c>
      <c r="IE10" s="21">
        <f>SUM([17]Manpower_month!AK5:AK6)-SUM(IR10,JE10)</f>
        <v>267</v>
      </c>
      <c r="IF10" s="21">
        <f>SUM([17]Manpower_month!AL5:AL6)-SUM(IS10,JF10)</f>
        <v>267</v>
      </c>
      <c r="IG10" s="21">
        <f>SUM([18]Manpower_month!AM5:AM6)-SUM(IT10,JG10)</f>
        <v>277.5</v>
      </c>
      <c r="IH10" s="21">
        <f>SUM([18]Manpower_month!AN5:AN6)-SUM(IU10,JH10)</f>
        <v>277.5</v>
      </c>
      <c r="II10" s="21">
        <f>SUM([18]Manpower_month!AO5:AO6)-SUM(IV10,JI10)</f>
        <v>277.5</v>
      </c>
      <c r="IJ10" s="21">
        <f>SUM([18]Manpower_month!AP5:AP6)-SUM(IW10,JJ10)</f>
        <v>276.625</v>
      </c>
      <c r="IK10" s="21">
        <f>SUM([18]Manpower_month!AQ5:AQ6)-SUM(IX10,JK10)</f>
        <v>276.625</v>
      </c>
      <c r="IL10" s="21">
        <f>SUM([18]Manpower_month!AR5:AR6)-SUM(IY10,JL10)</f>
        <v>276.625</v>
      </c>
      <c r="IM10" s="21">
        <f>SUM([18]Manpower_month!AS5:AS6)-SUM(IZ10,JM10)</f>
        <v>276.40625</v>
      </c>
      <c r="IN10" s="21">
        <f>SUM([18]Manpower_month!AT5:AT6)-SUM(JA10,JN10)</f>
        <v>276.40625</v>
      </c>
      <c r="IO10" s="63">
        <f>IFERROR(AVERAGE(IC10:IN10),"")</f>
        <v>273.43229166666669</v>
      </c>
      <c r="IP10" s="20">
        <f>'[19]Department wise Manpower'!$E$13</f>
        <v>8</v>
      </c>
      <c r="IQ10" s="20">
        <f>IP10</f>
        <v>8</v>
      </c>
      <c r="IR10" s="20">
        <f t="shared" ref="IR10:JA10" si="72">IQ10</f>
        <v>8</v>
      </c>
      <c r="IS10" s="20">
        <f t="shared" si="72"/>
        <v>8</v>
      </c>
      <c r="IT10" s="20">
        <f t="shared" si="72"/>
        <v>8</v>
      </c>
      <c r="IU10" s="20">
        <f t="shared" si="72"/>
        <v>8</v>
      </c>
      <c r="IV10" s="20">
        <f t="shared" si="72"/>
        <v>8</v>
      </c>
      <c r="IW10" s="20">
        <f t="shared" si="72"/>
        <v>8</v>
      </c>
      <c r="IX10" s="20">
        <f t="shared" si="72"/>
        <v>8</v>
      </c>
      <c r="IY10" s="20">
        <f t="shared" si="72"/>
        <v>8</v>
      </c>
      <c r="IZ10" s="20">
        <f t="shared" si="72"/>
        <v>8</v>
      </c>
      <c r="JA10" s="20">
        <f t="shared" si="72"/>
        <v>8</v>
      </c>
      <c r="JB10" s="63">
        <f>IFERROR(AVERAGE(IP10:JA10),"")</f>
        <v>8</v>
      </c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63" t="str">
        <f>IFERROR(AVERAGE(JC10:JN10),"")</f>
        <v/>
      </c>
    </row>
    <row r="11" spans="1:275">
      <c r="A11" s="12" t="s">
        <v>19</v>
      </c>
      <c r="B11" s="5">
        <f>SUM(Q11,AF11,AU11,BJ11,BY11)</f>
        <v>0</v>
      </c>
      <c r="C11" s="5">
        <f t="shared" si="45"/>
        <v>483</v>
      </c>
      <c r="D11" s="5">
        <f t="shared" si="45"/>
        <v>483</v>
      </c>
      <c r="E11" s="5">
        <f t="shared" si="45"/>
        <v>483</v>
      </c>
      <c r="F11" s="5">
        <f t="shared" si="45"/>
        <v>483</v>
      </c>
      <c r="G11" s="5">
        <f t="shared" si="45"/>
        <v>483</v>
      </c>
      <c r="H11" s="5">
        <f t="shared" si="45"/>
        <v>483</v>
      </c>
      <c r="I11" s="5">
        <f t="shared" si="45"/>
        <v>483</v>
      </c>
      <c r="J11" s="5">
        <f t="shared" si="45"/>
        <v>433</v>
      </c>
      <c r="K11" s="5">
        <f t="shared" si="45"/>
        <v>433</v>
      </c>
      <c r="L11" s="5">
        <f t="shared" si="45"/>
        <v>433</v>
      </c>
      <c r="M11" s="5">
        <f t="shared" si="45"/>
        <v>433</v>
      </c>
      <c r="N11" s="5">
        <f t="shared" si="45"/>
        <v>433</v>
      </c>
      <c r="O11" s="7">
        <f>AVERAGE(C11:N11)</f>
        <v>462.16666666666669</v>
      </c>
      <c r="P11" s="4" t="s">
        <v>19</v>
      </c>
      <c r="R11" s="22">
        <f t="shared" ref="R11:X11" si="73">482-AG11-AV11</f>
        <v>461</v>
      </c>
      <c r="S11" s="22">
        <f t="shared" si="73"/>
        <v>461</v>
      </c>
      <c r="T11" s="22">
        <f t="shared" si="73"/>
        <v>461</v>
      </c>
      <c r="U11" s="22">
        <f t="shared" si="73"/>
        <v>461</v>
      </c>
      <c r="V11" s="22">
        <f t="shared" si="73"/>
        <v>461</v>
      </c>
      <c r="W11" s="22">
        <f t="shared" si="73"/>
        <v>461</v>
      </c>
      <c r="X11" s="22">
        <f t="shared" si="73"/>
        <v>461</v>
      </c>
      <c r="Y11" s="22">
        <f>432-AN11-BC11</f>
        <v>411</v>
      </c>
      <c r="Z11" s="22">
        <f>432-AO11-BD11</f>
        <v>411</v>
      </c>
      <c r="AA11" s="22">
        <f>432-AP11-BE11</f>
        <v>411</v>
      </c>
      <c r="AB11" s="22">
        <f>432-AQ11-BF11</f>
        <v>411</v>
      </c>
      <c r="AC11" s="22">
        <f>432-AR11-BG11</f>
        <v>411</v>
      </c>
      <c r="AD11" s="7">
        <f>AVERAGE(R11:AC11)</f>
        <v>440.16666666666669</v>
      </c>
      <c r="AE11" s="4" t="s">
        <v>19</v>
      </c>
      <c r="AG11" s="22">
        <f>21</f>
        <v>21</v>
      </c>
      <c r="AH11" s="22">
        <f>21</f>
        <v>21</v>
      </c>
      <c r="AI11" s="22">
        <f>21</f>
        <v>21</v>
      </c>
      <c r="AJ11" s="22">
        <f>21</f>
        <v>21</v>
      </c>
      <c r="AK11" s="22">
        <f>21</f>
        <v>21</v>
      </c>
      <c r="AL11" s="22">
        <f>21</f>
        <v>21</v>
      </c>
      <c r="AM11" s="22">
        <f>21</f>
        <v>21</v>
      </c>
      <c r="AN11" s="22">
        <f>21</f>
        <v>21</v>
      </c>
      <c r="AO11" s="22">
        <f>21</f>
        <v>21</v>
      </c>
      <c r="AP11" s="22">
        <f>21</f>
        <v>21</v>
      </c>
      <c r="AQ11" s="22">
        <f>21</f>
        <v>21</v>
      </c>
      <c r="AR11" s="22">
        <f>21</f>
        <v>21</v>
      </c>
      <c r="AS11" s="7">
        <f>AVERAGE(AG11:AR11)</f>
        <v>21</v>
      </c>
      <c r="AT11" s="4" t="s">
        <v>19</v>
      </c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7" t="e">
        <f>AVERAGE(AV11:BG11)</f>
        <v>#DIV/0!</v>
      </c>
      <c r="BI11" s="4" t="s">
        <v>19</v>
      </c>
      <c r="BK11" s="22">
        <f>1</f>
        <v>1</v>
      </c>
      <c r="BL11" s="22">
        <f>1</f>
        <v>1</v>
      </c>
      <c r="BM11" s="22">
        <f>1</f>
        <v>1</v>
      </c>
      <c r="BN11" s="22">
        <f>1</f>
        <v>1</v>
      </c>
      <c r="BO11" s="22">
        <f>1</f>
        <v>1</v>
      </c>
      <c r="BP11" s="22">
        <f>1</f>
        <v>1</v>
      </c>
      <c r="BQ11" s="22">
        <f>1</f>
        <v>1</v>
      </c>
      <c r="BR11" s="22">
        <f>1</f>
        <v>1</v>
      </c>
      <c r="BS11" s="22">
        <f>1</f>
        <v>1</v>
      </c>
      <c r="BT11" s="22">
        <f>1</f>
        <v>1</v>
      </c>
      <c r="BU11" s="22">
        <f>1</f>
        <v>1</v>
      </c>
      <c r="BV11" s="22">
        <f>1</f>
        <v>1</v>
      </c>
      <c r="BW11" s="7">
        <f>AVERAGE(BK11:BV11)</f>
        <v>1</v>
      </c>
      <c r="BX11" s="4" t="s">
        <v>19</v>
      </c>
      <c r="BZ11" s="22">
        <f>0</f>
        <v>0</v>
      </c>
      <c r="CA11" s="22">
        <f>0</f>
        <v>0</v>
      </c>
      <c r="CB11" s="22">
        <f>0</f>
        <v>0</v>
      </c>
      <c r="CC11" s="22">
        <f>0</f>
        <v>0</v>
      </c>
      <c r="CD11" s="22">
        <f>0</f>
        <v>0</v>
      </c>
      <c r="CE11" s="22">
        <f>0</f>
        <v>0</v>
      </c>
      <c r="CF11" s="22">
        <f>0</f>
        <v>0</v>
      </c>
      <c r="CG11" s="22">
        <f>0</f>
        <v>0</v>
      </c>
      <c r="CH11" s="22">
        <f>0</f>
        <v>0</v>
      </c>
      <c r="CI11" s="22">
        <f>0</f>
        <v>0</v>
      </c>
      <c r="CJ11" s="22">
        <f>0</f>
        <v>0</v>
      </c>
      <c r="CK11" s="22">
        <f>0</f>
        <v>0</v>
      </c>
      <c r="CL11" s="13">
        <f>AVERAGE(BZ11:CK11)</f>
        <v>0</v>
      </c>
      <c r="CN11" s="5">
        <f t="shared" si="47"/>
        <v>513</v>
      </c>
      <c r="CO11" s="5">
        <f t="shared" si="47"/>
        <v>511</v>
      </c>
      <c r="CP11" s="5">
        <f t="shared" si="47"/>
        <v>511</v>
      </c>
      <c r="CQ11" s="5">
        <f t="shared" si="47"/>
        <v>511</v>
      </c>
      <c r="CR11" s="5">
        <f t="shared" si="47"/>
        <v>507</v>
      </c>
      <c r="CS11" s="5">
        <f t="shared" si="47"/>
        <v>507</v>
      </c>
      <c r="CT11" s="5">
        <f t="shared" si="47"/>
        <v>507</v>
      </c>
      <c r="CU11" s="5">
        <f t="shared" si="47"/>
        <v>457</v>
      </c>
      <c r="CV11" s="5">
        <f t="shared" si="47"/>
        <v>453</v>
      </c>
      <c r="CW11" s="5">
        <f t="shared" si="47"/>
        <v>453</v>
      </c>
      <c r="CX11" s="5">
        <f t="shared" si="47"/>
        <v>453</v>
      </c>
      <c r="CY11" s="5">
        <f t="shared" si="47"/>
        <v>453</v>
      </c>
      <c r="CZ11" s="13">
        <f>AVERAGE(CN11:CY11)</f>
        <v>486.33333333333331</v>
      </c>
      <c r="DA11" s="5">
        <f>513-DN11</f>
        <v>491</v>
      </c>
      <c r="DB11" s="5">
        <f>511-DO11</f>
        <v>489</v>
      </c>
      <c r="DC11" s="5">
        <f>511-DP11</f>
        <v>489</v>
      </c>
      <c r="DD11" s="5">
        <f>511-DQ11</f>
        <v>489</v>
      </c>
      <c r="DE11" s="5">
        <f>507-DR11</f>
        <v>485</v>
      </c>
      <c r="DF11" s="5">
        <f>507-DS11</f>
        <v>485</v>
      </c>
      <c r="DG11" s="5">
        <f>507-DT11</f>
        <v>485</v>
      </c>
      <c r="DH11" s="5">
        <f>457-DU11</f>
        <v>435</v>
      </c>
      <c r="DI11" s="5">
        <f>453-DV11</f>
        <v>431</v>
      </c>
      <c r="DJ11" s="5">
        <f>453-DW11</f>
        <v>431</v>
      </c>
      <c r="DK11" s="5">
        <f>453-DX11</f>
        <v>431</v>
      </c>
      <c r="DL11" s="5">
        <f>453-DY11</f>
        <v>431</v>
      </c>
      <c r="DM11" s="13">
        <f>AVERAGE(DA11:DL11)</f>
        <v>464.33333333333331</v>
      </c>
      <c r="DN11" s="22">
        <v>22</v>
      </c>
      <c r="DO11" s="22">
        <v>22</v>
      </c>
      <c r="DP11" s="22">
        <v>22</v>
      </c>
      <c r="DQ11" s="22">
        <v>22</v>
      </c>
      <c r="DR11" s="22">
        <v>22</v>
      </c>
      <c r="DS11" s="22">
        <v>22</v>
      </c>
      <c r="DT11" s="22">
        <v>22</v>
      </c>
      <c r="DU11" s="22">
        <v>22</v>
      </c>
      <c r="DV11" s="22">
        <v>22</v>
      </c>
      <c r="DW11" s="22">
        <v>22</v>
      </c>
      <c r="DX11" s="22">
        <v>22</v>
      </c>
      <c r="DY11" s="22">
        <v>22</v>
      </c>
      <c r="DZ11" s="63">
        <f>AVERAGE(DN11:DY11)</f>
        <v>22</v>
      </c>
      <c r="EM11" s="63" t="e">
        <f>AVERAGE(EA11:EL11)</f>
        <v>#DIV/0!</v>
      </c>
      <c r="FO11" s="5">
        <f t="shared" si="48"/>
        <v>504</v>
      </c>
      <c r="FP11" s="5">
        <f t="shared" si="49"/>
        <v>503</v>
      </c>
      <c r="FQ11" s="5">
        <f t="shared" si="50"/>
        <v>503</v>
      </c>
      <c r="FR11" s="5">
        <f t="shared" si="51"/>
        <v>503</v>
      </c>
      <c r="FS11" s="5">
        <f t="shared" si="52"/>
        <v>503</v>
      </c>
      <c r="FT11" s="5">
        <f t="shared" si="53"/>
        <v>498</v>
      </c>
      <c r="FU11" s="5">
        <f t="shared" si="54"/>
        <v>498</v>
      </c>
      <c r="FV11" s="5">
        <f t="shared" si="55"/>
        <v>498</v>
      </c>
      <c r="FW11" s="5">
        <f t="shared" si="56"/>
        <v>498</v>
      </c>
      <c r="FX11" s="5">
        <f t="shared" si="57"/>
        <v>481</v>
      </c>
      <c r="FY11" s="5">
        <f t="shared" si="58"/>
        <v>446</v>
      </c>
      <c r="FZ11" s="5">
        <f t="shared" si="59"/>
        <v>446</v>
      </c>
      <c r="GA11" s="13">
        <f>AVERAGE(FO11:FZ11)</f>
        <v>490.08333333333331</v>
      </c>
      <c r="GB11" s="5">
        <f>504-GO11</f>
        <v>483</v>
      </c>
      <c r="GC11" s="5">
        <f>503-GP11</f>
        <v>482</v>
      </c>
      <c r="GD11" s="5">
        <f>503-GQ11</f>
        <v>482</v>
      </c>
      <c r="GE11" s="5">
        <f>503-GR11</f>
        <v>482</v>
      </c>
      <c r="GF11" s="5">
        <f>503-GS11</f>
        <v>482</v>
      </c>
      <c r="GG11" s="5">
        <f>498-GT11</f>
        <v>477</v>
      </c>
      <c r="GH11" s="5">
        <f>498-GU11</f>
        <v>477</v>
      </c>
      <c r="GI11" s="5">
        <f>498-GV11</f>
        <v>477</v>
      </c>
      <c r="GJ11" s="5">
        <f>498-GW11</f>
        <v>477</v>
      </c>
      <c r="GK11" s="5">
        <f>481-GX11</f>
        <v>460</v>
      </c>
      <c r="GL11" s="5">
        <f>446-GY11</f>
        <v>425</v>
      </c>
      <c r="GM11" s="5">
        <f>446-GZ11</f>
        <v>425</v>
      </c>
      <c r="GN11" s="13">
        <f>AVERAGE(GB11:GM11)</f>
        <v>469.08333333333331</v>
      </c>
      <c r="GO11" s="22">
        <f>21</f>
        <v>21</v>
      </c>
      <c r="GP11" s="22">
        <f>21</f>
        <v>21</v>
      </c>
      <c r="GQ11" s="22">
        <f>21</f>
        <v>21</v>
      </c>
      <c r="GR11" s="22">
        <f>21</f>
        <v>21</v>
      </c>
      <c r="GS11" s="22">
        <f>21</f>
        <v>21</v>
      </c>
      <c r="GT11" s="22">
        <f>21</f>
        <v>21</v>
      </c>
      <c r="GU11" s="22">
        <f>21</f>
        <v>21</v>
      </c>
      <c r="GV11" s="22">
        <f>21</f>
        <v>21</v>
      </c>
      <c r="GW11" s="22">
        <f>21</f>
        <v>21</v>
      </c>
      <c r="GX11" s="22">
        <f>21</f>
        <v>21</v>
      </c>
      <c r="GY11" s="22">
        <f>21</f>
        <v>21</v>
      </c>
      <c r="GZ11" s="22">
        <f>21</f>
        <v>21</v>
      </c>
      <c r="HA11" s="63">
        <f>AVERAGE(GO11:GZ11)</f>
        <v>21</v>
      </c>
      <c r="HN11" s="63" t="e">
        <f>AVERAGE(HB11:HM11)</f>
        <v>#DIV/0!</v>
      </c>
      <c r="HP11" s="5">
        <f t="shared" si="60"/>
        <v>464</v>
      </c>
      <c r="HQ11" s="5">
        <f t="shared" si="61"/>
        <v>464</v>
      </c>
      <c r="HR11" s="5">
        <f t="shared" si="62"/>
        <v>464</v>
      </c>
      <c r="HS11" s="5">
        <f t="shared" si="63"/>
        <v>457</v>
      </c>
      <c r="HT11" s="5">
        <f t="shared" si="64"/>
        <v>445</v>
      </c>
      <c r="HU11" s="5">
        <f t="shared" si="65"/>
        <v>435</v>
      </c>
      <c r="HV11" s="5">
        <f t="shared" si="66"/>
        <v>430</v>
      </c>
      <c r="HW11" s="5">
        <f t="shared" si="67"/>
        <v>430</v>
      </c>
      <c r="HX11" s="5">
        <f t="shared" si="68"/>
        <v>426</v>
      </c>
      <c r="HY11" s="5">
        <f t="shared" si="69"/>
        <v>411</v>
      </c>
      <c r="HZ11" s="5">
        <f t="shared" si="70"/>
        <v>396</v>
      </c>
      <c r="IA11" s="5">
        <f t="shared" si="71"/>
        <v>373</v>
      </c>
      <c r="IB11" s="63">
        <f>AVERAGE(HP11:IA11)</f>
        <v>432.91666666666669</v>
      </c>
      <c r="IC11" s="21">
        <f>SUM([17]Manpower_month!AI6:AI7)-SUM(IP11,JC11)</f>
        <v>445.33333333333331</v>
      </c>
      <c r="ID11" s="21">
        <f>SUM([17]Manpower_month!AJ6:AJ7)-SUM(IQ11,JD11)</f>
        <v>445.33333333333331</v>
      </c>
      <c r="IE11" s="21">
        <f>SUM([17]Manpower_month!AK6:AK7)-SUM(IR11,JE11)</f>
        <v>445.33333333333331</v>
      </c>
      <c r="IF11" s="21">
        <f>SUM([17]Manpower_month!AL6:AL7)-SUM(IS11,JF11)</f>
        <v>438.33333333333331</v>
      </c>
      <c r="IG11" s="21">
        <f>SUM([18]Manpower_month!AM6:AM7)-SUM(IT11,JG11)</f>
        <v>426.33333333333331</v>
      </c>
      <c r="IH11" s="21">
        <f>SUM([18]Manpower_month!AN6:AN7)-SUM(IU11,JH11)</f>
        <v>416.33333333333331</v>
      </c>
      <c r="II11" s="21">
        <f>SUM([18]Manpower_month!AO6:AO7)-SUM(IV11,JI11)</f>
        <v>411.33333333333331</v>
      </c>
      <c r="IJ11" s="21">
        <f>SUM([18]Manpower_month!AP6:AP7)-SUM(IW11,JJ11)</f>
        <v>411.33333333333331</v>
      </c>
      <c r="IK11" s="21">
        <f>SUM([18]Manpower_month!AQ6:AQ7)-SUM(IX11,JK11)</f>
        <v>407.33333333333331</v>
      </c>
      <c r="IL11" s="21">
        <f>SUM([18]Manpower_month!AR6:AR7)-SUM(IY11,JL11)</f>
        <v>392.33333333333331</v>
      </c>
      <c r="IM11" s="21">
        <f>SUM([18]Manpower_month!AS6:AS7)-SUM(IZ11,JM11)</f>
        <v>377.33333333333331</v>
      </c>
      <c r="IN11" s="21">
        <f>SUM([18]Manpower_month!AT6:AT7)-SUM(JA11,JN11)</f>
        <v>354.33333333333331</v>
      </c>
      <c r="IO11" s="63">
        <f t="shared" ref="IO11:IO12" si="74">IFERROR(AVERAGE(IC11:IN11),"")</f>
        <v>414.25</v>
      </c>
      <c r="IP11" s="21">
        <f>'[19]Department wise Manpower'!$I$13</f>
        <v>18.666666666666668</v>
      </c>
      <c r="IQ11" s="21">
        <f>IP11</f>
        <v>18.666666666666668</v>
      </c>
      <c r="IR11" s="21">
        <f t="shared" ref="IR11:JA11" si="75">IQ11</f>
        <v>18.666666666666668</v>
      </c>
      <c r="IS11" s="21">
        <f t="shared" si="75"/>
        <v>18.666666666666668</v>
      </c>
      <c r="IT11" s="21">
        <f t="shared" si="75"/>
        <v>18.666666666666668</v>
      </c>
      <c r="IU11" s="21">
        <f t="shared" si="75"/>
        <v>18.666666666666668</v>
      </c>
      <c r="IV11" s="21">
        <f t="shared" si="75"/>
        <v>18.666666666666668</v>
      </c>
      <c r="IW11" s="21">
        <f t="shared" si="75"/>
        <v>18.666666666666668</v>
      </c>
      <c r="IX11" s="21">
        <f t="shared" si="75"/>
        <v>18.666666666666668</v>
      </c>
      <c r="IY11" s="21">
        <f t="shared" si="75"/>
        <v>18.666666666666668</v>
      </c>
      <c r="IZ11" s="21">
        <f t="shared" si="75"/>
        <v>18.666666666666668</v>
      </c>
      <c r="JA11" s="21">
        <f t="shared" si="75"/>
        <v>18.666666666666668</v>
      </c>
      <c r="JB11" s="63">
        <f t="shared" ref="JB11:JB12" si="76">IFERROR(AVERAGE(IP11:JA11),"")</f>
        <v>18.666666666666664</v>
      </c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63" t="str">
        <f t="shared" ref="JO11:JO12" si="77">IFERROR(AVERAGE(JC11:JN11),"")</f>
        <v/>
      </c>
    </row>
    <row r="12" spans="1:275">
      <c r="A12" s="12" t="s">
        <v>20</v>
      </c>
      <c r="B12" s="5">
        <f>SUM(Q12,AF12,AU12,BJ12,BY12)</f>
        <v>0</v>
      </c>
      <c r="C12" s="5">
        <f t="shared" si="45"/>
        <v>1301.5</v>
      </c>
      <c r="D12" s="5">
        <f t="shared" si="45"/>
        <v>1301.5</v>
      </c>
      <c r="E12" s="5">
        <f t="shared" si="45"/>
        <v>1295</v>
      </c>
      <c r="F12" s="5">
        <f t="shared" si="45"/>
        <v>1259.5</v>
      </c>
      <c r="G12" s="5">
        <f t="shared" si="45"/>
        <v>1274.5</v>
      </c>
      <c r="H12" s="5">
        <f t="shared" si="45"/>
        <v>1235</v>
      </c>
      <c r="I12" s="5">
        <f t="shared" si="45"/>
        <v>1225</v>
      </c>
      <c r="J12" s="5">
        <f t="shared" si="45"/>
        <v>1297</v>
      </c>
      <c r="K12" s="5">
        <f t="shared" si="45"/>
        <v>1297</v>
      </c>
      <c r="L12" s="5">
        <f t="shared" si="45"/>
        <v>1286.5</v>
      </c>
      <c r="M12" s="5">
        <f t="shared" si="45"/>
        <v>1251.5</v>
      </c>
      <c r="N12" s="5">
        <f t="shared" si="45"/>
        <v>1248</v>
      </c>
      <c r="O12" s="7">
        <f>AVERAGE(C12:N12)</f>
        <v>1272.6666666666667</v>
      </c>
      <c r="P12" s="4" t="s">
        <v>20</v>
      </c>
      <c r="R12" s="22">
        <f>1186.5-AG12-AV12</f>
        <v>883.5</v>
      </c>
      <c r="S12" s="22">
        <f>1186.5-AH12-AW12</f>
        <v>883.5</v>
      </c>
      <c r="T12" s="22">
        <f>1180-AI12-AX12</f>
        <v>877</v>
      </c>
      <c r="U12" s="22">
        <f>1144.5-AJ12-AY12</f>
        <v>841.5</v>
      </c>
      <c r="V12" s="22">
        <f>1159.5-AK12-AZ12</f>
        <v>856.5</v>
      </c>
      <c r="W12" s="22">
        <f>1120-AL12-BA12</f>
        <v>817</v>
      </c>
      <c r="X12" s="22">
        <f>1110-AM12-BB12</f>
        <v>807</v>
      </c>
      <c r="Y12" s="22">
        <f>1182-AN12-BC12</f>
        <v>879</v>
      </c>
      <c r="Z12" s="22">
        <f>1182-AO12-BD12</f>
        <v>879</v>
      </c>
      <c r="AA12" s="22">
        <f>1171.5-AP12-BE12</f>
        <v>868.5</v>
      </c>
      <c r="AB12" s="22">
        <f>1136.5-AQ12-BF12</f>
        <v>833.5</v>
      </c>
      <c r="AC12" s="22">
        <f>1133-AR12-BG12</f>
        <v>830</v>
      </c>
      <c r="AD12" s="7">
        <f>AVERAGE(R12:AC12)</f>
        <v>854.66666666666663</v>
      </c>
      <c r="AE12" s="4" t="s">
        <v>20</v>
      </c>
      <c r="AG12" s="22">
        <f>203</f>
        <v>203</v>
      </c>
      <c r="AH12" s="22">
        <f>203</f>
        <v>203</v>
      </c>
      <c r="AI12" s="22">
        <f>203</f>
        <v>203</v>
      </c>
      <c r="AJ12" s="22">
        <f>203</f>
        <v>203</v>
      </c>
      <c r="AK12" s="22">
        <f>203</f>
        <v>203</v>
      </c>
      <c r="AL12" s="22">
        <f>203</f>
        <v>203</v>
      </c>
      <c r="AM12" s="22">
        <f>203</f>
        <v>203</v>
      </c>
      <c r="AN12" s="22">
        <f>203</f>
        <v>203</v>
      </c>
      <c r="AO12" s="22">
        <f>203</f>
        <v>203</v>
      </c>
      <c r="AP12" s="22">
        <f>203</f>
        <v>203</v>
      </c>
      <c r="AQ12" s="22">
        <f>203</f>
        <v>203</v>
      </c>
      <c r="AR12" s="22">
        <f>203</f>
        <v>203</v>
      </c>
      <c r="AS12" s="7">
        <f>AVERAGE(AG12:AR12)</f>
        <v>203</v>
      </c>
      <c r="AT12" s="4" t="s">
        <v>20</v>
      </c>
      <c r="AV12" s="22">
        <f>100</f>
        <v>100</v>
      </c>
      <c r="AW12" s="22">
        <f>100</f>
        <v>100</v>
      </c>
      <c r="AX12" s="22">
        <f>100</f>
        <v>100</v>
      </c>
      <c r="AY12" s="22">
        <f>100</f>
        <v>100</v>
      </c>
      <c r="AZ12" s="22">
        <f>100</f>
        <v>100</v>
      </c>
      <c r="BA12" s="22">
        <f>100</f>
        <v>100</v>
      </c>
      <c r="BB12" s="22">
        <f>100</f>
        <v>100</v>
      </c>
      <c r="BC12" s="22">
        <f>100</f>
        <v>100</v>
      </c>
      <c r="BD12" s="22">
        <f>100</f>
        <v>100</v>
      </c>
      <c r="BE12" s="22">
        <f>100</f>
        <v>100</v>
      </c>
      <c r="BF12" s="22">
        <f>100</f>
        <v>100</v>
      </c>
      <c r="BG12" s="22">
        <f>100</f>
        <v>100</v>
      </c>
      <c r="BH12" s="7">
        <f>AVERAGE(AV12:BG12)</f>
        <v>100</v>
      </c>
      <c r="BI12" s="4" t="s">
        <v>20</v>
      </c>
      <c r="BK12" s="22">
        <f>98</f>
        <v>98</v>
      </c>
      <c r="BL12" s="22">
        <f>98</f>
        <v>98</v>
      </c>
      <c r="BM12" s="22">
        <f>98</f>
        <v>98</v>
      </c>
      <c r="BN12" s="22">
        <f>98</f>
        <v>98</v>
      </c>
      <c r="BO12" s="22">
        <f>98</f>
        <v>98</v>
      </c>
      <c r="BP12" s="22">
        <f>98</f>
        <v>98</v>
      </c>
      <c r="BQ12" s="22">
        <f>98</f>
        <v>98</v>
      </c>
      <c r="BR12" s="22">
        <f>98</f>
        <v>98</v>
      </c>
      <c r="BS12" s="22">
        <f>98</f>
        <v>98</v>
      </c>
      <c r="BT12" s="22">
        <f>98</f>
        <v>98</v>
      </c>
      <c r="BU12" s="22">
        <f>98</f>
        <v>98</v>
      </c>
      <c r="BV12" s="22">
        <f>98</f>
        <v>98</v>
      </c>
      <c r="BW12" s="7">
        <f>AVERAGE(BK12:BV12)</f>
        <v>98</v>
      </c>
      <c r="BX12" s="4" t="s">
        <v>20</v>
      </c>
      <c r="BZ12" s="22">
        <f>17</f>
        <v>17</v>
      </c>
      <c r="CA12" s="22">
        <f>17</f>
        <v>17</v>
      </c>
      <c r="CB12" s="22">
        <f>17</f>
        <v>17</v>
      </c>
      <c r="CC12" s="22">
        <f>17</f>
        <v>17</v>
      </c>
      <c r="CD12" s="22">
        <f>17</f>
        <v>17</v>
      </c>
      <c r="CE12" s="22">
        <f>17</f>
        <v>17</v>
      </c>
      <c r="CF12" s="22">
        <f>17</f>
        <v>17</v>
      </c>
      <c r="CG12" s="22">
        <f>17</f>
        <v>17</v>
      </c>
      <c r="CH12" s="22">
        <f>17</f>
        <v>17</v>
      </c>
      <c r="CI12" s="22">
        <f>17</f>
        <v>17</v>
      </c>
      <c r="CJ12" s="22">
        <f>17</f>
        <v>17</v>
      </c>
      <c r="CK12" s="22">
        <f>17</f>
        <v>17</v>
      </c>
      <c r="CL12" s="13">
        <f>AVERAGE(BZ12:CK12)</f>
        <v>17</v>
      </c>
      <c r="CN12" s="5">
        <f t="shared" si="47"/>
        <v>1254</v>
      </c>
      <c r="CO12" s="5">
        <f t="shared" si="47"/>
        <v>1252</v>
      </c>
      <c r="CP12" s="5">
        <f t="shared" si="47"/>
        <v>1285</v>
      </c>
      <c r="CQ12" s="5">
        <f t="shared" si="47"/>
        <v>1237</v>
      </c>
      <c r="CR12" s="5">
        <f t="shared" si="47"/>
        <v>1235</v>
      </c>
      <c r="CS12" s="5">
        <f t="shared" si="47"/>
        <v>1218</v>
      </c>
      <c r="CT12" s="5">
        <f t="shared" si="47"/>
        <v>1218</v>
      </c>
      <c r="CU12" s="5">
        <f t="shared" si="47"/>
        <v>1268</v>
      </c>
      <c r="CV12" s="5">
        <f t="shared" si="47"/>
        <v>1268</v>
      </c>
      <c r="CW12" s="5">
        <f t="shared" si="47"/>
        <v>1254</v>
      </c>
      <c r="CX12" s="5">
        <f t="shared" si="47"/>
        <v>1252</v>
      </c>
      <c r="CY12" s="5">
        <f t="shared" si="47"/>
        <v>1252</v>
      </c>
      <c r="CZ12" s="13">
        <f>AVERAGE(CN12:CY12)</f>
        <v>1249.4166666666667</v>
      </c>
      <c r="DA12" s="5">
        <f>1254-DN12-EA12</f>
        <v>863.5</v>
      </c>
      <c r="DB12" s="5">
        <f>1252-DO12-EB12</f>
        <v>861.5</v>
      </c>
      <c r="DC12" s="5">
        <f>1285-DP12-EC12</f>
        <v>900.5</v>
      </c>
      <c r="DD12" s="5">
        <f>1237-DQ12-ED12</f>
        <v>852.5</v>
      </c>
      <c r="DE12" s="5">
        <f>1235-DR12-EE12</f>
        <v>850.5</v>
      </c>
      <c r="DF12" s="5">
        <f>1218-DS12-EF12</f>
        <v>833.5</v>
      </c>
      <c r="DG12" s="5">
        <f>1218-DT12-EG12</f>
        <v>833.5</v>
      </c>
      <c r="DH12" s="5">
        <f>1268-DU12-EH12</f>
        <v>883.5</v>
      </c>
      <c r="DI12" s="5">
        <f>1268-DV12-EI12</f>
        <v>883.5</v>
      </c>
      <c r="DJ12" s="5">
        <f>1254-DW12-EJ12</f>
        <v>869.5</v>
      </c>
      <c r="DK12" s="5">
        <f>1252-DX12-EK12</f>
        <v>867.5</v>
      </c>
      <c r="DL12" s="5">
        <f>1252-DY12-EL12</f>
        <v>867.5</v>
      </c>
      <c r="DM12" s="13">
        <f>AVERAGE(DA12:DL12)</f>
        <v>863.91666666666663</v>
      </c>
      <c r="DN12" s="22">
        <v>287.5</v>
      </c>
      <c r="DO12" s="22">
        <v>287.5</v>
      </c>
      <c r="DP12" s="22">
        <v>287.5</v>
      </c>
      <c r="DQ12" s="22">
        <v>287.5</v>
      </c>
      <c r="DR12" s="22">
        <v>287.5</v>
      </c>
      <c r="DS12" s="22">
        <v>287.5</v>
      </c>
      <c r="DT12" s="22">
        <v>287.5</v>
      </c>
      <c r="DU12" s="22">
        <v>287.5</v>
      </c>
      <c r="DV12" s="22">
        <v>287.5</v>
      </c>
      <c r="DW12" s="22">
        <v>287.5</v>
      </c>
      <c r="DX12" s="22">
        <v>287.5</v>
      </c>
      <c r="DY12" s="22">
        <v>287.5</v>
      </c>
      <c r="DZ12" s="63">
        <f>AVERAGE(DN12:DY12)</f>
        <v>287.5</v>
      </c>
      <c r="EA12" s="22">
        <f>103</f>
        <v>103</v>
      </c>
      <c r="EB12" s="22">
        <f>103</f>
        <v>103</v>
      </c>
      <c r="EC12" s="22">
        <f t="shared" ref="EC12:EI12" si="78">103-6</f>
        <v>97</v>
      </c>
      <c r="ED12" s="22">
        <f t="shared" si="78"/>
        <v>97</v>
      </c>
      <c r="EE12" s="22">
        <f t="shared" si="78"/>
        <v>97</v>
      </c>
      <c r="EF12" s="22">
        <f t="shared" si="78"/>
        <v>97</v>
      </c>
      <c r="EG12" s="22">
        <f t="shared" si="78"/>
        <v>97</v>
      </c>
      <c r="EH12" s="22">
        <f t="shared" si="78"/>
        <v>97</v>
      </c>
      <c r="EI12" s="22">
        <f t="shared" si="78"/>
        <v>97</v>
      </c>
      <c r="EJ12" s="22">
        <v>97</v>
      </c>
      <c r="EK12" s="22">
        <v>97</v>
      </c>
      <c r="EL12" s="22">
        <v>97</v>
      </c>
      <c r="EM12" s="63">
        <f>AVERAGE(EA12:EL12)</f>
        <v>98</v>
      </c>
      <c r="FO12" s="5">
        <f t="shared" si="48"/>
        <v>1318</v>
      </c>
      <c r="FP12" s="5">
        <f t="shared" si="49"/>
        <v>1308</v>
      </c>
      <c r="FQ12" s="5">
        <f t="shared" si="50"/>
        <v>1308</v>
      </c>
      <c r="FR12" s="5">
        <f t="shared" si="51"/>
        <v>1308</v>
      </c>
      <c r="FS12" s="5">
        <f t="shared" si="52"/>
        <v>1308</v>
      </c>
      <c r="FT12" s="5">
        <f t="shared" si="53"/>
        <v>1306</v>
      </c>
      <c r="FU12" s="5">
        <f t="shared" si="54"/>
        <v>1255</v>
      </c>
      <c r="FV12" s="5">
        <f t="shared" si="55"/>
        <v>1255</v>
      </c>
      <c r="FW12" s="5">
        <f t="shared" si="56"/>
        <v>1241</v>
      </c>
      <c r="FX12" s="5">
        <f t="shared" si="57"/>
        <v>1257</v>
      </c>
      <c r="FY12" s="5">
        <f t="shared" si="58"/>
        <v>1272</v>
      </c>
      <c r="FZ12" s="5">
        <f t="shared" si="59"/>
        <v>1292</v>
      </c>
      <c r="GA12" s="13">
        <f>AVERAGE(FO12:FZ12)</f>
        <v>1285.6666666666667</v>
      </c>
      <c r="GB12" s="5">
        <f>1318-GO12-HB12</f>
        <v>845</v>
      </c>
      <c r="GC12" s="5">
        <f>1308-GP12-HC12</f>
        <v>835</v>
      </c>
      <c r="GD12" s="5">
        <f>1308-GQ12-HD12</f>
        <v>835</v>
      </c>
      <c r="GE12" s="5">
        <f>1308-GR12-HE12</f>
        <v>835</v>
      </c>
      <c r="GF12" s="5">
        <f>1308-GS12-HF12</f>
        <v>835</v>
      </c>
      <c r="GG12" s="5">
        <f>1306-GT12-HG12</f>
        <v>833</v>
      </c>
      <c r="GH12" s="5">
        <f>1255-GU12-HH12</f>
        <v>782</v>
      </c>
      <c r="GI12" s="5">
        <f>1255-GV12-HI12</f>
        <v>782</v>
      </c>
      <c r="GJ12" s="5">
        <f>1241-GW12-HJ12</f>
        <v>768</v>
      </c>
      <c r="GK12" s="5">
        <f>1257-GX12-HK12</f>
        <v>784</v>
      </c>
      <c r="GL12" s="5">
        <f>1272-GY12-HL12</f>
        <v>799</v>
      </c>
      <c r="GM12" s="5">
        <f>1292-GZ12-HM12</f>
        <v>819</v>
      </c>
      <c r="GN12" s="13">
        <f>AVERAGE(GB12:GM12)</f>
        <v>812.66666666666663</v>
      </c>
      <c r="GO12" s="22">
        <f>378</f>
        <v>378</v>
      </c>
      <c r="GP12" s="22">
        <f>378</f>
        <v>378</v>
      </c>
      <c r="GQ12" s="22">
        <f>378</f>
        <v>378</v>
      </c>
      <c r="GR12" s="22">
        <f>378</f>
        <v>378</v>
      </c>
      <c r="GS12" s="22">
        <f>378</f>
        <v>378</v>
      </c>
      <c r="GT12" s="22">
        <f>378</f>
        <v>378</v>
      </c>
      <c r="GU12" s="22">
        <f>378</f>
        <v>378</v>
      </c>
      <c r="GV12" s="22">
        <f>378</f>
        <v>378</v>
      </c>
      <c r="GW12" s="22">
        <f>378</f>
        <v>378</v>
      </c>
      <c r="GX12" s="22">
        <f>378</f>
        <v>378</v>
      </c>
      <c r="GY12" s="22">
        <f>378</f>
        <v>378</v>
      </c>
      <c r="GZ12" s="22">
        <f>378</f>
        <v>378</v>
      </c>
      <c r="HA12" s="63">
        <f>AVERAGE(GO12:GZ12)</f>
        <v>378</v>
      </c>
      <c r="HB12" s="22">
        <f>95</f>
        <v>95</v>
      </c>
      <c r="HC12" s="22">
        <f>95</f>
        <v>95</v>
      </c>
      <c r="HD12" s="22">
        <f>95</f>
        <v>95</v>
      </c>
      <c r="HE12" s="22">
        <f>95</f>
        <v>95</v>
      </c>
      <c r="HF12" s="22">
        <f>95</f>
        <v>95</v>
      </c>
      <c r="HG12" s="22">
        <f>95</f>
        <v>95</v>
      </c>
      <c r="HH12" s="22">
        <f>95</f>
        <v>95</v>
      </c>
      <c r="HI12" s="22">
        <f>95</f>
        <v>95</v>
      </c>
      <c r="HJ12" s="22">
        <f>95</f>
        <v>95</v>
      </c>
      <c r="HK12" s="22">
        <f>95</f>
        <v>95</v>
      </c>
      <c r="HL12" s="22">
        <f>95</f>
        <v>95</v>
      </c>
      <c r="HM12" s="22">
        <f>95</f>
        <v>95</v>
      </c>
      <c r="HN12" s="63">
        <f>AVERAGE(HB12:HM12)</f>
        <v>95</v>
      </c>
      <c r="HP12" s="5">
        <f t="shared" si="60"/>
        <v>1378</v>
      </c>
      <c r="HQ12" s="5">
        <f t="shared" si="61"/>
        <v>1419</v>
      </c>
      <c r="HR12" s="5">
        <f t="shared" si="62"/>
        <v>1408</v>
      </c>
      <c r="HS12" s="5">
        <f t="shared" si="63"/>
        <v>1404.5</v>
      </c>
      <c r="HT12" s="5">
        <f t="shared" si="64"/>
        <v>1414</v>
      </c>
      <c r="HU12" s="5">
        <f t="shared" si="65"/>
        <v>1431</v>
      </c>
      <c r="HV12" s="5">
        <f t="shared" si="66"/>
        <v>1427</v>
      </c>
      <c r="HW12" s="5">
        <f t="shared" si="67"/>
        <v>1385</v>
      </c>
      <c r="HX12" s="5">
        <f t="shared" si="68"/>
        <v>1385</v>
      </c>
      <c r="HY12" s="5">
        <f t="shared" si="69"/>
        <v>1397</v>
      </c>
      <c r="HZ12" s="5">
        <f t="shared" si="70"/>
        <v>1412</v>
      </c>
      <c r="IA12" s="5">
        <f t="shared" si="71"/>
        <v>1413.1</v>
      </c>
      <c r="IB12" s="63">
        <f>AVERAGE(HP12:IA12)</f>
        <v>1406.1333333333332</v>
      </c>
      <c r="IC12" s="101">
        <f>SUM([17]Manpower_month!AI8)+SUM([17]Manpower_month!GM8)-SUM(IP12,JC12)</f>
        <v>925</v>
      </c>
      <c r="ID12" s="101">
        <f>SUM([17]Manpower_month!AJ8)+SUM([17]Manpower_month!GN8)-SUM(IQ12,JD12)</f>
        <v>944</v>
      </c>
      <c r="IE12" s="101">
        <f>SUM([17]Manpower_month!AK8)+SUM([17]Manpower_month!GO8)-SUM(IR12,JE12)</f>
        <v>951</v>
      </c>
      <c r="IF12" s="101">
        <f>SUM([17]Manpower_month!AL8)+SUM([17]Manpower_month!GP8)-SUM(IS12,JF12)</f>
        <v>944</v>
      </c>
      <c r="IG12" s="101">
        <f>SUM([18]Manpower_month!AM8,[18]Manpower_month!GQ8)-SUM(IT12,JG12)</f>
        <v>941.5</v>
      </c>
      <c r="IH12" s="101">
        <f>SUM([18]Manpower_month!AN8,[18]Manpower_month!GR8)-SUM(IU12,JH12)</f>
        <v>958.5</v>
      </c>
      <c r="II12" s="101">
        <f>SUM([18]Manpower_month!AO8,[18]Manpower_month!GS8)-SUM(IV12,JI12)</f>
        <v>960.5</v>
      </c>
      <c r="IJ12" s="101">
        <f>SUM([18]Manpower_month!AP8,[18]Manpower_month!GT8)-SUM(IW12,JJ12)</f>
        <v>963.5</v>
      </c>
      <c r="IK12" s="101">
        <f>SUM([18]Manpower_month!AQ8,[18]Manpower_month!GU8)-SUM(IX12,JK12)</f>
        <v>962.5</v>
      </c>
      <c r="IL12" s="101">
        <f>SUM([18]Manpower_month!AR8,[18]Manpower_month!GV8)-SUM(IY12,JL12)</f>
        <v>974.5</v>
      </c>
      <c r="IM12" s="101">
        <f>SUM([18]Manpower_month!AS8,[18]Manpower_month!GW8)-SUM(IZ12,JM12)</f>
        <v>989.5</v>
      </c>
      <c r="IN12" s="101">
        <f>SUM([18]Manpower_month!AT8,[18]Manpower_month!GX8)-SUM(JA12,JN12)</f>
        <v>1012.4999999999999</v>
      </c>
      <c r="IO12" s="63">
        <f t="shared" si="74"/>
        <v>960.58333333333337</v>
      </c>
      <c r="IP12" s="21">
        <f>'[19]Deptwise-Trainee'!D11</f>
        <v>348</v>
      </c>
      <c r="IQ12" s="21">
        <f>'[19]Deptwise-Trainee'!E11</f>
        <v>370</v>
      </c>
      <c r="IR12" s="21">
        <f>'[19]Deptwise-Trainee'!F11</f>
        <v>352</v>
      </c>
      <c r="IS12" s="21">
        <f>'[19]Deptwise-Trainee'!G11</f>
        <v>355.5</v>
      </c>
      <c r="IT12" s="21">
        <f>'[19]Deptwise-Trainee'!H11</f>
        <v>367.5</v>
      </c>
      <c r="IU12" s="21">
        <f>'[19]Deptwise-Trainee'!I11</f>
        <v>367.5</v>
      </c>
      <c r="IV12" s="21">
        <f>'[19]Deptwise-Trainee'!J11</f>
        <v>361.5</v>
      </c>
      <c r="IW12" s="101">
        <f>'[19]Deptwise-Trainee'!K11+[17]Manpower_month!GT8</f>
        <v>316.5</v>
      </c>
      <c r="IX12" s="101">
        <f>'[19]Deptwise-Trainee'!L11+[17]Manpower_month!GU8</f>
        <v>317.5</v>
      </c>
      <c r="IY12" s="101">
        <f>'[19]Deptwise-Trainee'!M11+[17]Manpower_month!GV8</f>
        <v>317.5</v>
      </c>
      <c r="IZ12" s="101">
        <f>'[19]Deptwise-Trainee'!N11+[17]Manpower_month!GW8</f>
        <v>317.5</v>
      </c>
      <c r="JA12" s="101">
        <f>'[19]Deptwise-Trainee'!O11+[17]Manpower_month!GX8</f>
        <v>295.60000000000002</v>
      </c>
      <c r="JB12" s="63">
        <f t="shared" si="76"/>
        <v>340.55</v>
      </c>
      <c r="JC12" s="21">
        <f>'[19]Department wise Manpower'!$M$42</f>
        <v>105</v>
      </c>
      <c r="JD12" s="21">
        <f>JC12</f>
        <v>105</v>
      </c>
      <c r="JE12" s="21">
        <f t="shared" ref="JE12:JN12" si="79">JD12</f>
        <v>105</v>
      </c>
      <c r="JF12" s="21">
        <f t="shared" si="79"/>
        <v>105</v>
      </c>
      <c r="JG12" s="21">
        <f t="shared" si="79"/>
        <v>105</v>
      </c>
      <c r="JH12" s="21">
        <f t="shared" si="79"/>
        <v>105</v>
      </c>
      <c r="JI12" s="21">
        <f t="shared" si="79"/>
        <v>105</v>
      </c>
      <c r="JJ12" s="21">
        <f t="shared" si="79"/>
        <v>105</v>
      </c>
      <c r="JK12" s="21">
        <f t="shared" si="79"/>
        <v>105</v>
      </c>
      <c r="JL12" s="21">
        <f t="shared" si="79"/>
        <v>105</v>
      </c>
      <c r="JM12" s="21">
        <f t="shared" si="79"/>
        <v>105</v>
      </c>
      <c r="JN12" s="21">
        <f t="shared" si="79"/>
        <v>105</v>
      </c>
      <c r="JO12" s="63">
        <f t="shared" si="77"/>
        <v>105</v>
      </c>
    </row>
    <row r="13" spans="1:275" ht="15.75" thickBot="1">
      <c r="A13" s="14" t="s">
        <v>21</v>
      </c>
      <c r="B13" s="15">
        <f t="shared" ref="B13:N13" si="80">SUM(B10:B12)</f>
        <v>0</v>
      </c>
      <c r="C13" s="15">
        <f t="shared" si="80"/>
        <v>1982.5</v>
      </c>
      <c r="D13" s="15">
        <f t="shared" si="80"/>
        <v>1984.5</v>
      </c>
      <c r="E13" s="15">
        <f t="shared" si="80"/>
        <v>1979</v>
      </c>
      <c r="F13" s="15">
        <f t="shared" si="80"/>
        <v>1949.5</v>
      </c>
      <c r="G13" s="15">
        <f t="shared" si="80"/>
        <v>1964.5</v>
      </c>
      <c r="H13" s="15">
        <f t="shared" si="80"/>
        <v>1925</v>
      </c>
      <c r="I13" s="15">
        <f t="shared" si="80"/>
        <v>1915</v>
      </c>
      <c r="J13" s="15">
        <f t="shared" si="80"/>
        <v>1937</v>
      </c>
      <c r="K13" s="15">
        <f t="shared" si="80"/>
        <v>1937</v>
      </c>
      <c r="L13" s="15">
        <f t="shared" si="80"/>
        <v>1914.5</v>
      </c>
      <c r="M13" s="15">
        <f t="shared" si="80"/>
        <v>1879.5</v>
      </c>
      <c r="N13" s="15">
        <f t="shared" si="80"/>
        <v>1876</v>
      </c>
      <c r="O13" s="16">
        <f>AVERAGE(C13:N13)</f>
        <v>1937</v>
      </c>
      <c r="P13" s="17" t="s">
        <v>21</v>
      </c>
      <c r="Q13" s="15">
        <f t="shared" ref="Q13:AC13" si="81">SUM(Q10:Q12)</f>
        <v>0</v>
      </c>
      <c r="R13" s="15">
        <f t="shared" si="81"/>
        <v>1519.5</v>
      </c>
      <c r="S13" s="15">
        <f t="shared" si="81"/>
        <v>1519.5</v>
      </c>
      <c r="T13" s="15">
        <f t="shared" si="81"/>
        <v>1514</v>
      </c>
      <c r="U13" s="15">
        <f t="shared" si="81"/>
        <v>1482.5</v>
      </c>
      <c r="V13" s="15">
        <f t="shared" si="81"/>
        <v>1497.5</v>
      </c>
      <c r="W13" s="15">
        <f t="shared" si="81"/>
        <v>1458</v>
      </c>
      <c r="X13" s="15">
        <f t="shared" si="81"/>
        <v>1448</v>
      </c>
      <c r="Y13" s="15">
        <f t="shared" si="81"/>
        <v>1470</v>
      </c>
      <c r="Z13" s="15">
        <f t="shared" si="81"/>
        <v>1470</v>
      </c>
      <c r="AA13" s="15">
        <f t="shared" si="81"/>
        <v>1449.5</v>
      </c>
      <c r="AB13" s="15">
        <f t="shared" si="81"/>
        <v>1414.5</v>
      </c>
      <c r="AC13" s="15">
        <f t="shared" si="81"/>
        <v>1411</v>
      </c>
      <c r="AD13" s="16">
        <f>AVERAGE(R13:AC13)</f>
        <v>1471.1666666666667</v>
      </c>
      <c r="AE13" s="17" t="s">
        <v>21</v>
      </c>
      <c r="AF13" s="15">
        <f t="shared" ref="AF13:AR13" si="82">SUM(AF10:AF12)</f>
        <v>0</v>
      </c>
      <c r="AG13" s="15">
        <f t="shared" si="82"/>
        <v>230</v>
      </c>
      <c r="AH13" s="15">
        <f t="shared" si="82"/>
        <v>230</v>
      </c>
      <c r="AI13" s="15">
        <f t="shared" si="82"/>
        <v>230</v>
      </c>
      <c r="AJ13" s="15">
        <f t="shared" si="82"/>
        <v>230</v>
      </c>
      <c r="AK13" s="15">
        <f t="shared" si="82"/>
        <v>230</v>
      </c>
      <c r="AL13" s="15">
        <f t="shared" si="82"/>
        <v>230</v>
      </c>
      <c r="AM13" s="15">
        <f t="shared" si="82"/>
        <v>230</v>
      </c>
      <c r="AN13" s="15">
        <f t="shared" si="82"/>
        <v>230</v>
      </c>
      <c r="AO13" s="15">
        <f t="shared" si="82"/>
        <v>230</v>
      </c>
      <c r="AP13" s="15">
        <f t="shared" si="82"/>
        <v>230</v>
      </c>
      <c r="AQ13" s="15">
        <f t="shared" si="82"/>
        <v>230</v>
      </c>
      <c r="AR13" s="15">
        <f t="shared" si="82"/>
        <v>230</v>
      </c>
      <c r="AS13" s="16">
        <f>AVERAGE(AG13:AR13)</f>
        <v>230</v>
      </c>
      <c r="AT13" s="17" t="s">
        <v>21</v>
      </c>
      <c r="AU13" s="15">
        <f t="shared" ref="AU13:BG13" si="83">SUM(AU10:AU12)</f>
        <v>0</v>
      </c>
      <c r="AV13" s="15">
        <f t="shared" si="83"/>
        <v>100</v>
      </c>
      <c r="AW13" s="15">
        <f t="shared" si="83"/>
        <v>100</v>
      </c>
      <c r="AX13" s="15">
        <f t="shared" si="83"/>
        <v>100</v>
      </c>
      <c r="AY13" s="15">
        <f t="shared" si="83"/>
        <v>100</v>
      </c>
      <c r="AZ13" s="15">
        <f t="shared" si="83"/>
        <v>100</v>
      </c>
      <c r="BA13" s="15">
        <f t="shared" si="83"/>
        <v>100</v>
      </c>
      <c r="BB13" s="15">
        <f t="shared" si="83"/>
        <v>100</v>
      </c>
      <c r="BC13" s="15">
        <f t="shared" si="83"/>
        <v>100</v>
      </c>
      <c r="BD13" s="15">
        <f t="shared" si="83"/>
        <v>100</v>
      </c>
      <c r="BE13" s="15">
        <f t="shared" si="83"/>
        <v>100</v>
      </c>
      <c r="BF13" s="15">
        <f t="shared" si="83"/>
        <v>100</v>
      </c>
      <c r="BG13" s="15">
        <f t="shared" si="83"/>
        <v>100</v>
      </c>
      <c r="BH13" s="16">
        <f>AVERAGE(AV13:BG13)</f>
        <v>100</v>
      </c>
      <c r="BI13" s="17" t="s">
        <v>21</v>
      </c>
      <c r="BJ13" s="15">
        <f t="shared" ref="BJ13:BV13" si="84">SUM(BJ10:BJ12)</f>
        <v>0</v>
      </c>
      <c r="BK13" s="15">
        <f t="shared" si="84"/>
        <v>114</v>
      </c>
      <c r="BL13" s="15">
        <f t="shared" si="84"/>
        <v>116</v>
      </c>
      <c r="BM13" s="15">
        <f t="shared" si="84"/>
        <v>116</v>
      </c>
      <c r="BN13" s="15">
        <f t="shared" si="84"/>
        <v>117</v>
      </c>
      <c r="BO13" s="15">
        <f t="shared" si="84"/>
        <v>117</v>
      </c>
      <c r="BP13" s="15">
        <f t="shared" si="84"/>
        <v>117</v>
      </c>
      <c r="BQ13" s="15">
        <f t="shared" si="84"/>
        <v>117</v>
      </c>
      <c r="BR13" s="15">
        <f t="shared" si="84"/>
        <v>117</v>
      </c>
      <c r="BS13" s="15">
        <f t="shared" si="84"/>
        <v>117</v>
      </c>
      <c r="BT13" s="15">
        <f t="shared" si="84"/>
        <v>116</v>
      </c>
      <c r="BU13" s="15">
        <f t="shared" si="84"/>
        <v>116</v>
      </c>
      <c r="BV13" s="15">
        <f t="shared" si="84"/>
        <v>116</v>
      </c>
      <c r="BW13" s="16">
        <f>AVERAGE(BK13:BV13)</f>
        <v>116.33333333333333</v>
      </c>
      <c r="BX13" s="17" t="s">
        <v>21</v>
      </c>
      <c r="BY13" s="15">
        <f t="shared" ref="BY13:CK13" si="85">SUM(BY10:BY12)</f>
        <v>0</v>
      </c>
      <c r="BZ13" s="15">
        <f t="shared" si="85"/>
        <v>19</v>
      </c>
      <c r="CA13" s="15">
        <f t="shared" si="85"/>
        <v>19</v>
      </c>
      <c r="CB13" s="15">
        <f t="shared" si="85"/>
        <v>19</v>
      </c>
      <c r="CC13" s="15">
        <f t="shared" si="85"/>
        <v>20</v>
      </c>
      <c r="CD13" s="15">
        <f t="shared" si="85"/>
        <v>20</v>
      </c>
      <c r="CE13" s="15">
        <f t="shared" si="85"/>
        <v>20</v>
      </c>
      <c r="CF13" s="15">
        <f t="shared" si="85"/>
        <v>20</v>
      </c>
      <c r="CG13" s="15">
        <f t="shared" si="85"/>
        <v>20</v>
      </c>
      <c r="CH13" s="15">
        <f t="shared" si="85"/>
        <v>20</v>
      </c>
      <c r="CI13" s="15">
        <f t="shared" si="85"/>
        <v>19</v>
      </c>
      <c r="CJ13" s="15">
        <f t="shared" si="85"/>
        <v>19</v>
      </c>
      <c r="CK13" s="15">
        <f t="shared" si="85"/>
        <v>19</v>
      </c>
      <c r="CL13" s="18">
        <f>AVERAGE(BZ13:CK13)</f>
        <v>19.5</v>
      </c>
      <c r="CN13" s="15">
        <f t="shared" ref="CN13:CY13" si="86">SUM(CN10:CN12)</f>
        <v>1978</v>
      </c>
      <c r="CO13" s="15">
        <f t="shared" si="86"/>
        <v>1990</v>
      </c>
      <c r="CP13" s="15">
        <f t="shared" si="86"/>
        <v>2024</v>
      </c>
      <c r="CQ13" s="15">
        <f t="shared" si="86"/>
        <v>1978</v>
      </c>
      <c r="CR13" s="15">
        <f t="shared" si="86"/>
        <v>1972</v>
      </c>
      <c r="CS13" s="15">
        <f t="shared" si="86"/>
        <v>1950</v>
      </c>
      <c r="CT13" s="15">
        <f t="shared" si="86"/>
        <v>1950</v>
      </c>
      <c r="CU13" s="15">
        <f t="shared" si="86"/>
        <v>1950</v>
      </c>
      <c r="CV13" s="15">
        <f t="shared" si="86"/>
        <v>1944</v>
      </c>
      <c r="CW13" s="15">
        <f t="shared" si="86"/>
        <v>1930</v>
      </c>
      <c r="CX13" s="15">
        <f t="shared" si="86"/>
        <v>1928</v>
      </c>
      <c r="CY13" s="15">
        <f t="shared" si="86"/>
        <v>1925</v>
      </c>
      <c r="CZ13" s="18">
        <f>AVERAGE(CN13:CY13)</f>
        <v>1959.9166666666667</v>
      </c>
      <c r="DA13" s="15">
        <f t="shared" ref="DA13:DL13" si="87">SUM(DA10:DA12)</f>
        <v>1560.5</v>
      </c>
      <c r="DB13" s="15">
        <f t="shared" si="87"/>
        <v>1572.5</v>
      </c>
      <c r="DC13" s="15">
        <f t="shared" si="87"/>
        <v>1612.5</v>
      </c>
      <c r="DD13" s="15">
        <f t="shared" si="87"/>
        <v>1566.5</v>
      </c>
      <c r="DE13" s="15">
        <f t="shared" si="87"/>
        <v>1560.5</v>
      </c>
      <c r="DF13" s="15">
        <f t="shared" si="87"/>
        <v>1538.5</v>
      </c>
      <c r="DG13" s="15">
        <f t="shared" si="87"/>
        <v>1538.5</v>
      </c>
      <c r="DH13" s="15">
        <f t="shared" si="87"/>
        <v>1538.5</v>
      </c>
      <c r="DI13" s="15">
        <f t="shared" si="87"/>
        <v>1532.5</v>
      </c>
      <c r="DJ13" s="15">
        <f t="shared" si="87"/>
        <v>1518.5</v>
      </c>
      <c r="DK13" s="15">
        <f t="shared" si="87"/>
        <v>1516.5</v>
      </c>
      <c r="DL13" s="15">
        <f t="shared" si="87"/>
        <v>1513.5</v>
      </c>
      <c r="DM13" s="18">
        <f>AVERAGE(DA13:DL13)</f>
        <v>1547.4166666666667</v>
      </c>
      <c r="DN13" s="15">
        <f t="shared" ref="DN13:DY13" si="88">SUM(DN10:DN12)</f>
        <v>314.5</v>
      </c>
      <c r="DO13" s="15">
        <f t="shared" si="88"/>
        <v>314.5</v>
      </c>
      <c r="DP13" s="15">
        <f t="shared" si="88"/>
        <v>314.5</v>
      </c>
      <c r="DQ13" s="15">
        <f t="shared" si="88"/>
        <v>314.5</v>
      </c>
      <c r="DR13" s="15">
        <f t="shared" si="88"/>
        <v>314.5</v>
      </c>
      <c r="DS13" s="15">
        <f t="shared" si="88"/>
        <v>314.5</v>
      </c>
      <c r="DT13" s="15">
        <f t="shared" si="88"/>
        <v>314.5</v>
      </c>
      <c r="DU13" s="15">
        <f t="shared" si="88"/>
        <v>314.5</v>
      </c>
      <c r="DV13" s="15">
        <f t="shared" si="88"/>
        <v>314.5</v>
      </c>
      <c r="DW13" s="15">
        <f t="shared" si="88"/>
        <v>314.5</v>
      </c>
      <c r="DX13" s="15">
        <f t="shared" si="88"/>
        <v>314.5</v>
      </c>
      <c r="DY13" s="15">
        <f t="shared" si="88"/>
        <v>314.5</v>
      </c>
      <c r="DZ13" s="64">
        <f>AVERAGE(DN13:DY13)</f>
        <v>314.5</v>
      </c>
      <c r="EA13" s="15">
        <f t="shared" ref="EA13:EL13" si="89">SUM(EA10:EA12)</f>
        <v>103</v>
      </c>
      <c r="EB13" s="15">
        <f t="shared" si="89"/>
        <v>103</v>
      </c>
      <c r="EC13" s="15">
        <f t="shared" si="89"/>
        <v>97</v>
      </c>
      <c r="ED13" s="15">
        <f t="shared" si="89"/>
        <v>97</v>
      </c>
      <c r="EE13" s="15">
        <f t="shared" si="89"/>
        <v>97</v>
      </c>
      <c r="EF13" s="15">
        <f t="shared" si="89"/>
        <v>97</v>
      </c>
      <c r="EG13" s="15">
        <f t="shared" si="89"/>
        <v>97</v>
      </c>
      <c r="EH13" s="15">
        <f t="shared" si="89"/>
        <v>97</v>
      </c>
      <c r="EI13" s="15">
        <f t="shared" si="89"/>
        <v>97</v>
      </c>
      <c r="EJ13" s="15">
        <f t="shared" si="89"/>
        <v>97</v>
      </c>
      <c r="EK13" s="15">
        <f t="shared" si="89"/>
        <v>97</v>
      </c>
      <c r="EL13" s="15">
        <f t="shared" si="89"/>
        <v>97</v>
      </c>
      <c r="EM13" s="64">
        <f>AVERAGE(EA13:EL13)</f>
        <v>98</v>
      </c>
      <c r="FO13" s="15">
        <f t="shared" ref="FO13:FZ13" si="90">SUM(FO10:FO12)</f>
        <v>2097</v>
      </c>
      <c r="FP13" s="15">
        <f t="shared" si="90"/>
        <v>2086</v>
      </c>
      <c r="FQ13" s="15">
        <f t="shared" si="90"/>
        <v>2085</v>
      </c>
      <c r="FR13" s="15">
        <f t="shared" si="90"/>
        <v>2082</v>
      </c>
      <c r="FS13" s="15">
        <f t="shared" si="90"/>
        <v>2080</v>
      </c>
      <c r="FT13" s="15">
        <f t="shared" si="90"/>
        <v>2076</v>
      </c>
      <c r="FU13" s="15">
        <f t="shared" si="90"/>
        <v>2018</v>
      </c>
      <c r="FV13" s="15">
        <f t="shared" si="90"/>
        <v>2018</v>
      </c>
      <c r="FW13" s="15">
        <f t="shared" si="90"/>
        <v>2005</v>
      </c>
      <c r="FX13" s="15">
        <f t="shared" si="90"/>
        <v>2003</v>
      </c>
      <c r="FY13" s="15">
        <f t="shared" si="90"/>
        <v>1976</v>
      </c>
      <c r="FZ13" s="15">
        <f t="shared" si="90"/>
        <v>1996</v>
      </c>
      <c r="GA13" s="18">
        <f>AVERAGE(FO13:FZ13)</f>
        <v>2043.5</v>
      </c>
      <c r="GB13" s="15">
        <f t="shared" ref="GB13:GM13" si="91">SUM(GB10:GB12)</f>
        <v>1595</v>
      </c>
      <c r="GC13" s="15">
        <f t="shared" si="91"/>
        <v>1584</v>
      </c>
      <c r="GD13" s="15">
        <f t="shared" si="91"/>
        <v>1583</v>
      </c>
      <c r="GE13" s="15">
        <f t="shared" si="91"/>
        <v>1580</v>
      </c>
      <c r="GF13" s="15">
        <f t="shared" si="91"/>
        <v>1578</v>
      </c>
      <c r="GG13" s="15">
        <f t="shared" si="91"/>
        <v>1574</v>
      </c>
      <c r="GH13" s="15">
        <f t="shared" si="91"/>
        <v>1516</v>
      </c>
      <c r="GI13" s="15">
        <f t="shared" si="91"/>
        <v>1516</v>
      </c>
      <c r="GJ13" s="15">
        <f t="shared" si="91"/>
        <v>1503</v>
      </c>
      <c r="GK13" s="15">
        <f t="shared" si="91"/>
        <v>1501</v>
      </c>
      <c r="GL13" s="15">
        <f t="shared" si="91"/>
        <v>1474</v>
      </c>
      <c r="GM13" s="15">
        <f t="shared" si="91"/>
        <v>1494</v>
      </c>
      <c r="GN13" s="18">
        <f>AVERAGE(GB13:GM13)</f>
        <v>1541.5</v>
      </c>
      <c r="GO13" s="15">
        <f t="shared" ref="GO13:GZ13" si="92">SUM(GO10:GO12)</f>
        <v>407</v>
      </c>
      <c r="GP13" s="15">
        <f t="shared" si="92"/>
        <v>407</v>
      </c>
      <c r="GQ13" s="15">
        <f t="shared" si="92"/>
        <v>407</v>
      </c>
      <c r="GR13" s="15">
        <f t="shared" si="92"/>
        <v>407</v>
      </c>
      <c r="GS13" s="15">
        <f t="shared" si="92"/>
        <v>407</v>
      </c>
      <c r="GT13" s="15">
        <f t="shared" si="92"/>
        <v>407</v>
      </c>
      <c r="GU13" s="15">
        <f t="shared" si="92"/>
        <v>407</v>
      </c>
      <c r="GV13" s="15">
        <f t="shared" si="92"/>
        <v>407</v>
      </c>
      <c r="GW13" s="15">
        <f t="shared" si="92"/>
        <v>407</v>
      </c>
      <c r="GX13" s="15">
        <f t="shared" si="92"/>
        <v>407</v>
      </c>
      <c r="GY13" s="15">
        <f t="shared" si="92"/>
        <v>407</v>
      </c>
      <c r="GZ13" s="15">
        <f t="shared" si="92"/>
        <v>407</v>
      </c>
      <c r="HA13" s="64">
        <f>AVERAGE(GO13:GZ13)</f>
        <v>407</v>
      </c>
      <c r="HB13" s="15">
        <f t="shared" ref="HB13:HM13" si="93">SUM(HB10:HB12)</f>
        <v>95</v>
      </c>
      <c r="HC13" s="15">
        <f t="shared" si="93"/>
        <v>95</v>
      </c>
      <c r="HD13" s="15">
        <f t="shared" si="93"/>
        <v>95</v>
      </c>
      <c r="HE13" s="15">
        <f t="shared" si="93"/>
        <v>95</v>
      </c>
      <c r="HF13" s="15">
        <f t="shared" si="93"/>
        <v>95</v>
      </c>
      <c r="HG13" s="15">
        <f t="shared" si="93"/>
        <v>95</v>
      </c>
      <c r="HH13" s="15">
        <f t="shared" si="93"/>
        <v>95</v>
      </c>
      <c r="HI13" s="15">
        <f t="shared" si="93"/>
        <v>95</v>
      </c>
      <c r="HJ13" s="15">
        <f t="shared" si="93"/>
        <v>95</v>
      </c>
      <c r="HK13" s="15">
        <f t="shared" si="93"/>
        <v>95</v>
      </c>
      <c r="HL13" s="15">
        <f t="shared" si="93"/>
        <v>95</v>
      </c>
      <c r="HM13" s="15">
        <f t="shared" si="93"/>
        <v>95</v>
      </c>
      <c r="HN13" s="64">
        <f>AVERAGE(HB13:HM13)</f>
        <v>95</v>
      </c>
      <c r="HP13" s="15">
        <f t="shared" ref="HP13:JO13" si="94">SUM(HP10:HP12)</f>
        <v>2115</v>
      </c>
      <c r="HQ13" s="15">
        <f t="shared" si="94"/>
        <v>2158</v>
      </c>
      <c r="HR13" s="15">
        <f t="shared" si="94"/>
        <v>2147</v>
      </c>
      <c r="HS13" s="15">
        <f t="shared" si="94"/>
        <v>2136.5</v>
      </c>
      <c r="HT13" s="15">
        <f t="shared" si="94"/>
        <v>2144.5</v>
      </c>
      <c r="HU13" s="15">
        <f t="shared" si="94"/>
        <v>2151.5</v>
      </c>
      <c r="HV13" s="15">
        <f t="shared" si="94"/>
        <v>2142.5</v>
      </c>
      <c r="HW13" s="15">
        <f t="shared" si="94"/>
        <v>2099.625</v>
      </c>
      <c r="HX13" s="15">
        <f t="shared" si="94"/>
        <v>2095.625</v>
      </c>
      <c r="HY13" s="15">
        <f t="shared" si="94"/>
        <v>2092.625</v>
      </c>
      <c r="HZ13" s="15">
        <f t="shared" si="94"/>
        <v>2092.40625</v>
      </c>
      <c r="IA13" s="15">
        <f t="shared" si="94"/>
        <v>2070.5062499999999</v>
      </c>
      <c r="IB13" s="15">
        <f t="shared" si="94"/>
        <v>2120.4822916666667</v>
      </c>
      <c r="IC13" s="15">
        <f t="shared" si="94"/>
        <v>1635.3333333333333</v>
      </c>
      <c r="ID13" s="15">
        <f t="shared" si="94"/>
        <v>1656.3333333333333</v>
      </c>
      <c r="IE13" s="15">
        <f t="shared" si="94"/>
        <v>1663.3333333333333</v>
      </c>
      <c r="IF13" s="15">
        <f t="shared" si="94"/>
        <v>1649.3333333333333</v>
      </c>
      <c r="IG13" s="15">
        <f t="shared" si="94"/>
        <v>1645.3333333333333</v>
      </c>
      <c r="IH13" s="15">
        <f t="shared" si="94"/>
        <v>1652.3333333333333</v>
      </c>
      <c r="II13" s="15">
        <f t="shared" si="94"/>
        <v>1649.3333333333333</v>
      </c>
      <c r="IJ13" s="15">
        <f t="shared" si="94"/>
        <v>1651.4583333333333</v>
      </c>
      <c r="IK13" s="15">
        <f t="shared" si="94"/>
        <v>1646.4583333333333</v>
      </c>
      <c r="IL13" s="15">
        <f t="shared" si="94"/>
        <v>1643.4583333333333</v>
      </c>
      <c r="IM13" s="15">
        <f t="shared" si="94"/>
        <v>1643.2395833333333</v>
      </c>
      <c r="IN13" s="15">
        <f t="shared" si="94"/>
        <v>1643.239583333333</v>
      </c>
      <c r="IO13" s="15">
        <f t="shared" si="94"/>
        <v>1648.265625</v>
      </c>
      <c r="IP13" s="15">
        <f t="shared" si="94"/>
        <v>374.66666666666669</v>
      </c>
      <c r="IQ13" s="15">
        <f t="shared" si="94"/>
        <v>396.66666666666669</v>
      </c>
      <c r="IR13" s="15">
        <f t="shared" si="94"/>
        <v>378.66666666666669</v>
      </c>
      <c r="IS13" s="15">
        <f t="shared" si="94"/>
        <v>382.16666666666669</v>
      </c>
      <c r="IT13" s="15">
        <f t="shared" si="94"/>
        <v>394.16666666666669</v>
      </c>
      <c r="IU13" s="15">
        <f t="shared" si="94"/>
        <v>394.16666666666669</v>
      </c>
      <c r="IV13" s="15">
        <f t="shared" si="94"/>
        <v>388.16666666666669</v>
      </c>
      <c r="IW13" s="15">
        <f t="shared" si="94"/>
        <v>343.16666666666669</v>
      </c>
      <c r="IX13" s="15">
        <f t="shared" si="94"/>
        <v>344.16666666666669</v>
      </c>
      <c r="IY13" s="15">
        <f t="shared" si="94"/>
        <v>344.16666666666669</v>
      </c>
      <c r="IZ13" s="15">
        <f t="shared" si="94"/>
        <v>344.16666666666669</v>
      </c>
      <c r="JA13" s="15">
        <f t="shared" si="94"/>
        <v>322.26666666666671</v>
      </c>
      <c r="JB13" s="15">
        <f t="shared" si="94"/>
        <v>367.2166666666667</v>
      </c>
      <c r="JC13" s="15">
        <f t="shared" si="94"/>
        <v>105</v>
      </c>
      <c r="JD13" s="15">
        <f t="shared" si="94"/>
        <v>105</v>
      </c>
      <c r="JE13" s="15">
        <f t="shared" si="94"/>
        <v>105</v>
      </c>
      <c r="JF13" s="15">
        <f t="shared" si="94"/>
        <v>105</v>
      </c>
      <c r="JG13" s="15">
        <f t="shared" si="94"/>
        <v>105</v>
      </c>
      <c r="JH13" s="15">
        <f t="shared" si="94"/>
        <v>105</v>
      </c>
      <c r="JI13" s="15">
        <f t="shared" si="94"/>
        <v>105</v>
      </c>
      <c r="JJ13" s="15">
        <f t="shared" si="94"/>
        <v>105</v>
      </c>
      <c r="JK13" s="15">
        <f t="shared" si="94"/>
        <v>105</v>
      </c>
      <c r="JL13" s="15">
        <f t="shared" si="94"/>
        <v>105</v>
      </c>
      <c r="JM13" s="15">
        <f t="shared" si="94"/>
        <v>105</v>
      </c>
      <c r="JN13" s="15">
        <f t="shared" si="94"/>
        <v>105</v>
      </c>
      <c r="JO13" s="15">
        <f t="shared" si="94"/>
        <v>105</v>
      </c>
    </row>
    <row r="14" spans="1:275">
      <c r="FR14" s="58">
        <f>'[16]Main Sheet'!$BT$8-FR13</f>
        <v>0</v>
      </c>
      <c r="IW14" s="41"/>
    </row>
    <row r="15" spans="1:275" ht="15.75" thickBot="1">
      <c r="A15" s="2" t="s">
        <v>40</v>
      </c>
      <c r="P15" s="2" t="s">
        <v>13</v>
      </c>
      <c r="AE15" s="2" t="s">
        <v>42</v>
      </c>
      <c r="AT15" s="2" t="s">
        <v>41</v>
      </c>
      <c r="CN15" s="2" t="s">
        <v>54</v>
      </c>
      <c r="DA15" s="2" t="s">
        <v>13</v>
      </c>
      <c r="DN15" s="29" t="s">
        <v>94</v>
      </c>
      <c r="EA15" s="29" t="s">
        <v>41</v>
      </c>
      <c r="FO15" s="2" t="s">
        <v>54</v>
      </c>
      <c r="GA15" s="58">
        <f>GA19-HN19</f>
        <v>742.16666666666663</v>
      </c>
      <c r="GB15" s="2" t="s">
        <v>13</v>
      </c>
      <c r="GO15" s="29" t="s">
        <v>94</v>
      </c>
      <c r="HB15" s="29" t="s">
        <v>41</v>
      </c>
      <c r="HP15" s="2" t="s">
        <v>54</v>
      </c>
      <c r="HZ15" s="41"/>
      <c r="IC15" s="2" t="s">
        <v>13</v>
      </c>
      <c r="ID15" s="3"/>
      <c r="IE15" s="3"/>
      <c r="IF15" s="3"/>
      <c r="IG15" s="3"/>
      <c r="IH15" s="58"/>
      <c r="II15" s="58"/>
      <c r="IJ15" s="58"/>
      <c r="IK15" s="58"/>
      <c r="IL15" s="3"/>
      <c r="IM15" s="3"/>
      <c r="IN15" s="3"/>
      <c r="IO15" s="3"/>
      <c r="IP15" s="29" t="s">
        <v>94</v>
      </c>
      <c r="IX15" s="41"/>
      <c r="IY15" s="41"/>
      <c r="IZ15" s="41"/>
      <c r="JA15" s="41"/>
      <c r="JB15" s="41"/>
      <c r="JC15" s="29" t="s">
        <v>41</v>
      </c>
    </row>
    <row r="16" spans="1:275">
      <c r="A16" s="8" t="s">
        <v>17</v>
      </c>
      <c r="B16" s="9" t="s">
        <v>6</v>
      </c>
      <c r="C16" s="9" t="s">
        <v>22</v>
      </c>
      <c r="D16" s="9" t="s">
        <v>23</v>
      </c>
      <c r="E16" s="9" t="s">
        <v>24</v>
      </c>
      <c r="F16" s="9" t="s">
        <v>25</v>
      </c>
      <c r="G16" s="9" t="s">
        <v>26</v>
      </c>
      <c r="H16" s="9" t="s">
        <v>27</v>
      </c>
      <c r="I16" s="9" t="s">
        <v>28</v>
      </c>
      <c r="J16" s="9" t="s">
        <v>29</v>
      </c>
      <c r="K16" s="9" t="s">
        <v>30</v>
      </c>
      <c r="L16" s="9" t="s">
        <v>31</v>
      </c>
      <c r="M16" s="9" t="s">
        <v>32</v>
      </c>
      <c r="N16" s="9" t="s">
        <v>33</v>
      </c>
      <c r="O16" s="9" t="s">
        <v>7</v>
      </c>
      <c r="P16" s="10" t="s">
        <v>17</v>
      </c>
      <c r="Q16" s="9" t="s">
        <v>6</v>
      </c>
      <c r="R16" s="9" t="s">
        <v>22</v>
      </c>
      <c r="S16" s="9" t="s">
        <v>23</v>
      </c>
      <c r="T16" s="9" t="s">
        <v>24</v>
      </c>
      <c r="U16" s="9" t="s">
        <v>25</v>
      </c>
      <c r="V16" s="9" t="s">
        <v>26</v>
      </c>
      <c r="W16" s="9" t="s">
        <v>27</v>
      </c>
      <c r="X16" s="9" t="s">
        <v>28</v>
      </c>
      <c r="Y16" s="9" t="s">
        <v>29</v>
      </c>
      <c r="Z16" s="9" t="s">
        <v>30</v>
      </c>
      <c r="AA16" s="9" t="s">
        <v>31</v>
      </c>
      <c r="AB16" s="9" t="s">
        <v>32</v>
      </c>
      <c r="AC16" s="9" t="s">
        <v>33</v>
      </c>
      <c r="AD16" s="9" t="s">
        <v>7</v>
      </c>
      <c r="AE16" s="10" t="s">
        <v>17</v>
      </c>
      <c r="AF16" s="9" t="s">
        <v>6</v>
      </c>
      <c r="AG16" s="9" t="s">
        <v>22</v>
      </c>
      <c r="AH16" s="9" t="s">
        <v>23</v>
      </c>
      <c r="AI16" s="9" t="s">
        <v>24</v>
      </c>
      <c r="AJ16" s="9" t="s">
        <v>25</v>
      </c>
      <c r="AK16" s="9" t="s">
        <v>26</v>
      </c>
      <c r="AL16" s="9" t="s">
        <v>27</v>
      </c>
      <c r="AM16" s="9" t="s">
        <v>28</v>
      </c>
      <c r="AN16" s="9" t="s">
        <v>29</v>
      </c>
      <c r="AO16" s="9" t="s">
        <v>30</v>
      </c>
      <c r="AP16" s="9" t="s">
        <v>31</v>
      </c>
      <c r="AQ16" s="9" t="s">
        <v>32</v>
      </c>
      <c r="AR16" s="9" t="s">
        <v>33</v>
      </c>
      <c r="AS16" s="9" t="s">
        <v>7</v>
      </c>
      <c r="AT16" s="10" t="s">
        <v>17</v>
      </c>
      <c r="AU16" s="9" t="s">
        <v>6</v>
      </c>
      <c r="AV16" s="9" t="s">
        <v>22</v>
      </c>
      <c r="AW16" s="9" t="s">
        <v>23</v>
      </c>
      <c r="AX16" s="9" t="s">
        <v>24</v>
      </c>
      <c r="AY16" s="9" t="s">
        <v>25</v>
      </c>
      <c r="AZ16" s="9" t="s">
        <v>26</v>
      </c>
      <c r="BA16" s="9" t="s">
        <v>27</v>
      </c>
      <c r="BB16" s="9" t="s">
        <v>28</v>
      </c>
      <c r="BC16" s="9" t="s">
        <v>29</v>
      </c>
      <c r="BD16" s="9" t="s">
        <v>30</v>
      </c>
      <c r="BE16" s="9" t="s">
        <v>31</v>
      </c>
      <c r="BF16" s="9" t="s">
        <v>32</v>
      </c>
      <c r="BG16" s="9" t="s">
        <v>33</v>
      </c>
      <c r="BH16" s="9" t="s">
        <v>7</v>
      </c>
      <c r="CN16" s="57" t="s">
        <v>81</v>
      </c>
      <c r="CO16" s="57" t="s">
        <v>82</v>
      </c>
      <c r="CP16" s="57" t="s">
        <v>83</v>
      </c>
      <c r="CQ16" s="57" t="s">
        <v>84</v>
      </c>
      <c r="CR16" s="57" t="s">
        <v>85</v>
      </c>
      <c r="CS16" s="57" t="s">
        <v>86</v>
      </c>
      <c r="CT16" s="57" t="s">
        <v>87</v>
      </c>
      <c r="CU16" s="57" t="s">
        <v>88</v>
      </c>
      <c r="CV16" s="57" t="s">
        <v>89</v>
      </c>
      <c r="CW16" s="57" t="s">
        <v>90</v>
      </c>
      <c r="CX16" s="57" t="s">
        <v>91</v>
      </c>
      <c r="CY16" s="57" t="s">
        <v>92</v>
      </c>
      <c r="CZ16" s="57" t="s">
        <v>93</v>
      </c>
      <c r="DA16" s="57" t="s">
        <v>81</v>
      </c>
      <c r="DB16" s="57" t="s">
        <v>82</v>
      </c>
      <c r="DC16" s="57" t="s">
        <v>83</v>
      </c>
      <c r="DD16" s="57" t="s">
        <v>84</v>
      </c>
      <c r="DE16" s="57" t="s">
        <v>85</v>
      </c>
      <c r="DF16" s="57" t="s">
        <v>86</v>
      </c>
      <c r="DG16" s="57" t="s">
        <v>87</v>
      </c>
      <c r="DH16" s="57" t="s">
        <v>88</v>
      </c>
      <c r="DI16" s="57" t="s">
        <v>89</v>
      </c>
      <c r="DJ16" s="57" t="s">
        <v>90</v>
      </c>
      <c r="DK16" s="57" t="s">
        <v>91</v>
      </c>
      <c r="DL16" s="57" t="s">
        <v>92</v>
      </c>
      <c r="DM16" s="57" t="s">
        <v>93</v>
      </c>
      <c r="DN16" s="57" t="s">
        <v>81</v>
      </c>
      <c r="DO16" s="57" t="s">
        <v>82</v>
      </c>
      <c r="DP16" s="57" t="s">
        <v>83</v>
      </c>
      <c r="DQ16" s="57" t="s">
        <v>84</v>
      </c>
      <c r="DR16" s="57" t="s">
        <v>85</v>
      </c>
      <c r="DS16" s="57" t="s">
        <v>86</v>
      </c>
      <c r="DT16" s="57" t="s">
        <v>87</v>
      </c>
      <c r="DU16" s="57" t="s">
        <v>88</v>
      </c>
      <c r="DV16" s="57" t="s">
        <v>89</v>
      </c>
      <c r="DW16" s="57" t="s">
        <v>90</v>
      </c>
      <c r="DX16" s="57" t="s">
        <v>91</v>
      </c>
      <c r="DY16" s="57" t="s">
        <v>92</v>
      </c>
      <c r="DZ16" s="57" t="s">
        <v>93</v>
      </c>
      <c r="EA16" s="57" t="s">
        <v>81</v>
      </c>
      <c r="EB16" s="57" t="s">
        <v>82</v>
      </c>
      <c r="EC16" s="57" t="s">
        <v>83</v>
      </c>
      <c r="ED16" s="57" t="s">
        <v>84</v>
      </c>
      <c r="EE16" s="57" t="s">
        <v>85</v>
      </c>
      <c r="EF16" s="57" t="s">
        <v>86</v>
      </c>
      <c r="EG16" s="57" t="s">
        <v>87</v>
      </c>
      <c r="EH16" s="57" t="s">
        <v>88</v>
      </c>
      <c r="EI16" s="57" t="s">
        <v>89</v>
      </c>
      <c r="EJ16" s="57" t="s">
        <v>90</v>
      </c>
      <c r="EK16" s="57" t="s">
        <v>91</v>
      </c>
      <c r="EL16" s="57" t="s">
        <v>92</v>
      </c>
      <c r="EM16" s="57" t="s">
        <v>93</v>
      </c>
      <c r="FO16" s="57" t="s">
        <v>104</v>
      </c>
      <c r="FP16" s="57" t="s">
        <v>105</v>
      </c>
      <c r="FQ16" s="57" t="s">
        <v>106</v>
      </c>
      <c r="FR16" s="57" t="s">
        <v>107</v>
      </c>
      <c r="FS16" s="57" t="s">
        <v>108</v>
      </c>
      <c r="FT16" s="57" t="s">
        <v>109</v>
      </c>
      <c r="FU16" s="57" t="s">
        <v>110</v>
      </c>
      <c r="FV16" s="57" t="s">
        <v>111</v>
      </c>
      <c r="FW16" s="57" t="s">
        <v>112</v>
      </c>
      <c r="FX16" s="57" t="s">
        <v>113</v>
      </c>
      <c r="FY16" s="57" t="s">
        <v>114</v>
      </c>
      <c r="FZ16" s="57" t="s">
        <v>115</v>
      </c>
      <c r="GA16" s="57" t="s">
        <v>116</v>
      </c>
      <c r="GB16" s="57" t="s">
        <v>104</v>
      </c>
      <c r="GC16" s="57" t="s">
        <v>105</v>
      </c>
      <c r="GD16" s="57" t="s">
        <v>106</v>
      </c>
      <c r="GE16" s="57" t="s">
        <v>107</v>
      </c>
      <c r="GF16" s="57" t="s">
        <v>108</v>
      </c>
      <c r="GG16" s="57" t="s">
        <v>109</v>
      </c>
      <c r="GH16" s="57" t="s">
        <v>110</v>
      </c>
      <c r="GI16" s="57" t="s">
        <v>111</v>
      </c>
      <c r="GJ16" s="57" t="s">
        <v>112</v>
      </c>
      <c r="GK16" s="57" t="s">
        <v>113</v>
      </c>
      <c r="GL16" s="57" t="s">
        <v>114</v>
      </c>
      <c r="GM16" s="57" t="s">
        <v>115</v>
      </c>
      <c r="GN16" s="57" t="s">
        <v>116</v>
      </c>
      <c r="GO16" s="57" t="s">
        <v>104</v>
      </c>
      <c r="GP16" s="57" t="s">
        <v>105</v>
      </c>
      <c r="GQ16" s="57" t="s">
        <v>106</v>
      </c>
      <c r="GR16" s="57" t="s">
        <v>107</v>
      </c>
      <c r="GS16" s="57" t="s">
        <v>108</v>
      </c>
      <c r="GT16" s="57" t="s">
        <v>109</v>
      </c>
      <c r="GU16" s="57" t="s">
        <v>110</v>
      </c>
      <c r="GV16" s="57" t="s">
        <v>111</v>
      </c>
      <c r="GW16" s="57" t="s">
        <v>112</v>
      </c>
      <c r="GX16" s="57" t="s">
        <v>113</v>
      </c>
      <c r="GY16" s="57" t="s">
        <v>114</v>
      </c>
      <c r="GZ16" s="57" t="s">
        <v>115</v>
      </c>
      <c r="HA16" s="57" t="s">
        <v>116</v>
      </c>
      <c r="HB16" s="57" t="s">
        <v>104</v>
      </c>
      <c r="HC16" s="57" t="s">
        <v>105</v>
      </c>
      <c r="HD16" s="57" t="s">
        <v>106</v>
      </c>
      <c r="HE16" s="57" t="s">
        <v>107</v>
      </c>
      <c r="HF16" s="57" t="s">
        <v>108</v>
      </c>
      <c r="HG16" s="57" t="s">
        <v>109</v>
      </c>
      <c r="HH16" s="57" t="s">
        <v>110</v>
      </c>
      <c r="HI16" s="57" t="s">
        <v>111</v>
      </c>
      <c r="HJ16" s="57" t="s">
        <v>112</v>
      </c>
      <c r="HK16" s="57" t="s">
        <v>113</v>
      </c>
      <c r="HL16" s="57" t="s">
        <v>114</v>
      </c>
      <c r="HM16" s="57" t="s">
        <v>115</v>
      </c>
      <c r="HN16" s="57" t="s">
        <v>116</v>
      </c>
      <c r="HP16" s="98" t="s">
        <v>127</v>
      </c>
      <c r="HQ16" s="98" t="s">
        <v>128</v>
      </c>
      <c r="HR16" s="99" t="s">
        <v>129</v>
      </c>
      <c r="HS16" s="99" t="s">
        <v>130</v>
      </c>
      <c r="HT16" s="99" t="s">
        <v>131</v>
      </c>
      <c r="HU16" s="99" t="s">
        <v>132</v>
      </c>
      <c r="HV16" s="99" t="s">
        <v>133</v>
      </c>
      <c r="HW16" s="99" t="s">
        <v>134</v>
      </c>
      <c r="HX16" s="99" t="s">
        <v>135</v>
      </c>
      <c r="HY16" s="99" t="s">
        <v>136</v>
      </c>
      <c r="HZ16" s="99" t="s">
        <v>137</v>
      </c>
      <c r="IA16" s="99" t="s">
        <v>138</v>
      </c>
      <c r="IB16" s="99" t="s">
        <v>139</v>
      </c>
      <c r="IC16" s="98" t="s">
        <v>127</v>
      </c>
      <c r="ID16" s="98" t="s">
        <v>128</v>
      </c>
      <c r="IE16" s="99" t="s">
        <v>129</v>
      </c>
      <c r="IF16" s="99" t="s">
        <v>130</v>
      </c>
      <c r="IG16" s="99" t="s">
        <v>131</v>
      </c>
      <c r="IH16" s="99" t="s">
        <v>132</v>
      </c>
      <c r="II16" s="99" t="s">
        <v>133</v>
      </c>
      <c r="IJ16" s="99" t="s">
        <v>134</v>
      </c>
      <c r="IK16" s="99" t="s">
        <v>135</v>
      </c>
      <c r="IL16" s="99" t="s">
        <v>136</v>
      </c>
      <c r="IM16" s="99" t="s">
        <v>137</v>
      </c>
      <c r="IN16" s="99" t="s">
        <v>138</v>
      </c>
      <c r="IO16" s="99" t="s">
        <v>139</v>
      </c>
      <c r="IP16" s="98" t="s">
        <v>127</v>
      </c>
      <c r="IQ16" s="98" t="s">
        <v>128</v>
      </c>
      <c r="IR16" s="99" t="s">
        <v>129</v>
      </c>
      <c r="IS16" s="99" t="s">
        <v>130</v>
      </c>
      <c r="IT16" s="99" t="s">
        <v>131</v>
      </c>
      <c r="IU16" s="99" t="s">
        <v>132</v>
      </c>
      <c r="IV16" s="99" t="s">
        <v>133</v>
      </c>
      <c r="IW16" s="99" t="s">
        <v>134</v>
      </c>
      <c r="IX16" s="99" t="s">
        <v>135</v>
      </c>
      <c r="IY16" s="99" t="s">
        <v>136</v>
      </c>
      <c r="IZ16" s="99" t="s">
        <v>137</v>
      </c>
      <c r="JA16" s="99" t="s">
        <v>138</v>
      </c>
      <c r="JB16" s="99" t="s">
        <v>139</v>
      </c>
      <c r="JC16" s="98" t="s">
        <v>127</v>
      </c>
      <c r="JD16" s="98" t="s">
        <v>128</v>
      </c>
      <c r="JE16" s="99" t="s">
        <v>129</v>
      </c>
      <c r="JF16" s="99" t="s">
        <v>130</v>
      </c>
      <c r="JG16" s="99" t="s">
        <v>131</v>
      </c>
      <c r="JH16" s="99" t="s">
        <v>132</v>
      </c>
      <c r="JI16" s="99" t="s">
        <v>133</v>
      </c>
      <c r="JJ16" s="99" t="s">
        <v>134</v>
      </c>
      <c r="JK16" s="99" t="s">
        <v>135</v>
      </c>
      <c r="JL16" s="99" t="s">
        <v>136</v>
      </c>
      <c r="JM16" s="99" t="s">
        <v>137</v>
      </c>
      <c r="JN16" s="99" t="s">
        <v>138</v>
      </c>
      <c r="JO16" s="99" t="s">
        <v>139</v>
      </c>
    </row>
    <row r="17" spans="1:275">
      <c r="A17" s="12" t="s">
        <v>18</v>
      </c>
      <c r="B17" s="5">
        <f>SUM(Q17,AF17,AU17,BJ17,BY17)</f>
        <v>173.5</v>
      </c>
      <c r="C17" s="5">
        <f t="shared" ref="C17:N19" si="95">SUM(R17,AG17,AV17,BK17,BZ17)</f>
        <v>173</v>
      </c>
      <c r="D17" s="5">
        <f t="shared" si="95"/>
        <v>174</v>
      </c>
      <c r="E17" s="5">
        <f t="shared" si="95"/>
        <v>172</v>
      </c>
      <c r="F17" s="5">
        <f t="shared" si="95"/>
        <v>181</v>
      </c>
      <c r="G17" s="5">
        <f t="shared" si="95"/>
        <v>182</v>
      </c>
      <c r="H17" s="5">
        <f t="shared" si="95"/>
        <v>181</v>
      </c>
      <c r="I17" s="5">
        <f t="shared" si="95"/>
        <v>181</v>
      </c>
      <c r="J17" s="5">
        <f t="shared" si="95"/>
        <v>180</v>
      </c>
      <c r="K17" s="5">
        <f t="shared" si="95"/>
        <v>178</v>
      </c>
      <c r="L17" s="5">
        <f t="shared" si="95"/>
        <v>184</v>
      </c>
      <c r="M17" s="5">
        <f t="shared" si="95"/>
        <v>184</v>
      </c>
      <c r="N17" s="5">
        <f t="shared" si="95"/>
        <v>183</v>
      </c>
      <c r="O17" s="7">
        <f>AVERAGE(C17:N17)</f>
        <v>179.41666666666666</v>
      </c>
      <c r="P17" s="4" t="s">
        <v>18</v>
      </c>
      <c r="Q17" s="5">
        <f>158-AF17</f>
        <v>152</v>
      </c>
      <c r="R17" s="5">
        <f>157-AG17</f>
        <v>151</v>
      </c>
      <c r="S17" s="5">
        <f>157-AH17</f>
        <v>151</v>
      </c>
      <c r="T17" s="20">
        <f>156-AI17</f>
        <v>150</v>
      </c>
      <c r="U17" s="20">
        <f>166-AJ17</f>
        <v>160</v>
      </c>
      <c r="V17" s="20">
        <f>167-AK17</f>
        <v>161</v>
      </c>
      <c r="W17" s="20">
        <f>166-AL17</f>
        <v>160</v>
      </c>
      <c r="X17" s="20">
        <f>166-AM17</f>
        <v>160</v>
      </c>
      <c r="Y17" s="20">
        <f>165-AN17</f>
        <v>159</v>
      </c>
      <c r="Z17" s="20">
        <f>163-AO17</f>
        <v>157</v>
      </c>
      <c r="AA17" s="20">
        <f>170-AP17</f>
        <v>165</v>
      </c>
      <c r="AB17" s="20">
        <f>169-AQ17</f>
        <v>164</v>
      </c>
      <c r="AC17" s="20">
        <f>169-AR17</f>
        <v>164</v>
      </c>
      <c r="AD17" s="7">
        <f>AVERAGE(R17:AC17)</f>
        <v>158.5</v>
      </c>
      <c r="AE17" s="4" t="s">
        <v>18</v>
      </c>
      <c r="AF17" s="5">
        <v>6</v>
      </c>
      <c r="AG17" s="20">
        <v>6</v>
      </c>
      <c r="AH17" s="20">
        <v>6</v>
      </c>
      <c r="AI17" s="20">
        <v>6</v>
      </c>
      <c r="AJ17" s="20">
        <v>6</v>
      </c>
      <c r="AK17" s="20">
        <v>6</v>
      </c>
      <c r="AL17" s="20">
        <v>6</v>
      </c>
      <c r="AM17" s="20">
        <v>6</v>
      </c>
      <c r="AN17" s="20">
        <v>6</v>
      </c>
      <c r="AO17" s="20">
        <v>6</v>
      </c>
      <c r="AP17" s="20">
        <v>5</v>
      </c>
      <c r="AQ17" s="20">
        <v>5</v>
      </c>
      <c r="AR17" s="20">
        <f>5</f>
        <v>5</v>
      </c>
      <c r="AS17" s="7">
        <f>AVERAGE(AG17:AR17)</f>
        <v>5.75</v>
      </c>
      <c r="AT17" s="4" t="s">
        <v>18</v>
      </c>
      <c r="AU17" s="5">
        <v>15.5</v>
      </c>
      <c r="AV17" s="5">
        <f>16</f>
        <v>16</v>
      </c>
      <c r="AW17" s="20">
        <f>17</f>
        <v>17</v>
      </c>
      <c r="AX17" s="20">
        <f>16</f>
        <v>16</v>
      </c>
      <c r="AY17" s="20">
        <f>15</f>
        <v>15</v>
      </c>
      <c r="AZ17" s="20">
        <f>15</f>
        <v>15</v>
      </c>
      <c r="BA17" s="20">
        <f>15</f>
        <v>15</v>
      </c>
      <c r="BB17" s="20">
        <f>15</f>
        <v>15</v>
      </c>
      <c r="BC17" s="20">
        <f>15</f>
        <v>15</v>
      </c>
      <c r="BD17" s="20">
        <f>15</f>
        <v>15</v>
      </c>
      <c r="BE17" s="20">
        <f>14</f>
        <v>14</v>
      </c>
      <c r="BF17" s="20">
        <f>15</f>
        <v>15</v>
      </c>
      <c r="BG17" s="20">
        <f>14</f>
        <v>14</v>
      </c>
      <c r="BH17" s="7">
        <f>AVERAGE(AV17:BG17)</f>
        <v>15.166666666666666</v>
      </c>
      <c r="CN17" s="5">
        <f t="shared" ref="CN17:CY19" si="96">SUM(DA17,DN17,EA17)</f>
        <v>179</v>
      </c>
      <c r="CO17" s="5">
        <f t="shared" si="96"/>
        <v>178</v>
      </c>
      <c r="CP17" s="5">
        <f t="shared" si="96"/>
        <v>179</v>
      </c>
      <c r="CQ17" s="5">
        <f t="shared" si="96"/>
        <v>185</v>
      </c>
      <c r="CR17" s="5">
        <f t="shared" si="96"/>
        <v>185</v>
      </c>
      <c r="CS17" s="5">
        <f t="shared" si="96"/>
        <v>182</v>
      </c>
      <c r="CT17" s="5">
        <f t="shared" si="96"/>
        <v>181</v>
      </c>
      <c r="CU17" s="5">
        <f t="shared" si="96"/>
        <v>178</v>
      </c>
      <c r="CV17" s="5">
        <f t="shared" si="96"/>
        <v>175</v>
      </c>
      <c r="CW17" s="5">
        <f t="shared" si="96"/>
        <v>176</v>
      </c>
      <c r="CX17" s="5">
        <f t="shared" si="96"/>
        <v>175</v>
      </c>
      <c r="CY17" s="5">
        <f t="shared" si="96"/>
        <v>173</v>
      </c>
      <c r="CZ17" s="13">
        <f>AVERAGE(CN17:CY17)</f>
        <v>178.83333333333334</v>
      </c>
      <c r="DA17" s="5">
        <f>165-DN17</f>
        <v>160</v>
      </c>
      <c r="DB17" s="5">
        <f>163-DO17</f>
        <v>156</v>
      </c>
      <c r="DC17" s="5">
        <f>164-DP17</f>
        <v>155</v>
      </c>
      <c r="DD17" s="5">
        <f>169-DQ17</f>
        <v>160</v>
      </c>
      <c r="DE17" s="5">
        <f>168-DR17</f>
        <v>160</v>
      </c>
      <c r="DF17" s="5">
        <f>166-DS17</f>
        <v>158</v>
      </c>
      <c r="DG17" s="5">
        <f>165-DT17</f>
        <v>156</v>
      </c>
      <c r="DH17" s="5">
        <f>162-DU17</f>
        <v>154</v>
      </c>
      <c r="DI17" s="5">
        <f>159-DV17</f>
        <v>151</v>
      </c>
      <c r="DJ17" s="5">
        <f>160-DW17</f>
        <v>151</v>
      </c>
      <c r="DK17" s="5">
        <f>159-DX17</f>
        <v>150</v>
      </c>
      <c r="DL17" s="5">
        <f>157-DY17</f>
        <v>148</v>
      </c>
      <c r="DM17" s="13">
        <f>AVERAGE(DA17:DL17)</f>
        <v>154.91666666666666</v>
      </c>
      <c r="DN17" s="22">
        <f>5</f>
        <v>5</v>
      </c>
      <c r="DO17" s="22">
        <f>7</f>
        <v>7</v>
      </c>
      <c r="DP17" s="22">
        <f>9</f>
        <v>9</v>
      </c>
      <c r="DQ17" s="22">
        <f>9</f>
        <v>9</v>
      </c>
      <c r="DR17" s="22">
        <f>8</f>
        <v>8</v>
      </c>
      <c r="DS17" s="22">
        <f>8</f>
        <v>8</v>
      </c>
      <c r="DT17" s="22">
        <f>9</f>
        <v>9</v>
      </c>
      <c r="DU17" s="22">
        <f>8</f>
        <v>8</v>
      </c>
      <c r="DV17" s="22">
        <v>8</v>
      </c>
      <c r="DW17" s="22">
        <v>9</v>
      </c>
      <c r="DX17" s="22">
        <f>9</f>
        <v>9</v>
      </c>
      <c r="DY17" s="22">
        <v>9</v>
      </c>
      <c r="DZ17" s="63">
        <f>AVERAGE(DN17:DY17)</f>
        <v>8.1666666666666661</v>
      </c>
      <c r="EA17" s="22">
        <f>14</f>
        <v>14</v>
      </c>
      <c r="EB17" s="22">
        <f>15</f>
        <v>15</v>
      </c>
      <c r="EC17" s="22">
        <f>15</f>
        <v>15</v>
      </c>
      <c r="ED17" s="22">
        <f>16</f>
        <v>16</v>
      </c>
      <c r="EE17" s="22">
        <f>17</f>
        <v>17</v>
      </c>
      <c r="EF17" s="22">
        <f>16</f>
        <v>16</v>
      </c>
      <c r="EG17" s="22">
        <f>16</f>
        <v>16</v>
      </c>
      <c r="EH17" s="22">
        <f>16</f>
        <v>16</v>
      </c>
      <c r="EI17" s="22">
        <f>16</f>
        <v>16</v>
      </c>
      <c r="EJ17" s="22">
        <f>16</f>
        <v>16</v>
      </c>
      <c r="EK17" s="22">
        <v>16</v>
      </c>
      <c r="EL17" s="22">
        <v>16</v>
      </c>
      <c r="EM17" s="63">
        <f>AVERAGE(EA17:EL17)</f>
        <v>15.75</v>
      </c>
      <c r="FO17" s="5">
        <f t="shared" ref="FO17:FO19" si="97">SUM(GB17,GO17,HB17)</f>
        <v>170</v>
      </c>
      <c r="FP17" s="5">
        <f t="shared" ref="FP17:FP19" si="98">SUM(GC17,GP17,HC17)</f>
        <v>172</v>
      </c>
      <c r="FQ17" s="5">
        <f t="shared" ref="FQ17:FQ19" si="99">SUM(GD17,GQ17,HD17)</f>
        <v>168</v>
      </c>
      <c r="FR17" s="5">
        <f t="shared" ref="FR17:FR19" si="100">SUM(GE17,GR17,HE17)</f>
        <v>167</v>
      </c>
      <c r="FS17" s="5">
        <f t="shared" ref="FS17:FS19" si="101">SUM(GF17,GS17,HF17)</f>
        <v>169</v>
      </c>
      <c r="FT17" s="5">
        <f t="shared" ref="FT17:FT19" si="102">SUM(GG17,GT17,HG17)</f>
        <v>171</v>
      </c>
      <c r="FU17" s="5">
        <f t="shared" ref="FU17:FU19" si="103">SUM(GH17,GU17,HH17)</f>
        <v>170</v>
      </c>
      <c r="FV17" s="5">
        <f t="shared" ref="FV17:FV19" si="104">SUM(GI17,GV17,HI17)</f>
        <v>170</v>
      </c>
      <c r="FW17" s="5">
        <f t="shared" ref="FW17:FW19" si="105">SUM(GJ17,GW17,HJ17)</f>
        <v>170</v>
      </c>
      <c r="FX17" s="5">
        <f t="shared" ref="FX17:FX19" si="106">SUM(GK17,GX17,HK17)</f>
        <v>175</v>
      </c>
      <c r="FY17" s="5">
        <f t="shared" ref="FY17:FY19" si="107">SUM(GL17,GY17,HL17)</f>
        <v>179</v>
      </c>
      <c r="FZ17" s="5">
        <f t="shared" ref="FZ17:FZ19" si="108">SUM(GM17,GZ17,HM17)</f>
        <v>179</v>
      </c>
      <c r="GA17" s="67">
        <f>AVERAGE(FO17:FZ17)</f>
        <v>171.66666666666666</v>
      </c>
      <c r="GB17" s="5">
        <f>154-GO17</f>
        <v>147</v>
      </c>
      <c r="GC17" s="5">
        <f>156-GP17</f>
        <v>148</v>
      </c>
      <c r="GD17" s="5">
        <f>152-GQ17</f>
        <v>144</v>
      </c>
      <c r="GE17" s="5">
        <f>151-GR17</f>
        <v>143</v>
      </c>
      <c r="GF17" s="5">
        <f>153-GS17</f>
        <v>145</v>
      </c>
      <c r="GG17" s="5">
        <f>155-GT17</f>
        <v>147</v>
      </c>
      <c r="GH17" s="5">
        <f>154-GU17</f>
        <v>146</v>
      </c>
      <c r="GI17" s="5">
        <f>154-GV17</f>
        <v>146</v>
      </c>
      <c r="GJ17" s="5">
        <f>154-GW17</f>
        <v>146</v>
      </c>
      <c r="GK17" s="5">
        <f>160-GX17</f>
        <v>152</v>
      </c>
      <c r="GL17" s="5">
        <f>164-GY17</f>
        <v>156</v>
      </c>
      <c r="GM17" s="5">
        <f>165-GZ17</f>
        <v>157</v>
      </c>
      <c r="GN17" s="7">
        <f>AVERAGE(GB17:GM17)</f>
        <v>148.08333333333334</v>
      </c>
      <c r="GO17" s="86">
        <v>7</v>
      </c>
      <c r="GP17" s="86">
        <v>8</v>
      </c>
      <c r="GQ17" s="86">
        <v>8</v>
      </c>
      <c r="GR17" s="86">
        <v>8</v>
      </c>
      <c r="GS17" s="86">
        <v>8</v>
      </c>
      <c r="GT17" s="86">
        <v>8</v>
      </c>
      <c r="GU17" s="86">
        <v>8</v>
      </c>
      <c r="GV17" s="86">
        <v>8</v>
      </c>
      <c r="GW17" s="20">
        <v>8</v>
      </c>
      <c r="GX17" s="20">
        <f>8</f>
        <v>8</v>
      </c>
      <c r="GY17" s="20">
        <f>8</f>
        <v>8</v>
      </c>
      <c r="GZ17" s="20">
        <f>8</f>
        <v>8</v>
      </c>
      <c r="HA17" s="21">
        <f>AVERAGE(GO17:GZ17)</f>
        <v>7.916666666666667</v>
      </c>
      <c r="HB17" s="20">
        <f>16</f>
        <v>16</v>
      </c>
      <c r="HC17" s="20">
        <f>16</f>
        <v>16</v>
      </c>
      <c r="HD17" s="20">
        <f>16</f>
        <v>16</v>
      </c>
      <c r="HE17" s="20">
        <f>16</f>
        <v>16</v>
      </c>
      <c r="HF17" s="20">
        <v>16</v>
      </c>
      <c r="HG17" s="20">
        <v>16</v>
      </c>
      <c r="HH17" s="20">
        <v>16</v>
      </c>
      <c r="HI17" s="20">
        <v>16</v>
      </c>
      <c r="HJ17" s="20">
        <v>16</v>
      </c>
      <c r="HK17" s="20">
        <f>15</f>
        <v>15</v>
      </c>
      <c r="HL17" s="20">
        <f>15</f>
        <v>15</v>
      </c>
      <c r="HM17" s="20">
        <f>14</f>
        <v>14</v>
      </c>
      <c r="HN17" s="21">
        <f>AVERAGE(HB17:HM17)</f>
        <v>15.666666666666666</v>
      </c>
      <c r="HP17" s="5">
        <f t="shared" ref="HP17:HP19" si="109">SUM(IC17,IP17,JC17)</f>
        <v>177</v>
      </c>
      <c r="HQ17" s="5">
        <f t="shared" ref="HQ17:HQ19" si="110">SUM(ID17,IQ17,JD17)</f>
        <v>176</v>
      </c>
      <c r="HR17" s="5">
        <f t="shared" ref="HR17:HR19" si="111">SUM(IE17,IR17,JE17)</f>
        <v>173</v>
      </c>
      <c r="HS17" s="5">
        <f t="shared" ref="HS17:HS19" si="112">SUM(IF17,IS17,JF17)</f>
        <v>175</v>
      </c>
      <c r="HT17" s="5">
        <f t="shared" ref="HT17:HT19" si="113">SUM(IG17,IT17,JG17)</f>
        <v>174</v>
      </c>
      <c r="HU17" s="5">
        <f t="shared" ref="HU17:HU19" si="114">SUM(IH17,IU17,JH17)</f>
        <v>174</v>
      </c>
      <c r="HV17" s="5">
        <f t="shared" ref="HV17:HV19" si="115">SUM(II17,IV17,JI17)</f>
        <v>179</v>
      </c>
      <c r="HW17" s="5">
        <f t="shared" ref="HW17:HW19" si="116">SUM(IJ17,IW17,JJ17)</f>
        <v>179</v>
      </c>
      <c r="HX17" s="5">
        <f t="shared" ref="HX17:HX19" si="117">SUM(IK17,IX17,JK17)</f>
        <v>176</v>
      </c>
      <c r="HY17" s="5">
        <f t="shared" ref="HY17:HY19" si="118">SUM(IL17,IY17,JL17)</f>
        <v>174</v>
      </c>
      <c r="HZ17" s="5">
        <f t="shared" ref="HZ17:IA19" si="119">SUM(IM17,IZ17,JM17)</f>
        <v>175</v>
      </c>
      <c r="IA17" s="5">
        <f t="shared" si="119"/>
        <v>178</v>
      </c>
      <c r="IB17" s="63">
        <f>AVERAGE(HP17:IA17)</f>
        <v>175.83333333333334</v>
      </c>
      <c r="IC17" s="102">
        <f>[4]Sheet1!B6-SUM(IP17)</f>
        <v>156</v>
      </c>
      <c r="ID17" s="102">
        <f>[4]Sheet1!J6-SUM(IQ17)</f>
        <v>156</v>
      </c>
      <c r="IE17" s="102">
        <f>[4]Sheet1!P6-SUM(IR17)</f>
        <v>151</v>
      </c>
      <c r="IF17" s="102">
        <f>[5]Sheet1!$H$6+[5]Sheet1!$I$6-SUM(IS17)</f>
        <v>153</v>
      </c>
      <c r="IG17" s="102">
        <f>'[6]Manpower Strength Aug''18'!$B$5+'[6]Manpower Strength Aug''18'!$C$5-SUM(IT17)</f>
        <v>152</v>
      </c>
      <c r="IH17" s="174">
        <f>'[6]Manpower Strength Sep''18'!$B$5+'[6]Manpower Strength Sep''18'!$C$5-SUM(IU17)</f>
        <v>152</v>
      </c>
      <c r="II17" s="174">
        <f>'[6]Manpower Strength Oct''18'!$B$5+'[6]Manpower Strength Oct''18'!$C$5-SUM(IV17)</f>
        <v>157</v>
      </c>
      <c r="IJ17" s="174">
        <f>'[6]Manpower Strength Nov''18'!$B$5+'[6]Manpower Strength Nov''18'!$C$5-SUM(IW17)</f>
        <v>157</v>
      </c>
      <c r="IK17" s="174">
        <f>'[6]Manpower Strength Dec''18'!$B$5+'[6]Manpower Strength Dec''18'!$C$5-SUM(IX17)</f>
        <v>154</v>
      </c>
      <c r="IL17" s="174">
        <f>'[6]Manpower Strength Jan''19'!$B$5+'[6]Manpower Strength Jan''19'!$C$5-SUM(IY17)</f>
        <v>152</v>
      </c>
      <c r="IM17" s="174">
        <f>'[6]Manpower Strength Feb''19'!$B$5+'[6]Manpower Strength Feb''19'!$C$5-SUM(IZ17)</f>
        <v>152</v>
      </c>
      <c r="IN17" s="174">
        <f>'[6]Manpower Strength Mar''19'!$B$5+'[6]Manpower Strength Mar''19'!$C$5-SUM(JA17)</f>
        <v>155</v>
      </c>
      <c r="IO17" s="63">
        <f>IFERROR(AVERAGE(IC17:IN17),"")</f>
        <v>153.91666666666666</v>
      </c>
      <c r="IP17" s="20">
        <f>7</f>
        <v>7</v>
      </c>
      <c r="IQ17" s="20">
        <f>7</f>
        <v>7</v>
      </c>
      <c r="IR17" s="20">
        <f>7</f>
        <v>7</v>
      </c>
      <c r="IS17" s="20">
        <f>IR17</f>
        <v>7</v>
      </c>
      <c r="IT17" s="20">
        <f>7</f>
        <v>7</v>
      </c>
      <c r="IU17" s="20">
        <f>7</f>
        <v>7</v>
      </c>
      <c r="IV17" s="20">
        <f>7</f>
        <v>7</v>
      </c>
      <c r="IW17" s="20">
        <f>7</f>
        <v>7</v>
      </c>
      <c r="IX17" s="20">
        <f>7</f>
        <v>7</v>
      </c>
      <c r="IY17" s="20">
        <f>7</f>
        <v>7</v>
      </c>
      <c r="IZ17" s="20">
        <f>7</f>
        <v>7</v>
      </c>
      <c r="JA17" s="20">
        <f>7</f>
        <v>7</v>
      </c>
      <c r="JB17" s="63">
        <f>IFERROR(AVERAGE(IP17:JA17),"")</f>
        <v>7</v>
      </c>
      <c r="JC17" s="20">
        <f>[4]Sheet1!B9</f>
        <v>14</v>
      </c>
      <c r="JD17" s="20">
        <f>[4]Sheet1!J9</f>
        <v>13</v>
      </c>
      <c r="JE17" s="20">
        <f>[4]Sheet1!P9</f>
        <v>15</v>
      </c>
      <c r="JF17" s="20">
        <f>[5]Sheet1!$H$9</f>
        <v>15</v>
      </c>
      <c r="JG17" s="20">
        <f>'[6]Manpower Strength Aug''18'!$B$8</f>
        <v>15</v>
      </c>
      <c r="JH17" s="20">
        <f>'[6]Manpower Strength Sep''18'!$B$8</f>
        <v>15</v>
      </c>
      <c r="JI17" s="20">
        <f>'[6]Manpower Strength Oct''18'!$B$8</f>
        <v>15</v>
      </c>
      <c r="JJ17" s="20">
        <f>'[6]Manpower Strength Nov''18'!$B$8</f>
        <v>15</v>
      </c>
      <c r="JK17" s="20">
        <f>'[6]Manpower Strength Dec''18'!$B$8</f>
        <v>15</v>
      </c>
      <c r="JL17" s="20">
        <f>'[6]Manpower Strength Jan''19'!$B$8</f>
        <v>15</v>
      </c>
      <c r="JM17" s="20">
        <f>'[6]Manpower Strength Feb''19'!$B$8</f>
        <v>16</v>
      </c>
      <c r="JN17" s="20">
        <f>'[6]Manpower Strength Mar''19'!$B$8</f>
        <v>16</v>
      </c>
      <c r="JO17" s="63">
        <f>IFERROR(AVERAGE(JC17:JN17),"")</f>
        <v>14.916666666666666</v>
      </c>
    </row>
    <row r="18" spans="1:275">
      <c r="A18" s="12" t="s">
        <v>19</v>
      </c>
      <c r="B18" s="5">
        <f>SUM(Q18,AF18,AU18,BJ18,BY18)</f>
        <v>252</v>
      </c>
      <c r="C18" s="5">
        <f t="shared" si="95"/>
        <v>251</v>
      </c>
      <c r="D18" s="5">
        <f t="shared" si="95"/>
        <v>251</v>
      </c>
      <c r="E18" s="5">
        <f t="shared" si="95"/>
        <v>251</v>
      </c>
      <c r="F18" s="5">
        <f t="shared" si="95"/>
        <v>249</v>
      </c>
      <c r="G18" s="5">
        <f t="shared" si="95"/>
        <v>248</v>
      </c>
      <c r="H18" s="5">
        <f t="shared" si="95"/>
        <v>247</v>
      </c>
      <c r="I18" s="5">
        <f t="shared" si="95"/>
        <v>248</v>
      </c>
      <c r="J18" s="5">
        <f t="shared" si="95"/>
        <v>248</v>
      </c>
      <c r="K18" s="5">
        <f t="shared" si="95"/>
        <v>248</v>
      </c>
      <c r="L18" s="5">
        <f t="shared" si="95"/>
        <v>248</v>
      </c>
      <c r="M18" s="5">
        <f t="shared" si="95"/>
        <v>248</v>
      </c>
      <c r="N18" s="5">
        <f t="shared" si="95"/>
        <v>248</v>
      </c>
      <c r="O18" s="7">
        <f>AVERAGE(C18:N18)</f>
        <v>248.75</v>
      </c>
      <c r="P18" s="4" t="s">
        <v>19</v>
      </c>
      <c r="Q18" s="5">
        <f>239-AF18</f>
        <v>204</v>
      </c>
      <c r="R18" s="5">
        <f>238-AG18</f>
        <v>208</v>
      </c>
      <c r="S18" s="5">
        <f>238-AH18</f>
        <v>208</v>
      </c>
      <c r="T18" s="5">
        <f>238-AI18</f>
        <v>206</v>
      </c>
      <c r="U18" s="5">
        <f>237-AJ18</f>
        <v>205</v>
      </c>
      <c r="V18" s="20">
        <f>236-AK18</f>
        <v>204</v>
      </c>
      <c r="W18" s="20">
        <f t="shared" ref="W18:AB18" si="120">235-AL18</f>
        <v>203</v>
      </c>
      <c r="X18" s="20">
        <f t="shared" si="120"/>
        <v>203</v>
      </c>
      <c r="Y18" s="20">
        <f t="shared" si="120"/>
        <v>203</v>
      </c>
      <c r="Z18" s="20">
        <f t="shared" si="120"/>
        <v>203</v>
      </c>
      <c r="AA18" s="20">
        <f t="shared" si="120"/>
        <v>203</v>
      </c>
      <c r="AB18" s="20">
        <f t="shared" si="120"/>
        <v>203</v>
      </c>
      <c r="AC18" s="20">
        <f>235-AR18</f>
        <v>203</v>
      </c>
      <c r="AD18" s="7">
        <f>AVERAGE(R18:AC18)</f>
        <v>204.33333333333334</v>
      </c>
      <c r="AE18" s="4" t="s">
        <v>19</v>
      </c>
      <c r="AF18" s="5">
        <v>35</v>
      </c>
      <c r="AG18" s="20">
        <v>30</v>
      </c>
      <c r="AH18" s="20">
        <v>30</v>
      </c>
      <c r="AI18" s="20">
        <v>32</v>
      </c>
      <c r="AJ18" s="20">
        <v>32</v>
      </c>
      <c r="AK18" s="20">
        <v>32</v>
      </c>
      <c r="AL18" s="20">
        <v>32</v>
      </c>
      <c r="AM18" s="20">
        <v>32</v>
      </c>
      <c r="AN18" s="20">
        <v>32</v>
      </c>
      <c r="AO18" s="20">
        <v>32</v>
      </c>
      <c r="AP18" s="20">
        <v>32</v>
      </c>
      <c r="AQ18" s="20">
        <v>32</v>
      </c>
      <c r="AR18" s="20">
        <v>32</v>
      </c>
      <c r="AS18" s="7">
        <f>AVERAGE(AG18:AR18)</f>
        <v>31.666666666666668</v>
      </c>
      <c r="AT18" s="4" t="s">
        <v>19</v>
      </c>
      <c r="AU18" s="5">
        <v>13</v>
      </c>
      <c r="AV18" s="5">
        <f>13</f>
        <v>13</v>
      </c>
      <c r="AW18" s="5">
        <f>13</f>
        <v>13</v>
      </c>
      <c r="AX18" s="5">
        <f>13</f>
        <v>13</v>
      </c>
      <c r="AY18" s="20">
        <v>12</v>
      </c>
      <c r="AZ18" s="20">
        <v>12</v>
      </c>
      <c r="BA18" s="20">
        <v>12</v>
      </c>
      <c r="BB18" s="20">
        <v>13</v>
      </c>
      <c r="BC18" s="20">
        <v>13</v>
      </c>
      <c r="BD18" s="20">
        <v>13</v>
      </c>
      <c r="BE18" s="20">
        <v>13</v>
      </c>
      <c r="BF18" s="20">
        <v>13</v>
      </c>
      <c r="BG18" s="20">
        <v>13</v>
      </c>
      <c r="BH18" s="7">
        <f>AVERAGE(AV18:BG18)</f>
        <v>12.75</v>
      </c>
      <c r="CN18" s="5">
        <f t="shared" si="96"/>
        <v>248</v>
      </c>
      <c r="CO18" s="5">
        <f t="shared" si="96"/>
        <v>248</v>
      </c>
      <c r="CP18" s="5">
        <f t="shared" si="96"/>
        <v>248</v>
      </c>
      <c r="CQ18" s="5">
        <f t="shared" si="96"/>
        <v>248</v>
      </c>
      <c r="CR18" s="5">
        <f t="shared" si="96"/>
        <v>248</v>
      </c>
      <c r="CS18" s="5">
        <f t="shared" si="96"/>
        <v>248</v>
      </c>
      <c r="CT18" s="5">
        <f t="shared" si="96"/>
        <v>248</v>
      </c>
      <c r="CU18" s="5">
        <f t="shared" si="96"/>
        <v>247</v>
      </c>
      <c r="CV18" s="5">
        <f t="shared" si="96"/>
        <v>247</v>
      </c>
      <c r="CW18" s="5">
        <f t="shared" si="96"/>
        <v>247</v>
      </c>
      <c r="CX18" s="5">
        <f t="shared" si="96"/>
        <v>247</v>
      </c>
      <c r="CY18" s="5">
        <f t="shared" si="96"/>
        <v>247</v>
      </c>
      <c r="CZ18" s="13">
        <f>AVERAGE(CN18:CY18)</f>
        <v>247.58333333333334</v>
      </c>
      <c r="DA18" s="5">
        <f t="shared" ref="DA18:DG18" si="121">235-DN18</f>
        <v>203</v>
      </c>
      <c r="DB18" s="5">
        <f t="shared" si="121"/>
        <v>203</v>
      </c>
      <c r="DC18" s="5">
        <f t="shared" si="121"/>
        <v>199</v>
      </c>
      <c r="DD18" s="5">
        <f t="shared" si="121"/>
        <v>199</v>
      </c>
      <c r="DE18" s="5">
        <f t="shared" si="121"/>
        <v>199</v>
      </c>
      <c r="DF18" s="5">
        <f t="shared" si="121"/>
        <v>199</v>
      </c>
      <c r="DG18" s="5">
        <f t="shared" si="121"/>
        <v>199</v>
      </c>
      <c r="DH18" s="5">
        <f>234-DU18</f>
        <v>198</v>
      </c>
      <c r="DI18" s="5">
        <f>234-DV18</f>
        <v>198</v>
      </c>
      <c r="DJ18" s="5">
        <f>234-DW18</f>
        <v>197</v>
      </c>
      <c r="DK18" s="5">
        <f>234-DX18</f>
        <v>197</v>
      </c>
      <c r="DL18" s="5">
        <f>234-DY18</f>
        <v>197</v>
      </c>
      <c r="DM18" s="13">
        <f>AVERAGE(DA18:DL18)</f>
        <v>199</v>
      </c>
      <c r="DN18" s="22">
        <f>32</f>
        <v>32</v>
      </c>
      <c r="DO18" s="22">
        <f>32</f>
        <v>32</v>
      </c>
      <c r="DP18" s="22">
        <f>36</f>
        <v>36</v>
      </c>
      <c r="DQ18" s="22">
        <f>36</f>
        <v>36</v>
      </c>
      <c r="DR18" s="22">
        <f>36</f>
        <v>36</v>
      </c>
      <c r="DS18" s="22">
        <f>36</f>
        <v>36</v>
      </c>
      <c r="DT18" s="22">
        <f>36</f>
        <v>36</v>
      </c>
      <c r="DU18" s="22">
        <f>36</f>
        <v>36</v>
      </c>
      <c r="DV18" s="22">
        <v>36</v>
      </c>
      <c r="DW18" s="22">
        <v>37</v>
      </c>
      <c r="DX18" s="22">
        <f>37</f>
        <v>37</v>
      </c>
      <c r="DY18" s="22">
        <v>37</v>
      </c>
      <c r="DZ18" s="63">
        <f>AVERAGE(DN18:DY18)</f>
        <v>35.583333333333336</v>
      </c>
      <c r="EA18" s="22">
        <f>13</f>
        <v>13</v>
      </c>
      <c r="EB18" s="22">
        <f>13</f>
        <v>13</v>
      </c>
      <c r="EC18" s="22">
        <f>13</f>
        <v>13</v>
      </c>
      <c r="ED18" s="22">
        <f>13</f>
        <v>13</v>
      </c>
      <c r="EE18" s="22">
        <f>13</f>
        <v>13</v>
      </c>
      <c r="EF18" s="22">
        <f>13</f>
        <v>13</v>
      </c>
      <c r="EG18" s="22">
        <f>13</f>
        <v>13</v>
      </c>
      <c r="EH18" s="22">
        <f>13</f>
        <v>13</v>
      </c>
      <c r="EI18" s="22">
        <f>13</f>
        <v>13</v>
      </c>
      <c r="EJ18" s="22">
        <f>13</f>
        <v>13</v>
      </c>
      <c r="EK18" s="22">
        <v>13</v>
      </c>
      <c r="EL18" s="22">
        <v>13</v>
      </c>
      <c r="EM18" s="63">
        <f>AVERAGE(EA18:EL18)</f>
        <v>13</v>
      </c>
      <c r="FO18" s="5">
        <f t="shared" si="97"/>
        <v>247</v>
      </c>
      <c r="FP18" s="5">
        <f t="shared" si="98"/>
        <v>247</v>
      </c>
      <c r="FQ18" s="5">
        <f t="shared" si="99"/>
        <v>247</v>
      </c>
      <c r="FR18" s="5">
        <f t="shared" si="100"/>
        <v>247</v>
      </c>
      <c r="FS18" s="5">
        <f t="shared" si="101"/>
        <v>247</v>
      </c>
      <c r="FT18" s="5">
        <f t="shared" si="102"/>
        <v>247</v>
      </c>
      <c r="FU18" s="5">
        <f t="shared" si="103"/>
        <v>244</v>
      </c>
      <c r="FV18" s="5">
        <f t="shared" si="104"/>
        <v>244</v>
      </c>
      <c r="FW18" s="5">
        <f t="shared" si="105"/>
        <v>244</v>
      </c>
      <c r="FX18" s="5">
        <f t="shared" si="106"/>
        <v>237</v>
      </c>
      <c r="FY18" s="5">
        <f t="shared" si="107"/>
        <v>237</v>
      </c>
      <c r="FZ18" s="5">
        <f t="shared" si="108"/>
        <v>237</v>
      </c>
      <c r="GA18" s="67">
        <f>AVERAGE(FO18:FZ18)</f>
        <v>243.75</v>
      </c>
      <c r="GB18" s="5">
        <f t="shared" ref="GB18:GG18" si="122">234-GO18</f>
        <v>198</v>
      </c>
      <c r="GC18" s="5">
        <f t="shared" si="122"/>
        <v>198</v>
      </c>
      <c r="GD18" s="5">
        <f t="shared" si="122"/>
        <v>198</v>
      </c>
      <c r="GE18" s="5">
        <f t="shared" si="122"/>
        <v>198</v>
      </c>
      <c r="GF18" s="5">
        <f t="shared" si="122"/>
        <v>198</v>
      </c>
      <c r="GG18" s="5">
        <f t="shared" si="122"/>
        <v>198</v>
      </c>
      <c r="GH18" s="5">
        <f>231-GU18</f>
        <v>195</v>
      </c>
      <c r="GI18" s="5">
        <f>231-GV18</f>
        <v>195</v>
      </c>
      <c r="GJ18" s="5">
        <f>231-GW18</f>
        <v>193</v>
      </c>
      <c r="GK18" s="5">
        <f>224-GX18</f>
        <v>188</v>
      </c>
      <c r="GL18" s="5">
        <f t="shared" ref="GL18" si="123">224-GY18</f>
        <v>188</v>
      </c>
      <c r="GM18" s="5">
        <f>224-GZ18</f>
        <v>188</v>
      </c>
      <c r="GN18" s="7">
        <f>AVERAGE(GB18:GM18)</f>
        <v>194.58333333333334</v>
      </c>
      <c r="GO18" s="86">
        <v>36</v>
      </c>
      <c r="GP18" s="86">
        <v>36</v>
      </c>
      <c r="GQ18" s="86">
        <v>36</v>
      </c>
      <c r="GR18" s="86">
        <v>36</v>
      </c>
      <c r="GS18" s="86">
        <v>36</v>
      </c>
      <c r="GT18" s="86">
        <v>36</v>
      </c>
      <c r="GU18" s="86">
        <v>36</v>
      </c>
      <c r="GV18" s="86">
        <v>36</v>
      </c>
      <c r="GW18" s="20">
        <v>38</v>
      </c>
      <c r="GX18" s="20">
        <f>36</f>
        <v>36</v>
      </c>
      <c r="GY18" s="20">
        <f>36</f>
        <v>36</v>
      </c>
      <c r="GZ18" s="20">
        <f>36</f>
        <v>36</v>
      </c>
      <c r="HA18" s="21">
        <f>AVERAGE(GO18:GZ18)</f>
        <v>36.166666666666664</v>
      </c>
      <c r="HB18" s="20">
        <f>13</f>
        <v>13</v>
      </c>
      <c r="HC18" s="20">
        <f>13</f>
        <v>13</v>
      </c>
      <c r="HD18" s="20">
        <f>13</f>
        <v>13</v>
      </c>
      <c r="HE18" s="20">
        <f>13</f>
        <v>13</v>
      </c>
      <c r="HF18" s="20">
        <v>13</v>
      </c>
      <c r="HG18" s="20">
        <v>13</v>
      </c>
      <c r="HH18" s="20">
        <v>13</v>
      </c>
      <c r="HI18" s="20">
        <v>13</v>
      </c>
      <c r="HJ18" s="20">
        <v>13</v>
      </c>
      <c r="HK18" s="20">
        <f>13</f>
        <v>13</v>
      </c>
      <c r="HL18" s="20">
        <f>13</f>
        <v>13</v>
      </c>
      <c r="HM18" s="20">
        <f>13</f>
        <v>13</v>
      </c>
      <c r="HN18" s="21">
        <f>AVERAGE(HB18:HM18)</f>
        <v>13</v>
      </c>
      <c r="HP18" s="5">
        <f t="shared" si="109"/>
        <v>234</v>
      </c>
      <c r="HQ18" s="5">
        <f t="shared" si="110"/>
        <v>234</v>
      </c>
      <c r="HR18" s="5">
        <f t="shared" si="111"/>
        <v>232</v>
      </c>
      <c r="HS18" s="5">
        <f t="shared" si="112"/>
        <v>232</v>
      </c>
      <c r="HT18" s="5">
        <f t="shared" si="113"/>
        <v>232</v>
      </c>
      <c r="HU18" s="5">
        <f t="shared" si="114"/>
        <v>232</v>
      </c>
      <c r="HV18" s="5">
        <f t="shared" si="115"/>
        <v>225</v>
      </c>
      <c r="HW18" s="5">
        <f t="shared" si="116"/>
        <v>224</v>
      </c>
      <c r="HX18" s="5">
        <f t="shared" si="117"/>
        <v>224</v>
      </c>
      <c r="HY18" s="5">
        <f t="shared" si="118"/>
        <v>223</v>
      </c>
      <c r="HZ18" s="5">
        <f t="shared" si="119"/>
        <v>223</v>
      </c>
      <c r="IA18" s="5">
        <f t="shared" si="119"/>
        <v>223</v>
      </c>
      <c r="IB18" s="63">
        <f>AVERAGE(HP18:IA18)</f>
        <v>228.16666666666666</v>
      </c>
      <c r="IC18" s="102">
        <f>[4]Sheet1!C6-SUM(IP18)</f>
        <v>195</v>
      </c>
      <c r="ID18" s="102">
        <f>[4]Sheet1!K6-SUM(IQ18)</f>
        <v>198</v>
      </c>
      <c r="IE18" s="102">
        <f>[4]Sheet1!Q6-SUM(IR18)</f>
        <v>197</v>
      </c>
      <c r="IF18" s="102">
        <f>[5]Sheet1!$J$6-SUM(IS18)</f>
        <v>197</v>
      </c>
      <c r="IG18" s="101">
        <f>'[6]Manpower Strength Aug''18'!$D$5-SUM(IT18)</f>
        <v>197</v>
      </c>
      <c r="IH18" s="175">
        <f>'[6]Manpower Strength Sep''18'!$D$5-SUM(IU18)</f>
        <v>197</v>
      </c>
      <c r="II18" s="175">
        <f>'[6]Manpower Strength Oct''18'!$D$5-SUM(IV18)</f>
        <v>190</v>
      </c>
      <c r="IJ18" s="175">
        <f>'[6]Manpower Strength Nov''18'!$D$5-SUM(IW18)</f>
        <v>189</v>
      </c>
      <c r="IK18" s="175">
        <f>'[6]Manpower Strength Dec''18'!$D$5-SUM(IX18)</f>
        <v>189</v>
      </c>
      <c r="IL18" s="175">
        <f>'[6]Manpower Strength Jan''19'!$D$5-SUM(IY18)</f>
        <v>188</v>
      </c>
      <c r="IM18" s="175">
        <f>'[6]Manpower Strength Feb''19'!$D$5-SUM(IZ18)</f>
        <v>188</v>
      </c>
      <c r="IN18" s="175">
        <f>'[6]Manpower Strength Mar''19'!$D$5-SUM(JA18)</f>
        <v>188</v>
      </c>
      <c r="IO18" s="63">
        <f t="shared" ref="IO18:IO19" si="124">IFERROR(AVERAGE(IC18:IN18),"")</f>
        <v>192.75</v>
      </c>
      <c r="IP18" s="20">
        <f>26</f>
        <v>26</v>
      </c>
      <c r="IQ18" s="20">
        <f>23</f>
        <v>23</v>
      </c>
      <c r="IR18" s="20">
        <f>24</f>
        <v>24</v>
      </c>
      <c r="IS18" s="20">
        <f>IR18</f>
        <v>24</v>
      </c>
      <c r="IT18" s="20">
        <f t="shared" ref="IT18:JA19" si="125">IS18</f>
        <v>24</v>
      </c>
      <c r="IU18" s="20">
        <f t="shared" si="125"/>
        <v>24</v>
      </c>
      <c r="IV18" s="20">
        <f t="shared" si="125"/>
        <v>24</v>
      </c>
      <c r="IW18" s="20">
        <f t="shared" si="125"/>
        <v>24</v>
      </c>
      <c r="IX18" s="20">
        <f t="shared" si="125"/>
        <v>24</v>
      </c>
      <c r="IY18" s="20">
        <f t="shared" si="125"/>
        <v>24</v>
      </c>
      <c r="IZ18" s="20">
        <f t="shared" si="125"/>
        <v>24</v>
      </c>
      <c r="JA18" s="20">
        <f t="shared" si="125"/>
        <v>24</v>
      </c>
      <c r="JB18" s="63">
        <f t="shared" ref="JB18:JB19" si="126">IFERROR(AVERAGE(IP18:JA18),"")</f>
        <v>24.083333333333332</v>
      </c>
      <c r="JC18" s="20">
        <f>[4]Sheet1!C9</f>
        <v>13</v>
      </c>
      <c r="JD18" s="20">
        <f>[4]Sheet1!K9</f>
        <v>13</v>
      </c>
      <c r="JE18" s="20">
        <f>[4]Sheet1!Q9</f>
        <v>11</v>
      </c>
      <c r="JF18" s="20">
        <f>[5]Sheet1!$J$9</f>
        <v>11</v>
      </c>
      <c r="JG18" s="21">
        <f>'[6]Manpower Strength Aug''18'!$D$8</f>
        <v>11</v>
      </c>
      <c r="JH18" s="21">
        <f>'[6]Manpower Strength Sep''18'!$D$8</f>
        <v>11</v>
      </c>
      <c r="JI18" s="21">
        <f>'[6]Manpower Strength Oct''18'!$D$8</f>
        <v>11</v>
      </c>
      <c r="JJ18" s="21">
        <f>'[6]Manpower Strength Nov''18'!$D$8</f>
        <v>11</v>
      </c>
      <c r="JK18" s="21">
        <f>'[6]Manpower Strength Dec''18'!$D$8</f>
        <v>11</v>
      </c>
      <c r="JL18" s="21">
        <f>'[6]Manpower Strength Jan''19'!$D$8</f>
        <v>11</v>
      </c>
      <c r="JM18" s="21">
        <f>'[6]Manpower Strength Feb''19'!$D$8</f>
        <v>11</v>
      </c>
      <c r="JN18" s="21">
        <f>'[6]Manpower Strength Mar''19'!$D$8</f>
        <v>11</v>
      </c>
      <c r="JO18" s="63">
        <f t="shared" ref="JO18:JO19" si="127">IFERROR(AVERAGE(JC18:JN18),"")</f>
        <v>11.333333333333334</v>
      </c>
    </row>
    <row r="19" spans="1:275">
      <c r="A19" s="12" t="s">
        <v>20</v>
      </c>
      <c r="B19" s="5">
        <f>SUM(Q19,AF19,AU19,BJ19,BY19)</f>
        <v>773</v>
      </c>
      <c r="C19" s="5">
        <f t="shared" si="95"/>
        <v>749</v>
      </c>
      <c r="D19" s="5">
        <f t="shared" si="95"/>
        <v>770</v>
      </c>
      <c r="E19" s="5">
        <f t="shared" si="95"/>
        <v>783</v>
      </c>
      <c r="F19" s="5">
        <f t="shared" si="95"/>
        <v>770</v>
      </c>
      <c r="G19" s="5">
        <f t="shared" si="95"/>
        <v>779</v>
      </c>
      <c r="H19" s="5">
        <f t="shared" si="95"/>
        <v>776</v>
      </c>
      <c r="I19" s="5">
        <f t="shared" si="95"/>
        <v>800</v>
      </c>
      <c r="J19" s="5">
        <f t="shared" si="95"/>
        <v>758</v>
      </c>
      <c r="K19" s="5">
        <f t="shared" si="95"/>
        <v>709</v>
      </c>
      <c r="L19" s="5">
        <f t="shared" si="95"/>
        <v>714</v>
      </c>
      <c r="M19" s="5">
        <f t="shared" si="95"/>
        <v>770</v>
      </c>
      <c r="N19" s="5">
        <f t="shared" si="95"/>
        <v>781</v>
      </c>
      <c r="O19" s="7">
        <f>AVERAGE(C19:N19)</f>
        <v>763.25</v>
      </c>
      <c r="P19" s="4" t="s">
        <v>20</v>
      </c>
      <c r="Q19" s="5">
        <f>689-AF19</f>
        <v>543</v>
      </c>
      <c r="R19" s="5">
        <f>679-AG19</f>
        <v>534</v>
      </c>
      <c r="S19" s="20">
        <f>695-AH19</f>
        <v>524</v>
      </c>
      <c r="T19" s="20">
        <f>703-AI19</f>
        <v>541</v>
      </c>
      <c r="U19" s="20">
        <f>693-AJ19</f>
        <v>516</v>
      </c>
      <c r="V19" s="20">
        <f>699-AK19</f>
        <v>547</v>
      </c>
      <c r="W19" s="20">
        <f>696-AL19</f>
        <v>528</v>
      </c>
      <c r="X19" s="20">
        <f>719-AM19</f>
        <v>551</v>
      </c>
      <c r="Y19" s="20">
        <f>683-AN19</f>
        <v>515</v>
      </c>
      <c r="Z19" s="20">
        <f>643-AO19</f>
        <v>475</v>
      </c>
      <c r="AA19" s="20">
        <f>638-AP19</f>
        <v>490</v>
      </c>
      <c r="AB19" s="20">
        <f>698-AQ19</f>
        <v>505</v>
      </c>
      <c r="AC19" s="20">
        <f>720-AR19</f>
        <v>517</v>
      </c>
      <c r="AD19" s="7">
        <f>AVERAGE(R19:AC19)</f>
        <v>520.25</v>
      </c>
      <c r="AE19" s="4" t="s">
        <v>20</v>
      </c>
      <c r="AF19" s="5">
        <v>146</v>
      </c>
      <c r="AG19" s="20">
        <v>145</v>
      </c>
      <c r="AH19" s="20">
        <v>171</v>
      </c>
      <c r="AI19" s="20">
        <v>162</v>
      </c>
      <c r="AJ19" s="20">
        <v>177</v>
      </c>
      <c r="AK19" s="20">
        <v>152</v>
      </c>
      <c r="AL19" s="20">
        <f>152+16</f>
        <v>168</v>
      </c>
      <c r="AM19" s="20">
        <f>152+16</f>
        <v>168</v>
      </c>
      <c r="AN19" s="20">
        <f>152+16</f>
        <v>168</v>
      </c>
      <c r="AO19" s="20">
        <f>152+16</f>
        <v>168</v>
      </c>
      <c r="AP19" s="20">
        <f>148</f>
        <v>148</v>
      </c>
      <c r="AQ19" s="20">
        <f>193</f>
        <v>193</v>
      </c>
      <c r="AR19" s="20">
        <f>203</f>
        <v>203</v>
      </c>
      <c r="AS19" s="7">
        <f>AVERAGE(AG19:AR19)</f>
        <v>168.58333333333334</v>
      </c>
      <c r="AT19" s="4" t="s">
        <v>20</v>
      </c>
      <c r="AU19" s="5">
        <v>84</v>
      </c>
      <c r="AV19" s="5">
        <f>70</f>
        <v>70</v>
      </c>
      <c r="AW19" s="20">
        <f>75</f>
        <v>75</v>
      </c>
      <c r="AX19" s="20">
        <f>80</f>
        <v>80</v>
      </c>
      <c r="AY19" s="20">
        <f>77</f>
        <v>77</v>
      </c>
      <c r="AZ19" s="20">
        <f>80</f>
        <v>80</v>
      </c>
      <c r="BA19" s="20">
        <f>80</f>
        <v>80</v>
      </c>
      <c r="BB19" s="20">
        <f>81</f>
        <v>81</v>
      </c>
      <c r="BC19" s="20">
        <f>81-6</f>
        <v>75</v>
      </c>
      <c r="BD19" s="20">
        <f>66</f>
        <v>66</v>
      </c>
      <c r="BE19" s="20">
        <f>76</f>
        <v>76</v>
      </c>
      <c r="BF19" s="20">
        <f>72</f>
        <v>72</v>
      </c>
      <c r="BG19" s="20">
        <f>61</f>
        <v>61</v>
      </c>
      <c r="BH19" s="7">
        <f>AVERAGE(AV19:BG19)</f>
        <v>74.416666666666671</v>
      </c>
      <c r="CN19" s="5">
        <f t="shared" si="96"/>
        <v>786</v>
      </c>
      <c r="CO19" s="5">
        <f t="shared" si="96"/>
        <v>855</v>
      </c>
      <c r="CP19" s="5">
        <f t="shared" si="96"/>
        <v>926</v>
      </c>
      <c r="CQ19" s="5">
        <f t="shared" si="96"/>
        <v>912</v>
      </c>
      <c r="CR19" s="5">
        <f t="shared" si="96"/>
        <v>887</v>
      </c>
      <c r="CS19" s="5">
        <f t="shared" si="96"/>
        <v>790</v>
      </c>
      <c r="CT19" s="5">
        <f t="shared" si="96"/>
        <v>813</v>
      </c>
      <c r="CU19" s="5">
        <f t="shared" si="96"/>
        <v>802</v>
      </c>
      <c r="CV19" s="5">
        <f t="shared" si="96"/>
        <v>817</v>
      </c>
      <c r="CW19" s="5">
        <f t="shared" si="96"/>
        <v>788</v>
      </c>
      <c r="CX19" s="5">
        <f t="shared" si="96"/>
        <v>739</v>
      </c>
      <c r="CY19" s="5">
        <f t="shared" si="96"/>
        <v>773</v>
      </c>
      <c r="CZ19" s="13">
        <f>AVERAGE(CN19:CY19)</f>
        <v>824</v>
      </c>
      <c r="DA19" s="5">
        <f>711-DN19</f>
        <v>535</v>
      </c>
      <c r="DB19" s="5">
        <f>763-DO19</f>
        <v>586</v>
      </c>
      <c r="DC19" s="5">
        <f>831-DP19</f>
        <v>618</v>
      </c>
      <c r="DD19" s="5">
        <f>817-DQ19</f>
        <v>604</v>
      </c>
      <c r="DE19" s="5">
        <f>792-DR19</f>
        <v>579</v>
      </c>
      <c r="DF19" s="5">
        <f>699-DS19</f>
        <v>512</v>
      </c>
      <c r="DG19" s="5">
        <f>718-DT19</f>
        <v>536</v>
      </c>
      <c r="DH19" s="5">
        <f>708-DU19</f>
        <v>530</v>
      </c>
      <c r="DI19" s="5">
        <f>722-DV19</f>
        <v>544</v>
      </c>
      <c r="DJ19" s="5">
        <f>704-DW19</f>
        <v>547</v>
      </c>
      <c r="DK19" s="5">
        <f>661-DX19</f>
        <v>503</v>
      </c>
      <c r="DL19" s="5">
        <f>694-DY19</f>
        <v>538</v>
      </c>
      <c r="DM19" s="13">
        <f>AVERAGE(DA19:DL19)</f>
        <v>552.66666666666663</v>
      </c>
      <c r="DN19" s="22">
        <f>176</f>
        <v>176</v>
      </c>
      <c r="DO19" s="22">
        <f>177</f>
        <v>177</v>
      </c>
      <c r="DP19" s="22">
        <f>213</f>
        <v>213</v>
      </c>
      <c r="DQ19" s="22">
        <f>213</f>
        <v>213</v>
      </c>
      <c r="DR19" s="22">
        <f>213</f>
        <v>213</v>
      </c>
      <c r="DS19" s="22">
        <f>187</f>
        <v>187</v>
      </c>
      <c r="DT19" s="22">
        <f>182</f>
        <v>182</v>
      </c>
      <c r="DU19" s="22">
        <f>178</f>
        <v>178</v>
      </c>
      <c r="DV19" s="22">
        <v>178</v>
      </c>
      <c r="DW19" s="22">
        <v>157</v>
      </c>
      <c r="DX19" s="22">
        <f>158</f>
        <v>158</v>
      </c>
      <c r="DY19" s="22">
        <v>156</v>
      </c>
      <c r="DZ19" s="63">
        <f>AVERAGE(DN19:DY19)</f>
        <v>182.33333333333334</v>
      </c>
      <c r="EA19" s="22">
        <f>75</f>
        <v>75</v>
      </c>
      <c r="EB19" s="22">
        <f>92</f>
        <v>92</v>
      </c>
      <c r="EC19" s="22">
        <f>95</f>
        <v>95</v>
      </c>
      <c r="ED19" s="22">
        <f>95</f>
        <v>95</v>
      </c>
      <c r="EE19" s="22">
        <f>95</f>
        <v>95</v>
      </c>
      <c r="EF19" s="22">
        <f>91</f>
        <v>91</v>
      </c>
      <c r="EG19" s="22">
        <f>91+4</f>
        <v>95</v>
      </c>
      <c r="EH19" s="22">
        <f>91+4-1</f>
        <v>94</v>
      </c>
      <c r="EI19" s="22">
        <f>95</f>
        <v>95</v>
      </c>
      <c r="EJ19" s="22">
        <f>84</f>
        <v>84</v>
      </c>
      <c r="EK19" s="22">
        <v>78</v>
      </c>
      <c r="EL19" s="22">
        <v>79</v>
      </c>
      <c r="EM19" s="63">
        <f>AVERAGE(EA19:EL19)</f>
        <v>89</v>
      </c>
      <c r="FO19" s="5">
        <f t="shared" si="97"/>
        <v>752</v>
      </c>
      <c r="FP19" s="5">
        <f t="shared" si="98"/>
        <v>759</v>
      </c>
      <c r="FQ19" s="5">
        <f t="shared" si="99"/>
        <v>850</v>
      </c>
      <c r="FR19" s="5">
        <f t="shared" si="100"/>
        <v>892</v>
      </c>
      <c r="FS19" s="5">
        <f t="shared" si="101"/>
        <v>858</v>
      </c>
      <c r="FT19" s="5">
        <f t="shared" si="102"/>
        <v>800</v>
      </c>
      <c r="FU19" s="5">
        <f t="shared" si="103"/>
        <v>840</v>
      </c>
      <c r="FV19" s="5">
        <f t="shared" si="104"/>
        <v>830</v>
      </c>
      <c r="FW19" s="5">
        <f t="shared" si="105"/>
        <v>823</v>
      </c>
      <c r="FX19" s="5">
        <f t="shared" si="106"/>
        <v>818</v>
      </c>
      <c r="FY19" s="5">
        <f t="shared" si="107"/>
        <v>792</v>
      </c>
      <c r="FZ19" s="5">
        <f t="shared" si="108"/>
        <v>795</v>
      </c>
      <c r="GA19" s="67">
        <f>AVERAGE(FO19:FZ19)</f>
        <v>817.41666666666663</v>
      </c>
      <c r="GB19" s="5">
        <f>676-GO19</f>
        <v>513</v>
      </c>
      <c r="GC19" s="5">
        <f>683-GP19</f>
        <v>517</v>
      </c>
      <c r="GD19" s="5">
        <f>777-GQ19</f>
        <v>593</v>
      </c>
      <c r="GE19" s="5">
        <f>819-GR19</f>
        <v>605</v>
      </c>
      <c r="GF19" s="5">
        <f>785-GS19</f>
        <v>577</v>
      </c>
      <c r="GG19" s="5">
        <f>726-GT19</f>
        <v>544</v>
      </c>
      <c r="GH19" s="5">
        <f>766-GU19</f>
        <v>576</v>
      </c>
      <c r="GI19" s="5">
        <f>755-GV19</f>
        <v>547</v>
      </c>
      <c r="GJ19" s="5">
        <f>746-GW19</f>
        <v>565</v>
      </c>
      <c r="GK19" s="5">
        <f>740-GX19</f>
        <v>560</v>
      </c>
      <c r="GL19" s="5">
        <f>714-GY19</f>
        <v>534</v>
      </c>
      <c r="GM19" s="5">
        <f>719-GZ19</f>
        <v>539</v>
      </c>
      <c r="GN19" s="7">
        <f>AVERAGE(GB19:GM19)</f>
        <v>555.83333333333337</v>
      </c>
      <c r="GO19" s="86">
        <v>163</v>
      </c>
      <c r="GP19" s="86">
        <v>166</v>
      </c>
      <c r="GQ19" s="86">
        <f>180+4</f>
        <v>184</v>
      </c>
      <c r="GR19" s="86">
        <v>214</v>
      </c>
      <c r="GS19" s="86">
        <v>208</v>
      </c>
      <c r="GT19" s="86">
        <v>182</v>
      </c>
      <c r="GU19" s="86">
        <v>190</v>
      </c>
      <c r="GV19" s="86">
        <v>208</v>
      </c>
      <c r="GW19" s="20">
        <v>181</v>
      </c>
      <c r="GX19" s="20">
        <f>180</f>
        <v>180</v>
      </c>
      <c r="GY19" s="20">
        <f>180</f>
        <v>180</v>
      </c>
      <c r="GZ19" s="20">
        <f>180</f>
        <v>180</v>
      </c>
      <c r="HA19" s="21">
        <f>AVERAGE(GO19:GZ19)</f>
        <v>186.33333333333334</v>
      </c>
      <c r="HB19" s="20">
        <f>76</f>
        <v>76</v>
      </c>
      <c r="HC19" s="20">
        <f>76</f>
        <v>76</v>
      </c>
      <c r="HD19" s="20">
        <f>73</f>
        <v>73</v>
      </c>
      <c r="HE19" s="20">
        <f>73</f>
        <v>73</v>
      </c>
      <c r="HF19" s="20">
        <v>73</v>
      </c>
      <c r="HG19" s="20">
        <v>74</v>
      </c>
      <c r="HH19" s="20">
        <v>74</v>
      </c>
      <c r="HI19" s="20">
        <v>75</v>
      </c>
      <c r="HJ19" s="20">
        <v>77</v>
      </c>
      <c r="HK19" s="20">
        <f>78</f>
        <v>78</v>
      </c>
      <c r="HL19" s="20">
        <f>78</f>
        <v>78</v>
      </c>
      <c r="HM19" s="20">
        <f>76</f>
        <v>76</v>
      </c>
      <c r="HN19" s="21">
        <f>AVERAGE(HB19:HM19)</f>
        <v>75.25</v>
      </c>
      <c r="HP19" s="5">
        <f t="shared" si="109"/>
        <v>795</v>
      </c>
      <c r="HQ19" s="5">
        <f t="shared" si="110"/>
        <v>849</v>
      </c>
      <c r="HR19" s="5">
        <f t="shared" si="111"/>
        <v>899</v>
      </c>
      <c r="HS19" s="5">
        <f t="shared" si="112"/>
        <v>837</v>
      </c>
      <c r="HT19" s="5">
        <f t="shared" si="113"/>
        <v>827</v>
      </c>
      <c r="HU19" s="5">
        <f t="shared" si="114"/>
        <v>896</v>
      </c>
      <c r="HV19" s="5">
        <f t="shared" si="115"/>
        <v>875</v>
      </c>
      <c r="HW19" s="5">
        <f t="shared" si="116"/>
        <v>800</v>
      </c>
      <c r="HX19" s="5">
        <f t="shared" si="117"/>
        <v>717</v>
      </c>
      <c r="HY19" s="5">
        <f t="shared" si="118"/>
        <v>662</v>
      </c>
      <c r="HZ19" s="5">
        <f t="shared" si="119"/>
        <v>726</v>
      </c>
      <c r="IA19" s="5">
        <f t="shared" si="119"/>
        <v>743</v>
      </c>
      <c r="IB19" s="63">
        <f t="shared" ref="IB19:IB20" si="128">AVERAGE(HP19:IA19)</f>
        <v>802.16666666666663</v>
      </c>
      <c r="IC19" s="102">
        <f>[4]Sheet1!D6-SUM(IP19)</f>
        <v>539</v>
      </c>
      <c r="ID19" s="102">
        <f>[4]Sheet1!L6-SUM(IQ19)</f>
        <v>602</v>
      </c>
      <c r="IE19" s="102">
        <f>[4]Sheet1!R6-SUM(IR19)</f>
        <v>641</v>
      </c>
      <c r="IF19" s="101">
        <f>[5]Sheet1!$K$6-SUM(IS19)</f>
        <v>578</v>
      </c>
      <c r="IG19" s="101">
        <f>'[6]Manpower Strength Aug''18'!$E$5-SUM(IT19)</f>
        <v>568</v>
      </c>
      <c r="IH19" s="175">
        <f>'[6]Manpower Strength Sep''18'!$E$5-SUM(IU19)</f>
        <v>635</v>
      </c>
      <c r="II19" s="175">
        <f>'[6]Manpower Strength Oct''18'!$E$5-SUM(IV19)</f>
        <v>617</v>
      </c>
      <c r="IJ19" s="175">
        <f>'[6]Manpower Strength Nov''18'!$E$5-SUM(IW19)</f>
        <v>547</v>
      </c>
      <c r="IK19" s="175">
        <f>'[6]Manpower Strength Dec''18'!$E$5-SUM(IX19)</f>
        <v>472</v>
      </c>
      <c r="IL19" s="175">
        <f>'[6]Manpower Strength Jan''19'!$E$5-SUM(IY19)</f>
        <v>418</v>
      </c>
      <c r="IM19" s="175">
        <f>'[6]Manpower Strength Feb''19'!$E$5-SUM(IZ19)</f>
        <v>486</v>
      </c>
      <c r="IN19" s="175">
        <f>'[6]Manpower Strength Mar''19'!$E$5-SUM(JA19)</f>
        <v>504</v>
      </c>
      <c r="IO19" s="63">
        <f t="shared" si="124"/>
        <v>550.58333333333337</v>
      </c>
      <c r="IP19" s="20">
        <f>180</f>
        <v>180</v>
      </c>
      <c r="IQ19" s="20">
        <f>169</f>
        <v>169</v>
      </c>
      <c r="IR19" s="20">
        <f>180</f>
        <v>180</v>
      </c>
      <c r="IS19" s="20">
        <f>IR19</f>
        <v>180</v>
      </c>
      <c r="IT19" s="20">
        <f t="shared" si="125"/>
        <v>180</v>
      </c>
      <c r="IU19" s="20">
        <f t="shared" si="125"/>
        <v>180</v>
      </c>
      <c r="IV19" s="20">
        <f t="shared" si="125"/>
        <v>180</v>
      </c>
      <c r="IW19" s="20">
        <f t="shared" si="125"/>
        <v>180</v>
      </c>
      <c r="IX19" s="20">
        <f t="shared" si="125"/>
        <v>180</v>
      </c>
      <c r="IY19" s="20">
        <f t="shared" si="125"/>
        <v>180</v>
      </c>
      <c r="IZ19" s="20">
        <f t="shared" si="125"/>
        <v>180</v>
      </c>
      <c r="JA19" s="20">
        <f t="shared" si="125"/>
        <v>180</v>
      </c>
      <c r="JB19" s="63">
        <f t="shared" si="126"/>
        <v>179.08333333333334</v>
      </c>
      <c r="JC19" s="20">
        <f>[4]Sheet1!D9</f>
        <v>76</v>
      </c>
      <c r="JD19" s="20">
        <f>[4]Sheet1!L9</f>
        <v>78</v>
      </c>
      <c r="JE19" s="20">
        <f>[4]Sheet1!R9</f>
        <v>78</v>
      </c>
      <c r="JF19" s="21">
        <f>[5]Sheet1!$K$9</f>
        <v>79</v>
      </c>
      <c r="JG19" s="21">
        <f>'[6]Manpower Strength Aug''18'!$E$8</f>
        <v>79</v>
      </c>
      <c r="JH19" s="21">
        <f>'[6]Manpower Strength Sep''18'!$E$8</f>
        <v>81</v>
      </c>
      <c r="JI19" s="21">
        <f>'[6]Manpower Strength Oct''18'!$E$8</f>
        <v>78</v>
      </c>
      <c r="JJ19" s="21">
        <f>'[6]Manpower Strength Nov''18'!$E$8</f>
        <v>73</v>
      </c>
      <c r="JK19" s="21">
        <f>'[6]Manpower Strength Dec''18'!$E$8</f>
        <v>65</v>
      </c>
      <c r="JL19" s="21">
        <f>'[6]Manpower Strength Jan''19'!$E$8</f>
        <v>64</v>
      </c>
      <c r="JM19" s="21">
        <f>'[6]Manpower Strength Feb''19'!$E$8</f>
        <v>60</v>
      </c>
      <c r="JN19" s="21">
        <f>'[6]Manpower Strength Mar''19'!$E$8</f>
        <v>59</v>
      </c>
      <c r="JO19" s="63">
        <f t="shared" si="127"/>
        <v>72.5</v>
      </c>
    </row>
    <row r="20" spans="1:275" ht="15.75" thickBot="1">
      <c r="A20" s="14" t="s">
        <v>21</v>
      </c>
      <c r="B20" s="15">
        <f>SUM(B17:B19)</f>
        <v>1198.5</v>
      </c>
      <c r="C20" s="15">
        <f>SUM(C17:C19)</f>
        <v>1173</v>
      </c>
      <c r="D20" s="15">
        <f t="shared" ref="D20:M20" si="129">SUM(D17:D19)</f>
        <v>1195</v>
      </c>
      <c r="E20" s="15">
        <f t="shared" si="129"/>
        <v>1206</v>
      </c>
      <c r="F20" s="15">
        <f t="shared" si="129"/>
        <v>1200</v>
      </c>
      <c r="G20" s="15">
        <f t="shared" si="129"/>
        <v>1209</v>
      </c>
      <c r="H20" s="15">
        <f t="shared" si="129"/>
        <v>1204</v>
      </c>
      <c r="I20" s="15">
        <f t="shared" si="129"/>
        <v>1229</v>
      </c>
      <c r="J20" s="15">
        <f t="shared" si="129"/>
        <v>1186</v>
      </c>
      <c r="K20" s="15">
        <f t="shared" si="129"/>
        <v>1135</v>
      </c>
      <c r="L20" s="15">
        <f t="shared" si="129"/>
        <v>1146</v>
      </c>
      <c r="M20" s="15">
        <f t="shared" si="129"/>
        <v>1202</v>
      </c>
      <c r="N20" s="15">
        <f>SUM(N17:N19)</f>
        <v>1212</v>
      </c>
      <c r="O20" s="16">
        <f>AVERAGE(C20:N20)</f>
        <v>1191.4166666666667</v>
      </c>
      <c r="P20" s="17" t="s">
        <v>21</v>
      </c>
      <c r="Q20" s="15">
        <f>SUM(Q17:Q19)</f>
        <v>899</v>
      </c>
      <c r="R20" s="15">
        <f>SUM(R17:R19)</f>
        <v>893</v>
      </c>
      <c r="S20" s="15">
        <f t="shared" ref="S20:AB20" si="130">SUM(S17:S19)</f>
        <v>883</v>
      </c>
      <c r="T20" s="15">
        <f t="shared" si="130"/>
        <v>897</v>
      </c>
      <c r="U20" s="15">
        <f t="shared" si="130"/>
        <v>881</v>
      </c>
      <c r="V20" s="15">
        <f t="shared" si="130"/>
        <v>912</v>
      </c>
      <c r="W20" s="15">
        <f t="shared" si="130"/>
        <v>891</v>
      </c>
      <c r="X20" s="15">
        <f t="shared" si="130"/>
        <v>914</v>
      </c>
      <c r="Y20" s="15">
        <f t="shared" si="130"/>
        <v>877</v>
      </c>
      <c r="Z20" s="15">
        <f t="shared" si="130"/>
        <v>835</v>
      </c>
      <c r="AA20" s="15">
        <f t="shared" si="130"/>
        <v>858</v>
      </c>
      <c r="AB20" s="15">
        <f t="shared" si="130"/>
        <v>872</v>
      </c>
      <c r="AC20" s="15">
        <f>SUM(AC17:AC19)</f>
        <v>884</v>
      </c>
      <c r="AD20" s="16">
        <f>AVERAGE(R20:AC20)</f>
        <v>883.08333333333337</v>
      </c>
      <c r="AE20" s="17" t="s">
        <v>21</v>
      </c>
      <c r="AF20" s="15">
        <f>SUM(AF17:AF19)</f>
        <v>187</v>
      </c>
      <c r="AG20" s="15">
        <f>SUM(AG17:AG19)</f>
        <v>181</v>
      </c>
      <c r="AH20" s="15">
        <f t="shared" ref="AH20:AQ20" si="131">SUM(AH17:AH19)</f>
        <v>207</v>
      </c>
      <c r="AI20" s="15">
        <f t="shared" si="131"/>
        <v>200</v>
      </c>
      <c r="AJ20" s="15">
        <f t="shared" si="131"/>
        <v>215</v>
      </c>
      <c r="AK20" s="15">
        <f t="shared" si="131"/>
        <v>190</v>
      </c>
      <c r="AL20" s="15">
        <f t="shared" si="131"/>
        <v>206</v>
      </c>
      <c r="AM20" s="15">
        <f t="shared" si="131"/>
        <v>206</v>
      </c>
      <c r="AN20" s="15">
        <f t="shared" si="131"/>
        <v>206</v>
      </c>
      <c r="AO20" s="15">
        <f t="shared" si="131"/>
        <v>206</v>
      </c>
      <c r="AP20" s="15">
        <f t="shared" si="131"/>
        <v>185</v>
      </c>
      <c r="AQ20" s="15">
        <f t="shared" si="131"/>
        <v>230</v>
      </c>
      <c r="AR20" s="15">
        <f>SUM(AR17:AR19)</f>
        <v>240</v>
      </c>
      <c r="AS20" s="16">
        <f>AVERAGE(AG20:AR20)</f>
        <v>206</v>
      </c>
      <c r="AT20" s="17" t="s">
        <v>21</v>
      </c>
      <c r="AU20" s="15">
        <f>SUM(AU17:AU19)</f>
        <v>112.5</v>
      </c>
      <c r="AV20" s="15">
        <f>SUM(AV17:AV19)</f>
        <v>99</v>
      </c>
      <c r="AW20" s="15">
        <f t="shared" ref="AW20:BF20" si="132">SUM(AW17:AW19)</f>
        <v>105</v>
      </c>
      <c r="AX20" s="15">
        <f t="shared" si="132"/>
        <v>109</v>
      </c>
      <c r="AY20" s="15">
        <f t="shared" si="132"/>
        <v>104</v>
      </c>
      <c r="AZ20" s="15">
        <f t="shared" si="132"/>
        <v>107</v>
      </c>
      <c r="BA20" s="15">
        <f t="shared" si="132"/>
        <v>107</v>
      </c>
      <c r="BB20" s="15">
        <f t="shared" si="132"/>
        <v>109</v>
      </c>
      <c r="BC20" s="15">
        <f t="shared" si="132"/>
        <v>103</v>
      </c>
      <c r="BD20" s="15">
        <f t="shared" si="132"/>
        <v>94</v>
      </c>
      <c r="BE20" s="15">
        <f t="shared" si="132"/>
        <v>103</v>
      </c>
      <c r="BF20" s="15">
        <f t="shared" si="132"/>
        <v>100</v>
      </c>
      <c r="BG20" s="15">
        <f>SUM(BG17:BG19)</f>
        <v>88</v>
      </c>
      <c r="BH20" s="16">
        <f>AVERAGE(AV20:BG20)</f>
        <v>102.33333333333333</v>
      </c>
      <c r="CN20" s="15">
        <f t="shared" ref="CN20:CY20" si="133">SUM(CN17:CN19)</f>
        <v>1213</v>
      </c>
      <c r="CO20" s="15">
        <f t="shared" si="133"/>
        <v>1281</v>
      </c>
      <c r="CP20" s="15">
        <f t="shared" si="133"/>
        <v>1353</v>
      </c>
      <c r="CQ20" s="15">
        <f t="shared" si="133"/>
        <v>1345</v>
      </c>
      <c r="CR20" s="15">
        <f t="shared" si="133"/>
        <v>1320</v>
      </c>
      <c r="CS20" s="15">
        <f t="shared" si="133"/>
        <v>1220</v>
      </c>
      <c r="CT20" s="15">
        <f t="shared" si="133"/>
        <v>1242</v>
      </c>
      <c r="CU20" s="15">
        <f t="shared" si="133"/>
        <v>1227</v>
      </c>
      <c r="CV20" s="15">
        <f t="shared" si="133"/>
        <v>1239</v>
      </c>
      <c r="CW20" s="15">
        <f t="shared" si="133"/>
        <v>1211</v>
      </c>
      <c r="CX20" s="15">
        <f t="shared" si="133"/>
        <v>1161</v>
      </c>
      <c r="CY20" s="15">
        <f t="shared" si="133"/>
        <v>1193</v>
      </c>
      <c r="CZ20" s="18">
        <f>AVERAGE(CN20:CY20)</f>
        <v>1250.4166666666667</v>
      </c>
      <c r="DA20" s="15">
        <f t="shared" ref="DA20:DL20" si="134">SUM(DA17:DA19)</f>
        <v>898</v>
      </c>
      <c r="DB20" s="15">
        <f t="shared" si="134"/>
        <v>945</v>
      </c>
      <c r="DC20" s="15">
        <f t="shared" si="134"/>
        <v>972</v>
      </c>
      <c r="DD20" s="15">
        <f t="shared" si="134"/>
        <v>963</v>
      </c>
      <c r="DE20" s="15">
        <f t="shared" si="134"/>
        <v>938</v>
      </c>
      <c r="DF20" s="15">
        <f t="shared" si="134"/>
        <v>869</v>
      </c>
      <c r="DG20" s="15">
        <f t="shared" si="134"/>
        <v>891</v>
      </c>
      <c r="DH20" s="15">
        <f t="shared" si="134"/>
        <v>882</v>
      </c>
      <c r="DI20" s="15">
        <f t="shared" si="134"/>
        <v>893</v>
      </c>
      <c r="DJ20" s="15">
        <f t="shared" si="134"/>
        <v>895</v>
      </c>
      <c r="DK20" s="15">
        <f t="shared" si="134"/>
        <v>850</v>
      </c>
      <c r="DL20" s="15">
        <f t="shared" si="134"/>
        <v>883</v>
      </c>
      <c r="DM20" s="18">
        <f>AVERAGE(DA20:DL20)</f>
        <v>906.58333333333337</v>
      </c>
      <c r="DN20" s="15">
        <f t="shared" ref="DN20:DY20" si="135">SUM(DN17:DN19)</f>
        <v>213</v>
      </c>
      <c r="DO20" s="15">
        <f t="shared" si="135"/>
        <v>216</v>
      </c>
      <c r="DP20" s="15">
        <f t="shared" si="135"/>
        <v>258</v>
      </c>
      <c r="DQ20" s="15">
        <f t="shared" si="135"/>
        <v>258</v>
      </c>
      <c r="DR20" s="15">
        <f t="shared" si="135"/>
        <v>257</v>
      </c>
      <c r="DS20" s="15">
        <f t="shared" si="135"/>
        <v>231</v>
      </c>
      <c r="DT20" s="15">
        <f t="shared" si="135"/>
        <v>227</v>
      </c>
      <c r="DU20" s="15">
        <f t="shared" si="135"/>
        <v>222</v>
      </c>
      <c r="DV20" s="15">
        <f t="shared" si="135"/>
        <v>222</v>
      </c>
      <c r="DW20" s="15">
        <f t="shared" si="135"/>
        <v>203</v>
      </c>
      <c r="DX20" s="15">
        <f t="shared" si="135"/>
        <v>204</v>
      </c>
      <c r="DY20" s="15">
        <f t="shared" si="135"/>
        <v>202</v>
      </c>
      <c r="DZ20" s="64">
        <f>AVERAGE(DN20:DY20)</f>
        <v>226.08333333333334</v>
      </c>
      <c r="EA20" s="15">
        <f t="shared" ref="EA20:EL20" si="136">SUM(EA17:EA19)</f>
        <v>102</v>
      </c>
      <c r="EB20" s="15">
        <f t="shared" si="136"/>
        <v>120</v>
      </c>
      <c r="EC20" s="15">
        <f t="shared" si="136"/>
        <v>123</v>
      </c>
      <c r="ED20" s="15">
        <f t="shared" si="136"/>
        <v>124</v>
      </c>
      <c r="EE20" s="15">
        <f t="shared" si="136"/>
        <v>125</v>
      </c>
      <c r="EF20" s="15">
        <f t="shared" si="136"/>
        <v>120</v>
      </c>
      <c r="EG20" s="15">
        <f t="shared" si="136"/>
        <v>124</v>
      </c>
      <c r="EH20" s="15">
        <f t="shared" si="136"/>
        <v>123</v>
      </c>
      <c r="EI20" s="15">
        <f t="shared" si="136"/>
        <v>124</v>
      </c>
      <c r="EJ20" s="15">
        <f t="shared" si="136"/>
        <v>113</v>
      </c>
      <c r="EK20" s="15">
        <f t="shared" si="136"/>
        <v>107</v>
      </c>
      <c r="EL20" s="15">
        <f t="shared" si="136"/>
        <v>108</v>
      </c>
      <c r="EM20" s="64">
        <f>AVERAGE(EA20:EL20)</f>
        <v>117.75</v>
      </c>
      <c r="FO20" s="15">
        <f t="shared" ref="FO20:FZ20" si="137">SUM(FO17:FO19)</f>
        <v>1169</v>
      </c>
      <c r="FP20" s="15">
        <f t="shared" si="137"/>
        <v>1178</v>
      </c>
      <c r="FQ20" s="15">
        <f t="shared" si="137"/>
        <v>1265</v>
      </c>
      <c r="FR20" s="15">
        <f t="shared" si="137"/>
        <v>1306</v>
      </c>
      <c r="FS20" s="15">
        <f t="shared" si="137"/>
        <v>1274</v>
      </c>
      <c r="FT20" s="15">
        <f t="shared" si="137"/>
        <v>1218</v>
      </c>
      <c r="FU20" s="15">
        <f t="shared" si="137"/>
        <v>1254</v>
      </c>
      <c r="FV20" s="15">
        <f t="shared" si="137"/>
        <v>1244</v>
      </c>
      <c r="FW20" s="15">
        <f t="shared" si="137"/>
        <v>1237</v>
      </c>
      <c r="FX20" s="15">
        <f t="shared" si="137"/>
        <v>1230</v>
      </c>
      <c r="FY20" s="15">
        <f t="shared" si="137"/>
        <v>1208</v>
      </c>
      <c r="FZ20" s="15">
        <f t="shared" si="137"/>
        <v>1211</v>
      </c>
      <c r="GA20" s="68">
        <f>AVERAGE(FO20:FZ20)</f>
        <v>1232.8333333333333</v>
      </c>
      <c r="GB20" s="69">
        <f t="shared" ref="GB20:GM20" si="138">SUM(GB17:GB19)</f>
        <v>858</v>
      </c>
      <c r="GC20" s="69">
        <f t="shared" si="138"/>
        <v>863</v>
      </c>
      <c r="GD20" s="69">
        <f t="shared" si="138"/>
        <v>935</v>
      </c>
      <c r="GE20" s="69">
        <f t="shared" si="138"/>
        <v>946</v>
      </c>
      <c r="GF20" s="69">
        <f t="shared" si="138"/>
        <v>920</v>
      </c>
      <c r="GG20" s="69">
        <f t="shared" si="138"/>
        <v>889</v>
      </c>
      <c r="GH20" s="69">
        <f t="shared" si="138"/>
        <v>917</v>
      </c>
      <c r="GI20" s="69">
        <f t="shared" si="138"/>
        <v>888</v>
      </c>
      <c r="GJ20" s="69">
        <f t="shared" si="138"/>
        <v>904</v>
      </c>
      <c r="GK20" s="69">
        <f t="shared" si="138"/>
        <v>900</v>
      </c>
      <c r="GL20" s="69">
        <f t="shared" si="138"/>
        <v>878</v>
      </c>
      <c r="GM20" s="69">
        <f t="shared" si="138"/>
        <v>884</v>
      </c>
      <c r="GN20" s="70">
        <f>AVERAGE(GB20:GM20)</f>
        <v>898.5</v>
      </c>
      <c r="GO20" s="69">
        <f t="shared" ref="GO20:GZ20" si="139">SUM(GO17:GO19)</f>
        <v>206</v>
      </c>
      <c r="GP20" s="69">
        <f t="shared" si="139"/>
        <v>210</v>
      </c>
      <c r="GQ20" s="69">
        <f t="shared" si="139"/>
        <v>228</v>
      </c>
      <c r="GR20" s="69">
        <f t="shared" si="139"/>
        <v>258</v>
      </c>
      <c r="GS20" s="69">
        <f t="shared" si="139"/>
        <v>252</v>
      </c>
      <c r="GT20" s="69">
        <f t="shared" si="139"/>
        <v>226</v>
      </c>
      <c r="GU20" s="69">
        <f t="shared" si="139"/>
        <v>234</v>
      </c>
      <c r="GV20" s="69">
        <f t="shared" si="139"/>
        <v>252</v>
      </c>
      <c r="GW20" s="69">
        <f t="shared" si="139"/>
        <v>227</v>
      </c>
      <c r="GX20" s="69">
        <f t="shared" si="139"/>
        <v>224</v>
      </c>
      <c r="GY20" s="69">
        <f t="shared" si="139"/>
        <v>224</v>
      </c>
      <c r="GZ20" s="69">
        <f t="shared" si="139"/>
        <v>224</v>
      </c>
      <c r="HA20" s="69">
        <f>AVERAGE(GO20:GZ20)</f>
        <v>230.41666666666666</v>
      </c>
      <c r="HB20" s="69">
        <f t="shared" ref="HB20:HM20" si="140">SUM(HB17:HB19)</f>
        <v>105</v>
      </c>
      <c r="HC20" s="69">
        <f t="shared" si="140"/>
        <v>105</v>
      </c>
      <c r="HD20" s="69">
        <f t="shared" si="140"/>
        <v>102</v>
      </c>
      <c r="HE20" s="69">
        <f t="shared" si="140"/>
        <v>102</v>
      </c>
      <c r="HF20" s="69">
        <f t="shared" si="140"/>
        <v>102</v>
      </c>
      <c r="HG20" s="69">
        <f t="shared" si="140"/>
        <v>103</v>
      </c>
      <c r="HH20" s="69">
        <f t="shared" si="140"/>
        <v>103</v>
      </c>
      <c r="HI20" s="69">
        <f t="shared" si="140"/>
        <v>104</v>
      </c>
      <c r="HJ20" s="69">
        <f t="shared" si="140"/>
        <v>106</v>
      </c>
      <c r="HK20" s="69">
        <f t="shared" si="140"/>
        <v>106</v>
      </c>
      <c r="HL20" s="69">
        <f t="shared" si="140"/>
        <v>106</v>
      </c>
      <c r="HM20" s="69">
        <f t="shared" si="140"/>
        <v>103</v>
      </c>
      <c r="HN20" s="69">
        <f>AVERAGE(HB20:HM20)</f>
        <v>103.91666666666667</v>
      </c>
      <c r="HP20" s="15">
        <f t="shared" ref="HP20:JO20" si="141">SUM(HP17:HP19)</f>
        <v>1206</v>
      </c>
      <c r="HQ20" s="15">
        <f t="shared" si="141"/>
        <v>1259</v>
      </c>
      <c r="HR20" s="15">
        <f t="shared" si="141"/>
        <v>1304</v>
      </c>
      <c r="HS20" s="15">
        <f t="shared" si="141"/>
        <v>1244</v>
      </c>
      <c r="HT20" s="15">
        <f t="shared" si="141"/>
        <v>1233</v>
      </c>
      <c r="HU20" s="15">
        <f t="shared" si="141"/>
        <v>1302</v>
      </c>
      <c r="HV20" s="15">
        <f t="shared" si="141"/>
        <v>1279</v>
      </c>
      <c r="HW20" s="15">
        <f t="shared" si="141"/>
        <v>1203</v>
      </c>
      <c r="HX20" s="15">
        <f t="shared" si="141"/>
        <v>1117</v>
      </c>
      <c r="HY20" s="15">
        <f t="shared" si="141"/>
        <v>1059</v>
      </c>
      <c r="HZ20" s="15">
        <f t="shared" si="141"/>
        <v>1124</v>
      </c>
      <c r="IA20" s="15">
        <f t="shared" ref="IA20" si="142">SUM(IA17:IA19)</f>
        <v>1144</v>
      </c>
      <c r="IB20" s="63">
        <f t="shared" si="128"/>
        <v>1206.1666666666667</v>
      </c>
      <c r="IC20" s="15">
        <f t="shared" si="141"/>
        <v>890</v>
      </c>
      <c r="ID20" s="15">
        <f t="shared" si="141"/>
        <v>956</v>
      </c>
      <c r="IE20" s="15">
        <f t="shared" si="141"/>
        <v>989</v>
      </c>
      <c r="IF20" s="15">
        <f t="shared" si="141"/>
        <v>928</v>
      </c>
      <c r="IG20" s="15">
        <f t="shared" si="141"/>
        <v>917</v>
      </c>
      <c r="IH20" s="15">
        <f t="shared" si="141"/>
        <v>984</v>
      </c>
      <c r="II20" s="15">
        <f t="shared" si="141"/>
        <v>964</v>
      </c>
      <c r="IJ20" s="15">
        <f t="shared" si="141"/>
        <v>893</v>
      </c>
      <c r="IK20" s="15">
        <f t="shared" si="141"/>
        <v>815</v>
      </c>
      <c r="IL20" s="15">
        <f t="shared" si="141"/>
        <v>758</v>
      </c>
      <c r="IM20" s="15">
        <f t="shared" si="141"/>
        <v>826</v>
      </c>
      <c r="IN20" s="15">
        <f t="shared" si="141"/>
        <v>847</v>
      </c>
      <c r="IO20" s="15">
        <f t="shared" si="141"/>
        <v>897.25</v>
      </c>
      <c r="IP20" s="15">
        <f t="shared" si="141"/>
        <v>213</v>
      </c>
      <c r="IQ20" s="15">
        <f t="shared" si="141"/>
        <v>199</v>
      </c>
      <c r="IR20" s="15">
        <f t="shared" si="141"/>
        <v>211</v>
      </c>
      <c r="IS20" s="15">
        <f t="shared" si="141"/>
        <v>211</v>
      </c>
      <c r="IT20" s="15">
        <f t="shared" si="141"/>
        <v>211</v>
      </c>
      <c r="IU20" s="15">
        <f t="shared" si="141"/>
        <v>211</v>
      </c>
      <c r="IV20" s="15">
        <f t="shared" si="141"/>
        <v>211</v>
      </c>
      <c r="IW20" s="15">
        <f t="shared" si="141"/>
        <v>211</v>
      </c>
      <c r="IX20" s="15">
        <f t="shared" si="141"/>
        <v>211</v>
      </c>
      <c r="IY20" s="15">
        <f t="shared" si="141"/>
        <v>211</v>
      </c>
      <c r="IZ20" s="15">
        <f t="shared" si="141"/>
        <v>211</v>
      </c>
      <c r="JA20" s="15">
        <f t="shared" si="141"/>
        <v>211</v>
      </c>
      <c r="JB20" s="15">
        <f t="shared" si="141"/>
        <v>210.16666666666669</v>
      </c>
      <c r="JC20" s="15">
        <f t="shared" si="141"/>
        <v>103</v>
      </c>
      <c r="JD20" s="15">
        <f t="shared" si="141"/>
        <v>104</v>
      </c>
      <c r="JE20" s="15">
        <f t="shared" si="141"/>
        <v>104</v>
      </c>
      <c r="JF20" s="15">
        <f t="shared" si="141"/>
        <v>105</v>
      </c>
      <c r="JG20" s="15">
        <f t="shared" si="141"/>
        <v>105</v>
      </c>
      <c r="JH20" s="15">
        <f t="shared" si="141"/>
        <v>107</v>
      </c>
      <c r="JI20" s="15">
        <f t="shared" si="141"/>
        <v>104</v>
      </c>
      <c r="JJ20" s="15">
        <f t="shared" si="141"/>
        <v>99</v>
      </c>
      <c r="JK20" s="15">
        <f t="shared" si="141"/>
        <v>91</v>
      </c>
      <c r="JL20" s="15">
        <f t="shared" si="141"/>
        <v>90</v>
      </c>
      <c r="JM20" s="15">
        <f t="shared" si="141"/>
        <v>87</v>
      </c>
      <c r="JN20" s="15">
        <f t="shared" si="141"/>
        <v>86</v>
      </c>
      <c r="JO20" s="15">
        <f t="shared" si="141"/>
        <v>98.75</v>
      </c>
    </row>
    <row r="21" spans="1:275" ht="15.75" thickBot="1">
      <c r="A21" s="2" t="s">
        <v>39</v>
      </c>
      <c r="P21" s="2" t="s">
        <v>13</v>
      </c>
      <c r="AE21" s="2" t="s">
        <v>42</v>
      </c>
      <c r="AT21" s="2" t="s">
        <v>41</v>
      </c>
      <c r="CN21" s="2" t="s">
        <v>39</v>
      </c>
      <c r="DA21" s="2" t="s">
        <v>13</v>
      </c>
      <c r="DN21" s="29" t="s">
        <v>94</v>
      </c>
      <c r="EA21" s="29" t="s">
        <v>41</v>
      </c>
      <c r="FO21" s="2" t="s">
        <v>39</v>
      </c>
      <c r="FR21" s="58">
        <f>'[16]Main Sheet'!$BU$11+'[16]Main Sheet'!$BU$14-FR20</f>
        <v>0</v>
      </c>
      <c r="GB21" s="2" t="s">
        <v>13</v>
      </c>
      <c r="GO21" s="29" t="s">
        <v>94</v>
      </c>
      <c r="HB21" s="29" t="s">
        <v>41</v>
      </c>
      <c r="HP21" s="2" t="s">
        <v>39</v>
      </c>
      <c r="IC21" s="2" t="s">
        <v>13</v>
      </c>
      <c r="ID21" s="3"/>
      <c r="IE21" s="3"/>
      <c r="IF21" s="3"/>
      <c r="IG21" s="3"/>
      <c r="IH21" s="3"/>
      <c r="II21" s="3"/>
      <c r="IJ21" s="3"/>
      <c r="IK21" s="58">
        <f>IK20+IX20</f>
        <v>1026</v>
      </c>
      <c r="IL21" s="58">
        <f>IL20+IY20</f>
        <v>969</v>
      </c>
      <c r="IM21" s="58">
        <f>IM20+IZ20</f>
        <v>1037</v>
      </c>
      <c r="IN21" s="58">
        <f>IN20+JA20</f>
        <v>1058</v>
      </c>
      <c r="IO21" s="3"/>
      <c r="IP21" s="29" t="s">
        <v>94</v>
      </c>
      <c r="JC21" s="29" t="s">
        <v>41</v>
      </c>
    </row>
    <row r="22" spans="1:275" ht="15.75" thickBot="1">
      <c r="A22" s="8" t="s">
        <v>17</v>
      </c>
      <c r="B22" s="9" t="s">
        <v>6</v>
      </c>
      <c r="C22" s="9" t="s">
        <v>22</v>
      </c>
      <c r="D22" s="9" t="s">
        <v>23</v>
      </c>
      <c r="E22" s="9" t="s">
        <v>24</v>
      </c>
      <c r="F22" s="9" t="s">
        <v>25</v>
      </c>
      <c r="G22" s="9" t="s">
        <v>26</v>
      </c>
      <c r="H22" s="9" t="s">
        <v>27</v>
      </c>
      <c r="I22" s="9" t="s">
        <v>28</v>
      </c>
      <c r="J22" s="9" t="s">
        <v>29</v>
      </c>
      <c r="K22" s="9" t="s">
        <v>30</v>
      </c>
      <c r="L22" s="9" t="s">
        <v>31</v>
      </c>
      <c r="M22" s="9" t="s">
        <v>32</v>
      </c>
      <c r="N22" s="9" t="s">
        <v>33</v>
      </c>
      <c r="O22" s="9" t="s">
        <v>7</v>
      </c>
      <c r="P22" s="10" t="s">
        <v>17</v>
      </c>
      <c r="Q22" s="9" t="s">
        <v>6</v>
      </c>
      <c r="R22" s="9" t="s">
        <v>22</v>
      </c>
      <c r="S22" s="9" t="s">
        <v>23</v>
      </c>
      <c r="T22" s="9" t="s">
        <v>24</v>
      </c>
      <c r="U22" s="9" t="s">
        <v>25</v>
      </c>
      <c r="V22" s="9" t="s">
        <v>26</v>
      </c>
      <c r="W22" s="9" t="s">
        <v>27</v>
      </c>
      <c r="X22" s="9" t="s">
        <v>28</v>
      </c>
      <c r="Y22" s="9" t="s">
        <v>29</v>
      </c>
      <c r="Z22" s="9" t="s">
        <v>30</v>
      </c>
      <c r="AA22" s="9" t="s">
        <v>31</v>
      </c>
      <c r="AB22" s="9" t="s">
        <v>32</v>
      </c>
      <c r="AC22" s="9" t="s">
        <v>33</v>
      </c>
      <c r="AD22" s="9" t="s">
        <v>7</v>
      </c>
      <c r="AE22" s="10" t="s">
        <v>17</v>
      </c>
      <c r="AF22" s="9" t="s">
        <v>6</v>
      </c>
      <c r="AG22" s="9" t="s">
        <v>22</v>
      </c>
      <c r="AH22" s="9" t="s">
        <v>23</v>
      </c>
      <c r="AI22" s="9" t="s">
        <v>24</v>
      </c>
      <c r="AJ22" s="9" t="s">
        <v>25</v>
      </c>
      <c r="AK22" s="9" t="s">
        <v>26</v>
      </c>
      <c r="AL22" s="9" t="s">
        <v>27</v>
      </c>
      <c r="AM22" s="9" t="s">
        <v>28</v>
      </c>
      <c r="AN22" s="9" t="s">
        <v>29</v>
      </c>
      <c r="AO22" s="9" t="s">
        <v>30</v>
      </c>
      <c r="AP22" s="9" t="s">
        <v>31</v>
      </c>
      <c r="AQ22" s="9" t="s">
        <v>32</v>
      </c>
      <c r="AR22" s="9" t="s">
        <v>33</v>
      </c>
      <c r="AS22" s="9" t="s">
        <v>7</v>
      </c>
      <c r="AT22" s="10" t="s">
        <v>17</v>
      </c>
      <c r="AU22" s="9" t="s">
        <v>6</v>
      </c>
      <c r="AV22" s="9" t="s">
        <v>22</v>
      </c>
      <c r="AW22" s="9" t="s">
        <v>23</v>
      </c>
      <c r="AX22" s="9" t="s">
        <v>24</v>
      </c>
      <c r="AY22" s="9" t="s">
        <v>25</v>
      </c>
      <c r="AZ22" s="9" t="s">
        <v>26</v>
      </c>
      <c r="BA22" s="9" t="s">
        <v>27</v>
      </c>
      <c r="BB22" s="9" t="s">
        <v>28</v>
      </c>
      <c r="BC22" s="9" t="s">
        <v>29</v>
      </c>
      <c r="BD22" s="9" t="s">
        <v>30</v>
      </c>
      <c r="BE22" s="9" t="s">
        <v>31</v>
      </c>
      <c r="BF22" s="9" t="s">
        <v>32</v>
      </c>
      <c r="BG22" s="9" t="s">
        <v>33</v>
      </c>
      <c r="BH22" s="9" t="s">
        <v>7</v>
      </c>
      <c r="CN22" s="57" t="s">
        <v>81</v>
      </c>
      <c r="CO22" s="57" t="s">
        <v>82</v>
      </c>
      <c r="CP22" s="57" t="s">
        <v>83</v>
      </c>
      <c r="CQ22" s="57" t="s">
        <v>84</v>
      </c>
      <c r="CR22" s="57" t="s">
        <v>85</v>
      </c>
      <c r="CS22" s="57" t="s">
        <v>86</v>
      </c>
      <c r="CT22" s="57" t="s">
        <v>87</v>
      </c>
      <c r="CU22" s="57" t="s">
        <v>88</v>
      </c>
      <c r="CV22" s="57" t="s">
        <v>89</v>
      </c>
      <c r="CW22" s="57" t="s">
        <v>90</v>
      </c>
      <c r="CX22" s="57" t="s">
        <v>91</v>
      </c>
      <c r="CY22" s="57" t="s">
        <v>92</v>
      </c>
      <c r="CZ22" s="57" t="s">
        <v>93</v>
      </c>
      <c r="DA22" s="57" t="s">
        <v>81</v>
      </c>
      <c r="DB22" s="57" t="s">
        <v>82</v>
      </c>
      <c r="DC22" s="57" t="s">
        <v>83</v>
      </c>
      <c r="DD22" s="57" t="s">
        <v>84</v>
      </c>
      <c r="DE22" s="57" t="s">
        <v>85</v>
      </c>
      <c r="DF22" s="57" t="s">
        <v>86</v>
      </c>
      <c r="DG22" s="57" t="s">
        <v>87</v>
      </c>
      <c r="DH22" s="57" t="s">
        <v>88</v>
      </c>
      <c r="DI22" s="57" t="s">
        <v>89</v>
      </c>
      <c r="DJ22" s="57" t="s">
        <v>90</v>
      </c>
      <c r="DK22" s="57" t="s">
        <v>91</v>
      </c>
      <c r="DL22" s="57" t="s">
        <v>92</v>
      </c>
      <c r="DM22" s="57" t="s">
        <v>93</v>
      </c>
      <c r="DN22" s="57" t="s">
        <v>81</v>
      </c>
      <c r="DO22" s="57" t="s">
        <v>82</v>
      </c>
      <c r="DP22" s="57" t="s">
        <v>83</v>
      </c>
      <c r="DQ22" s="57" t="s">
        <v>84</v>
      </c>
      <c r="DR22" s="57" t="s">
        <v>85</v>
      </c>
      <c r="DS22" s="57" t="s">
        <v>86</v>
      </c>
      <c r="DT22" s="57" t="s">
        <v>87</v>
      </c>
      <c r="DU22" s="57" t="s">
        <v>88</v>
      </c>
      <c r="DV22" s="57" t="s">
        <v>89</v>
      </c>
      <c r="DW22" s="57" t="s">
        <v>90</v>
      </c>
      <c r="DX22" s="57" t="s">
        <v>91</v>
      </c>
      <c r="DY22" s="57" t="s">
        <v>92</v>
      </c>
      <c r="DZ22" s="57" t="s">
        <v>93</v>
      </c>
      <c r="EA22" s="57" t="s">
        <v>81</v>
      </c>
      <c r="EB22" s="57" t="s">
        <v>82</v>
      </c>
      <c r="EC22" s="57" t="s">
        <v>83</v>
      </c>
      <c r="ED22" s="57" t="s">
        <v>84</v>
      </c>
      <c r="EE22" s="57" t="s">
        <v>85</v>
      </c>
      <c r="EF22" s="57" t="s">
        <v>86</v>
      </c>
      <c r="EG22" s="57" t="s">
        <v>87</v>
      </c>
      <c r="EH22" s="57" t="s">
        <v>88</v>
      </c>
      <c r="EI22" s="57" t="s">
        <v>89</v>
      </c>
      <c r="EJ22" s="57" t="s">
        <v>90</v>
      </c>
      <c r="EK22" s="57" t="s">
        <v>91</v>
      </c>
      <c r="EL22" s="57" t="s">
        <v>92</v>
      </c>
      <c r="EM22" s="57" t="s">
        <v>93</v>
      </c>
      <c r="FO22" s="57" t="str">
        <f>FO16</f>
        <v>Apr'17</v>
      </c>
      <c r="FP22" s="57" t="str">
        <f t="shared" ref="FP22:HN22" si="143">FP16</f>
        <v>May'17</v>
      </c>
      <c r="FQ22" s="57" t="str">
        <f t="shared" si="143"/>
        <v>Jun'17</v>
      </c>
      <c r="FR22" s="57" t="str">
        <f t="shared" si="143"/>
        <v>Jul'17</v>
      </c>
      <c r="FS22" s="57" t="str">
        <f t="shared" si="143"/>
        <v>Aug'17</v>
      </c>
      <c r="FT22" s="57" t="str">
        <f t="shared" si="143"/>
        <v>Sep'17</v>
      </c>
      <c r="FU22" s="57" t="str">
        <f t="shared" si="143"/>
        <v>Oct'17</v>
      </c>
      <c r="FV22" s="57" t="str">
        <f t="shared" si="143"/>
        <v>Nov'17</v>
      </c>
      <c r="FW22" s="57" t="str">
        <f t="shared" si="143"/>
        <v>Dec'17</v>
      </c>
      <c r="FX22" s="57" t="str">
        <f t="shared" si="143"/>
        <v>Jan'18</v>
      </c>
      <c r="FY22" s="57" t="str">
        <f t="shared" si="143"/>
        <v>Feb'18</v>
      </c>
      <c r="FZ22" s="57" t="str">
        <f t="shared" si="143"/>
        <v>Mar'18</v>
      </c>
      <c r="GA22" s="57" t="str">
        <f t="shared" si="143"/>
        <v>FY 17~18</v>
      </c>
      <c r="GB22" s="57" t="str">
        <f t="shared" si="143"/>
        <v>Apr'17</v>
      </c>
      <c r="GC22" s="57" t="str">
        <f t="shared" si="143"/>
        <v>May'17</v>
      </c>
      <c r="GD22" s="57" t="str">
        <f t="shared" si="143"/>
        <v>Jun'17</v>
      </c>
      <c r="GE22" s="57" t="str">
        <f t="shared" si="143"/>
        <v>Jul'17</v>
      </c>
      <c r="GF22" s="57" t="str">
        <f t="shared" si="143"/>
        <v>Aug'17</v>
      </c>
      <c r="GG22" s="57" t="str">
        <f t="shared" si="143"/>
        <v>Sep'17</v>
      </c>
      <c r="GH22" s="57" t="str">
        <f t="shared" si="143"/>
        <v>Oct'17</v>
      </c>
      <c r="GI22" s="57" t="str">
        <f t="shared" si="143"/>
        <v>Nov'17</v>
      </c>
      <c r="GJ22" s="57" t="str">
        <f t="shared" si="143"/>
        <v>Dec'17</v>
      </c>
      <c r="GK22" s="57" t="str">
        <f t="shared" si="143"/>
        <v>Jan'18</v>
      </c>
      <c r="GL22" s="57" t="str">
        <f t="shared" si="143"/>
        <v>Feb'18</v>
      </c>
      <c r="GM22" s="57" t="str">
        <f t="shared" si="143"/>
        <v>Mar'18</v>
      </c>
      <c r="GN22" s="57" t="str">
        <f t="shared" si="143"/>
        <v>FY 17~18</v>
      </c>
      <c r="GO22" s="71" t="str">
        <f t="shared" si="143"/>
        <v>Apr'17</v>
      </c>
      <c r="GP22" s="71" t="str">
        <f t="shared" si="143"/>
        <v>May'17</v>
      </c>
      <c r="GQ22" s="71" t="str">
        <f t="shared" si="143"/>
        <v>Jun'17</v>
      </c>
      <c r="GR22" s="71" t="str">
        <f t="shared" si="143"/>
        <v>Jul'17</v>
      </c>
      <c r="GS22" s="71" t="str">
        <f t="shared" si="143"/>
        <v>Aug'17</v>
      </c>
      <c r="GT22" s="71" t="str">
        <f t="shared" si="143"/>
        <v>Sep'17</v>
      </c>
      <c r="GU22" s="71" t="str">
        <f t="shared" si="143"/>
        <v>Oct'17</v>
      </c>
      <c r="GV22" s="71" t="str">
        <f t="shared" si="143"/>
        <v>Nov'17</v>
      </c>
      <c r="GW22" s="71" t="str">
        <f t="shared" si="143"/>
        <v>Dec'17</v>
      </c>
      <c r="GX22" s="71" t="str">
        <f t="shared" si="143"/>
        <v>Jan'18</v>
      </c>
      <c r="GY22" s="71" t="str">
        <f t="shared" si="143"/>
        <v>Feb'18</v>
      </c>
      <c r="GZ22" s="71" t="str">
        <f t="shared" si="143"/>
        <v>Mar'18</v>
      </c>
      <c r="HA22" s="71" t="str">
        <f t="shared" si="143"/>
        <v>FY 17~18</v>
      </c>
      <c r="HB22" s="71" t="str">
        <f t="shared" si="143"/>
        <v>Apr'17</v>
      </c>
      <c r="HC22" s="71" t="str">
        <f t="shared" si="143"/>
        <v>May'17</v>
      </c>
      <c r="HD22" s="71" t="str">
        <f t="shared" si="143"/>
        <v>Jun'17</v>
      </c>
      <c r="HE22" s="71" t="str">
        <f t="shared" si="143"/>
        <v>Jul'17</v>
      </c>
      <c r="HF22" s="71" t="str">
        <f t="shared" si="143"/>
        <v>Aug'17</v>
      </c>
      <c r="HG22" s="71" t="str">
        <f t="shared" si="143"/>
        <v>Sep'17</v>
      </c>
      <c r="HH22" s="71" t="str">
        <f t="shared" si="143"/>
        <v>Oct'17</v>
      </c>
      <c r="HI22" s="71" t="str">
        <f t="shared" si="143"/>
        <v>Nov'17</v>
      </c>
      <c r="HJ22" s="71" t="str">
        <f t="shared" si="143"/>
        <v>Dec'17</v>
      </c>
      <c r="HK22" s="71" t="str">
        <f t="shared" si="143"/>
        <v>Jan'18</v>
      </c>
      <c r="HL22" s="71" t="str">
        <f t="shared" si="143"/>
        <v>Feb'18</v>
      </c>
      <c r="HM22" s="71" t="str">
        <f t="shared" si="143"/>
        <v>Mar'18</v>
      </c>
      <c r="HN22" s="71" t="str">
        <f t="shared" si="143"/>
        <v>FY 17~18</v>
      </c>
      <c r="HP22" s="98" t="s">
        <v>127</v>
      </c>
      <c r="HQ22" s="98" t="s">
        <v>128</v>
      </c>
      <c r="HR22" s="99" t="s">
        <v>129</v>
      </c>
      <c r="HS22" s="99" t="s">
        <v>130</v>
      </c>
      <c r="HT22" s="99" t="s">
        <v>131</v>
      </c>
      <c r="HU22" s="99" t="s">
        <v>132</v>
      </c>
      <c r="HV22" s="99" t="s">
        <v>133</v>
      </c>
      <c r="HW22" s="99" t="s">
        <v>134</v>
      </c>
      <c r="HX22" s="99" t="s">
        <v>135</v>
      </c>
      <c r="HY22" s="99" t="s">
        <v>136</v>
      </c>
      <c r="HZ22" s="99" t="s">
        <v>137</v>
      </c>
      <c r="IA22" s="99" t="s">
        <v>138</v>
      </c>
      <c r="IB22" s="99" t="s">
        <v>139</v>
      </c>
      <c r="IC22" s="98" t="s">
        <v>127</v>
      </c>
      <c r="ID22" s="98" t="s">
        <v>128</v>
      </c>
      <c r="IE22" s="99" t="s">
        <v>129</v>
      </c>
      <c r="IF22" s="99" t="s">
        <v>130</v>
      </c>
      <c r="IG22" s="99" t="s">
        <v>131</v>
      </c>
      <c r="IH22" s="99" t="s">
        <v>132</v>
      </c>
      <c r="II22" s="99" t="s">
        <v>133</v>
      </c>
      <c r="IJ22" s="99" t="s">
        <v>134</v>
      </c>
      <c r="IK22" s="99" t="s">
        <v>135</v>
      </c>
      <c r="IL22" s="99" t="s">
        <v>136</v>
      </c>
      <c r="IM22" s="99" t="s">
        <v>137</v>
      </c>
      <c r="IN22" s="99" t="s">
        <v>138</v>
      </c>
      <c r="IO22" s="99" t="s">
        <v>139</v>
      </c>
      <c r="IP22" s="98" t="s">
        <v>127</v>
      </c>
      <c r="IQ22" s="98" t="s">
        <v>128</v>
      </c>
      <c r="IR22" s="99" t="s">
        <v>129</v>
      </c>
      <c r="IS22" s="99" t="s">
        <v>130</v>
      </c>
      <c r="IT22" s="99" t="s">
        <v>131</v>
      </c>
      <c r="IU22" s="99" t="s">
        <v>132</v>
      </c>
      <c r="IV22" s="99" t="s">
        <v>133</v>
      </c>
      <c r="IW22" s="99" t="s">
        <v>134</v>
      </c>
      <c r="IX22" s="99" t="s">
        <v>135</v>
      </c>
      <c r="IY22" s="99" t="s">
        <v>136</v>
      </c>
      <c r="IZ22" s="99" t="s">
        <v>137</v>
      </c>
      <c r="JA22" s="99" t="s">
        <v>138</v>
      </c>
      <c r="JB22" s="99" t="s">
        <v>139</v>
      </c>
      <c r="JC22" s="98" t="s">
        <v>127</v>
      </c>
      <c r="JD22" s="98" t="s">
        <v>128</v>
      </c>
      <c r="JE22" s="99" t="s">
        <v>129</v>
      </c>
      <c r="JF22" s="99" t="s">
        <v>130</v>
      </c>
      <c r="JG22" s="99" t="s">
        <v>131</v>
      </c>
      <c r="JH22" s="99" t="s">
        <v>132</v>
      </c>
      <c r="JI22" s="99" t="s">
        <v>133</v>
      </c>
      <c r="JJ22" s="99" t="s">
        <v>134</v>
      </c>
      <c r="JK22" s="99" t="s">
        <v>135</v>
      </c>
      <c r="JL22" s="99" t="s">
        <v>136</v>
      </c>
      <c r="JM22" s="99" t="s">
        <v>137</v>
      </c>
      <c r="JN22" s="99" t="s">
        <v>138</v>
      </c>
      <c r="JO22" s="99" t="s">
        <v>139</v>
      </c>
    </row>
    <row r="23" spans="1:275">
      <c r="A23" s="12" t="s">
        <v>18</v>
      </c>
      <c r="B23" s="5">
        <f t="shared" ref="B23:N25" si="144">SUM(Q23,AF23,AU23,BJ23,BY23)</f>
        <v>0</v>
      </c>
      <c r="C23" s="5">
        <f t="shared" si="144"/>
        <v>182</v>
      </c>
      <c r="D23" s="5">
        <f t="shared" si="144"/>
        <v>183</v>
      </c>
      <c r="E23" s="5">
        <f t="shared" si="144"/>
        <v>183</v>
      </c>
      <c r="F23" s="5">
        <f t="shared" si="144"/>
        <v>183</v>
      </c>
      <c r="G23" s="5">
        <f t="shared" si="144"/>
        <v>183</v>
      </c>
      <c r="H23" s="5">
        <f t="shared" si="144"/>
        <v>183</v>
      </c>
      <c r="I23" s="5">
        <f t="shared" si="144"/>
        <v>183</v>
      </c>
      <c r="J23" s="5">
        <f t="shared" si="144"/>
        <v>183</v>
      </c>
      <c r="K23" s="5">
        <f t="shared" si="144"/>
        <v>183</v>
      </c>
      <c r="L23" s="5">
        <f t="shared" si="144"/>
        <v>173</v>
      </c>
      <c r="M23" s="5">
        <f t="shared" si="144"/>
        <v>173</v>
      </c>
      <c r="N23" s="5">
        <f t="shared" si="144"/>
        <v>173</v>
      </c>
      <c r="O23" s="7">
        <f>AVERAGE(C23:N23)</f>
        <v>180.41666666666666</v>
      </c>
      <c r="P23" s="4" t="s">
        <v>18</v>
      </c>
      <c r="R23" s="22">
        <f t="shared" ref="R23:W23" si="145">165-AG23</f>
        <v>159</v>
      </c>
      <c r="S23" s="22">
        <f t="shared" si="145"/>
        <v>159</v>
      </c>
      <c r="T23" s="22">
        <f t="shared" si="145"/>
        <v>159</v>
      </c>
      <c r="U23" s="22">
        <f t="shared" si="145"/>
        <v>159</v>
      </c>
      <c r="V23" s="22">
        <f t="shared" si="145"/>
        <v>159</v>
      </c>
      <c r="W23" s="22">
        <f t="shared" si="145"/>
        <v>159</v>
      </c>
      <c r="X23" s="22">
        <f>165-AM23</f>
        <v>159</v>
      </c>
      <c r="Y23" s="22">
        <f>165-AN23</f>
        <v>159</v>
      </c>
      <c r="Z23" s="22">
        <f>165-AO23</f>
        <v>159</v>
      </c>
      <c r="AA23" s="22">
        <f>155-AP23</f>
        <v>149</v>
      </c>
      <c r="AB23" s="22">
        <f>155-AQ23</f>
        <v>149</v>
      </c>
      <c r="AC23" s="22">
        <f>155-AR23</f>
        <v>149</v>
      </c>
      <c r="AD23" s="7">
        <f>AVERAGE(R23:AC23)</f>
        <v>156.5</v>
      </c>
      <c r="AE23" s="4" t="s">
        <v>18</v>
      </c>
      <c r="AG23" s="22">
        <f>6</f>
        <v>6</v>
      </c>
      <c r="AH23" s="22">
        <f>6</f>
        <v>6</v>
      </c>
      <c r="AI23" s="22">
        <f>6</f>
        <v>6</v>
      </c>
      <c r="AJ23" s="22">
        <f>6</f>
        <v>6</v>
      </c>
      <c r="AK23" s="22">
        <f>6</f>
        <v>6</v>
      </c>
      <c r="AL23" s="22">
        <f>6</f>
        <v>6</v>
      </c>
      <c r="AM23" s="22">
        <f>6</f>
        <v>6</v>
      </c>
      <c r="AN23" s="22">
        <f>6</f>
        <v>6</v>
      </c>
      <c r="AO23" s="22">
        <f>6</f>
        <v>6</v>
      </c>
      <c r="AP23" s="22">
        <f>6</f>
        <v>6</v>
      </c>
      <c r="AQ23" s="22">
        <f>6</f>
        <v>6</v>
      </c>
      <c r="AR23" s="22">
        <f>6</f>
        <v>6</v>
      </c>
      <c r="AS23" s="7">
        <f>AVERAGE(AG23:AR23)</f>
        <v>6</v>
      </c>
      <c r="AT23" s="4" t="s">
        <v>18</v>
      </c>
      <c r="AV23" s="22">
        <f>17</f>
        <v>17</v>
      </c>
      <c r="AW23" s="22">
        <f>18</f>
        <v>18</v>
      </c>
      <c r="AX23" s="22">
        <f>18</f>
        <v>18</v>
      </c>
      <c r="AY23" s="22">
        <f>18</f>
        <v>18</v>
      </c>
      <c r="AZ23" s="22">
        <f>18</f>
        <v>18</v>
      </c>
      <c r="BA23" s="22">
        <f>18</f>
        <v>18</v>
      </c>
      <c r="BB23" s="22">
        <f>18</f>
        <v>18</v>
      </c>
      <c r="BC23" s="22">
        <f>18</f>
        <v>18</v>
      </c>
      <c r="BD23" s="22">
        <f>18</f>
        <v>18</v>
      </c>
      <c r="BE23" s="22">
        <f>18</f>
        <v>18</v>
      </c>
      <c r="BF23" s="22">
        <f>18</f>
        <v>18</v>
      </c>
      <c r="BG23" s="22">
        <f>18</f>
        <v>18</v>
      </c>
      <c r="BH23" s="7">
        <f>AVERAGE(AV23:BG23)</f>
        <v>17.916666666666668</v>
      </c>
      <c r="CN23" s="5">
        <f t="shared" ref="CN23:CY25" si="146">SUM(DA23,DN23,EA23)</f>
        <v>184</v>
      </c>
      <c r="CO23" s="5">
        <f t="shared" si="146"/>
        <v>186</v>
      </c>
      <c r="CP23" s="5">
        <f t="shared" si="146"/>
        <v>187</v>
      </c>
      <c r="CQ23" s="5">
        <f t="shared" si="146"/>
        <v>191</v>
      </c>
      <c r="CR23" s="5">
        <f t="shared" si="146"/>
        <v>191</v>
      </c>
      <c r="CS23" s="5">
        <f t="shared" si="146"/>
        <v>190</v>
      </c>
      <c r="CT23" s="5">
        <f t="shared" si="146"/>
        <v>190</v>
      </c>
      <c r="CU23" s="5">
        <f t="shared" si="146"/>
        <v>192</v>
      </c>
      <c r="CV23" s="5">
        <f t="shared" si="146"/>
        <v>192</v>
      </c>
      <c r="CW23" s="5">
        <f t="shared" si="146"/>
        <v>194</v>
      </c>
      <c r="CX23" s="5">
        <f t="shared" si="146"/>
        <v>194</v>
      </c>
      <c r="CY23" s="5">
        <f t="shared" si="146"/>
        <v>191</v>
      </c>
      <c r="CZ23" s="13">
        <f>AVERAGE(CN23:CY23)</f>
        <v>190.16666666666666</v>
      </c>
      <c r="DA23" s="5">
        <f>167-DN23</f>
        <v>161</v>
      </c>
      <c r="DB23" s="5">
        <f>169-DO23</f>
        <v>163</v>
      </c>
      <c r="DC23" s="5">
        <f>170-DP23</f>
        <v>164</v>
      </c>
      <c r="DD23" s="5">
        <f>174-DQ23</f>
        <v>168</v>
      </c>
      <c r="DE23" s="5">
        <f>174-DR23</f>
        <v>168</v>
      </c>
      <c r="DF23" s="5">
        <f>173-DS23</f>
        <v>167</v>
      </c>
      <c r="DG23" s="5">
        <f>173-DT23</f>
        <v>167</v>
      </c>
      <c r="DH23" s="5">
        <f>175-DU23</f>
        <v>169</v>
      </c>
      <c r="DI23" s="5">
        <f>175-DV23</f>
        <v>169</v>
      </c>
      <c r="DJ23" s="5">
        <f>177-DW23</f>
        <v>171</v>
      </c>
      <c r="DK23" s="5">
        <f>177-DX23</f>
        <v>171</v>
      </c>
      <c r="DL23" s="5">
        <f>174-DY23</f>
        <v>168</v>
      </c>
      <c r="DM23" s="13">
        <f>AVERAGE(DA23:DL23)</f>
        <v>167.16666666666666</v>
      </c>
      <c r="DN23" s="22">
        <f>6</f>
        <v>6</v>
      </c>
      <c r="DO23" s="22">
        <f>6</f>
        <v>6</v>
      </c>
      <c r="DP23" s="22">
        <f>6</f>
        <v>6</v>
      </c>
      <c r="DQ23" s="22">
        <f>6</f>
        <v>6</v>
      </c>
      <c r="DR23" s="22">
        <f>6</f>
        <v>6</v>
      </c>
      <c r="DS23" s="22">
        <f>6</f>
        <v>6</v>
      </c>
      <c r="DT23" s="22">
        <f>6</f>
        <v>6</v>
      </c>
      <c r="DU23" s="22">
        <f>6</f>
        <v>6</v>
      </c>
      <c r="DV23" s="22">
        <f>6</f>
        <v>6</v>
      </c>
      <c r="DW23" s="22">
        <f>6</f>
        <v>6</v>
      </c>
      <c r="DX23" s="22">
        <f>6</f>
        <v>6</v>
      </c>
      <c r="DY23" s="22">
        <f>6</f>
        <v>6</v>
      </c>
      <c r="DZ23" s="63">
        <f>AVERAGE(DN23:DY23)</f>
        <v>6</v>
      </c>
      <c r="EA23" s="22">
        <f>17</f>
        <v>17</v>
      </c>
      <c r="EB23" s="22">
        <f>17</f>
        <v>17</v>
      </c>
      <c r="EC23" s="22">
        <f>17</f>
        <v>17</v>
      </c>
      <c r="ED23" s="22">
        <f>17</f>
        <v>17</v>
      </c>
      <c r="EE23" s="22">
        <f>17</f>
        <v>17</v>
      </c>
      <c r="EF23" s="22">
        <f>17</f>
        <v>17</v>
      </c>
      <c r="EG23" s="22">
        <f>17</f>
        <v>17</v>
      </c>
      <c r="EH23" s="22">
        <f>17</f>
        <v>17</v>
      </c>
      <c r="EI23" s="22">
        <f>17</f>
        <v>17</v>
      </c>
      <c r="EJ23" s="22">
        <v>17</v>
      </c>
      <c r="EK23" s="22">
        <v>17</v>
      </c>
      <c r="EL23" s="22">
        <v>17</v>
      </c>
      <c r="EM23" s="63">
        <f>AVERAGE(EA23:EL23)</f>
        <v>17</v>
      </c>
      <c r="FO23" s="5">
        <f t="shared" ref="FO23:FO25" si="147">SUM(GB23,GO23,HB23)</f>
        <v>181</v>
      </c>
      <c r="FP23" s="5">
        <f t="shared" ref="FP23:FP25" si="148">SUM(GC23,GP23,HC23)</f>
        <v>181</v>
      </c>
      <c r="FQ23" s="5">
        <f t="shared" ref="FQ23:FQ25" si="149">SUM(GD23,GQ23,HD23)</f>
        <v>181</v>
      </c>
      <c r="FR23" s="5">
        <f t="shared" ref="FR23:FR25" si="150">SUM(GE23,GR23,HE23)</f>
        <v>187</v>
      </c>
      <c r="FS23" s="5">
        <f t="shared" ref="FS23:FS25" si="151">SUM(GF23,GS23,HF23)</f>
        <v>187</v>
      </c>
      <c r="FT23" s="5">
        <f t="shared" ref="FT23:FT25" si="152">SUM(GG23,GT23,HG23)</f>
        <v>190</v>
      </c>
      <c r="FU23" s="5">
        <f t="shared" ref="FU23:FU25" si="153">SUM(GH23,GU23,HH23)</f>
        <v>190</v>
      </c>
      <c r="FV23" s="5">
        <f t="shared" ref="FV23:FV25" si="154">SUM(GI23,GV23,HI23)</f>
        <v>190</v>
      </c>
      <c r="FW23" s="5">
        <f t="shared" ref="FW23:FW25" si="155">SUM(GJ23,GW23,HJ23)</f>
        <v>190</v>
      </c>
      <c r="FX23" s="5">
        <f t="shared" ref="FX23:FX25" si="156">SUM(GK23,GX23,HK23)</f>
        <v>184</v>
      </c>
      <c r="FY23" s="5">
        <f t="shared" ref="FY23:FY25" si="157">SUM(GL23,GY23,HL23)</f>
        <v>184</v>
      </c>
      <c r="FZ23" s="5">
        <f t="shared" ref="FZ23:FZ25" si="158">SUM(GM23,GZ23,HM23)</f>
        <v>184</v>
      </c>
      <c r="GA23" s="13">
        <f>AVERAGE(FO23:FZ23)</f>
        <v>185.75</v>
      </c>
      <c r="GB23" s="5">
        <f>164-GO23</f>
        <v>157</v>
      </c>
      <c r="GC23" s="5">
        <f>164-GP23</f>
        <v>157</v>
      </c>
      <c r="GD23" s="5">
        <f>164-GQ23</f>
        <v>157</v>
      </c>
      <c r="GE23" s="5">
        <f>170-GR23</f>
        <v>163</v>
      </c>
      <c r="GF23" s="5">
        <f>170-GS23</f>
        <v>163</v>
      </c>
      <c r="GG23" s="5">
        <f>173-GT23</f>
        <v>166</v>
      </c>
      <c r="GH23" s="5">
        <f>173-GU23</f>
        <v>166</v>
      </c>
      <c r="GI23" s="5">
        <f>173-GV23</f>
        <v>166</v>
      </c>
      <c r="GJ23" s="5">
        <f>173-GW23</f>
        <v>166</v>
      </c>
      <c r="GK23" s="5">
        <f>167-GX23</f>
        <v>160</v>
      </c>
      <c r="GL23" s="5">
        <f>167-GY23</f>
        <v>160</v>
      </c>
      <c r="GM23" s="5">
        <f>167-GZ23</f>
        <v>160</v>
      </c>
      <c r="GN23" s="67">
        <f>AVERAGE(GB23:GM23)</f>
        <v>161.75</v>
      </c>
      <c r="GO23" s="74">
        <v>7</v>
      </c>
      <c r="GP23" s="75">
        <v>7</v>
      </c>
      <c r="GQ23" s="75">
        <v>7</v>
      </c>
      <c r="GR23" s="75">
        <v>7</v>
      </c>
      <c r="GS23" s="75">
        <v>7</v>
      </c>
      <c r="GT23" s="75">
        <v>7</v>
      </c>
      <c r="GU23" s="75">
        <v>7</v>
      </c>
      <c r="GV23" s="75">
        <v>7</v>
      </c>
      <c r="GW23" s="75">
        <v>7</v>
      </c>
      <c r="GX23" s="75">
        <v>7</v>
      </c>
      <c r="GY23" s="75">
        <v>7</v>
      </c>
      <c r="GZ23" s="75">
        <v>7</v>
      </c>
      <c r="HA23" s="81">
        <f>AVERAGE(GO23:GZ23)</f>
        <v>7</v>
      </c>
      <c r="HB23" s="74">
        <v>17</v>
      </c>
      <c r="HC23" s="74">
        <v>17</v>
      </c>
      <c r="HD23" s="74">
        <v>17</v>
      </c>
      <c r="HE23" s="74">
        <v>17</v>
      </c>
      <c r="HF23" s="20">
        <v>17</v>
      </c>
      <c r="HG23" s="75">
        <v>17</v>
      </c>
      <c r="HH23" s="75">
        <v>17</v>
      </c>
      <c r="HI23" s="75">
        <v>17</v>
      </c>
      <c r="HJ23" s="75">
        <v>17</v>
      </c>
      <c r="HK23" s="75">
        <v>17</v>
      </c>
      <c r="HL23" s="75">
        <v>17</v>
      </c>
      <c r="HM23" s="75">
        <v>17</v>
      </c>
      <c r="HN23" s="76">
        <f>AVERAGE(HB23:HM23)</f>
        <v>17</v>
      </c>
      <c r="HP23" s="5">
        <f t="shared" ref="HP23:HP25" si="159">SUM(IC23,IP23,JC23)</f>
        <v>177</v>
      </c>
      <c r="HQ23" s="5">
        <f t="shared" ref="HQ23:HQ25" si="160">SUM(ID23,IQ23,JD23)</f>
        <v>185</v>
      </c>
      <c r="HR23" s="5">
        <f t="shared" ref="HR23:HR25" si="161">SUM(IE23,IR23,JE23)</f>
        <v>187</v>
      </c>
      <c r="HS23" s="5">
        <f t="shared" ref="HS23:HS25" si="162">SUM(IF23,IS23,JF23)</f>
        <v>194</v>
      </c>
      <c r="HT23" s="5">
        <f t="shared" ref="HT23:HT25" si="163">SUM(IG23,IT23,JG23)</f>
        <v>188</v>
      </c>
      <c r="HU23" s="5">
        <f t="shared" ref="HU23:HU25" si="164">SUM(IH23,IU23,JH23)</f>
        <v>188</v>
      </c>
      <c r="HV23" s="5">
        <f t="shared" ref="HV23:HV25" si="165">SUM(II23,IV23,JI23)</f>
        <v>201</v>
      </c>
      <c r="HW23" s="5">
        <f t="shared" ref="HW23:HW25" si="166">SUM(IJ23,IW23,JJ23)</f>
        <v>201</v>
      </c>
      <c r="HX23" s="5">
        <f t="shared" ref="HX23:HX25" si="167">SUM(IK23,IX23,JK23)</f>
        <v>201</v>
      </c>
      <c r="HY23" s="5">
        <f t="shared" ref="HY23:HY25" si="168">SUM(IL23,IY23,JL23)</f>
        <v>200</v>
      </c>
      <c r="HZ23" s="5">
        <f t="shared" ref="HZ23:HZ25" si="169">SUM(IM23,IZ23,JM23)</f>
        <v>200</v>
      </c>
      <c r="IA23" s="5">
        <f t="shared" ref="IA23:IA25" si="170">SUM(IN23,JA23,JN23)</f>
        <v>200</v>
      </c>
      <c r="IB23" s="63">
        <f>AVERAGE(HP23:IA23)</f>
        <v>193.5</v>
      </c>
      <c r="IC23" s="21">
        <f>SUM([17]Manpower_month!CE5,[17]Manpower_month!CE6)-SUM(IP23)</f>
        <v>153</v>
      </c>
      <c r="ID23" s="21">
        <f>SUM([17]Manpower_month!CF5,[17]Manpower_month!CF6)-SUM(IQ23)</f>
        <v>161</v>
      </c>
      <c r="IE23" s="21">
        <f>SUM([17]Manpower_month!CG5,[17]Manpower_month!CG6)-SUM(IR23)</f>
        <v>163</v>
      </c>
      <c r="IF23" s="21">
        <f>SUM([17]Manpower_month!CH5,[17]Manpower_month!CH6)-SUM(IS23)</f>
        <v>170</v>
      </c>
      <c r="IG23" s="21">
        <f>SUM([18]Manpower_month!CI5,[18]Manpower_month!CI6)-SUM(IT23)</f>
        <v>164</v>
      </c>
      <c r="IH23" s="21">
        <f>SUM([18]Manpower_month!CJ5,[18]Manpower_month!CJ6)-SUM(IU23)</f>
        <v>164</v>
      </c>
      <c r="II23" s="21">
        <f>SUM([18]Manpower_month!CK5,[18]Manpower_month!CK6)-SUM(IV23)</f>
        <v>177</v>
      </c>
      <c r="IJ23" s="21">
        <f>SUM([18]Manpower_month!CL5,[18]Manpower_month!CL6)-SUM(IW23)</f>
        <v>177</v>
      </c>
      <c r="IK23" s="21">
        <f>SUM([18]Manpower_month!CM5,[18]Manpower_month!CM6)-SUM(IX23)</f>
        <v>177</v>
      </c>
      <c r="IL23" s="21">
        <f>SUM([18]Manpower_month!CN5,[18]Manpower_month!CN6)-SUM(IY23)</f>
        <v>176</v>
      </c>
      <c r="IM23" s="21">
        <f>SUM([18]Manpower_month!CO5,[18]Manpower_month!CO6)-SUM(IZ23)</f>
        <v>176</v>
      </c>
      <c r="IN23" s="21">
        <f>SUM([18]Manpower_month!CP5,[18]Manpower_month!CP6)-SUM(JA23)</f>
        <v>176</v>
      </c>
      <c r="IO23" s="63">
        <f>IFERROR(AVERAGE(IC23:IN23),"")</f>
        <v>169.5</v>
      </c>
      <c r="IP23" s="102">
        <f>7</f>
        <v>7</v>
      </c>
      <c r="IQ23" s="102">
        <f>7</f>
        <v>7</v>
      </c>
      <c r="IR23" s="102">
        <f>7</f>
        <v>7</v>
      </c>
      <c r="IS23" s="102">
        <f>7</f>
        <v>7</v>
      </c>
      <c r="IT23" s="102">
        <f>7</f>
        <v>7</v>
      </c>
      <c r="IU23" s="102">
        <f>7</f>
        <v>7</v>
      </c>
      <c r="IV23" s="102">
        <f>7</f>
        <v>7</v>
      </c>
      <c r="IW23" s="102">
        <f>7</f>
        <v>7</v>
      </c>
      <c r="IX23" s="102">
        <f>7</f>
        <v>7</v>
      </c>
      <c r="IY23" s="102">
        <f>7</f>
        <v>7</v>
      </c>
      <c r="IZ23" s="102">
        <f>7</f>
        <v>7</v>
      </c>
      <c r="JA23" s="102">
        <f>7</f>
        <v>7</v>
      </c>
      <c r="JB23" s="63">
        <f>IFERROR(AVERAGE(IP23:JA23),"")</f>
        <v>7</v>
      </c>
      <c r="JC23" s="21">
        <f>SUM([17]Manpower_month!CU5,[17]Manpower_month!CU6)</f>
        <v>17</v>
      </c>
      <c r="JD23" s="21">
        <f>SUM([17]Manpower_month!CV5,[17]Manpower_month!CV6)</f>
        <v>17</v>
      </c>
      <c r="JE23" s="21">
        <f>SUM([17]Manpower_month!CW5,[17]Manpower_month!CW6)</f>
        <v>17</v>
      </c>
      <c r="JF23" s="21">
        <f>SUM([17]Manpower_month!CX5,[17]Manpower_month!CX6)</f>
        <v>17</v>
      </c>
      <c r="JG23" s="21">
        <f>SUM([18]Manpower_month!CY5,[18]Manpower_month!CY6)</f>
        <v>17</v>
      </c>
      <c r="JH23" s="21">
        <f>SUM([18]Manpower_month!CZ5,[18]Manpower_month!CZ6)</f>
        <v>17</v>
      </c>
      <c r="JI23" s="21">
        <f>SUM([18]Manpower_month!DA5,[18]Manpower_month!DA6)</f>
        <v>17</v>
      </c>
      <c r="JJ23" s="21">
        <f>SUM([18]Manpower_month!DB5,[18]Manpower_month!DB6)</f>
        <v>17</v>
      </c>
      <c r="JK23" s="21">
        <f>SUM([18]Manpower_month!DC5,[18]Manpower_month!DC6)</f>
        <v>17</v>
      </c>
      <c r="JL23" s="21">
        <f>SUM([18]Manpower_month!DD5,[18]Manpower_month!DD6)</f>
        <v>17</v>
      </c>
      <c r="JM23" s="21">
        <f>SUM([18]Manpower_month!DE5,[18]Manpower_month!DE6)</f>
        <v>17</v>
      </c>
      <c r="JN23" s="21">
        <f>SUM([18]Manpower_month!DF5,[18]Manpower_month!DF6)</f>
        <v>17</v>
      </c>
      <c r="JO23" s="63">
        <f>IFERROR(AVERAGE(JC23:JN23),"")</f>
        <v>17</v>
      </c>
    </row>
    <row r="24" spans="1:275">
      <c r="A24" s="12" t="s">
        <v>19</v>
      </c>
      <c r="B24" s="5">
        <f t="shared" si="144"/>
        <v>0</v>
      </c>
      <c r="C24" s="5">
        <f t="shared" si="144"/>
        <v>252</v>
      </c>
      <c r="D24" s="5">
        <f t="shared" si="144"/>
        <v>252</v>
      </c>
      <c r="E24" s="5">
        <f t="shared" si="144"/>
        <v>252</v>
      </c>
      <c r="F24" s="5">
        <f t="shared" si="144"/>
        <v>252</v>
      </c>
      <c r="G24" s="5">
        <f t="shared" si="144"/>
        <v>252</v>
      </c>
      <c r="H24" s="5">
        <f t="shared" si="144"/>
        <v>252</v>
      </c>
      <c r="I24" s="5">
        <f t="shared" si="144"/>
        <v>251</v>
      </c>
      <c r="J24" s="5">
        <f t="shared" si="144"/>
        <v>250</v>
      </c>
      <c r="K24" s="5">
        <f t="shared" si="144"/>
        <v>249</v>
      </c>
      <c r="L24" s="5">
        <f t="shared" si="144"/>
        <v>248</v>
      </c>
      <c r="M24" s="5">
        <f t="shared" si="144"/>
        <v>247</v>
      </c>
      <c r="N24" s="5">
        <f t="shared" si="144"/>
        <v>247</v>
      </c>
      <c r="O24" s="7">
        <f>AVERAGE(C24:N24)</f>
        <v>250.33333333333334</v>
      </c>
      <c r="P24" s="4" t="s">
        <v>19</v>
      </c>
      <c r="R24" s="22">
        <f t="shared" ref="R24:W24" si="171">239-AG24</f>
        <v>204</v>
      </c>
      <c r="S24" s="22">
        <f t="shared" si="171"/>
        <v>204</v>
      </c>
      <c r="T24" s="22">
        <f t="shared" si="171"/>
        <v>204</v>
      </c>
      <c r="U24" s="22">
        <f t="shared" si="171"/>
        <v>204</v>
      </c>
      <c r="V24" s="22">
        <f t="shared" si="171"/>
        <v>204</v>
      </c>
      <c r="W24" s="22">
        <f t="shared" si="171"/>
        <v>204</v>
      </c>
      <c r="X24" s="22">
        <f>238-AM24</f>
        <v>203</v>
      </c>
      <c r="Y24" s="22">
        <f>237-AN24</f>
        <v>202</v>
      </c>
      <c r="Z24" s="22">
        <f>236-AO24</f>
        <v>201</v>
      </c>
      <c r="AA24" s="22">
        <f>235-AP24</f>
        <v>200</v>
      </c>
      <c r="AB24" s="22">
        <f>234-AQ24</f>
        <v>199</v>
      </c>
      <c r="AC24" s="22">
        <f>234-AR24</f>
        <v>199</v>
      </c>
      <c r="AD24" s="7">
        <f>AVERAGE(R24:AC24)</f>
        <v>202.33333333333334</v>
      </c>
      <c r="AE24" s="4" t="s">
        <v>19</v>
      </c>
      <c r="AG24" s="22">
        <f>35</f>
        <v>35</v>
      </c>
      <c r="AH24" s="22">
        <f>35</f>
        <v>35</v>
      </c>
      <c r="AI24" s="22">
        <f>35</f>
        <v>35</v>
      </c>
      <c r="AJ24" s="22">
        <f>35</f>
        <v>35</v>
      </c>
      <c r="AK24" s="22">
        <f>35</f>
        <v>35</v>
      </c>
      <c r="AL24" s="22">
        <f>35</f>
        <v>35</v>
      </c>
      <c r="AM24" s="22">
        <f>35</f>
        <v>35</v>
      </c>
      <c r="AN24" s="22">
        <f>35</f>
        <v>35</v>
      </c>
      <c r="AO24" s="22">
        <f>35</f>
        <v>35</v>
      </c>
      <c r="AP24" s="22">
        <f>35</f>
        <v>35</v>
      </c>
      <c r="AQ24" s="22">
        <f>35</f>
        <v>35</v>
      </c>
      <c r="AR24" s="22">
        <f>35</f>
        <v>35</v>
      </c>
      <c r="AS24" s="7">
        <f>AVERAGE(AG24:AR24)</f>
        <v>35</v>
      </c>
      <c r="AT24" s="4" t="s">
        <v>19</v>
      </c>
      <c r="AV24" s="22">
        <f>13</f>
        <v>13</v>
      </c>
      <c r="AW24" s="22">
        <f>13</f>
        <v>13</v>
      </c>
      <c r="AX24" s="22">
        <f>13</f>
        <v>13</v>
      </c>
      <c r="AY24" s="22">
        <f>13</f>
        <v>13</v>
      </c>
      <c r="AZ24" s="22">
        <f>13</f>
        <v>13</v>
      </c>
      <c r="BA24" s="22">
        <f>13</f>
        <v>13</v>
      </c>
      <c r="BB24" s="22">
        <f>13</f>
        <v>13</v>
      </c>
      <c r="BC24" s="22">
        <f>13</f>
        <v>13</v>
      </c>
      <c r="BD24" s="22">
        <f>13</f>
        <v>13</v>
      </c>
      <c r="BE24" s="22">
        <f>13</f>
        <v>13</v>
      </c>
      <c r="BF24" s="22">
        <f>13</f>
        <v>13</v>
      </c>
      <c r="BG24" s="22">
        <f>13</f>
        <v>13</v>
      </c>
      <c r="BH24" s="7">
        <f>AVERAGE(AV24:BG24)</f>
        <v>13</v>
      </c>
      <c r="CN24" s="5">
        <f t="shared" si="146"/>
        <v>248</v>
      </c>
      <c r="CO24" s="5">
        <f t="shared" si="146"/>
        <v>248</v>
      </c>
      <c r="CP24" s="5">
        <f t="shared" si="146"/>
        <v>248</v>
      </c>
      <c r="CQ24" s="5">
        <f t="shared" si="146"/>
        <v>248</v>
      </c>
      <c r="CR24" s="5">
        <f t="shared" si="146"/>
        <v>248</v>
      </c>
      <c r="CS24" s="5">
        <f t="shared" si="146"/>
        <v>248</v>
      </c>
      <c r="CT24" s="5">
        <f t="shared" si="146"/>
        <v>247</v>
      </c>
      <c r="CU24" s="5">
        <f t="shared" si="146"/>
        <v>245</v>
      </c>
      <c r="CV24" s="5">
        <f t="shared" si="146"/>
        <v>240</v>
      </c>
      <c r="CW24" s="5">
        <f t="shared" si="146"/>
        <v>238</v>
      </c>
      <c r="CX24" s="5">
        <f t="shared" si="146"/>
        <v>238</v>
      </c>
      <c r="CY24" s="5">
        <f t="shared" si="146"/>
        <v>238</v>
      </c>
      <c r="CZ24" s="13">
        <f>AVERAGE(CN24:CY24)</f>
        <v>244.5</v>
      </c>
      <c r="DA24" s="5">
        <f t="shared" ref="DA24:DF24" si="172">235-DN24</f>
        <v>203</v>
      </c>
      <c r="DB24" s="5">
        <f t="shared" si="172"/>
        <v>203</v>
      </c>
      <c r="DC24" s="5">
        <f t="shared" si="172"/>
        <v>203</v>
      </c>
      <c r="DD24" s="5">
        <f t="shared" si="172"/>
        <v>203</v>
      </c>
      <c r="DE24" s="5">
        <f t="shared" si="172"/>
        <v>203</v>
      </c>
      <c r="DF24" s="5">
        <f t="shared" si="172"/>
        <v>203</v>
      </c>
      <c r="DG24" s="5">
        <f>234-DT24</f>
        <v>202</v>
      </c>
      <c r="DH24" s="5">
        <f>232-DU24</f>
        <v>200</v>
      </c>
      <c r="DI24" s="5">
        <f>227-DV24</f>
        <v>195</v>
      </c>
      <c r="DJ24" s="5">
        <f>225-DW24</f>
        <v>193</v>
      </c>
      <c r="DK24" s="5">
        <f>225-DX24</f>
        <v>193</v>
      </c>
      <c r="DL24" s="5">
        <f>225-DY24</f>
        <v>193</v>
      </c>
      <c r="DM24" s="13">
        <f>AVERAGE(DA24:DL24)</f>
        <v>199.5</v>
      </c>
      <c r="DN24" s="22">
        <f>32</f>
        <v>32</v>
      </c>
      <c r="DO24" s="22">
        <f>32</f>
        <v>32</v>
      </c>
      <c r="DP24" s="22">
        <f>32</f>
        <v>32</v>
      </c>
      <c r="DQ24" s="22">
        <f>32</f>
        <v>32</v>
      </c>
      <c r="DR24" s="22">
        <f>32</f>
        <v>32</v>
      </c>
      <c r="DS24" s="22">
        <f>32</f>
        <v>32</v>
      </c>
      <c r="DT24" s="22">
        <f>32</f>
        <v>32</v>
      </c>
      <c r="DU24" s="22">
        <f>32</f>
        <v>32</v>
      </c>
      <c r="DV24" s="22">
        <f>32</f>
        <v>32</v>
      </c>
      <c r="DW24" s="22">
        <f>32</f>
        <v>32</v>
      </c>
      <c r="DX24" s="22">
        <f>32</f>
        <v>32</v>
      </c>
      <c r="DY24" s="22">
        <f>32</f>
        <v>32</v>
      </c>
      <c r="DZ24" s="63">
        <f>AVERAGE(DN24:DY24)</f>
        <v>32</v>
      </c>
      <c r="EA24" s="22">
        <f>13</f>
        <v>13</v>
      </c>
      <c r="EB24" s="22">
        <f>13</f>
        <v>13</v>
      </c>
      <c r="EC24" s="22">
        <f>13</f>
        <v>13</v>
      </c>
      <c r="ED24" s="22">
        <f>13</f>
        <v>13</v>
      </c>
      <c r="EE24" s="22">
        <f>13</f>
        <v>13</v>
      </c>
      <c r="EF24" s="22">
        <f>13</f>
        <v>13</v>
      </c>
      <c r="EG24" s="22">
        <f>13</f>
        <v>13</v>
      </c>
      <c r="EH24" s="22">
        <f>13</f>
        <v>13</v>
      </c>
      <c r="EI24" s="22">
        <f>13</f>
        <v>13</v>
      </c>
      <c r="EJ24" s="22">
        <v>13</v>
      </c>
      <c r="EK24" s="22">
        <v>13</v>
      </c>
      <c r="EL24" s="22">
        <v>13</v>
      </c>
      <c r="EM24" s="63">
        <f>AVERAGE(EA24:EL24)</f>
        <v>13</v>
      </c>
      <c r="FO24" s="5">
        <f t="shared" si="147"/>
        <v>247</v>
      </c>
      <c r="FP24" s="5">
        <f t="shared" si="148"/>
        <v>247</v>
      </c>
      <c r="FQ24" s="5">
        <f t="shared" si="149"/>
        <v>247</v>
      </c>
      <c r="FR24" s="5">
        <f t="shared" si="150"/>
        <v>247</v>
      </c>
      <c r="FS24" s="5">
        <f t="shared" si="151"/>
        <v>247</v>
      </c>
      <c r="FT24" s="5">
        <f t="shared" si="152"/>
        <v>247</v>
      </c>
      <c r="FU24" s="5">
        <f t="shared" si="153"/>
        <v>247</v>
      </c>
      <c r="FV24" s="5">
        <f t="shared" si="154"/>
        <v>237</v>
      </c>
      <c r="FW24" s="5">
        <f t="shared" si="155"/>
        <v>227</v>
      </c>
      <c r="FX24" s="5">
        <f t="shared" si="156"/>
        <v>217</v>
      </c>
      <c r="FY24" s="5">
        <f t="shared" si="157"/>
        <v>207</v>
      </c>
      <c r="FZ24" s="5">
        <f t="shared" si="158"/>
        <v>197</v>
      </c>
      <c r="GA24" s="13">
        <f>AVERAGE(FO24:FZ24)</f>
        <v>234.5</v>
      </c>
      <c r="GB24" s="5">
        <f t="shared" ref="GB24:GH24" si="173">234-GO24</f>
        <v>198</v>
      </c>
      <c r="GC24" s="5">
        <f t="shared" si="173"/>
        <v>198</v>
      </c>
      <c r="GD24" s="5">
        <f t="shared" si="173"/>
        <v>198</v>
      </c>
      <c r="GE24" s="5">
        <f t="shared" si="173"/>
        <v>198</v>
      </c>
      <c r="GF24" s="5">
        <f t="shared" si="173"/>
        <v>198</v>
      </c>
      <c r="GG24" s="5">
        <f t="shared" si="173"/>
        <v>198</v>
      </c>
      <c r="GH24" s="5">
        <f t="shared" si="173"/>
        <v>198</v>
      </c>
      <c r="GI24" s="5">
        <f>224-GV24</f>
        <v>188</v>
      </c>
      <c r="GJ24" s="5">
        <f>214-GW24</f>
        <v>178</v>
      </c>
      <c r="GK24" s="5">
        <f>204-GX24</f>
        <v>168</v>
      </c>
      <c r="GL24" s="5">
        <f>194-GY24</f>
        <v>158</v>
      </c>
      <c r="GM24" s="5">
        <f>184-GZ24</f>
        <v>148</v>
      </c>
      <c r="GN24" s="67">
        <f>AVERAGE(GB24:GM24)</f>
        <v>185.5</v>
      </c>
      <c r="GO24" s="77">
        <v>36</v>
      </c>
      <c r="GP24" s="20">
        <v>36</v>
      </c>
      <c r="GQ24" s="20">
        <v>36</v>
      </c>
      <c r="GR24" s="20">
        <v>36</v>
      </c>
      <c r="GS24" s="20">
        <v>36</v>
      </c>
      <c r="GT24" s="20">
        <v>36</v>
      </c>
      <c r="GU24" s="20">
        <v>36</v>
      </c>
      <c r="GV24" s="20">
        <v>36</v>
      </c>
      <c r="GW24" s="20">
        <v>36</v>
      </c>
      <c r="GX24" s="20">
        <v>36</v>
      </c>
      <c r="GY24" s="20">
        <v>36</v>
      </c>
      <c r="GZ24" s="20">
        <v>36</v>
      </c>
      <c r="HA24" s="82">
        <f>AVERAGE(GO24:GZ24)</f>
        <v>36</v>
      </c>
      <c r="HB24" s="77">
        <v>13</v>
      </c>
      <c r="HC24" s="77">
        <v>13</v>
      </c>
      <c r="HD24" s="77">
        <v>13</v>
      </c>
      <c r="HE24" s="77">
        <v>13</v>
      </c>
      <c r="HF24" s="20">
        <v>13</v>
      </c>
      <c r="HG24" s="20">
        <v>13</v>
      </c>
      <c r="HH24" s="20">
        <v>13</v>
      </c>
      <c r="HI24" s="20">
        <v>13</v>
      </c>
      <c r="HJ24" s="20">
        <v>13</v>
      </c>
      <c r="HK24" s="20">
        <v>13</v>
      </c>
      <c r="HL24" s="20">
        <v>13</v>
      </c>
      <c r="HM24" s="20">
        <v>13</v>
      </c>
      <c r="HN24" s="63">
        <f>AVERAGE(HB24:HM24)</f>
        <v>13</v>
      </c>
      <c r="HP24" s="5">
        <f t="shared" si="159"/>
        <v>208.00003333333333</v>
      </c>
      <c r="HQ24" s="5">
        <f t="shared" si="160"/>
        <v>205.00003333333333</v>
      </c>
      <c r="HR24" s="5">
        <f t="shared" si="161"/>
        <v>200.00003333333333</v>
      </c>
      <c r="HS24" s="5">
        <f t="shared" si="162"/>
        <v>200.00003333333333</v>
      </c>
      <c r="HT24" s="5">
        <f t="shared" si="163"/>
        <v>196.00003333333333</v>
      </c>
      <c r="HU24" s="5">
        <f t="shared" si="164"/>
        <v>191.00003333333333</v>
      </c>
      <c r="HV24" s="5">
        <f t="shared" si="165"/>
        <v>206.00003333333333</v>
      </c>
      <c r="HW24" s="5">
        <f t="shared" si="166"/>
        <v>206.00003333333333</v>
      </c>
      <c r="HX24" s="5">
        <f t="shared" si="167"/>
        <v>206.00003333333333</v>
      </c>
      <c r="HY24" s="5">
        <f t="shared" si="168"/>
        <v>206.00003333333333</v>
      </c>
      <c r="HZ24" s="5">
        <f t="shared" si="169"/>
        <v>206.00003333333333</v>
      </c>
      <c r="IA24" s="5">
        <f t="shared" si="170"/>
        <v>176.00003333333333</v>
      </c>
      <c r="IB24" s="63">
        <f>AVERAGE(HP24:IA24)</f>
        <v>200.50003333333328</v>
      </c>
      <c r="IC24" s="21">
        <f>SUM([17]Manpower_month!CE7)-SUM(IP24)</f>
        <v>169.00003333333333</v>
      </c>
      <c r="ID24" s="21">
        <f>SUM([17]Manpower_month!CF7)-SUM(IQ24)</f>
        <v>166.00003333333333</v>
      </c>
      <c r="IE24" s="21">
        <f>SUM([17]Manpower_month!CG7)-SUM(IR24)</f>
        <v>161.00003333333333</v>
      </c>
      <c r="IF24" s="21">
        <f>SUM([17]Manpower_month!CH7)-SUM(IS24)</f>
        <v>161.00003333333333</v>
      </c>
      <c r="IG24" s="21">
        <f>SUM([18]Manpower_month!CI7)-SUM(IT24)</f>
        <v>159.00003333333333</v>
      </c>
      <c r="IH24" s="21">
        <f>SUM([18]Manpower_month!CJ7)-SUM(IU24)</f>
        <v>154.00003333333333</v>
      </c>
      <c r="II24" s="21">
        <f>SUM([18]Manpower_month!CK7)-SUM(IV24)</f>
        <v>171.00003333333333</v>
      </c>
      <c r="IJ24" s="21">
        <f>SUM([18]Manpower_month!CL7)-SUM(IW24)</f>
        <v>171.00003333333333</v>
      </c>
      <c r="IK24" s="21">
        <f>SUM([18]Manpower_month!CM7)-SUM(IX24)</f>
        <v>171.00003333333333</v>
      </c>
      <c r="IL24" s="21">
        <f>SUM([18]Manpower_month!CN7)-SUM(IY24)</f>
        <v>171.00003333333333</v>
      </c>
      <c r="IM24" s="21">
        <f>SUM([18]Manpower_month!CO7)-SUM(IZ24)</f>
        <v>171.00003333333333</v>
      </c>
      <c r="IN24" s="21">
        <f>SUM([18]Manpower_month!CP7)-SUM(JA24)</f>
        <v>141.00003333333333</v>
      </c>
      <c r="IO24" s="63">
        <f t="shared" ref="IO24:IO25" si="174">IFERROR(AVERAGE(IC24:IN24),"")</f>
        <v>163.83336666666665</v>
      </c>
      <c r="IP24" s="102">
        <f>28</f>
        <v>28</v>
      </c>
      <c r="IQ24" s="102">
        <f>28</f>
        <v>28</v>
      </c>
      <c r="IR24" s="102">
        <f>28</f>
        <v>28</v>
      </c>
      <c r="IS24" s="102">
        <f>28</f>
        <v>28</v>
      </c>
      <c r="IT24" s="102">
        <f>28</f>
        <v>28</v>
      </c>
      <c r="IU24" s="102">
        <f>28</f>
        <v>28</v>
      </c>
      <c r="IV24" s="102">
        <f>28</f>
        <v>28</v>
      </c>
      <c r="IW24" s="102">
        <f>28</f>
        <v>28</v>
      </c>
      <c r="IX24" s="102">
        <f>28</f>
        <v>28</v>
      </c>
      <c r="IY24" s="102">
        <f>28</f>
        <v>28</v>
      </c>
      <c r="IZ24" s="102">
        <f>28</f>
        <v>28</v>
      </c>
      <c r="JA24" s="102">
        <f>28</f>
        <v>28</v>
      </c>
      <c r="JB24" s="63">
        <f t="shared" ref="JB24:JB25" si="175">IFERROR(AVERAGE(IP24:JA24),"")</f>
        <v>28</v>
      </c>
      <c r="JC24" s="21">
        <f>[17]Manpower_month!CU7</f>
        <v>11</v>
      </c>
      <c r="JD24" s="21">
        <f>[17]Manpower_month!CV7</f>
        <v>11</v>
      </c>
      <c r="JE24" s="21">
        <f>[17]Manpower_month!CW7</f>
        <v>11</v>
      </c>
      <c r="JF24" s="21">
        <f>[17]Manpower_month!CX7</f>
        <v>11</v>
      </c>
      <c r="JG24" s="21">
        <f>[18]Manpower_month!CY7</f>
        <v>9</v>
      </c>
      <c r="JH24" s="21">
        <f>[18]Manpower_month!CZ7</f>
        <v>9</v>
      </c>
      <c r="JI24" s="21">
        <f>[18]Manpower_month!DA7</f>
        <v>7</v>
      </c>
      <c r="JJ24" s="21">
        <f>[18]Manpower_month!DB7</f>
        <v>7</v>
      </c>
      <c r="JK24" s="21">
        <f>[18]Manpower_month!DC7</f>
        <v>7</v>
      </c>
      <c r="JL24" s="21">
        <f>[18]Manpower_month!DD7</f>
        <v>7</v>
      </c>
      <c r="JM24" s="21">
        <f>[18]Manpower_month!DE7</f>
        <v>7</v>
      </c>
      <c r="JN24" s="21">
        <f>[18]Manpower_month!DF7</f>
        <v>7</v>
      </c>
      <c r="JO24" s="63">
        <f t="shared" ref="JO24:JO25" si="176">IFERROR(AVERAGE(JC24:JN24),"")</f>
        <v>8.6666666666666661</v>
      </c>
    </row>
    <row r="25" spans="1:275" ht="15.75" thickBot="1">
      <c r="A25" s="12" t="s">
        <v>20</v>
      </c>
      <c r="B25" s="5">
        <f t="shared" si="144"/>
        <v>0</v>
      </c>
      <c r="C25" s="5">
        <f t="shared" si="144"/>
        <v>759</v>
      </c>
      <c r="D25" s="5">
        <f t="shared" si="144"/>
        <v>759</v>
      </c>
      <c r="E25" s="5">
        <f t="shared" si="144"/>
        <v>759</v>
      </c>
      <c r="F25" s="5">
        <f t="shared" si="144"/>
        <v>759</v>
      </c>
      <c r="G25" s="5">
        <f t="shared" si="144"/>
        <v>759</v>
      </c>
      <c r="H25" s="5">
        <f t="shared" si="144"/>
        <v>756</v>
      </c>
      <c r="I25" s="5">
        <f t="shared" si="144"/>
        <v>749</v>
      </c>
      <c r="J25" s="5">
        <f t="shared" si="144"/>
        <v>750</v>
      </c>
      <c r="K25" s="5">
        <f t="shared" si="144"/>
        <v>711</v>
      </c>
      <c r="L25" s="5">
        <f t="shared" si="144"/>
        <v>701</v>
      </c>
      <c r="M25" s="5">
        <f t="shared" si="144"/>
        <v>702</v>
      </c>
      <c r="N25" s="5">
        <f t="shared" si="144"/>
        <v>703</v>
      </c>
      <c r="O25" s="7">
        <f>AVERAGE(C25:N25)</f>
        <v>738.91666666666663</v>
      </c>
      <c r="P25" s="4" t="s">
        <v>20</v>
      </c>
      <c r="R25" s="22">
        <f>675-AG25</f>
        <v>513</v>
      </c>
      <c r="S25" s="22">
        <f>675-AH25</f>
        <v>513</v>
      </c>
      <c r="T25" s="22">
        <f>675-AI25</f>
        <v>513</v>
      </c>
      <c r="U25" s="22">
        <f>675-AJ25</f>
        <v>513</v>
      </c>
      <c r="V25" s="22">
        <f>675-AK25</f>
        <v>513</v>
      </c>
      <c r="W25" s="22">
        <f>672-AL25</f>
        <v>510</v>
      </c>
      <c r="X25" s="22">
        <f>665-AM25</f>
        <v>503</v>
      </c>
      <c r="Y25" s="22">
        <f>666-AN25</f>
        <v>504</v>
      </c>
      <c r="Z25" s="22">
        <f>632-AO25</f>
        <v>470</v>
      </c>
      <c r="AA25" s="22">
        <f>622-AP25</f>
        <v>460</v>
      </c>
      <c r="AB25" s="22">
        <f>623-AQ25</f>
        <v>461</v>
      </c>
      <c r="AC25" s="22">
        <f>624-AR25</f>
        <v>462</v>
      </c>
      <c r="AD25" s="7">
        <f>AVERAGE(R25:AC25)</f>
        <v>494.58333333333331</v>
      </c>
      <c r="AE25" s="4" t="s">
        <v>20</v>
      </c>
      <c r="AG25" s="22">
        <f>162</f>
        <v>162</v>
      </c>
      <c r="AH25" s="22">
        <f>162</f>
        <v>162</v>
      </c>
      <c r="AI25" s="22">
        <f>162</f>
        <v>162</v>
      </c>
      <c r="AJ25" s="22">
        <f>162</f>
        <v>162</v>
      </c>
      <c r="AK25" s="22">
        <f>162</f>
        <v>162</v>
      </c>
      <c r="AL25" s="22">
        <f>162</f>
        <v>162</v>
      </c>
      <c r="AM25" s="22">
        <f>162</f>
        <v>162</v>
      </c>
      <c r="AN25" s="22">
        <f>162</f>
        <v>162</v>
      </c>
      <c r="AO25" s="22">
        <f>162</f>
        <v>162</v>
      </c>
      <c r="AP25" s="22">
        <f>162</f>
        <v>162</v>
      </c>
      <c r="AQ25" s="22">
        <f>162</f>
        <v>162</v>
      </c>
      <c r="AR25" s="22">
        <f>162</f>
        <v>162</v>
      </c>
      <c r="AS25" s="7">
        <f>AVERAGE(AG25:AR25)</f>
        <v>162</v>
      </c>
      <c r="AT25" s="4" t="s">
        <v>20</v>
      </c>
      <c r="AV25" s="22">
        <f>84</f>
        <v>84</v>
      </c>
      <c r="AW25" s="22">
        <f>84</f>
        <v>84</v>
      </c>
      <c r="AX25" s="22">
        <f>84</f>
        <v>84</v>
      </c>
      <c r="AY25" s="22">
        <f>84</f>
        <v>84</v>
      </c>
      <c r="AZ25" s="22">
        <f>84</f>
        <v>84</v>
      </c>
      <c r="BA25" s="22">
        <f>84</f>
        <v>84</v>
      </c>
      <c r="BB25" s="22">
        <f>84</f>
        <v>84</v>
      </c>
      <c r="BC25" s="22">
        <f>84</f>
        <v>84</v>
      </c>
      <c r="BD25" s="22">
        <f>84-5</f>
        <v>79</v>
      </c>
      <c r="BE25" s="22">
        <f>84-5</f>
        <v>79</v>
      </c>
      <c r="BF25" s="22">
        <f>84-5</f>
        <v>79</v>
      </c>
      <c r="BG25" s="22">
        <f>84-5</f>
        <v>79</v>
      </c>
      <c r="BH25" s="7">
        <f>AVERAGE(AV25:BG25)</f>
        <v>82.333333333333329</v>
      </c>
      <c r="CN25" s="5">
        <f t="shared" si="146"/>
        <v>775</v>
      </c>
      <c r="CO25" s="5">
        <f t="shared" si="146"/>
        <v>777</v>
      </c>
      <c r="CP25" s="5">
        <f t="shared" si="146"/>
        <v>740</v>
      </c>
      <c r="CQ25" s="5">
        <f t="shared" si="146"/>
        <v>726</v>
      </c>
      <c r="CR25" s="5">
        <f t="shared" si="146"/>
        <v>713</v>
      </c>
      <c r="CS25" s="5">
        <f t="shared" si="146"/>
        <v>709</v>
      </c>
      <c r="CT25" s="5">
        <f t="shared" si="146"/>
        <v>710</v>
      </c>
      <c r="CU25" s="5">
        <f t="shared" si="146"/>
        <v>705</v>
      </c>
      <c r="CV25" s="5">
        <f t="shared" si="146"/>
        <v>709.5</v>
      </c>
      <c r="CW25" s="5">
        <f t="shared" si="146"/>
        <v>701</v>
      </c>
      <c r="CX25" s="5">
        <f t="shared" si="146"/>
        <v>701</v>
      </c>
      <c r="CY25" s="5">
        <f t="shared" si="146"/>
        <v>701</v>
      </c>
      <c r="CZ25" s="13">
        <f>AVERAGE(CN25:CY25)</f>
        <v>722.29166666666663</v>
      </c>
      <c r="DA25" s="5">
        <f>680-DN25</f>
        <v>510</v>
      </c>
      <c r="DB25" s="5">
        <f>682-DO25</f>
        <v>512</v>
      </c>
      <c r="DC25" s="5">
        <f>645-DP25</f>
        <v>475</v>
      </c>
      <c r="DD25" s="5">
        <f>631-DQ25</f>
        <v>461</v>
      </c>
      <c r="DE25" s="5">
        <f>618-DR25</f>
        <v>448</v>
      </c>
      <c r="DF25" s="5">
        <f>614-DS25</f>
        <v>444</v>
      </c>
      <c r="DG25" s="5">
        <f>615-DT25</f>
        <v>445</v>
      </c>
      <c r="DH25" s="5">
        <f>610-DU25</f>
        <v>440</v>
      </c>
      <c r="DI25" s="5">
        <f>614.5-DV25</f>
        <v>444.5</v>
      </c>
      <c r="DJ25" s="5">
        <f>606-DW25</f>
        <v>436</v>
      </c>
      <c r="DK25" s="5">
        <f>606-DX25</f>
        <v>436</v>
      </c>
      <c r="DL25" s="5">
        <f>606-DY25</f>
        <v>436</v>
      </c>
      <c r="DM25" s="13">
        <f>AVERAGE(DA25:DL25)</f>
        <v>457.29166666666669</v>
      </c>
      <c r="DN25" s="22">
        <f>170</f>
        <v>170</v>
      </c>
      <c r="DO25" s="22">
        <f>170</f>
        <v>170</v>
      </c>
      <c r="DP25" s="22">
        <f>170</f>
        <v>170</v>
      </c>
      <c r="DQ25" s="22">
        <f>170</f>
        <v>170</v>
      </c>
      <c r="DR25" s="22">
        <f>170</f>
        <v>170</v>
      </c>
      <c r="DS25" s="22">
        <f>170</f>
        <v>170</v>
      </c>
      <c r="DT25" s="22">
        <f>170</f>
        <v>170</v>
      </c>
      <c r="DU25" s="22">
        <f>170</f>
        <v>170</v>
      </c>
      <c r="DV25" s="22">
        <f>170</f>
        <v>170</v>
      </c>
      <c r="DW25" s="22">
        <f>170</f>
        <v>170</v>
      </c>
      <c r="DX25" s="22">
        <f>170</f>
        <v>170</v>
      </c>
      <c r="DY25" s="22">
        <f>170</f>
        <v>170</v>
      </c>
      <c r="DZ25" s="63">
        <f>AVERAGE(DN25:DY25)</f>
        <v>170</v>
      </c>
      <c r="EA25" s="22">
        <f>95</f>
        <v>95</v>
      </c>
      <c r="EB25" s="22">
        <f>95</f>
        <v>95</v>
      </c>
      <c r="EC25" s="22">
        <f>95</f>
        <v>95</v>
      </c>
      <c r="ED25" s="22">
        <f>95</f>
        <v>95</v>
      </c>
      <c r="EE25" s="22">
        <f>95</f>
        <v>95</v>
      </c>
      <c r="EF25" s="22">
        <f>95</f>
        <v>95</v>
      </c>
      <c r="EG25" s="22">
        <f>95</f>
        <v>95</v>
      </c>
      <c r="EH25" s="22">
        <f>95</f>
        <v>95</v>
      </c>
      <c r="EI25" s="22">
        <f>95</f>
        <v>95</v>
      </c>
      <c r="EJ25" s="22">
        <v>95</v>
      </c>
      <c r="EK25" s="22">
        <v>95</v>
      </c>
      <c r="EL25" s="22">
        <v>95</v>
      </c>
      <c r="EM25" s="63">
        <f>AVERAGE(EA25:EL25)</f>
        <v>95</v>
      </c>
      <c r="FO25" s="5">
        <f t="shared" si="147"/>
        <v>801</v>
      </c>
      <c r="FP25" s="5">
        <f t="shared" si="148"/>
        <v>799</v>
      </c>
      <c r="FQ25" s="5">
        <f t="shared" si="149"/>
        <v>787</v>
      </c>
      <c r="FR25" s="5">
        <f t="shared" si="150"/>
        <v>776.5</v>
      </c>
      <c r="FS25" s="5">
        <f t="shared" si="151"/>
        <v>763</v>
      </c>
      <c r="FT25" s="5">
        <f t="shared" si="152"/>
        <v>760</v>
      </c>
      <c r="FU25" s="5">
        <f t="shared" si="153"/>
        <v>760</v>
      </c>
      <c r="FV25" s="5">
        <f t="shared" si="154"/>
        <v>770</v>
      </c>
      <c r="FW25" s="5">
        <f t="shared" si="155"/>
        <v>780</v>
      </c>
      <c r="FX25" s="5">
        <f t="shared" si="156"/>
        <v>790</v>
      </c>
      <c r="FY25" s="5">
        <f t="shared" si="157"/>
        <v>800</v>
      </c>
      <c r="FZ25" s="5">
        <f t="shared" si="158"/>
        <v>810</v>
      </c>
      <c r="GA25" s="13">
        <f>AVERAGE(FO25:FZ25)</f>
        <v>783.04166666666663</v>
      </c>
      <c r="GB25" s="5">
        <f>724-GO25</f>
        <v>569</v>
      </c>
      <c r="GC25" s="5">
        <f>722-GP25</f>
        <v>569</v>
      </c>
      <c r="GD25" s="5">
        <f>710-GQ25</f>
        <v>557</v>
      </c>
      <c r="GE25" s="5">
        <f>699.5-GR25</f>
        <v>546.5</v>
      </c>
      <c r="GF25" s="5">
        <f>686-GS25</f>
        <v>533</v>
      </c>
      <c r="GG25" s="5">
        <f>683-GT25</f>
        <v>530</v>
      </c>
      <c r="GH25" s="5">
        <f>683-GU25</f>
        <v>530</v>
      </c>
      <c r="GI25" s="5">
        <f>693-GV25</f>
        <v>540</v>
      </c>
      <c r="GJ25" s="5">
        <f>703-GW25</f>
        <v>550</v>
      </c>
      <c r="GK25" s="5">
        <f>713-GX25</f>
        <v>560</v>
      </c>
      <c r="GL25" s="5">
        <f>723-GY25</f>
        <v>570</v>
      </c>
      <c r="GM25" s="5">
        <f>733-GZ25</f>
        <v>580</v>
      </c>
      <c r="GN25" s="67">
        <f>AVERAGE(GB25:GM25)</f>
        <v>552.875</v>
      </c>
      <c r="GO25" s="78">
        <v>155</v>
      </c>
      <c r="GP25" s="79">
        <v>153</v>
      </c>
      <c r="GQ25" s="79">
        <v>153</v>
      </c>
      <c r="GR25" s="79">
        <v>153</v>
      </c>
      <c r="GS25" s="79">
        <v>153</v>
      </c>
      <c r="GT25" s="79">
        <v>153</v>
      </c>
      <c r="GU25" s="79">
        <v>153</v>
      </c>
      <c r="GV25" s="79">
        <v>153</v>
      </c>
      <c r="GW25" s="79">
        <v>153</v>
      </c>
      <c r="GX25" s="79">
        <v>153</v>
      </c>
      <c r="GY25" s="79">
        <v>153</v>
      </c>
      <c r="GZ25" s="79">
        <v>153</v>
      </c>
      <c r="HA25" s="83">
        <f>AVERAGE(GO25:GZ25)</f>
        <v>153.16666666666666</v>
      </c>
      <c r="HB25" s="78">
        <v>77</v>
      </c>
      <c r="HC25" s="78">
        <v>77</v>
      </c>
      <c r="HD25" s="78">
        <v>77</v>
      </c>
      <c r="HE25" s="78">
        <v>77</v>
      </c>
      <c r="HF25" s="20">
        <v>77</v>
      </c>
      <c r="HG25" s="79">
        <v>77</v>
      </c>
      <c r="HH25" s="79">
        <v>77</v>
      </c>
      <c r="HI25" s="79">
        <v>77</v>
      </c>
      <c r="HJ25" s="79">
        <v>77</v>
      </c>
      <c r="HK25" s="79">
        <v>77</v>
      </c>
      <c r="HL25" s="79">
        <v>77</v>
      </c>
      <c r="HM25" s="79">
        <v>77</v>
      </c>
      <c r="HN25" s="80">
        <f>AVERAGE(HB25:HM25)</f>
        <v>77</v>
      </c>
      <c r="HP25" s="5">
        <f t="shared" si="159"/>
        <v>808.49996666666664</v>
      </c>
      <c r="HQ25" s="5">
        <f t="shared" si="160"/>
        <v>811.49996666666664</v>
      </c>
      <c r="HR25" s="5">
        <f t="shared" si="161"/>
        <v>809.99996666666664</v>
      </c>
      <c r="HS25" s="5">
        <f t="shared" si="162"/>
        <v>794.49996666666664</v>
      </c>
      <c r="HT25" s="5">
        <f t="shared" si="163"/>
        <v>813.49996666666664</v>
      </c>
      <c r="HU25" s="5">
        <f t="shared" si="164"/>
        <v>814.49996666666664</v>
      </c>
      <c r="HV25" s="5">
        <f t="shared" si="165"/>
        <v>804.99996666666664</v>
      </c>
      <c r="HW25" s="5">
        <f t="shared" si="166"/>
        <v>804.99996666666664</v>
      </c>
      <c r="HX25" s="5">
        <f t="shared" si="167"/>
        <v>804.99996666666664</v>
      </c>
      <c r="HY25" s="5">
        <f t="shared" si="168"/>
        <v>804.99996666666664</v>
      </c>
      <c r="HZ25" s="5">
        <f t="shared" si="169"/>
        <v>804.99996666666664</v>
      </c>
      <c r="IA25" s="5">
        <f t="shared" si="170"/>
        <v>824.49996666666664</v>
      </c>
      <c r="IB25" s="63">
        <f>AVERAGE(HP25:IA25)</f>
        <v>808.49996666666641</v>
      </c>
      <c r="IC25" s="21">
        <f>SUM([17]Manpower_month!CE8)-SUM(IP25)</f>
        <v>557.49996666666664</v>
      </c>
      <c r="ID25" s="21">
        <f>SUM([17]Manpower_month!CF8)-SUM(IQ25)</f>
        <v>560.49996666666664</v>
      </c>
      <c r="IE25" s="21">
        <f>SUM([17]Manpower_month!CG8)-SUM(IR25)</f>
        <v>558.99996666666664</v>
      </c>
      <c r="IF25" s="21">
        <f>SUM([17]Manpower_month!CH8)-SUM(IS25)</f>
        <v>543.49996666666664</v>
      </c>
      <c r="IG25" s="21">
        <f>SUM([18]Manpower_month!CI8)-SUM(IT25)</f>
        <v>562.49996666666664</v>
      </c>
      <c r="IH25" s="21">
        <f>SUM([18]Manpower_month!CJ8)-SUM(IU25)</f>
        <v>563.49996666666664</v>
      </c>
      <c r="II25" s="21">
        <f>SUM([18]Manpower_month!CK8)-SUM(IV25)</f>
        <v>553.99996666666664</v>
      </c>
      <c r="IJ25" s="21">
        <f>SUM([18]Manpower_month!CL8)-SUM(IW25)</f>
        <v>553.99996666666664</v>
      </c>
      <c r="IK25" s="21">
        <f>SUM([18]Manpower_month!CM8)-SUM(IX25)</f>
        <v>553.99996666666664</v>
      </c>
      <c r="IL25" s="21">
        <f>SUM([18]Manpower_month!CN8)-SUM(IY25)</f>
        <v>553.99996666666664</v>
      </c>
      <c r="IM25" s="21">
        <f>SUM([18]Manpower_month!CO8)-SUM(IZ25)</f>
        <v>553.99996666666664</v>
      </c>
      <c r="IN25" s="21">
        <f>SUM([18]Manpower_month!CP8)-SUM(JA25)</f>
        <v>573.49996666666664</v>
      </c>
      <c r="IO25" s="63">
        <f t="shared" si="174"/>
        <v>557.49996666666652</v>
      </c>
      <c r="IP25" s="102">
        <f>170</f>
        <v>170</v>
      </c>
      <c r="IQ25" s="102">
        <f>170</f>
        <v>170</v>
      </c>
      <c r="IR25" s="102">
        <f>170</f>
        <v>170</v>
      </c>
      <c r="IS25" s="102">
        <f>170</f>
        <v>170</v>
      </c>
      <c r="IT25" s="102">
        <f>170</f>
        <v>170</v>
      </c>
      <c r="IU25" s="102">
        <f>170</f>
        <v>170</v>
      </c>
      <c r="IV25" s="102">
        <f>170</f>
        <v>170</v>
      </c>
      <c r="IW25" s="102">
        <f>170</f>
        <v>170</v>
      </c>
      <c r="IX25" s="102">
        <f>170</f>
        <v>170</v>
      </c>
      <c r="IY25" s="102">
        <f>170</f>
        <v>170</v>
      </c>
      <c r="IZ25" s="102">
        <f>170</f>
        <v>170</v>
      </c>
      <c r="JA25" s="102">
        <f>170</f>
        <v>170</v>
      </c>
      <c r="JB25" s="63">
        <f t="shared" si="175"/>
        <v>170</v>
      </c>
      <c r="JC25" s="21">
        <f>[17]Manpower_month!CU8</f>
        <v>81</v>
      </c>
      <c r="JD25" s="21">
        <f>[17]Manpower_month!CV8</f>
        <v>81</v>
      </c>
      <c r="JE25" s="21">
        <f>[17]Manpower_month!CW8</f>
        <v>81</v>
      </c>
      <c r="JF25" s="21">
        <f>[17]Manpower_month!CX8</f>
        <v>81</v>
      </c>
      <c r="JG25" s="21">
        <f>[18]Manpower_month!CY8</f>
        <v>81</v>
      </c>
      <c r="JH25" s="21">
        <f>[18]Manpower_month!CZ8</f>
        <v>81</v>
      </c>
      <c r="JI25" s="21">
        <f>[18]Manpower_month!DA8</f>
        <v>81</v>
      </c>
      <c r="JJ25" s="21">
        <f>[18]Manpower_month!DB8</f>
        <v>81</v>
      </c>
      <c r="JK25" s="21">
        <f>[18]Manpower_month!DC8</f>
        <v>81</v>
      </c>
      <c r="JL25" s="21">
        <f>[18]Manpower_month!DD8</f>
        <v>81</v>
      </c>
      <c r="JM25" s="21">
        <f>[18]Manpower_month!DE8</f>
        <v>81</v>
      </c>
      <c r="JN25" s="21">
        <f>[18]Manpower_month!DF8</f>
        <v>81</v>
      </c>
      <c r="JO25" s="63">
        <f t="shared" si="176"/>
        <v>81</v>
      </c>
    </row>
    <row r="26" spans="1:275" ht="15.75" thickBot="1">
      <c r="A26" s="14" t="s">
        <v>21</v>
      </c>
      <c r="B26" s="15">
        <f>SUM(B23:B25)</f>
        <v>0</v>
      </c>
      <c r="C26" s="15">
        <f>SUM(C23:C25)</f>
        <v>1193</v>
      </c>
      <c r="D26" s="15">
        <f t="shared" ref="D26:M26" si="177">SUM(D23:D25)</f>
        <v>1194</v>
      </c>
      <c r="E26" s="15">
        <f t="shared" si="177"/>
        <v>1194</v>
      </c>
      <c r="F26" s="15">
        <f t="shared" si="177"/>
        <v>1194</v>
      </c>
      <c r="G26" s="15">
        <f t="shared" si="177"/>
        <v>1194</v>
      </c>
      <c r="H26" s="15">
        <f t="shared" si="177"/>
        <v>1191</v>
      </c>
      <c r="I26" s="15">
        <f t="shared" si="177"/>
        <v>1183</v>
      </c>
      <c r="J26" s="15">
        <f t="shared" si="177"/>
        <v>1183</v>
      </c>
      <c r="K26" s="15">
        <f t="shared" si="177"/>
        <v>1143</v>
      </c>
      <c r="L26" s="15">
        <f t="shared" si="177"/>
        <v>1122</v>
      </c>
      <c r="M26" s="15">
        <f t="shared" si="177"/>
        <v>1122</v>
      </c>
      <c r="N26" s="15">
        <f>SUM(N23:N25)</f>
        <v>1123</v>
      </c>
      <c r="O26" s="16">
        <f>AVERAGE(C26:N26)</f>
        <v>1169.6666666666667</v>
      </c>
      <c r="P26" s="17" t="s">
        <v>21</v>
      </c>
      <c r="Q26" s="15">
        <f>SUM(Q23:Q25)</f>
        <v>0</v>
      </c>
      <c r="R26" s="15">
        <f>SUM(R23:R25)</f>
        <v>876</v>
      </c>
      <c r="S26" s="15">
        <f t="shared" ref="S26:AB26" si="178">SUM(S23:S25)</f>
        <v>876</v>
      </c>
      <c r="T26" s="15">
        <f t="shared" si="178"/>
        <v>876</v>
      </c>
      <c r="U26" s="15">
        <f t="shared" si="178"/>
        <v>876</v>
      </c>
      <c r="V26" s="15">
        <f t="shared" si="178"/>
        <v>876</v>
      </c>
      <c r="W26" s="15">
        <f t="shared" si="178"/>
        <v>873</v>
      </c>
      <c r="X26" s="15">
        <f t="shared" si="178"/>
        <v>865</v>
      </c>
      <c r="Y26" s="15">
        <f t="shared" si="178"/>
        <v>865</v>
      </c>
      <c r="Z26" s="15">
        <f t="shared" si="178"/>
        <v>830</v>
      </c>
      <c r="AA26" s="15">
        <f t="shared" si="178"/>
        <v>809</v>
      </c>
      <c r="AB26" s="15">
        <f t="shared" si="178"/>
        <v>809</v>
      </c>
      <c r="AC26" s="15">
        <f>SUM(AC23:AC25)</f>
        <v>810</v>
      </c>
      <c r="AD26" s="16">
        <f>AVERAGE(R26:AC26)</f>
        <v>853.41666666666663</v>
      </c>
      <c r="AE26" s="17" t="s">
        <v>21</v>
      </c>
      <c r="AF26" s="15">
        <f>SUM(AF23:AF25)</f>
        <v>0</v>
      </c>
      <c r="AG26" s="15">
        <f>SUM(AG23:AG25)</f>
        <v>203</v>
      </c>
      <c r="AH26" s="15">
        <f t="shared" ref="AH26:AQ26" si="179">SUM(AH23:AH25)</f>
        <v>203</v>
      </c>
      <c r="AI26" s="15">
        <f t="shared" si="179"/>
        <v>203</v>
      </c>
      <c r="AJ26" s="15">
        <f t="shared" si="179"/>
        <v>203</v>
      </c>
      <c r="AK26" s="15">
        <f t="shared" si="179"/>
        <v>203</v>
      </c>
      <c r="AL26" s="15">
        <f t="shared" si="179"/>
        <v>203</v>
      </c>
      <c r="AM26" s="15">
        <f t="shared" si="179"/>
        <v>203</v>
      </c>
      <c r="AN26" s="15">
        <f t="shared" si="179"/>
        <v>203</v>
      </c>
      <c r="AO26" s="15">
        <f t="shared" si="179"/>
        <v>203</v>
      </c>
      <c r="AP26" s="15">
        <f t="shared" si="179"/>
        <v>203</v>
      </c>
      <c r="AQ26" s="15">
        <f t="shared" si="179"/>
        <v>203</v>
      </c>
      <c r="AR26" s="15">
        <f>SUM(AR23:AR25)</f>
        <v>203</v>
      </c>
      <c r="AS26" s="16">
        <f>AVERAGE(AG26:AR26)</f>
        <v>203</v>
      </c>
      <c r="AT26" s="17" t="s">
        <v>21</v>
      </c>
      <c r="AU26" s="15">
        <f>SUM(AU23:AU25)</f>
        <v>0</v>
      </c>
      <c r="AV26" s="15">
        <f>SUM(AV23:AV25)</f>
        <v>114</v>
      </c>
      <c r="AW26" s="15">
        <f t="shared" ref="AW26:BF26" si="180">SUM(AW23:AW25)</f>
        <v>115</v>
      </c>
      <c r="AX26" s="15">
        <f t="shared" si="180"/>
        <v>115</v>
      </c>
      <c r="AY26" s="15">
        <f t="shared" si="180"/>
        <v>115</v>
      </c>
      <c r="AZ26" s="15">
        <f t="shared" si="180"/>
        <v>115</v>
      </c>
      <c r="BA26" s="15">
        <f t="shared" si="180"/>
        <v>115</v>
      </c>
      <c r="BB26" s="15">
        <f t="shared" si="180"/>
        <v>115</v>
      </c>
      <c r="BC26" s="15">
        <f t="shared" si="180"/>
        <v>115</v>
      </c>
      <c r="BD26" s="15">
        <f t="shared" si="180"/>
        <v>110</v>
      </c>
      <c r="BE26" s="15">
        <f t="shared" si="180"/>
        <v>110</v>
      </c>
      <c r="BF26" s="15">
        <f t="shared" si="180"/>
        <v>110</v>
      </c>
      <c r="BG26" s="15">
        <f>SUM(BG23:BG25)</f>
        <v>110</v>
      </c>
      <c r="BH26" s="16">
        <f>AVERAGE(AV26:BG26)</f>
        <v>113.25</v>
      </c>
      <c r="CN26" s="15">
        <f t="shared" ref="CN26:CY26" si="181">SUM(CN23:CN25)</f>
        <v>1207</v>
      </c>
      <c r="CO26" s="15">
        <f t="shared" si="181"/>
        <v>1211</v>
      </c>
      <c r="CP26" s="15">
        <f t="shared" si="181"/>
        <v>1175</v>
      </c>
      <c r="CQ26" s="15">
        <f t="shared" si="181"/>
        <v>1165</v>
      </c>
      <c r="CR26" s="15">
        <f t="shared" si="181"/>
        <v>1152</v>
      </c>
      <c r="CS26" s="15">
        <f t="shared" si="181"/>
        <v>1147</v>
      </c>
      <c r="CT26" s="15">
        <f t="shared" si="181"/>
        <v>1147</v>
      </c>
      <c r="CU26" s="15">
        <f t="shared" si="181"/>
        <v>1142</v>
      </c>
      <c r="CV26" s="15">
        <f t="shared" si="181"/>
        <v>1141.5</v>
      </c>
      <c r="CW26" s="15">
        <f t="shared" si="181"/>
        <v>1133</v>
      </c>
      <c r="CX26" s="15">
        <f t="shared" si="181"/>
        <v>1133</v>
      </c>
      <c r="CY26" s="15">
        <f t="shared" si="181"/>
        <v>1130</v>
      </c>
      <c r="CZ26" s="18">
        <f>AVERAGE(CN26:CY26)</f>
        <v>1156.9583333333333</v>
      </c>
      <c r="DA26" s="15">
        <f t="shared" ref="DA26:DL26" si="182">SUM(DA23:DA25)</f>
        <v>874</v>
      </c>
      <c r="DB26" s="15">
        <f t="shared" si="182"/>
        <v>878</v>
      </c>
      <c r="DC26" s="15">
        <f t="shared" si="182"/>
        <v>842</v>
      </c>
      <c r="DD26" s="15">
        <f t="shared" si="182"/>
        <v>832</v>
      </c>
      <c r="DE26" s="15">
        <f t="shared" si="182"/>
        <v>819</v>
      </c>
      <c r="DF26" s="15">
        <f t="shared" si="182"/>
        <v>814</v>
      </c>
      <c r="DG26" s="15">
        <f t="shared" si="182"/>
        <v>814</v>
      </c>
      <c r="DH26" s="15">
        <f t="shared" si="182"/>
        <v>809</v>
      </c>
      <c r="DI26" s="15">
        <f t="shared" si="182"/>
        <v>808.5</v>
      </c>
      <c r="DJ26" s="15">
        <f t="shared" si="182"/>
        <v>800</v>
      </c>
      <c r="DK26" s="15">
        <f t="shared" si="182"/>
        <v>800</v>
      </c>
      <c r="DL26" s="15">
        <f t="shared" si="182"/>
        <v>797</v>
      </c>
      <c r="DM26" s="18">
        <f>AVERAGE(DA26:DL26)</f>
        <v>823.95833333333337</v>
      </c>
      <c r="DN26" s="15">
        <f t="shared" ref="DN26:DY26" si="183">SUM(DN23:DN25)</f>
        <v>208</v>
      </c>
      <c r="DO26" s="15">
        <f t="shared" si="183"/>
        <v>208</v>
      </c>
      <c r="DP26" s="15">
        <f t="shared" si="183"/>
        <v>208</v>
      </c>
      <c r="DQ26" s="15">
        <f t="shared" si="183"/>
        <v>208</v>
      </c>
      <c r="DR26" s="15">
        <f t="shared" si="183"/>
        <v>208</v>
      </c>
      <c r="DS26" s="15">
        <f t="shared" si="183"/>
        <v>208</v>
      </c>
      <c r="DT26" s="15">
        <f t="shared" si="183"/>
        <v>208</v>
      </c>
      <c r="DU26" s="15">
        <f t="shared" si="183"/>
        <v>208</v>
      </c>
      <c r="DV26" s="15">
        <f t="shared" si="183"/>
        <v>208</v>
      </c>
      <c r="DW26" s="15">
        <f t="shared" si="183"/>
        <v>208</v>
      </c>
      <c r="DX26" s="15">
        <f t="shared" si="183"/>
        <v>208</v>
      </c>
      <c r="DY26" s="15">
        <f t="shared" si="183"/>
        <v>208</v>
      </c>
      <c r="DZ26" s="64">
        <f>AVERAGE(DN26:DY26)</f>
        <v>208</v>
      </c>
      <c r="EA26" s="15">
        <f t="shared" ref="EA26:EL26" si="184">SUM(EA23:EA25)</f>
        <v>125</v>
      </c>
      <c r="EB26" s="15">
        <f t="shared" si="184"/>
        <v>125</v>
      </c>
      <c r="EC26" s="15">
        <f t="shared" si="184"/>
        <v>125</v>
      </c>
      <c r="ED26" s="15">
        <f t="shared" si="184"/>
        <v>125</v>
      </c>
      <c r="EE26" s="15">
        <f t="shared" si="184"/>
        <v>125</v>
      </c>
      <c r="EF26" s="15">
        <f t="shared" si="184"/>
        <v>125</v>
      </c>
      <c r="EG26" s="15">
        <f t="shared" si="184"/>
        <v>125</v>
      </c>
      <c r="EH26" s="15">
        <f t="shared" si="184"/>
        <v>125</v>
      </c>
      <c r="EI26" s="15">
        <f t="shared" si="184"/>
        <v>125</v>
      </c>
      <c r="EJ26" s="15">
        <f t="shared" si="184"/>
        <v>125</v>
      </c>
      <c r="EK26" s="15">
        <f t="shared" si="184"/>
        <v>125</v>
      </c>
      <c r="EL26" s="15">
        <f t="shared" si="184"/>
        <v>125</v>
      </c>
      <c r="EM26" s="64">
        <f>AVERAGE(EA26:EL26)</f>
        <v>125</v>
      </c>
      <c r="FO26" s="15">
        <f t="shared" ref="FO26:FZ26" si="185">SUM(FO23:FO25)</f>
        <v>1229</v>
      </c>
      <c r="FP26" s="15">
        <f t="shared" si="185"/>
        <v>1227</v>
      </c>
      <c r="FQ26" s="15">
        <f t="shared" si="185"/>
        <v>1215</v>
      </c>
      <c r="FR26" s="15">
        <f t="shared" si="185"/>
        <v>1210.5</v>
      </c>
      <c r="FS26" s="15">
        <f t="shared" si="185"/>
        <v>1197</v>
      </c>
      <c r="FT26" s="15">
        <f t="shared" si="185"/>
        <v>1197</v>
      </c>
      <c r="FU26" s="15">
        <f t="shared" si="185"/>
        <v>1197</v>
      </c>
      <c r="FV26" s="15">
        <f t="shared" si="185"/>
        <v>1197</v>
      </c>
      <c r="FW26" s="15">
        <f t="shared" si="185"/>
        <v>1197</v>
      </c>
      <c r="FX26" s="15">
        <f t="shared" si="185"/>
        <v>1191</v>
      </c>
      <c r="FY26" s="15">
        <f t="shared" si="185"/>
        <v>1191</v>
      </c>
      <c r="FZ26" s="15">
        <f t="shared" si="185"/>
        <v>1191</v>
      </c>
      <c r="GA26" s="18">
        <f>AVERAGE(FO26:FZ26)</f>
        <v>1203.2916666666667</v>
      </c>
      <c r="GB26" s="15">
        <f t="shared" ref="GB26:GM26" si="186">SUM(GB23:GB25)</f>
        <v>924</v>
      </c>
      <c r="GC26" s="15">
        <f t="shared" si="186"/>
        <v>924</v>
      </c>
      <c r="GD26" s="15">
        <f t="shared" si="186"/>
        <v>912</v>
      </c>
      <c r="GE26" s="15">
        <f t="shared" si="186"/>
        <v>907.5</v>
      </c>
      <c r="GF26" s="15">
        <f t="shared" si="186"/>
        <v>894</v>
      </c>
      <c r="GG26" s="15">
        <f t="shared" si="186"/>
        <v>894</v>
      </c>
      <c r="GH26" s="15">
        <f t="shared" si="186"/>
        <v>894</v>
      </c>
      <c r="GI26" s="15">
        <f t="shared" si="186"/>
        <v>894</v>
      </c>
      <c r="GJ26" s="15">
        <f t="shared" si="186"/>
        <v>894</v>
      </c>
      <c r="GK26" s="15">
        <f t="shared" si="186"/>
        <v>888</v>
      </c>
      <c r="GL26" s="15">
        <f t="shared" si="186"/>
        <v>888</v>
      </c>
      <c r="GM26" s="15">
        <f t="shared" si="186"/>
        <v>888</v>
      </c>
      <c r="GN26" s="18">
        <f>AVERAGE(GB26:GM26)</f>
        <v>900.125</v>
      </c>
      <c r="GO26" s="72">
        <f t="shared" ref="GO26:GZ26" si="187">SUM(GO23:GO25)</f>
        <v>198</v>
      </c>
      <c r="GP26" s="72">
        <f t="shared" si="187"/>
        <v>196</v>
      </c>
      <c r="GQ26" s="72">
        <f t="shared" si="187"/>
        <v>196</v>
      </c>
      <c r="GR26" s="72">
        <f t="shared" si="187"/>
        <v>196</v>
      </c>
      <c r="GS26" s="72">
        <f t="shared" si="187"/>
        <v>196</v>
      </c>
      <c r="GT26" s="72">
        <f t="shared" si="187"/>
        <v>196</v>
      </c>
      <c r="GU26" s="72">
        <f t="shared" si="187"/>
        <v>196</v>
      </c>
      <c r="GV26" s="72">
        <f t="shared" si="187"/>
        <v>196</v>
      </c>
      <c r="GW26" s="72">
        <f t="shared" si="187"/>
        <v>196</v>
      </c>
      <c r="GX26" s="72">
        <f t="shared" si="187"/>
        <v>196</v>
      </c>
      <c r="GY26" s="72">
        <f t="shared" si="187"/>
        <v>196</v>
      </c>
      <c r="GZ26" s="72">
        <f t="shared" si="187"/>
        <v>196</v>
      </c>
      <c r="HA26" s="84">
        <f>AVERAGE(GO26:GZ26)</f>
        <v>196.16666666666666</v>
      </c>
      <c r="HB26" s="85">
        <f t="shared" ref="HB26:HM26" si="188">SUM(HB23:HB25)</f>
        <v>107</v>
      </c>
      <c r="HC26" s="72">
        <f t="shared" si="188"/>
        <v>107</v>
      </c>
      <c r="HD26" s="72">
        <f t="shared" si="188"/>
        <v>107</v>
      </c>
      <c r="HE26" s="72">
        <f t="shared" si="188"/>
        <v>107</v>
      </c>
      <c r="HF26" s="72">
        <f t="shared" si="188"/>
        <v>107</v>
      </c>
      <c r="HG26" s="72">
        <f t="shared" si="188"/>
        <v>107</v>
      </c>
      <c r="HH26" s="72">
        <f t="shared" si="188"/>
        <v>107</v>
      </c>
      <c r="HI26" s="72">
        <f t="shared" si="188"/>
        <v>107</v>
      </c>
      <c r="HJ26" s="72">
        <f t="shared" si="188"/>
        <v>107</v>
      </c>
      <c r="HK26" s="72">
        <f t="shared" si="188"/>
        <v>107</v>
      </c>
      <c r="HL26" s="72">
        <f t="shared" si="188"/>
        <v>107</v>
      </c>
      <c r="HM26" s="72">
        <f t="shared" si="188"/>
        <v>107</v>
      </c>
      <c r="HN26" s="73">
        <f>AVERAGE(HB26:HM26)</f>
        <v>107</v>
      </c>
      <c r="HP26" s="15">
        <f t="shared" ref="HP26:JO26" si="189">SUM(HP23:HP25)</f>
        <v>1193.5</v>
      </c>
      <c r="HQ26" s="15">
        <f t="shared" si="189"/>
        <v>1201.5</v>
      </c>
      <c r="HR26" s="15">
        <f t="shared" si="189"/>
        <v>1197</v>
      </c>
      <c r="HS26" s="15">
        <f t="shared" si="189"/>
        <v>1188.5</v>
      </c>
      <c r="HT26" s="15">
        <f t="shared" si="189"/>
        <v>1197.5</v>
      </c>
      <c r="HU26" s="15">
        <f t="shared" si="189"/>
        <v>1193.5</v>
      </c>
      <c r="HV26" s="15">
        <f t="shared" si="189"/>
        <v>1212</v>
      </c>
      <c r="HW26" s="15">
        <f t="shared" si="189"/>
        <v>1212</v>
      </c>
      <c r="HX26" s="15">
        <f t="shared" si="189"/>
        <v>1212</v>
      </c>
      <c r="HY26" s="15">
        <f t="shared" si="189"/>
        <v>1211</v>
      </c>
      <c r="HZ26" s="15">
        <f t="shared" si="189"/>
        <v>1211</v>
      </c>
      <c r="IA26" s="15">
        <f t="shared" si="189"/>
        <v>1200.5</v>
      </c>
      <c r="IB26" s="15">
        <f t="shared" si="189"/>
        <v>1202.4999999999995</v>
      </c>
      <c r="IC26" s="15">
        <f t="shared" si="189"/>
        <v>879.5</v>
      </c>
      <c r="ID26" s="15">
        <f t="shared" si="189"/>
        <v>887.5</v>
      </c>
      <c r="IE26" s="15">
        <f t="shared" si="189"/>
        <v>883</v>
      </c>
      <c r="IF26" s="15">
        <f t="shared" si="189"/>
        <v>874.5</v>
      </c>
      <c r="IG26" s="15">
        <f t="shared" si="189"/>
        <v>885.5</v>
      </c>
      <c r="IH26" s="15">
        <f t="shared" si="189"/>
        <v>881.5</v>
      </c>
      <c r="II26" s="15">
        <f t="shared" si="189"/>
        <v>902</v>
      </c>
      <c r="IJ26" s="15">
        <f t="shared" si="189"/>
        <v>902</v>
      </c>
      <c r="IK26" s="15">
        <f t="shared" si="189"/>
        <v>902</v>
      </c>
      <c r="IL26" s="15">
        <f t="shared" si="189"/>
        <v>901</v>
      </c>
      <c r="IM26" s="15">
        <f t="shared" si="189"/>
        <v>901</v>
      </c>
      <c r="IN26" s="15">
        <f t="shared" si="189"/>
        <v>890.5</v>
      </c>
      <c r="IO26" s="15">
        <f t="shared" si="189"/>
        <v>890.83333333333314</v>
      </c>
      <c r="IP26" s="15">
        <f t="shared" si="189"/>
        <v>205</v>
      </c>
      <c r="IQ26" s="15">
        <f t="shared" si="189"/>
        <v>205</v>
      </c>
      <c r="IR26" s="15">
        <f t="shared" si="189"/>
        <v>205</v>
      </c>
      <c r="IS26" s="15">
        <f t="shared" si="189"/>
        <v>205</v>
      </c>
      <c r="IT26" s="15">
        <f t="shared" si="189"/>
        <v>205</v>
      </c>
      <c r="IU26" s="15">
        <f t="shared" si="189"/>
        <v>205</v>
      </c>
      <c r="IV26" s="15">
        <f t="shared" si="189"/>
        <v>205</v>
      </c>
      <c r="IW26" s="15">
        <f t="shared" si="189"/>
        <v>205</v>
      </c>
      <c r="IX26" s="15">
        <f t="shared" si="189"/>
        <v>205</v>
      </c>
      <c r="IY26" s="15">
        <f t="shared" si="189"/>
        <v>205</v>
      </c>
      <c r="IZ26" s="15">
        <f t="shared" si="189"/>
        <v>205</v>
      </c>
      <c r="JA26" s="15">
        <f t="shared" si="189"/>
        <v>205</v>
      </c>
      <c r="JB26" s="15">
        <f t="shared" si="189"/>
        <v>205</v>
      </c>
      <c r="JC26" s="15">
        <f t="shared" si="189"/>
        <v>109</v>
      </c>
      <c r="JD26" s="15">
        <f t="shared" si="189"/>
        <v>109</v>
      </c>
      <c r="JE26" s="15">
        <f t="shared" si="189"/>
        <v>109</v>
      </c>
      <c r="JF26" s="15">
        <f t="shared" si="189"/>
        <v>109</v>
      </c>
      <c r="JG26" s="15">
        <f t="shared" si="189"/>
        <v>107</v>
      </c>
      <c r="JH26" s="15">
        <f t="shared" si="189"/>
        <v>107</v>
      </c>
      <c r="JI26" s="15">
        <f t="shared" si="189"/>
        <v>105</v>
      </c>
      <c r="JJ26" s="15">
        <f t="shared" si="189"/>
        <v>105</v>
      </c>
      <c r="JK26" s="15">
        <f t="shared" si="189"/>
        <v>105</v>
      </c>
      <c r="JL26" s="15">
        <f t="shared" si="189"/>
        <v>105</v>
      </c>
      <c r="JM26" s="15">
        <f t="shared" si="189"/>
        <v>105</v>
      </c>
      <c r="JN26" s="15">
        <f t="shared" si="189"/>
        <v>105</v>
      </c>
      <c r="JO26" s="15">
        <f t="shared" si="189"/>
        <v>106.66666666666666</v>
      </c>
    </row>
    <row r="27" spans="1:275">
      <c r="FR27" s="58">
        <f>'[16]Main Sheet'!$BT$14+'[16]Main Sheet'!$BT$11-FR26</f>
        <v>0</v>
      </c>
      <c r="IK27" s="58">
        <f>IK26+IX26</f>
        <v>1107</v>
      </c>
      <c r="IL27" s="58">
        <f t="shared" ref="IL27:IN27" si="190">IL26+IY26</f>
        <v>1106</v>
      </c>
      <c r="IM27" s="58">
        <f t="shared" si="190"/>
        <v>1106</v>
      </c>
      <c r="IN27" s="58">
        <f t="shared" si="190"/>
        <v>1095.5</v>
      </c>
    </row>
    <row r="28" spans="1:275" ht="15.75" thickBot="1">
      <c r="A28" s="2" t="s">
        <v>43</v>
      </c>
      <c r="P28" s="2" t="s">
        <v>14</v>
      </c>
      <c r="AE28" s="2" t="s">
        <v>44</v>
      </c>
      <c r="CN28" s="2" t="s">
        <v>54</v>
      </c>
      <c r="DA28" s="2" t="s">
        <v>14</v>
      </c>
      <c r="DN28" s="29" t="s">
        <v>94</v>
      </c>
      <c r="FO28" s="2" t="s">
        <v>54</v>
      </c>
      <c r="GB28" s="2" t="s">
        <v>14</v>
      </c>
      <c r="GO28" s="29" t="s">
        <v>94</v>
      </c>
      <c r="HB28" s="29" t="s">
        <v>118</v>
      </c>
      <c r="HP28" s="2" t="s">
        <v>54</v>
      </c>
      <c r="IC28" s="2" t="s">
        <v>14</v>
      </c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29" t="s">
        <v>94</v>
      </c>
      <c r="JC28" s="29" t="s">
        <v>118</v>
      </c>
    </row>
    <row r="29" spans="1:275">
      <c r="A29" s="8" t="s">
        <v>17</v>
      </c>
      <c r="B29" s="9" t="s">
        <v>6</v>
      </c>
      <c r="C29" s="9" t="s">
        <v>22</v>
      </c>
      <c r="D29" s="9" t="s">
        <v>23</v>
      </c>
      <c r="E29" s="9" t="s">
        <v>24</v>
      </c>
      <c r="F29" s="9" t="s">
        <v>25</v>
      </c>
      <c r="G29" s="9" t="s">
        <v>26</v>
      </c>
      <c r="H29" s="9" t="s">
        <v>27</v>
      </c>
      <c r="I29" s="9" t="s">
        <v>28</v>
      </c>
      <c r="J29" s="9" t="s">
        <v>29</v>
      </c>
      <c r="K29" s="9" t="s">
        <v>30</v>
      </c>
      <c r="L29" s="9" t="s">
        <v>31</v>
      </c>
      <c r="M29" s="9" t="s">
        <v>32</v>
      </c>
      <c r="N29" s="9" t="s">
        <v>33</v>
      </c>
      <c r="O29" s="9" t="s">
        <v>7</v>
      </c>
      <c r="P29" s="10" t="s">
        <v>17</v>
      </c>
      <c r="Q29" s="9" t="s">
        <v>6</v>
      </c>
      <c r="R29" s="9" t="s">
        <v>22</v>
      </c>
      <c r="S29" s="9" t="s">
        <v>23</v>
      </c>
      <c r="T29" s="9" t="s">
        <v>24</v>
      </c>
      <c r="U29" s="9" t="s">
        <v>25</v>
      </c>
      <c r="V29" s="9" t="s">
        <v>26</v>
      </c>
      <c r="W29" s="9" t="s">
        <v>27</v>
      </c>
      <c r="X29" s="9" t="s">
        <v>28</v>
      </c>
      <c r="Y29" s="9" t="s">
        <v>29</v>
      </c>
      <c r="Z29" s="9" t="s">
        <v>30</v>
      </c>
      <c r="AA29" s="9" t="s">
        <v>31</v>
      </c>
      <c r="AB29" s="9" t="s">
        <v>32</v>
      </c>
      <c r="AC29" s="9" t="s">
        <v>33</v>
      </c>
      <c r="AD29" s="9" t="s">
        <v>7</v>
      </c>
      <c r="AE29" s="10" t="s">
        <v>17</v>
      </c>
      <c r="AF29" s="9" t="s">
        <v>6</v>
      </c>
      <c r="AG29" s="9" t="s">
        <v>22</v>
      </c>
      <c r="AH29" s="9" t="s">
        <v>23</v>
      </c>
      <c r="AI29" s="9" t="s">
        <v>24</v>
      </c>
      <c r="AJ29" s="9" t="s">
        <v>25</v>
      </c>
      <c r="AK29" s="9" t="s">
        <v>26</v>
      </c>
      <c r="AL29" s="9" t="s">
        <v>27</v>
      </c>
      <c r="AM29" s="9" t="s">
        <v>28</v>
      </c>
      <c r="AN29" s="9" t="s">
        <v>29</v>
      </c>
      <c r="AO29" s="9" t="s">
        <v>30</v>
      </c>
      <c r="AP29" s="9" t="s">
        <v>31</v>
      </c>
      <c r="AQ29" s="9" t="s">
        <v>32</v>
      </c>
      <c r="AR29" s="9" t="s">
        <v>33</v>
      </c>
      <c r="AS29" s="9" t="s">
        <v>7</v>
      </c>
      <c r="CN29" s="57" t="s">
        <v>81</v>
      </c>
      <c r="CO29" s="57" t="s">
        <v>82</v>
      </c>
      <c r="CP29" s="57" t="s">
        <v>83</v>
      </c>
      <c r="CQ29" s="57" t="s">
        <v>84</v>
      </c>
      <c r="CR29" s="57" t="s">
        <v>85</v>
      </c>
      <c r="CS29" s="57" t="s">
        <v>86</v>
      </c>
      <c r="CT29" s="57" t="s">
        <v>87</v>
      </c>
      <c r="CU29" s="57" t="s">
        <v>88</v>
      </c>
      <c r="CV29" s="57" t="s">
        <v>89</v>
      </c>
      <c r="CW29" s="57" t="s">
        <v>90</v>
      </c>
      <c r="CX29" s="57" t="s">
        <v>91</v>
      </c>
      <c r="CY29" s="57" t="s">
        <v>92</v>
      </c>
      <c r="CZ29" s="57" t="s">
        <v>93</v>
      </c>
      <c r="DA29" s="57" t="s">
        <v>81</v>
      </c>
      <c r="DB29" s="57" t="s">
        <v>82</v>
      </c>
      <c r="DC29" s="57" t="s">
        <v>83</v>
      </c>
      <c r="DD29" s="57" t="s">
        <v>84</v>
      </c>
      <c r="DE29" s="57" t="s">
        <v>85</v>
      </c>
      <c r="DF29" s="57" t="s">
        <v>86</v>
      </c>
      <c r="DG29" s="57" t="s">
        <v>87</v>
      </c>
      <c r="DH29" s="57" t="s">
        <v>88</v>
      </c>
      <c r="DI29" s="57" t="s">
        <v>89</v>
      </c>
      <c r="DJ29" s="57" t="s">
        <v>90</v>
      </c>
      <c r="DK29" s="57" t="s">
        <v>91</v>
      </c>
      <c r="DL29" s="57" t="s">
        <v>92</v>
      </c>
      <c r="DM29" s="57" t="s">
        <v>93</v>
      </c>
      <c r="DN29" s="57" t="s">
        <v>81</v>
      </c>
      <c r="DO29" s="57" t="s">
        <v>82</v>
      </c>
      <c r="DP29" s="57" t="s">
        <v>83</v>
      </c>
      <c r="DQ29" s="57" t="s">
        <v>84</v>
      </c>
      <c r="DR29" s="57" t="s">
        <v>85</v>
      </c>
      <c r="DS29" s="57" t="s">
        <v>86</v>
      </c>
      <c r="DT29" s="57" t="s">
        <v>87</v>
      </c>
      <c r="DU29" s="57" t="s">
        <v>88</v>
      </c>
      <c r="DV29" s="57" t="s">
        <v>89</v>
      </c>
      <c r="DW29" s="57" t="s">
        <v>90</v>
      </c>
      <c r="DX29" s="57" t="s">
        <v>91</v>
      </c>
      <c r="DY29" s="57" t="s">
        <v>92</v>
      </c>
      <c r="DZ29" s="57" t="s">
        <v>93</v>
      </c>
      <c r="FO29" s="57" t="s">
        <v>104</v>
      </c>
      <c r="FP29" s="57" t="s">
        <v>105</v>
      </c>
      <c r="FQ29" s="57" t="s">
        <v>106</v>
      </c>
      <c r="FR29" s="57" t="s">
        <v>107</v>
      </c>
      <c r="FS29" s="57" t="s">
        <v>108</v>
      </c>
      <c r="FT29" s="57" t="s">
        <v>109</v>
      </c>
      <c r="FU29" s="57" t="s">
        <v>110</v>
      </c>
      <c r="FV29" s="57" t="s">
        <v>111</v>
      </c>
      <c r="FW29" s="57" t="s">
        <v>112</v>
      </c>
      <c r="FX29" s="57" t="s">
        <v>113</v>
      </c>
      <c r="FY29" s="57" t="s">
        <v>114</v>
      </c>
      <c r="FZ29" s="57" t="s">
        <v>115</v>
      </c>
      <c r="GA29" s="57" t="s">
        <v>116</v>
      </c>
      <c r="GB29" s="57" t="s">
        <v>104</v>
      </c>
      <c r="GC29" s="57" t="s">
        <v>105</v>
      </c>
      <c r="GD29" s="57" t="s">
        <v>106</v>
      </c>
      <c r="GE29" s="57" t="s">
        <v>107</v>
      </c>
      <c r="GF29" s="57" t="s">
        <v>108</v>
      </c>
      <c r="GG29" s="57" t="s">
        <v>109</v>
      </c>
      <c r="GH29" s="57" t="s">
        <v>110</v>
      </c>
      <c r="GI29" s="57" t="s">
        <v>111</v>
      </c>
      <c r="GJ29" s="57" t="s">
        <v>112</v>
      </c>
      <c r="GK29" s="57" t="s">
        <v>113</v>
      </c>
      <c r="GL29" s="57" t="s">
        <v>114</v>
      </c>
      <c r="GM29" s="57" t="s">
        <v>115</v>
      </c>
      <c r="GN29" s="57" t="s">
        <v>116</v>
      </c>
      <c r="GO29" s="57" t="s">
        <v>104</v>
      </c>
      <c r="GP29" s="57" t="s">
        <v>105</v>
      </c>
      <c r="GQ29" s="57" t="s">
        <v>106</v>
      </c>
      <c r="GR29" s="57" t="s">
        <v>107</v>
      </c>
      <c r="GS29" s="57" t="s">
        <v>108</v>
      </c>
      <c r="GT29" s="57" t="s">
        <v>109</v>
      </c>
      <c r="GU29" s="57" t="s">
        <v>110</v>
      </c>
      <c r="GV29" s="57" t="s">
        <v>111</v>
      </c>
      <c r="GW29" s="57" t="s">
        <v>112</v>
      </c>
      <c r="GX29" s="57" t="s">
        <v>113</v>
      </c>
      <c r="GY29" s="57" t="s">
        <v>114</v>
      </c>
      <c r="GZ29" s="57" t="s">
        <v>115</v>
      </c>
      <c r="HA29" s="57" t="s">
        <v>116</v>
      </c>
      <c r="HB29" s="57" t="s">
        <v>104</v>
      </c>
      <c r="HC29" s="57" t="s">
        <v>105</v>
      </c>
      <c r="HD29" s="57" t="s">
        <v>106</v>
      </c>
      <c r="HE29" s="57" t="s">
        <v>107</v>
      </c>
      <c r="HF29" s="57" t="s">
        <v>108</v>
      </c>
      <c r="HG29" s="57" t="s">
        <v>109</v>
      </c>
      <c r="HH29" s="57" t="s">
        <v>110</v>
      </c>
      <c r="HI29" s="57" t="s">
        <v>111</v>
      </c>
      <c r="HJ29" s="57" t="s">
        <v>112</v>
      </c>
      <c r="HK29" s="57" t="s">
        <v>113</v>
      </c>
      <c r="HL29" s="57" t="s">
        <v>114</v>
      </c>
      <c r="HM29" s="57" t="s">
        <v>115</v>
      </c>
      <c r="HN29" s="57" t="s">
        <v>116</v>
      </c>
      <c r="HP29" s="98" t="s">
        <v>127</v>
      </c>
      <c r="HQ29" s="98" t="s">
        <v>128</v>
      </c>
      <c r="HR29" s="99" t="s">
        <v>129</v>
      </c>
      <c r="HS29" s="99" t="s">
        <v>130</v>
      </c>
      <c r="HT29" s="99" t="s">
        <v>131</v>
      </c>
      <c r="HU29" s="99" t="s">
        <v>132</v>
      </c>
      <c r="HV29" s="99" t="s">
        <v>133</v>
      </c>
      <c r="HW29" s="99" t="s">
        <v>134</v>
      </c>
      <c r="HX29" s="99" t="s">
        <v>135</v>
      </c>
      <c r="HY29" s="99" t="s">
        <v>136</v>
      </c>
      <c r="HZ29" s="99" t="s">
        <v>137</v>
      </c>
      <c r="IA29" s="99" t="s">
        <v>138</v>
      </c>
      <c r="IB29" s="99" t="s">
        <v>139</v>
      </c>
      <c r="IC29" s="98" t="s">
        <v>127</v>
      </c>
      <c r="ID29" s="98" t="s">
        <v>128</v>
      </c>
      <c r="IE29" s="99" t="s">
        <v>129</v>
      </c>
      <c r="IF29" s="99" t="s">
        <v>130</v>
      </c>
      <c r="IG29" s="99" t="s">
        <v>131</v>
      </c>
      <c r="IH29" s="99" t="s">
        <v>132</v>
      </c>
      <c r="II29" s="99" t="s">
        <v>133</v>
      </c>
      <c r="IJ29" s="99" t="s">
        <v>134</v>
      </c>
      <c r="IK29" s="99" t="s">
        <v>135</v>
      </c>
      <c r="IL29" s="99" t="s">
        <v>136</v>
      </c>
      <c r="IM29" s="99" t="s">
        <v>137</v>
      </c>
      <c r="IN29" s="99" t="s">
        <v>138</v>
      </c>
      <c r="IO29" s="99" t="s">
        <v>139</v>
      </c>
      <c r="IP29" s="98" t="s">
        <v>127</v>
      </c>
      <c r="IQ29" s="98" t="s">
        <v>128</v>
      </c>
      <c r="IR29" s="99" t="s">
        <v>129</v>
      </c>
      <c r="IS29" s="99" t="s">
        <v>130</v>
      </c>
      <c r="IT29" s="99" t="s">
        <v>131</v>
      </c>
      <c r="IU29" s="99" t="s">
        <v>132</v>
      </c>
      <c r="IV29" s="99" t="s">
        <v>133</v>
      </c>
      <c r="IW29" s="99" t="s">
        <v>134</v>
      </c>
      <c r="IX29" s="99" t="s">
        <v>135</v>
      </c>
      <c r="IY29" s="99" t="s">
        <v>136</v>
      </c>
      <c r="IZ29" s="99" t="s">
        <v>137</v>
      </c>
      <c r="JA29" s="99" t="s">
        <v>138</v>
      </c>
      <c r="JB29" s="99" t="s">
        <v>139</v>
      </c>
      <c r="JC29" s="98" t="s">
        <v>127</v>
      </c>
      <c r="JD29" s="98" t="s">
        <v>128</v>
      </c>
      <c r="JE29" s="99" t="s">
        <v>129</v>
      </c>
      <c r="JF29" s="99" t="s">
        <v>130</v>
      </c>
      <c r="JG29" s="99" t="s">
        <v>131</v>
      </c>
      <c r="JH29" s="99" t="s">
        <v>132</v>
      </c>
      <c r="JI29" s="99" t="s">
        <v>133</v>
      </c>
      <c r="JJ29" s="99" t="s">
        <v>134</v>
      </c>
      <c r="JK29" s="99" t="s">
        <v>135</v>
      </c>
      <c r="JL29" s="99" t="s">
        <v>136</v>
      </c>
      <c r="JM29" s="99" t="s">
        <v>137</v>
      </c>
      <c r="JN29" s="99" t="s">
        <v>138</v>
      </c>
      <c r="JO29" s="99" t="s">
        <v>139</v>
      </c>
    </row>
    <row r="30" spans="1:275">
      <c r="A30" s="12" t="s">
        <v>18</v>
      </c>
      <c r="B30" s="5">
        <f>SUM(Q30,AF30,AU30,BJ30,BY30)</f>
        <v>37.1</v>
      </c>
      <c r="C30" s="5">
        <f t="shared" ref="C30:N32" si="191">SUM(R30,AG30,AV30,BK30,BZ30)</f>
        <v>37</v>
      </c>
      <c r="D30" s="5">
        <f t="shared" si="191"/>
        <v>37</v>
      </c>
      <c r="E30" s="5">
        <f t="shared" si="191"/>
        <v>37</v>
      </c>
      <c r="F30" s="5">
        <f t="shared" si="191"/>
        <v>38</v>
      </c>
      <c r="G30" s="5">
        <f t="shared" si="191"/>
        <v>37</v>
      </c>
      <c r="H30" s="5">
        <f t="shared" si="191"/>
        <v>37</v>
      </c>
      <c r="I30" s="5">
        <f t="shared" si="191"/>
        <v>37</v>
      </c>
      <c r="J30" s="5">
        <f t="shared" si="191"/>
        <v>37</v>
      </c>
      <c r="K30" s="5">
        <f t="shared" si="191"/>
        <v>37</v>
      </c>
      <c r="L30" s="5">
        <f t="shared" si="191"/>
        <v>36</v>
      </c>
      <c r="M30" s="5">
        <f t="shared" si="191"/>
        <v>36</v>
      </c>
      <c r="N30" s="5">
        <f t="shared" si="191"/>
        <v>36</v>
      </c>
      <c r="O30" s="7">
        <f>AVERAGE(C30:N30)</f>
        <v>36.833333333333336</v>
      </c>
      <c r="P30" s="4" t="s">
        <v>18</v>
      </c>
      <c r="Q30" s="5">
        <f>37.1</f>
        <v>37.1</v>
      </c>
      <c r="R30" s="5">
        <f>37-AG30</f>
        <v>37</v>
      </c>
      <c r="S30" s="5">
        <v>37</v>
      </c>
      <c r="T30" s="5">
        <v>37</v>
      </c>
      <c r="U30" s="20">
        <v>38</v>
      </c>
      <c r="V30" s="20">
        <f>37</f>
        <v>37</v>
      </c>
      <c r="W30" s="20">
        <f>37</f>
        <v>37</v>
      </c>
      <c r="X30" s="20">
        <f>37</f>
        <v>37</v>
      </c>
      <c r="Y30" s="20">
        <f>37</f>
        <v>37</v>
      </c>
      <c r="Z30" s="20">
        <f>37</f>
        <v>37</v>
      </c>
      <c r="AA30" s="20">
        <f>36</f>
        <v>36</v>
      </c>
      <c r="AB30" s="20">
        <f>36</f>
        <v>36</v>
      </c>
      <c r="AC30" s="20">
        <f>36</f>
        <v>36</v>
      </c>
      <c r="AD30" s="7">
        <f>AVERAGE(R30:AC30)</f>
        <v>36.833333333333336</v>
      </c>
      <c r="AE30" s="4" t="s">
        <v>18</v>
      </c>
      <c r="AF30" s="5"/>
      <c r="AG30" s="5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7" t="e">
        <f>AVERAGE(AG30:AR30)</f>
        <v>#DIV/0!</v>
      </c>
      <c r="CN30" s="5">
        <f t="shared" ref="CN30:CY32" si="192">SUM(DA30,DN30,EA30)</f>
        <v>36</v>
      </c>
      <c r="CO30" s="5">
        <f t="shared" si="192"/>
        <v>36</v>
      </c>
      <c r="CP30" s="5">
        <f t="shared" si="192"/>
        <v>36</v>
      </c>
      <c r="CQ30" s="5">
        <f t="shared" si="192"/>
        <v>36</v>
      </c>
      <c r="CR30" s="5">
        <f t="shared" si="192"/>
        <v>36.5</v>
      </c>
      <c r="CS30" s="5">
        <f t="shared" si="192"/>
        <v>34.5</v>
      </c>
      <c r="CT30" s="5">
        <f t="shared" si="192"/>
        <v>33</v>
      </c>
      <c r="CU30" s="5">
        <f t="shared" si="192"/>
        <v>33</v>
      </c>
      <c r="CV30" s="5">
        <f t="shared" si="192"/>
        <v>37</v>
      </c>
      <c r="CW30" s="5">
        <f t="shared" si="192"/>
        <v>39</v>
      </c>
      <c r="CX30" s="5">
        <f t="shared" si="192"/>
        <v>39</v>
      </c>
      <c r="CY30" s="5">
        <f t="shared" si="192"/>
        <v>40</v>
      </c>
      <c r="CZ30" s="13">
        <f>AVERAGE(CN30:CY30)</f>
        <v>36.333333333333336</v>
      </c>
      <c r="DA30" s="5">
        <f>36-DN30</f>
        <v>36</v>
      </c>
      <c r="DB30" s="5">
        <f>36-DO30</f>
        <v>36</v>
      </c>
      <c r="DC30" s="5">
        <f>36-DP30</f>
        <v>36</v>
      </c>
      <c r="DD30" s="5">
        <f>36-DQ30</f>
        <v>36</v>
      </c>
      <c r="DE30" s="5">
        <f>36.5-DR30</f>
        <v>36.5</v>
      </c>
      <c r="DF30" s="5">
        <f>34.5-DS30</f>
        <v>34.5</v>
      </c>
      <c r="DG30" s="5">
        <f>33-DT30</f>
        <v>33</v>
      </c>
      <c r="DH30" s="5">
        <f>33-DU30</f>
        <v>33</v>
      </c>
      <c r="DI30" s="5">
        <f>37-DV30</f>
        <v>37</v>
      </c>
      <c r="DJ30" s="5">
        <f>39-DW30</f>
        <v>39</v>
      </c>
      <c r="DK30" s="5">
        <f>39-DX30</f>
        <v>39</v>
      </c>
      <c r="DL30" s="5">
        <f>40-DY30</f>
        <v>40</v>
      </c>
      <c r="DM30" s="13">
        <f>AVERAGE(DA30:DL30)</f>
        <v>36.333333333333336</v>
      </c>
      <c r="DN30" s="22">
        <f>0</f>
        <v>0</v>
      </c>
      <c r="DO30" s="22">
        <f>0</f>
        <v>0</v>
      </c>
      <c r="DP30" s="22">
        <f>0</f>
        <v>0</v>
      </c>
      <c r="DQ30" s="22">
        <f>0</f>
        <v>0</v>
      </c>
      <c r="DR30" s="22">
        <f>0</f>
        <v>0</v>
      </c>
      <c r="DS30" s="22">
        <f>0</f>
        <v>0</v>
      </c>
      <c r="DT30" s="22">
        <f>0</f>
        <v>0</v>
      </c>
      <c r="DU30" s="22">
        <f>0</f>
        <v>0</v>
      </c>
      <c r="DV30" s="22">
        <f>0</f>
        <v>0</v>
      </c>
      <c r="DW30" s="22">
        <f>0</f>
        <v>0</v>
      </c>
      <c r="DX30" s="22">
        <v>0</v>
      </c>
      <c r="DY30" s="22">
        <v>0</v>
      </c>
      <c r="DZ30" s="63">
        <f>AVERAGE(DN30:DY30)</f>
        <v>0</v>
      </c>
      <c r="FO30" s="5">
        <f t="shared" ref="FO30:FO32" si="193">SUM(GB30,GO30,HB30)</f>
        <v>41</v>
      </c>
      <c r="FP30" s="5">
        <f t="shared" ref="FP30:FP32" si="194">SUM(GC30,GP30,HC30)</f>
        <v>40.5</v>
      </c>
      <c r="FQ30" s="5">
        <f t="shared" ref="FQ30:FQ32" si="195">SUM(GD30,GQ30,HD30)</f>
        <v>41.5</v>
      </c>
      <c r="FR30" s="5">
        <f t="shared" ref="FR30:FR32" si="196">SUM(GE30,GR30,HE30)</f>
        <v>41.5</v>
      </c>
      <c r="FS30" s="5">
        <f t="shared" ref="FS30:FS32" si="197">SUM(GF30,GS30,HF30)</f>
        <v>41.5</v>
      </c>
      <c r="FT30" s="5">
        <f t="shared" ref="FT30:FT32" si="198">SUM(GG30,GT30,HG30)</f>
        <v>42</v>
      </c>
      <c r="FU30" s="5">
        <f t="shared" ref="FU30:FU32" si="199">SUM(GH30,GU30,HH30)</f>
        <v>42</v>
      </c>
      <c r="FV30" s="5">
        <f t="shared" ref="FV30:FV32" si="200">SUM(GI30,GV30,HI30)</f>
        <v>44.5</v>
      </c>
      <c r="FW30" s="5">
        <f t="shared" ref="FW30:FW32" si="201">SUM(GJ30,GW30,HJ30)</f>
        <v>46</v>
      </c>
      <c r="FX30" s="5">
        <f t="shared" ref="FX30:FX32" si="202">SUM(GK30,GX30,HK30)</f>
        <v>42</v>
      </c>
      <c r="FY30" s="5">
        <f t="shared" ref="FY30:FY32" si="203">SUM(GL30,GY30,HL30)</f>
        <v>43</v>
      </c>
      <c r="FZ30" s="5">
        <f t="shared" ref="FZ30:FZ32" si="204">SUM(GM30,GZ30,HM30)</f>
        <v>48</v>
      </c>
      <c r="GA30" s="13">
        <f>AVERAGE(FO30:FZ30)</f>
        <v>42.791666666666664</v>
      </c>
      <c r="GB30" s="5">
        <f>41-GO30</f>
        <v>41</v>
      </c>
      <c r="GC30" s="5">
        <f>40.5-GP30</f>
        <v>40.5</v>
      </c>
      <c r="GD30" s="5">
        <f>41.5-GQ30</f>
        <v>41.5</v>
      </c>
      <c r="GE30" s="5">
        <f>41.5-GR30</f>
        <v>41.5</v>
      </c>
      <c r="GF30" s="5">
        <f t="shared" ref="GF30" si="205">41.5-GS30</f>
        <v>41.5</v>
      </c>
      <c r="GG30" s="5">
        <f>42-GT30</f>
        <v>42</v>
      </c>
      <c r="GH30" s="5">
        <f>42-GU30</f>
        <v>42</v>
      </c>
      <c r="GI30" s="5">
        <f>44.5-GV30</f>
        <v>44.5</v>
      </c>
      <c r="GJ30" s="5">
        <f>45-GW30</f>
        <v>45</v>
      </c>
      <c r="GK30" s="5">
        <f>41-GX30</f>
        <v>41</v>
      </c>
      <c r="GL30" s="5">
        <f>41-GY30</f>
        <v>41</v>
      </c>
      <c r="GM30" s="5">
        <f>46-GZ30</f>
        <v>46</v>
      </c>
      <c r="GN30" s="13">
        <f>AVERAGE(GB30:GM30)</f>
        <v>42.291666666666664</v>
      </c>
      <c r="GO30" s="22">
        <f>0</f>
        <v>0</v>
      </c>
      <c r="GP30" s="22">
        <f>0</f>
        <v>0</v>
      </c>
      <c r="GQ30" s="22">
        <f>0</f>
        <v>0</v>
      </c>
      <c r="GR30" s="22">
        <f>0</f>
        <v>0</v>
      </c>
      <c r="GS30" s="22">
        <f>0</f>
        <v>0</v>
      </c>
      <c r="GT30" s="22">
        <f>0</f>
        <v>0</v>
      </c>
      <c r="GU30" s="22">
        <f>0</f>
        <v>0</v>
      </c>
      <c r="GV30" s="22">
        <f>0</f>
        <v>0</v>
      </c>
      <c r="GW30" s="22">
        <f>0</f>
        <v>0</v>
      </c>
      <c r="GX30" s="22">
        <f>0</f>
        <v>0</v>
      </c>
      <c r="GY30" s="22">
        <f>0</f>
        <v>0</v>
      </c>
      <c r="GZ30" s="22">
        <f>0</f>
        <v>0</v>
      </c>
      <c r="HA30" s="63">
        <f>AVERAGE(GO30:GZ30)</f>
        <v>0</v>
      </c>
      <c r="HB30" s="22">
        <f>0</f>
        <v>0</v>
      </c>
      <c r="HC30" s="22">
        <f>0</f>
        <v>0</v>
      </c>
      <c r="HD30" s="22">
        <f>0</f>
        <v>0</v>
      </c>
      <c r="HE30" s="22">
        <f>0</f>
        <v>0</v>
      </c>
      <c r="HF30" s="22">
        <f>0</f>
        <v>0</v>
      </c>
      <c r="HG30" s="22">
        <f>0</f>
        <v>0</v>
      </c>
      <c r="HH30" s="22">
        <f>0</f>
        <v>0</v>
      </c>
      <c r="HI30" s="22">
        <f>0</f>
        <v>0</v>
      </c>
      <c r="HJ30" s="22">
        <f>1</f>
        <v>1</v>
      </c>
      <c r="HK30" s="22">
        <f>1</f>
        <v>1</v>
      </c>
      <c r="HL30" s="22">
        <f>2</f>
        <v>2</v>
      </c>
      <c r="HM30" s="22">
        <f>2</f>
        <v>2</v>
      </c>
      <c r="HN30" s="63">
        <f>AVERAGE(HB30:HM30)</f>
        <v>0.5</v>
      </c>
      <c r="HP30" s="5">
        <f t="shared" ref="HP30" si="206">SUM(IC30,IP30,JC30)</f>
        <v>44.3</v>
      </c>
      <c r="HQ30" s="5">
        <f t="shared" ref="HQ30:HQ32" si="207">SUM(ID30,IQ30,JD30)</f>
        <v>42.3</v>
      </c>
      <c r="HR30" s="5">
        <f>SUM(IE30,IR30,JE30)</f>
        <v>43.3</v>
      </c>
      <c r="HS30" s="5">
        <f t="shared" ref="HS30:HS32" si="208">SUM(IF30,IS30,JF30)</f>
        <v>46.3</v>
      </c>
      <c r="HT30" s="5">
        <f t="shared" ref="HT30:HT32" si="209">SUM(IG30,IT30,JG30)</f>
        <v>48.3</v>
      </c>
      <c r="HU30" s="5">
        <f t="shared" ref="HU30:HU32" si="210">SUM(IH30,IU30,JH30)</f>
        <v>48.3</v>
      </c>
      <c r="HV30" s="5">
        <f t="shared" ref="HV30:HV32" si="211">SUM(II30,IV30,JI30)</f>
        <v>48.3</v>
      </c>
      <c r="HW30" s="5">
        <f t="shared" ref="HW30:HW32" si="212">SUM(IJ30,IW30,JJ30)</f>
        <v>46.3</v>
      </c>
      <c r="HX30" s="5">
        <f t="shared" ref="HX30:HX32" si="213">SUM(IK30,IX30,JK30)</f>
        <v>46.3</v>
      </c>
      <c r="HY30" s="5">
        <f t="shared" ref="HY30:HY32" si="214">SUM(IL30,IY30,JL30)</f>
        <v>46.3</v>
      </c>
      <c r="HZ30" s="5">
        <f t="shared" ref="HZ30:IA32" si="215">SUM(IM30,IZ30,JM30)</f>
        <v>46.3</v>
      </c>
      <c r="IA30" s="5">
        <f t="shared" si="215"/>
        <v>42.3</v>
      </c>
      <c r="IB30" s="63">
        <f>AVERAGE(HP30:IA30)</f>
        <v>45.716666666666669</v>
      </c>
      <c r="IC30" s="101">
        <f>[4]Sheet1!B7-SUM(IP30)</f>
        <v>41.3</v>
      </c>
      <c r="ID30" s="101">
        <f>[4]Sheet1!J7-SUM(IQ30)</f>
        <v>39.299999999999997</v>
      </c>
      <c r="IE30" s="101">
        <f>[4]Sheet1!P7-SUM(IR30)</f>
        <v>40.299999999999997</v>
      </c>
      <c r="IF30" s="101">
        <f>[5]Sheet1!$H$7+[5]Sheet1!$I$7-SUM(IS30)</f>
        <v>43.3</v>
      </c>
      <c r="IG30" s="101">
        <f>'[6]Manpower Strength Aug''18'!$B$6+'[6]Manpower Strength Aug''18'!$C$6-SUM(IT30)</f>
        <v>45.3</v>
      </c>
      <c r="IH30" s="175">
        <f>'[6]Manpower Strength Sep''18'!$B$6+'[6]Manpower Strength Sep''18'!$C$6-SUM(IU30)</f>
        <v>45.3</v>
      </c>
      <c r="II30" s="175">
        <f>'[6]Manpower Strength Oct''18'!$B$6+'[6]Manpower Strength Oct''18'!$C$6-SUM(IV30)</f>
        <v>45.3</v>
      </c>
      <c r="IJ30" s="175">
        <f>'[6]Manpower Strength Nov''18'!$B$6+'[6]Manpower Strength Nov''18'!$C$6-SUM(IW30)</f>
        <v>43.3</v>
      </c>
      <c r="IK30" s="175">
        <f>'[6]Manpower Strength Dec''18'!$B$6+'[6]Manpower Strength Dec''18'!$C$6-SUM(IX30)</f>
        <v>43.3</v>
      </c>
      <c r="IL30" s="175">
        <f>'[6]Manpower Strength Jan''19'!$B$6+'[6]Manpower Strength Jan''19'!$C$6-SUM(IY30)</f>
        <v>43.3</v>
      </c>
      <c r="IM30" s="175">
        <f>'[6]Manpower Strength Feb''19'!$B$6+'[6]Manpower Strength Feb''19'!$C$6-SUM(IZ30)</f>
        <v>43.3</v>
      </c>
      <c r="IN30" s="175">
        <f>'[6]Manpower Strength Mar''19'!$B$6+'[6]Manpower Strength Mar''19'!$C$6-SUM(JA30)</f>
        <v>39.299999999999997</v>
      </c>
      <c r="IO30" s="63">
        <f>IFERROR(AVERAGE(IC30:IN30),"")</f>
        <v>42.716666666666669</v>
      </c>
      <c r="IP30" s="20">
        <f>1</f>
        <v>1</v>
      </c>
      <c r="IQ30" s="20">
        <f>1</f>
        <v>1</v>
      </c>
      <c r="IR30" s="20">
        <f>1</f>
        <v>1</v>
      </c>
      <c r="IS30" s="20">
        <f t="shared" ref="IS30:JA32" si="216">IR30</f>
        <v>1</v>
      </c>
      <c r="IT30" s="20">
        <f t="shared" si="216"/>
        <v>1</v>
      </c>
      <c r="IU30" s="20">
        <f t="shared" si="216"/>
        <v>1</v>
      </c>
      <c r="IV30" s="20">
        <f t="shared" si="216"/>
        <v>1</v>
      </c>
      <c r="IW30" s="20">
        <f t="shared" si="216"/>
        <v>1</v>
      </c>
      <c r="IX30" s="20">
        <f t="shared" si="216"/>
        <v>1</v>
      </c>
      <c r="IY30" s="20">
        <f t="shared" si="216"/>
        <v>1</v>
      </c>
      <c r="IZ30" s="20">
        <f t="shared" si="216"/>
        <v>1</v>
      </c>
      <c r="JA30" s="20">
        <f t="shared" si="216"/>
        <v>1</v>
      </c>
      <c r="JB30" s="63">
        <f>IFERROR(AVERAGE(IP30:JA30),"")</f>
        <v>1</v>
      </c>
      <c r="JC30" s="21">
        <f>[4]Sheet1!B14</f>
        <v>2</v>
      </c>
      <c r="JD30" s="21">
        <f>[4]Sheet1!J14</f>
        <v>2</v>
      </c>
      <c r="JE30" s="21">
        <f>[4]Sheet1!P14</f>
        <v>2</v>
      </c>
      <c r="JF30" s="21">
        <f>[5]Sheet1!$H$14</f>
        <v>2</v>
      </c>
      <c r="JG30" s="21">
        <f>'[6]Manpower Strength Aug''18'!$B$13</f>
        <v>2</v>
      </c>
      <c r="JH30" s="21">
        <f>'[6]Manpower Strength Sep''18'!$B$13</f>
        <v>2</v>
      </c>
      <c r="JI30" s="21">
        <f>'[6]Manpower Strength Oct''18'!$B$13</f>
        <v>2</v>
      </c>
      <c r="JJ30" s="21">
        <f>'[6]Manpower Strength Nov''18'!$B$13</f>
        <v>2</v>
      </c>
      <c r="JK30" s="21">
        <f>'[6]Manpower Strength Dec''18'!$B$13</f>
        <v>2</v>
      </c>
      <c r="JL30" s="21">
        <f>'[6]Manpower Strength Jan''19'!$B$13</f>
        <v>2</v>
      </c>
      <c r="JM30" s="21">
        <f>'[6]Manpower Strength Feb''19'!$B$13</f>
        <v>2</v>
      </c>
      <c r="JN30" s="21">
        <f>'[6]Manpower Strength Mar''19'!$B$13</f>
        <v>2</v>
      </c>
      <c r="JO30" s="63">
        <f>IFERROR(AVERAGE(JC30:JN30),"")</f>
        <v>2</v>
      </c>
    </row>
    <row r="31" spans="1:275">
      <c r="A31" s="12" t="s">
        <v>19</v>
      </c>
      <c r="B31" s="5">
        <f>SUM(Q31,AF31,AU31,BJ31,BY31)</f>
        <v>56</v>
      </c>
      <c r="C31" s="5">
        <f t="shared" si="191"/>
        <v>56</v>
      </c>
      <c r="D31" s="5">
        <f t="shared" si="191"/>
        <v>56</v>
      </c>
      <c r="E31" s="5">
        <f t="shared" si="191"/>
        <v>56</v>
      </c>
      <c r="F31" s="5">
        <f t="shared" si="191"/>
        <v>56</v>
      </c>
      <c r="G31" s="5">
        <f t="shared" si="191"/>
        <v>56</v>
      </c>
      <c r="H31" s="5">
        <f t="shared" si="191"/>
        <v>56</v>
      </c>
      <c r="I31" s="5">
        <f t="shared" si="191"/>
        <v>56</v>
      </c>
      <c r="J31" s="5">
        <f t="shared" si="191"/>
        <v>56</v>
      </c>
      <c r="K31" s="5">
        <f t="shared" si="191"/>
        <v>56</v>
      </c>
      <c r="L31" s="5">
        <f t="shared" si="191"/>
        <v>55</v>
      </c>
      <c r="M31" s="5">
        <f t="shared" si="191"/>
        <v>55</v>
      </c>
      <c r="N31" s="5">
        <f t="shared" si="191"/>
        <v>54</v>
      </c>
      <c r="O31" s="7">
        <f>AVERAGE(C31:N31)</f>
        <v>55.666666666666664</v>
      </c>
      <c r="P31" s="4" t="s">
        <v>19</v>
      </c>
      <c r="Q31" s="5">
        <f t="shared" ref="Q31:Z31" si="217">56-AF31</f>
        <v>55</v>
      </c>
      <c r="R31" s="5">
        <f t="shared" si="217"/>
        <v>55</v>
      </c>
      <c r="S31" s="5">
        <f t="shared" si="217"/>
        <v>55</v>
      </c>
      <c r="T31" s="5">
        <f t="shared" si="217"/>
        <v>55</v>
      </c>
      <c r="U31" s="5">
        <f t="shared" si="217"/>
        <v>55</v>
      </c>
      <c r="V31" s="5">
        <f t="shared" si="217"/>
        <v>55</v>
      </c>
      <c r="W31" s="5">
        <f t="shared" si="217"/>
        <v>55</v>
      </c>
      <c r="X31" s="5">
        <f t="shared" si="217"/>
        <v>55</v>
      </c>
      <c r="Y31" s="5">
        <f t="shared" si="217"/>
        <v>55</v>
      </c>
      <c r="Z31" s="5">
        <f t="shared" si="217"/>
        <v>55</v>
      </c>
      <c r="AA31" s="5">
        <f>55-AP31</f>
        <v>54</v>
      </c>
      <c r="AB31" s="5">
        <f>55-AQ31</f>
        <v>54</v>
      </c>
      <c r="AC31" s="5">
        <f>54-AR31</f>
        <v>53</v>
      </c>
      <c r="AD31" s="7">
        <f>AVERAGE(R31:AC31)</f>
        <v>54.666666666666664</v>
      </c>
      <c r="AE31" s="4" t="s">
        <v>19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7">
        <f>AVERAGE(AG31:AR31)</f>
        <v>1</v>
      </c>
      <c r="CN31" s="5">
        <f t="shared" si="192"/>
        <v>55</v>
      </c>
      <c r="CO31" s="5">
        <f t="shared" si="192"/>
        <v>55</v>
      </c>
      <c r="CP31" s="5">
        <f t="shared" si="192"/>
        <v>55</v>
      </c>
      <c r="CQ31" s="5">
        <f t="shared" si="192"/>
        <v>55</v>
      </c>
      <c r="CR31" s="5">
        <f t="shared" si="192"/>
        <v>55</v>
      </c>
      <c r="CS31" s="5">
        <f t="shared" si="192"/>
        <v>55</v>
      </c>
      <c r="CT31" s="5">
        <f t="shared" si="192"/>
        <v>55</v>
      </c>
      <c r="CU31" s="5">
        <f t="shared" si="192"/>
        <v>55</v>
      </c>
      <c r="CV31" s="5">
        <f t="shared" si="192"/>
        <v>54</v>
      </c>
      <c r="CW31" s="5">
        <f t="shared" si="192"/>
        <v>54</v>
      </c>
      <c r="CX31" s="5">
        <f t="shared" si="192"/>
        <v>54</v>
      </c>
      <c r="CY31" s="5">
        <f t="shared" si="192"/>
        <v>54</v>
      </c>
      <c r="CZ31" s="13">
        <f>AVERAGE(CN31:CY31)</f>
        <v>54.666666666666664</v>
      </c>
      <c r="DA31" s="5">
        <f t="shared" ref="DA31:DH31" si="218">55-DN31</f>
        <v>55</v>
      </c>
      <c r="DB31" s="5">
        <f t="shared" si="218"/>
        <v>55</v>
      </c>
      <c r="DC31" s="5">
        <f t="shared" si="218"/>
        <v>55</v>
      </c>
      <c r="DD31" s="5">
        <f t="shared" si="218"/>
        <v>55</v>
      </c>
      <c r="DE31" s="5">
        <f t="shared" si="218"/>
        <v>55</v>
      </c>
      <c r="DF31" s="5">
        <f t="shared" si="218"/>
        <v>55</v>
      </c>
      <c r="DG31" s="5">
        <f t="shared" si="218"/>
        <v>55</v>
      </c>
      <c r="DH31" s="5">
        <f t="shared" si="218"/>
        <v>55</v>
      </c>
      <c r="DI31" s="5">
        <f>54-DV31</f>
        <v>54</v>
      </c>
      <c r="DJ31" s="5">
        <f>54-DW31</f>
        <v>54</v>
      </c>
      <c r="DK31" s="5">
        <f>54-DX31</f>
        <v>54</v>
      </c>
      <c r="DL31" s="5">
        <f>54-DY31</f>
        <v>54</v>
      </c>
      <c r="DM31" s="13">
        <f>AVERAGE(DA31:DL31)</f>
        <v>54.666666666666664</v>
      </c>
      <c r="DN31" s="22">
        <f>0</f>
        <v>0</v>
      </c>
      <c r="DO31" s="22">
        <f>0</f>
        <v>0</v>
      </c>
      <c r="DP31" s="22">
        <f>0</f>
        <v>0</v>
      </c>
      <c r="DQ31" s="22">
        <f>0</f>
        <v>0</v>
      </c>
      <c r="DR31" s="22">
        <f>0</f>
        <v>0</v>
      </c>
      <c r="DS31" s="22">
        <f>0</f>
        <v>0</v>
      </c>
      <c r="DT31" s="22">
        <f>0</f>
        <v>0</v>
      </c>
      <c r="DU31" s="22">
        <f>0</f>
        <v>0</v>
      </c>
      <c r="DV31" s="22">
        <f>0</f>
        <v>0</v>
      </c>
      <c r="DW31" s="22">
        <f>0</f>
        <v>0</v>
      </c>
      <c r="DX31" s="22">
        <v>0</v>
      </c>
      <c r="DY31" s="22">
        <v>0</v>
      </c>
      <c r="DZ31" s="63">
        <f>AVERAGE(DN31:DY31)</f>
        <v>0</v>
      </c>
      <c r="FO31" s="5">
        <f t="shared" si="193"/>
        <v>54</v>
      </c>
      <c r="FP31" s="5">
        <f t="shared" si="194"/>
        <v>54</v>
      </c>
      <c r="FQ31" s="5">
        <f t="shared" si="195"/>
        <v>53</v>
      </c>
      <c r="FR31" s="5">
        <f t="shared" si="196"/>
        <v>53</v>
      </c>
      <c r="FS31" s="5">
        <f t="shared" si="197"/>
        <v>53</v>
      </c>
      <c r="FT31" s="5">
        <f t="shared" si="198"/>
        <v>53</v>
      </c>
      <c r="FU31" s="5">
        <f t="shared" si="199"/>
        <v>52</v>
      </c>
      <c r="FV31" s="5">
        <f t="shared" si="200"/>
        <v>52</v>
      </c>
      <c r="FW31" s="5">
        <f t="shared" si="201"/>
        <v>50</v>
      </c>
      <c r="FX31" s="5">
        <f t="shared" si="202"/>
        <v>50</v>
      </c>
      <c r="FY31" s="5">
        <f t="shared" si="203"/>
        <v>50</v>
      </c>
      <c r="FZ31" s="5">
        <f t="shared" si="204"/>
        <v>50</v>
      </c>
      <c r="GA31" s="13">
        <f>AVERAGE(FO31:FZ31)</f>
        <v>52</v>
      </c>
      <c r="GB31" s="5">
        <f>54-GO31</f>
        <v>54</v>
      </c>
      <c r="GC31" s="5">
        <f>54-GP31</f>
        <v>54</v>
      </c>
      <c r="GD31" s="5">
        <f>53-GQ31</f>
        <v>53</v>
      </c>
      <c r="GE31" s="5">
        <f>53-GR31</f>
        <v>53</v>
      </c>
      <c r="GF31" s="5">
        <f t="shared" ref="GF31:GG31" si="219">53-GS31</f>
        <v>53</v>
      </c>
      <c r="GG31" s="5">
        <f t="shared" si="219"/>
        <v>53</v>
      </c>
      <c r="GH31" s="5">
        <f>52-GU31</f>
        <v>52</v>
      </c>
      <c r="GI31" s="5">
        <f>52-GV31</f>
        <v>52</v>
      </c>
      <c r="GJ31" s="5">
        <f>50-GW31</f>
        <v>50</v>
      </c>
      <c r="GK31" s="5">
        <f>50-GX31</f>
        <v>50</v>
      </c>
      <c r="GL31" s="5">
        <f>50-GY31</f>
        <v>50</v>
      </c>
      <c r="GM31" s="5">
        <f>50-GZ31</f>
        <v>50</v>
      </c>
      <c r="GN31" s="13">
        <f>AVERAGE(GB31:GM31)</f>
        <v>52</v>
      </c>
      <c r="GO31" s="22">
        <f>0</f>
        <v>0</v>
      </c>
      <c r="GP31" s="22">
        <f>0</f>
        <v>0</v>
      </c>
      <c r="GQ31" s="22">
        <f>0</f>
        <v>0</v>
      </c>
      <c r="GR31" s="22">
        <f>0</f>
        <v>0</v>
      </c>
      <c r="GS31" s="22">
        <f>0</f>
        <v>0</v>
      </c>
      <c r="GT31" s="22">
        <f>0</f>
        <v>0</v>
      </c>
      <c r="GU31" s="22">
        <f>0</f>
        <v>0</v>
      </c>
      <c r="GV31" s="22">
        <f>0</f>
        <v>0</v>
      </c>
      <c r="GW31" s="22">
        <f>0</f>
        <v>0</v>
      </c>
      <c r="GX31" s="22">
        <f>0</f>
        <v>0</v>
      </c>
      <c r="GY31" s="22">
        <f>0</f>
        <v>0</v>
      </c>
      <c r="GZ31" s="22">
        <f>0</f>
        <v>0</v>
      </c>
      <c r="HA31" s="63">
        <f>AVERAGE(GO31:GZ31)</f>
        <v>0</v>
      </c>
      <c r="HB31" s="22">
        <f>0</f>
        <v>0</v>
      </c>
      <c r="HC31" s="22">
        <f>0</f>
        <v>0</v>
      </c>
      <c r="HD31" s="22">
        <f>0</f>
        <v>0</v>
      </c>
      <c r="HE31" s="22">
        <f>0</f>
        <v>0</v>
      </c>
      <c r="HF31" s="22">
        <f>0</f>
        <v>0</v>
      </c>
      <c r="HG31" s="22">
        <f>0</f>
        <v>0</v>
      </c>
      <c r="HH31" s="22">
        <f>0</f>
        <v>0</v>
      </c>
      <c r="HI31" s="22">
        <f>0</f>
        <v>0</v>
      </c>
      <c r="HJ31" s="22">
        <f>0</f>
        <v>0</v>
      </c>
      <c r="HN31" s="63">
        <f>AVERAGE(HB31:HM31)</f>
        <v>0</v>
      </c>
      <c r="HP31" s="5">
        <f>SUM(IC31,IP31,JC31)</f>
        <v>51</v>
      </c>
      <c r="HQ31" s="5">
        <f t="shared" si="207"/>
        <v>51</v>
      </c>
      <c r="HR31" s="5">
        <f t="shared" ref="HR31:HR32" si="220">SUM(IE31,IR31,JE31)</f>
        <v>49</v>
      </c>
      <c r="HS31" s="5">
        <f t="shared" si="208"/>
        <v>49</v>
      </c>
      <c r="HT31" s="5">
        <f t="shared" si="209"/>
        <v>49</v>
      </c>
      <c r="HU31" s="5">
        <f t="shared" si="210"/>
        <v>49</v>
      </c>
      <c r="HV31" s="5">
        <f t="shared" si="211"/>
        <v>49</v>
      </c>
      <c r="HW31" s="5">
        <f t="shared" si="212"/>
        <v>49</v>
      </c>
      <c r="HX31" s="5">
        <f t="shared" si="213"/>
        <v>49</v>
      </c>
      <c r="HY31" s="5">
        <f t="shared" si="214"/>
        <v>49</v>
      </c>
      <c r="HZ31" s="5">
        <f t="shared" si="215"/>
        <v>49</v>
      </c>
      <c r="IA31" s="5">
        <f t="shared" si="215"/>
        <v>49</v>
      </c>
      <c r="IB31" s="63">
        <f>AVERAGE(HP31:IA31)</f>
        <v>49.333333333333336</v>
      </c>
      <c r="IC31" s="101">
        <f>[4]Sheet1!C7-SUM(IP31)</f>
        <v>49</v>
      </c>
      <c r="ID31" s="101">
        <f>[4]Sheet1!K7-SUM(IQ31)</f>
        <v>49</v>
      </c>
      <c r="IE31" s="101">
        <f>[4]Sheet1!Q7-SUM(IR31)</f>
        <v>47</v>
      </c>
      <c r="IF31" s="101">
        <f>[5]Sheet1!$J$7-SUM(IS31)</f>
        <v>47</v>
      </c>
      <c r="IG31" s="101">
        <f>'[6]Manpower Strength Aug''18'!$D$6-SUM(IT31)</f>
        <v>47</v>
      </c>
      <c r="IH31" s="175">
        <f>'[6]Manpower Strength Sep''18'!$D$6-SUM(IU31)</f>
        <v>47</v>
      </c>
      <c r="II31" s="175">
        <f>'[6]Manpower Strength Oct''18'!$D$6-SUM(IV31)</f>
        <v>47</v>
      </c>
      <c r="IJ31" s="175">
        <f>'[6]Manpower Strength Nov''18'!$D$6-SUM(IW31)</f>
        <v>47</v>
      </c>
      <c r="IK31" s="175">
        <f>'[6]Manpower Strength Dec''18'!$D$6-SUM(IX31)</f>
        <v>47</v>
      </c>
      <c r="IL31" s="175">
        <f>'[6]Manpower Strength Jan''19'!$D$6-SUM(IY31)</f>
        <v>47</v>
      </c>
      <c r="IM31" s="175">
        <f>'[6]Manpower Strength Feb''19'!$D$6-SUM(IZ31)</f>
        <v>47</v>
      </c>
      <c r="IN31" s="175">
        <f>'[6]Manpower Strength Mar''19'!$D$6-SUM(JA31)</f>
        <v>47</v>
      </c>
      <c r="IO31" s="63">
        <f t="shared" ref="IO31:IO32" si="221">IFERROR(AVERAGE(IC31:IN31),"")</f>
        <v>47.333333333333336</v>
      </c>
      <c r="IP31" s="20">
        <f>2</f>
        <v>2</v>
      </c>
      <c r="IQ31" s="20">
        <f>2</f>
        <v>2</v>
      </c>
      <c r="IR31" s="20">
        <f>2</f>
        <v>2</v>
      </c>
      <c r="IS31" s="20">
        <f t="shared" si="216"/>
        <v>2</v>
      </c>
      <c r="IT31" s="20">
        <f t="shared" si="216"/>
        <v>2</v>
      </c>
      <c r="IU31" s="20">
        <f t="shared" si="216"/>
        <v>2</v>
      </c>
      <c r="IV31" s="20">
        <f t="shared" si="216"/>
        <v>2</v>
      </c>
      <c r="IW31" s="20">
        <f t="shared" si="216"/>
        <v>2</v>
      </c>
      <c r="IX31" s="20">
        <f t="shared" si="216"/>
        <v>2</v>
      </c>
      <c r="IY31" s="20">
        <f t="shared" si="216"/>
        <v>2</v>
      </c>
      <c r="IZ31" s="20">
        <f t="shared" si="216"/>
        <v>2</v>
      </c>
      <c r="JA31" s="20">
        <f t="shared" si="216"/>
        <v>2</v>
      </c>
      <c r="JB31" s="63">
        <f t="shared" ref="JB31" si="222">IFERROR(AVERAGE(IP31:JA31),"")</f>
        <v>2</v>
      </c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63" t="str">
        <f t="shared" ref="JO31:JO32" si="223">IFERROR(AVERAGE(JC31:JN31),"")</f>
        <v/>
      </c>
    </row>
    <row r="32" spans="1:275">
      <c r="A32" s="12" t="s">
        <v>20</v>
      </c>
      <c r="B32" s="5">
        <f>SUM(Q32,AF32,AU32,BJ32,BY32)</f>
        <v>240</v>
      </c>
      <c r="C32" s="5">
        <f t="shared" si="191"/>
        <v>216</v>
      </c>
      <c r="D32" s="5">
        <f t="shared" si="191"/>
        <v>212</v>
      </c>
      <c r="E32" s="5">
        <f t="shared" si="191"/>
        <v>220</v>
      </c>
      <c r="F32" s="5">
        <f t="shared" si="191"/>
        <v>222</v>
      </c>
      <c r="G32" s="5">
        <f t="shared" si="191"/>
        <v>218</v>
      </c>
      <c r="H32" s="5">
        <f t="shared" si="191"/>
        <v>199</v>
      </c>
      <c r="I32" s="5">
        <f t="shared" si="191"/>
        <v>226</v>
      </c>
      <c r="J32" s="5">
        <f t="shared" si="191"/>
        <v>216</v>
      </c>
      <c r="K32" s="5">
        <f t="shared" si="191"/>
        <v>218</v>
      </c>
      <c r="L32" s="5">
        <f t="shared" si="191"/>
        <v>216</v>
      </c>
      <c r="M32" s="5">
        <f t="shared" si="191"/>
        <v>219</v>
      </c>
      <c r="N32" s="5">
        <f t="shared" si="191"/>
        <v>216</v>
      </c>
      <c r="O32" s="7">
        <f>AVERAGE(C32:N32)</f>
        <v>216.5</v>
      </c>
      <c r="P32" s="4" t="s">
        <v>20</v>
      </c>
      <c r="Q32" s="5">
        <f>240-AF32</f>
        <v>226</v>
      </c>
      <c r="R32" s="5">
        <f>216-AG32</f>
        <v>204</v>
      </c>
      <c r="S32" s="21">
        <f>212-AH32</f>
        <v>200</v>
      </c>
      <c r="T32" s="21">
        <f>220-AI32</f>
        <v>208</v>
      </c>
      <c r="U32" s="21">
        <f>222-AJ32</f>
        <v>211</v>
      </c>
      <c r="V32" s="21">
        <f>218-AK32</f>
        <v>207</v>
      </c>
      <c r="W32" s="21">
        <f>199-AL32</f>
        <v>189</v>
      </c>
      <c r="X32" s="21">
        <f>226-AM32</f>
        <v>216</v>
      </c>
      <c r="Y32" s="21">
        <f>216-AN32</f>
        <v>205</v>
      </c>
      <c r="Z32" s="21">
        <f>218-AO32</f>
        <v>207</v>
      </c>
      <c r="AA32" s="21">
        <f>216-AP32</f>
        <v>205</v>
      </c>
      <c r="AB32" s="21">
        <f>219-AQ32</f>
        <v>208</v>
      </c>
      <c r="AC32" s="21">
        <f>216-AR32</f>
        <v>205</v>
      </c>
      <c r="AD32" s="7">
        <f>AVERAGE(R32:AC32)</f>
        <v>205.41666666666666</v>
      </c>
      <c r="AE32" s="4" t="s">
        <v>20</v>
      </c>
      <c r="AF32" s="5">
        <v>14</v>
      </c>
      <c r="AG32" s="5">
        <v>12</v>
      </c>
      <c r="AH32" s="5">
        <v>12</v>
      </c>
      <c r="AI32" s="5">
        <v>12</v>
      </c>
      <c r="AJ32" s="5">
        <v>11</v>
      </c>
      <c r="AK32" s="5">
        <v>11</v>
      </c>
      <c r="AL32" s="5">
        <f>11-1</f>
        <v>10</v>
      </c>
      <c r="AM32" s="5">
        <f>11-1</f>
        <v>10</v>
      </c>
      <c r="AN32" s="5">
        <f>11-1+1</f>
        <v>11</v>
      </c>
      <c r="AO32" s="5">
        <f>11-1+1</f>
        <v>11</v>
      </c>
      <c r="AP32" s="5">
        <f>11-1+1</f>
        <v>11</v>
      </c>
      <c r="AQ32" s="5">
        <f>11-1+1</f>
        <v>11</v>
      </c>
      <c r="AR32" s="5">
        <f>11-1+1</f>
        <v>11</v>
      </c>
      <c r="AS32" s="7">
        <f>AVERAGE(AG32:AR32)</f>
        <v>11.083333333333334</v>
      </c>
      <c r="CN32" s="5">
        <f t="shared" si="192"/>
        <v>225</v>
      </c>
      <c r="CO32" s="5">
        <f t="shared" si="192"/>
        <v>229</v>
      </c>
      <c r="CP32" s="5">
        <f t="shared" si="192"/>
        <v>228</v>
      </c>
      <c r="CQ32" s="5">
        <f t="shared" si="192"/>
        <v>230</v>
      </c>
      <c r="CR32" s="5">
        <f t="shared" si="192"/>
        <v>230</v>
      </c>
      <c r="CS32" s="5">
        <f t="shared" si="192"/>
        <v>227</v>
      </c>
      <c r="CT32" s="5">
        <f t="shared" si="192"/>
        <v>232</v>
      </c>
      <c r="CU32" s="5">
        <f t="shared" si="192"/>
        <v>230</v>
      </c>
      <c r="CV32" s="5">
        <f t="shared" si="192"/>
        <v>226</v>
      </c>
      <c r="CW32" s="5">
        <f t="shared" si="192"/>
        <v>223</v>
      </c>
      <c r="CX32" s="5">
        <f t="shared" si="192"/>
        <v>224</v>
      </c>
      <c r="CY32" s="5">
        <f t="shared" si="192"/>
        <v>224</v>
      </c>
      <c r="CZ32" s="13">
        <f>AVERAGE(CN32:CY32)</f>
        <v>227.33333333333334</v>
      </c>
      <c r="DA32" s="5">
        <f>225-DN32</f>
        <v>212</v>
      </c>
      <c r="DB32" s="5">
        <f>229-DO32</f>
        <v>216</v>
      </c>
      <c r="DC32" s="5">
        <f>228-DP32</f>
        <v>214</v>
      </c>
      <c r="DD32" s="5">
        <f>230-DQ32</f>
        <v>217</v>
      </c>
      <c r="DE32" s="5">
        <f>230-DR32</f>
        <v>217</v>
      </c>
      <c r="DF32" s="5">
        <f>227-DS32</f>
        <v>214</v>
      </c>
      <c r="DG32" s="5">
        <f>232-DT32</f>
        <v>219</v>
      </c>
      <c r="DH32" s="5">
        <f>230-DU32</f>
        <v>218</v>
      </c>
      <c r="DI32" s="5">
        <f>226-DV32</f>
        <v>214</v>
      </c>
      <c r="DJ32" s="5">
        <f>223-DW32</f>
        <v>211</v>
      </c>
      <c r="DK32" s="5">
        <f>224-DX32</f>
        <v>215</v>
      </c>
      <c r="DL32" s="5">
        <f>224-DY32</f>
        <v>215</v>
      </c>
      <c r="DM32" s="13">
        <f>AVERAGE(DA32:DL32)</f>
        <v>215.16666666666666</v>
      </c>
      <c r="DN32" s="22">
        <f>13</f>
        <v>13</v>
      </c>
      <c r="DO32" s="22">
        <f>13</f>
        <v>13</v>
      </c>
      <c r="DP32" s="22">
        <f>13+1</f>
        <v>14</v>
      </c>
      <c r="DQ32" s="22">
        <f>13</f>
        <v>13</v>
      </c>
      <c r="DR32" s="22">
        <f>13</f>
        <v>13</v>
      </c>
      <c r="DS32" s="22">
        <f>13</f>
        <v>13</v>
      </c>
      <c r="DT32" s="22">
        <f>13</f>
        <v>13</v>
      </c>
      <c r="DU32" s="22">
        <f>12</f>
        <v>12</v>
      </c>
      <c r="DV32" s="22">
        <f>12</f>
        <v>12</v>
      </c>
      <c r="DW32" s="22">
        <f>12</f>
        <v>12</v>
      </c>
      <c r="DX32" s="22">
        <v>9</v>
      </c>
      <c r="DY32" s="22">
        <v>9</v>
      </c>
      <c r="DZ32" s="63">
        <f>AVERAGE(DN32:DY32)</f>
        <v>12.166666666666666</v>
      </c>
      <c r="FO32" s="5">
        <f t="shared" si="193"/>
        <v>213</v>
      </c>
      <c r="FP32" s="5">
        <f t="shared" si="194"/>
        <v>214</v>
      </c>
      <c r="FQ32" s="5">
        <f t="shared" si="195"/>
        <v>214</v>
      </c>
      <c r="FR32" s="5">
        <f t="shared" si="196"/>
        <v>206</v>
      </c>
      <c r="FS32" s="5">
        <f t="shared" si="197"/>
        <v>212</v>
      </c>
      <c r="FT32" s="5">
        <f t="shared" si="198"/>
        <v>210</v>
      </c>
      <c r="FU32" s="5">
        <f t="shared" si="199"/>
        <v>210</v>
      </c>
      <c r="FV32" s="5">
        <f t="shared" si="200"/>
        <v>210</v>
      </c>
      <c r="FW32" s="5">
        <f t="shared" si="201"/>
        <v>209</v>
      </c>
      <c r="FX32" s="5">
        <f t="shared" si="202"/>
        <v>212</v>
      </c>
      <c r="FY32" s="5">
        <f t="shared" si="203"/>
        <v>213</v>
      </c>
      <c r="FZ32" s="5">
        <f t="shared" si="204"/>
        <v>213</v>
      </c>
      <c r="GA32" s="13">
        <f>AVERAGE(FO32:FZ32)</f>
        <v>211.33333333333334</v>
      </c>
      <c r="GB32" s="5">
        <f>213-GO32</f>
        <v>203</v>
      </c>
      <c r="GC32" s="5">
        <f>214-GP32</f>
        <v>204</v>
      </c>
      <c r="GD32" s="5">
        <f>214-GQ32</f>
        <v>204</v>
      </c>
      <c r="GE32" s="5">
        <f>206-GR32</f>
        <v>196</v>
      </c>
      <c r="GF32" s="5">
        <f>212-GS32</f>
        <v>202</v>
      </c>
      <c r="GG32" s="5">
        <f>210-GT32</f>
        <v>200</v>
      </c>
      <c r="GH32" s="5">
        <f>210-GU32</f>
        <v>200</v>
      </c>
      <c r="GI32" s="5">
        <f>210-GV32</f>
        <v>200</v>
      </c>
      <c r="GJ32" s="5">
        <f>209-GW32</f>
        <v>199</v>
      </c>
      <c r="GK32" s="5">
        <f>212-GX32</f>
        <v>202</v>
      </c>
      <c r="GL32" s="5">
        <f>213-GY32</f>
        <v>203</v>
      </c>
      <c r="GM32" s="5">
        <f>213-GZ32</f>
        <v>203</v>
      </c>
      <c r="GN32" s="13">
        <f>AVERAGE(GB32:GM32)</f>
        <v>201.33333333333334</v>
      </c>
      <c r="GO32" s="22">
        <f>10</f>
        <v>10</v>
      </c>
      <c r="GP32" s="22">
        <f>10</f>
        <v>10</v>
      </c>
      <c r="GQ32" s="22">
        <f>10</f>
        <v>10</v>
      </c>
      <c r="GR32" s="22">
        <f>10</f>
        <v>10</v>
      </c>
      <c r="GS32" s="22">
        <f>10</f>
        <v>10</v>
      </c>
      <c r="GT32" s="22">
        <f>10</f>
        <v>10</v>
      </c>
      <c r="GU32" s="22">
        <f>10</f>
        <v>10</v>
      </c>
      <c r="GV32" s="22">
        <f>10</f>
        <v>10</v>
      </c>
      <c r="GW32" s="22">
        <f>10</f>
        <v>10</v>
      </c>
      <c r="GX32" s="22">
        <f>10</f>
        <v>10</v>
      </c>
      <c r="GY32" s="22">
        <f>10</f>
        <v>10</v>
      </c>
      <c r="GZ32" s="22">
        <f>10</f>
        <v>10</v>
      </c>
      <c r="HA32" s="63">
        <f>AVERAGE(GO32:GZ32)</f>
        <v>10</v>
      </c>
      <c r="HB32" s="22">
        <f>0</f>
        <v>0</v>
      </c>
      <c r="HC32" s="22">
        <f>0</f>
        <v>0</v>
      </c>
      <c r="HD32" s="22">
        <f>0</f>
        <v>0</v>
      </c>
      <c r="HE32" s="22">
        <f>0</f>
        <v>0</v>
      </c>
      <c r="HF32" s="22">
        <f>0</f>
        <v>0</v>
      </c>
      <c r="HG32" s="22">
        <f>0</f>
        <v>0</v>
      </c>
      <c r="HH32" s="22">
        <f>0</f>
        <v>0</v>
      </c>
      <c r="HI32" s="22">
        <f>0</f>
        <v>0</v>
      </c>
      <c r="HJ32" s="22">
        <f>0</f>
        <v>0</v>
      </c>
      <c r="HN32" s="63">
        <f>AVERAGE(HB32:HM32)</f>
        <v>0</v>
      </c>
      <c r="HP32" s="5">
        <f t="shared" ref="HP32" si="224">SUM(IC32,IP32,JC32)</f>
        <v>265</v>
      </c>
      <c r="HQ32" s="5">
        <f t="shared" si="207"/>
        <v>271</v>
      </c>
      <c r="HR32" s="5">
        <f t="shared" si="220"/>
        <v>271</v>
      </c>
      <c r="HS32" s="5">
        <f t="shared" si="208"/>
        <v>277</v>
      </c>
      <c r="HT32" s="5">
        <f t="shared" si="209"/>
        <v>276</v>
      </c>
      <c r="HU32" s="5">
        <f t="shared" si="210"/>
        <v>278</v>
      </c>
      <c r="HV32" s="5">
        <f t="shared" si="211"/>
        <v>298</v>
      </c>
      <c r="HW32" s="5">
        <f t="shared" si="212"/>
        <v>283</v>
      </c>
      <c r="HX32" s="5">
        <f t="shared" si="213"/>
        <v>249</v>
      </c>
      <c r="HY32" s="5">
        <f t="shared" si="214"/>
        <v>237</v>
      </c>
      <c r="HZ32" s="5">
        <f t="shared" si="215"/>
        <v>274</v>
      </c>
      <c r="IA32" s="5">
        <f t="shared" si="215"/>
        <v>273</v>
      </c>
      <c r="IB32" s="63">
        <f>AVERAGE(HP32:IA32)</f>
        <v>271</v>
      </c>
      <c r="IC32" s="101">
        <f>[4]Sheet1!D7-SUM(IP32)</f>
        <v>258</v>
      </c>
      <c r="ID32" s="101">
        <f>[4]Sheet1!L7-SUM(IQ32)</f>
        <v>264</v>
      </c>
      <c r="IE32" s="101">
        <f>[4]Sheet1!R7-SUM(IR32)</f>
        <v>264</v>
      </c>
      <c r="IF32" s="101">
        <f>[5]Sheet1!$K$7-SUM(IS32)</f>
        <v>270</v>
      </c>
      <c r="IG32" s="101">
        <f>'[6]Manpower Strength Aug''18'!$E$6-SUM(IT32)</f>
        <v>269</v>
      </c>
      <c r="IH32" s="175">
        <f>'[6]Manpower Strength Sep''18'!$E$6-SUM(IU32)</f>
        <v>270</v>
      </c>
      <c r="II32" s="175">
        <f>'[6]Manpower Strength Oct''18'!$E$6-SUM(IV32)</f>
        <v>290</v>
      </c>
      <c r="IJ32" s="175">
        <f>'[6]Manpower Strength Nov''18'!$E$6-SUM(IW32)</f>
        <v>275</v>
      </c>
      <c r="IK32" s="175">
        <f>'[6]Manpower Strength Dec''18'!$E$6-SUM(IX32)</f>
        <v>241</v>
      </c>
      <c r="IL32" s="175">
        <f>'[6]Manpower Strength Jan''19'!$E$6-SUM(IY32)</f>
        <v>229</v>
      </c>
      <c r="IM32" s="175">
        <f>'[6]Manpower Strength Feb''19'!$E$6-SUM(IZ32)</f>
        <v>266</v>
      </c>
      <c r="IN32" s="175">
        <f>'[6]Manpower Strength Mar''19'!$E$6-SUM(JA32)</f>
        <v>265</v>
      </c>
      <c r="IO32" s="63">
        <f t="shared" si="221"/>
        <v>263.41666666666669</v>
      </c>
      <c r="IP32" s="20">
        <f>7</f>
        <v>7</v>
      </c>
      <c r="IQ32" s="20">
        <f>7</f>
        <v>7</v>
      </c>
      <c r="IR32" s="20">
        <f>7</f>
        <v>7</v>
      </c>
      <c r="IS32" s="20">
        <f t="shared" si="216"/>
        <v>7</v>
      </c>
      <c r="IT32" s="20">
        <f t="shared" si="216"/>
        <v>7</v>
      </c>
      <c r="IU32" s="20">
        <f t="shared" si="216"/>
        <v>7</v>
      </c>
      <c r="IV32" s="20">
        <f t="shared" si="216"/>
        <v>7</v>
      </c>
      <c r="IW32" s="20">
        <f t="shared" si="216"/>
        <v>7</v>
      </c>
      <c r="IX32" s="20">
        <f t="shared" si="216"/>
        <v>7</v>
      </c>
      <c r="IY32" s="20">
        <f t="shared" si="216"/>
        <v>7</v>
      </c>
      <c r="IZ32" s="20">
        <f t="shared" si="216"/>
        <v>7</v>
      </c>
      <c r="JA32" s="20">
        <f t="shared" si="216"/>
        <v>7</v>
      </c>
      <c r="JB32" s="63">
        <f>IFERROR(AVERAGE(IP38:JA38),"")</f>
        <v>10</v>
      </c>
      <c r="JC32" s="21"/>
      <c r="JD32" s="21"/>
      <c r="JE32" s="21"/>
      <c r="JF32" s="21"/>
      <c r="JG32" s="21"/>
      <c r="JH32" s="21">
        <f>'[6]Manpower Strength Sep''18'!$E$13</f>
        <v>1</v>
      </c>
      <c r="JI32" s="21">
        <f>'[6]Manpower Strength Oct''18'!$E$13</f>
        <v>1</v>
      </c>
      <c r="JJ32" s="21">
        <f>'[6]Manpower Strength Nov''18'!$E$13</f>
        <v>1</v>
      </c>
      <c r="JK32" s="21">
        <f>'[6]Manpower Strength Dec''18'!$E$13</f>
        <v>1</v>
      </c>
      <c r="JL32" s="21">
        <f>'[6]Manpower Strength Jan''19'!$E$13</f>
        <v>1</v>
      </c>
      <c r="JM32" s="21">
        <f>'[6]Manpower Strength Feb''19'!$E$13</f>
        <v>1</v>
      </c>
      <c r="JN32" s="21">
        <f>'[6]Manpower Strength Mar''19'!$E$13</f>
        <v>1</v>
      </c>
      <c r="JO32" s="63">
        <f t="shared" si="223"/>
        <v>1</v>
      </c>
    </row>
    <row r="33" spans="1:327" ht="15.75" thickBot="1">
      <c r="A33" s="14" t="s">
        <v>21</v>
      </c>
      <c r="B33" s="15">
        <f>SUM(B30:B32)</f>
        <v>333.1</v>
      </c>
      <c r="C33" s="15">
        <f>SUM(C30:C32)</f>
        <v>309</v>
      </c>
      <c r="D33" s="15">
        <f t="shared" ref="D33:M33" si="225">SUM(D30:D32)</f>
        <v>305</v>
      </c>
      <c r="E33" s="15">
        <f t="shared" si="225"/>
        <v>313</v>
      </c>
      <c r="F33" s="15">
        <f t="shared" si="225"/>
        <v>316</v>
      </c>
      <c r="G33" s="15">
        <f t="shared" si="225"/>
        <v>311</v>
      </c>
      <c r="H33" s="15">
        <f t="shared" si="225"/>
        <v>292</v>
      </c>
      <c r="I33" s="15">
        <f t="shared" si="225"/>
        <v>319</v>
      </c>
      <c r="J33" s="15">
        <f t="shared" si="225"/>
        <v>309</v>
      </c>
      <c r="K33" s="15">
        <f t="shared" si="225"/>
        <v>311</v>
      </c>
      <c r="L33" s="15">
        <f t="shared" si="225"/>
        <v>307</v>
      </c>
      <c r="M33" s="15">
        <f t="shared" si="225"/>
        <v>310</v>
      </c>
      <c r="N33" s="15">
        <f>SUM(N30:N32)</f>
        <v>306</v>
      </c>
      <c r="O33" s="16">
        <f>AVERAGE(C33:N33)</f>
        <v>309</v>
      </c>
      <c r="P33" s="17" t="s">
        <v>21</v>
      </c>
      <c r="Q33" s="15">
        <f>SUM(Q30:Q32)</f>
        <v>318.10000000000002</v>
      </c>
      <c r="R33" s="15">
        <f>SUM(R30:R32)</f>
        <v>296</v>
      </c>
      <c r="S33" s="15">
        <f t="shared" ref="S33:AB33" si="226">SUM(S30:S32)</f>
        <v>292</v>
      </c>
      <c r="T33" s="15">
        <f t="shared" si="226"/>
        <v>300</v>
      </c>
      <c r="U33" s="15">
        <f t="shared" si="226"/>
        <v>304</v>
      </c>
      <c r="V33" s="15">
        <f t="shared" si="226"/>
        <v>299</v>
      </c>
      <c r="W33" s="15">
        <f t="shared" si="226"/>
        <v>281</v>
      </c>
      <c r="X33" s="15">
        <f t="shared" si="226"/>
        <v>308</v>
      </c>
      <c r="Y33" s="15">
        <f t="shared" si="226"/>
        <v>297</v>
      </c>
      <c r="Z33" s="15">
        <f t="shared" si="226"/>
        <v>299</v>
      </c>
      <c r="AA33" s="15">
        <f t="shared" si="226"/>
        <v>295</v>
      </c>
      <c r="AB33" s="15">
        <f t="shared" si="226"/>
        <v>298</v>
      </c>
      <c r="AC33" s="15">
        <f>SUM(AC30:AC32)</f>
        <v>294</v>
      </c>
      <c r="AD33" s="16">
        <f>AVERAGE(R33:AC33)</f>
        <v>296.91666666666669</v>
      </c>
      <c r="AE33" s="17" t="s">
        <v>21</v>
      </c>
      <c r="AF33" s="15">
        <f>SUM(AF30:AF32)</f>
        <v>15</v>
      </c>
      <c r="AG33" s="15">
        <f>SUM(AG30:AG32)</f>
        <v>13</v>
      </c>
      <c r="AH33" s="15">
        <f t="shared" ref="AH33:AQ33" si="227">SUM(AH30:AH32)</f>
        <v>13</v>
      </c>
      <c r="AI33" s="15">
        <f t="shared" si="227"/>
        <v>13</v>
      </c>
      <c r="AJ33" s="15">
        <f t="shared" si="227"/>
        <v>12</v>
      </c>
      <c r="AK33" s="15">
        <f t="shared" si="227"/>
        <v>12</v>
      </c>
      <c r="AL33" s="15">
        <f t="shared" si="227"/>
        <v>11</v>
      </c>
      <c r="AM33" s="15">
        <f t="shared" si="227"/>
        <v>11</v>
      </c>
      <c r="AN33" s="15">
        <f t="shared" si="227"/>
        <v>12</v>
      </c>
      <c r="AO33" s="15">
        <f t="shared" si="227"/>
        <v>12</v>
      </c>
      <c r="AP33" s="15">
        <f t="shared" si="227"/>
        <v>12</v>
      </c>
      <c r="AQ33" s="15">
        <f t="shared" si="227"/>
        <v>12</v>
      </c>
      <c r="AR33" s="15">
        <f>SUM(AR30:AR32)</f>
        <v>12</v>
      </c>
      <c r="AS33" s="16">
        <f>AVERAGE(AG33:AR33)</f>
        <v>12.083333333333334</v>
      </c>
      <c r="CN33" s="15">
        <f t="shared" ref="CN33:CY33" si="228">SUM(CN30:CN32)</f>
        <v>316</v>
      </c>
      <c r="CO33" s="15">
        <f t="shared" si="228"/>
        <v>320</v>
      </c>
      <c r="CP33" s="15">
        <f t="shared" si="228"/>
        <v>319</v>
      </c>
      <c r="CQ33" s="15">
        <f t="shared" si="228"/>
        <v>321</v>
      </c>
      <c r="CR33" s="15">
        <f t="shared" si="228"/>
        <v>321.5</v>
      </c>
      <c r="CS33" s="15">
        <f t="shared" si="228"/>
        <v>316.5</v>
      </c>
      <c r="CT33" s="15">
        <f t="shared" si="228"/>
        <v>320</v>
      </c>
      <c r="CU33" s="15">
        <f t="shared" si="228"/>
        <v>318</v>
      </c>
      <c r="CV33" s="15">
        <f t="shared" si="228"/>
        <v>317</v>
      </c>
      <c r="CW33" s="15">
        <f t="shared" si="228"/>
        <v>316</v>
      </c>
      <c r="CX33" s="15">
        <f t="shared" si="228"/>
        <v>317</v>
      </c>
      <c r="CY33" s="15">
        <f t="shared" si="228"/>
        <v>318</v>
      </c>
      <c r="CZ33" s="18">
        <f>AVERAGE(CN33:CY33)</f>
        <v>318.33333333333331</v>
      </c>
      <c r="DA33" s="15">
        <f t="shared" ref="DA33:DL33" si="229">SUM(DA30:DA32)</f>
        <v>303</v>
      </c>
      <c r="DB33" s="15">
        <f t="shared" si="229"/>
        <v>307</v>
      </c>
      <c r="DC33" s="15">
        <f t="shared" si="229"/>
        <v>305</v>
      </c>
      <c r="DD33" s="15">
        <f t="shared" si="229"/>
        <v>308</v>
      </c>
      <c r="DE33" s="15">
        <f t="shared" si="229"/>
        <v>308.5</v>
      </c>
      <c r="DF33" s="15">
        <f t="shared" si="229"/>
        <v>303.5</v>
      </c>
      <c r="DG33" s="15">
        <f t="shared" si="229"/>
        <v>307</v>
      </c>
      <c r="DH33" s="15">
        <f t="shared" si="229"/>
        <v>306</v>
      </c>
      <c r="DI33" s="15">
        <f t="shared" si="229"/>
        <v>305</v>
      </c>
      <c r="DJ33" s="15">
        <f t="shared" si="229"/>
        <v>304</v>
      </c>
      <c r="DK33" s="15">
        <f t="shared" si="229"/>
        <v>308</v>
      </c>
      <c r="DL33" s="15">
        <f t="shared" si="229"/>
        <v>309</v>
      </c>
      <c r="DM33" s="18">
        <f>AVERAGE(DA33:DL33)</f>
        <v>306.16666666666669</v>
      </c>
      <c r="DN33" s="15">
        <f t="shared" ref="DN33:DY33" si="230">SUM(DN30:DN32)</f>
        <v>13</v>
      </c>
      <c r="DO33" s="15">
        <f t="shared" si="230"/>
        <v>13</v>
      </c>
      <c r="DP33" s="15">
        <f t="shared" si="230"/>
        <v>14</v>
      </c>
      <c r="DQ33" s="15">
        <f t="shared" si="230"/>
        <v>13</v>
      </c>
      <c r="DR33" s="15">
        <f t="shared" si="230"/>
        <v>13</v>
      </c>
      <c r="DS33" s="15">
        <f t="shared" si="230"/>
        <v>13</v>
      </c>
      <c r="DT33" s="15">
        <f t="shared" si="230"/>
        <v>13</v>
      </c>
      <c r="DU33" s="15">
        <f t="shared" si="230"/>
        <v>12</v>
      </c>
      <c r="DV33" s="15">
        <f t="shared" si="230"/>
        <v>12</v>
      </c>
      <c r="DW33" s="15">
        <f t="shared" si="230"/>
        <v>12</v>
      </c>
      <c r="DX33" s="15">
        <f t="shared" si="230"/>
        <v>9</v>
      </c>
      <c r="DY33" s="15">
        <f t="shared" si="230"/>
        <v>9</v>
      </c>
      <c r="DZ33" s="64">
        <f>AVERAGE(DN33:DY33)</f>
        <v>12.166666666666666</v>
      </c>
      <c r="FO33" s="15">
        <f t="shared" ref="FO33:FZ33" si="231">SUM(FO30:FO32)</f>
        <v>308</v>
      </c>
      <c r="FP33" s="15">
        <f t="shared" si="231"/>
        <v>308.5</v>
      </c>
      <c r="FQ33" s="15">
        <f t="shared" si="231"/>
        <v>308.5</v>
      </c>
      <c r="FR33" s="15">
        <f t="shared" si="231"/>
        <v>300.5</v>
      </c>
      <c r="FS33" s="15">
        <f t="shared" si="231"/>
        <v>306.5</v>
      </c>
      <c r="FT33" s="15">
        <f t="shared" si="231"/>
        <v>305</v>
      </c>
      <c r="FU33" s="15">
        <f t="shared" si="231"/>
        <v>304</v>
      </c>
      <c r="FV33" s="15">
        <f t="shared" si="231"/>
        <v>306.5</v>
      </c>
      <c r="FW33" s="15">
        <f t="shared" si="231"/>
        <v>305</v>
      </c>
      <c r="FX33" s="15">
        <f t="shared" si="231"/>
        <v>304</v>
      </c>
      <c r="FY33" s="15">
        <f t="shared" si="231"/>
        <v>306</v>
      </c>
      <c r="FZ33" s="15">
        <f t="shared" si="231"/>
        <v>311</v>
      </c>
      <c r="GA33" s="18">
        <f>AVERAGE(FO33:FZ33)</f>
        <v>306.125</v>
      </c>
      <c r="GB33" s="15">
        <f t="shared" ref="GB33:GM33" si="232">SUM(GB30:GB32)</f>
        <v>298</v>
      </c>
      <c r="GC33" s="15">
        <f t="shared" si="232"/>
        <v>298.5</v>
      </c>
      <c r="GD33" s="15">
        <f t="shared" si="232"/>
        <v>298.5</v>
      </c>
      <c r="GE33" s="15">
        <f t="shared" si="232"/>
        <v>290.5</v>
      </c>
      <c r="GF33" s="15">
        <f t="shared" si="232"/>
        <v>296.5</v>
      </c>
      <c r="GG33" s="15">
        <f t="shared" si="232"/>
        <v>295</v>
      </c>
      <c r="GH33" s="15">
        <f t="shared" si="232"/>
        <v>294</v>
      </c>
      <c r="GI33" s="15">
        <f t="shared" si="232"/>
        <v>296.5</v>
      </c>
      <c r="GJ33" s="15">
        <f t="shared" si="232"/>
        <v>294</v>
      </c>
      <c r="GK33" s="15">
        <f t="shared" si="232"/>
        <v>293</v>
      </c>
      <c r="GL33" s="15">
        <f t="shared" si="232"/>
        <v>294</v>
      </c>
      <c r="GM33" s="15">
        <f t="shared" si="232"/>
        <v>299</v>
      </c>
      <c r="GN33" s="18">
        <f>AVERAGE(GB33:GM33)</f>
        <v>295.625</v>
      </c>
      <c r="GO33" s="15">
        <f t="shared" ref="GO33:GZ33" si="233">SUM(GO30:GO32)</f>
        <v>10</v>
      </c>
      <c r="GP33" s="15">
        <f t="shared" si="233"/>
        <v>10</v>
      </c>
      <c r="GQ33" s="15">
        <f t="shared" si="233"/>
        <v>10</v>
      </c>
      <c r="GR33" s="15">
        <f t="shared" si="233"/>
        <v>10</v>
      </c>
      <c r="GS33" s="15">
        <f t="shared" si="233"/>
        <v>10</v>
      </c>
      <c r="GT33" s="15">
        <f t="shared" si="233"/>
        <v>10</v>
      </c>
      <c r="GU33" s="15">
        <f t="shared" si="233"/>
        <v>10</v>
      </c>
      <c r="GV33" s="15">
        <f t="shared" si="233"/>
        <v>10</v>
      </c>
      <c r="GW33" s="15">
        <f t="shared" si="233"/>
        <v>10</v>
      </c>
      <c r="GX33" s="15">
        <f t="shared" si="233"/>
        <v>10</v>
      </c>
      <c r="GY33" s="15">
        <f t="shared" si="233"/>
        <v>10</v>
      </c>
      <c r="GZ33" s="15">
        <f t="shared" si="233"/>
        <v>10</v>
      </c>
      <c r="HA33" s="64">
        <f>AVERAGE(GO33:GZ33)</f>
        <v>10</v>
      </c>
      <c r="HB33" s="15">
        <f t="shared" ref="HB33:HM33" si="234">SUM(HB30:HB32)</f>
        <v>0</v>
      </c>
      <c r="HC33" s="15">
        <f t="shared" si="234"/>
        <v>0</v>
      </c>
      <c r="HD33" s="15">
        <f t="shared" si="234"/>
        <v>0</v>
      </c>
      <c r="HE33" s="15">
        <f t="shared" si="234"/>
        <v>0</v>
      </c>
      <c r="HF33" s="15">
        <f t="shared" si="234"/>
        <v>0</v>
      </c>
      <c r="HG33" s="15">
        <f t="shared" si="234"/>
        <v>0</v>
      </c>
      <c r="HH33" s="15">
        <f t="shared" si="234"/>
        <v>0</v>
      </c>
      <c r="HI33" s="15">
        <f t="shared" si="234"/>
        <v>0</v>
      </c>
      <c r="HJ33" s="15">
        <f t="shared" si="234"/>
        <v>1</v>
      </c>
      <c r="HK33" s="15">
        <f t="shared" si="234"/>
        <v>1</v>
      </c>
      <c r="HL33" s="15">
        <f t="shared" si="234"/>
        <v>2</v>
      </c>
      <c r="HM33" s="15">
        <f t="shared" si="234"/>
        <v>2</v>
      </c>
      <c r="HN33" s="64">
        <f>AVERAGE(HB33:HM33)</f>
        <v>0.5</v>
      </c>
      <c r="HP33" s="15">
        <f t="shared" ref="HP33:JO33" si="235">SUM(HP30:HP32)</f>
        <v>360.3</v>
      </c>
      <c r="HQ33" s="15">
        <f t="shared" si="235"/>
        <v>364.3</v>
      </c>
      <c r="HR33" s="15">
        <f t="shared" si="235"/>
        <v>363.3</v>
      </c>
      <c r="HS33" s="15">
        <f t="shared" si="235"/>
        <v>372.3</v>
      </c>
      <c r="HT33" s="15">
        <f t="shared" si="235"/>
        <v>373.3</v>
      </c>
      <c r="HU33" s="15">
        <f t="shared" si="235"/>
        <v>375.3</v>
      </c>
      <c r="HV33" s="15">
        <f t="shared" si="235"/>
        <v>395.3</v>
      </c>
      <c r="HW33" s="15">
        <f t="shared" si="235"/>
        <v>378.3</v>
      </c>
      <c r="HX33" s="15">
        <f t="shared" si="235"/>
        <v>344.3</v>
      </c>
      <c r="HY33" s="15">
        <f t="shared" si="235"/>
        <v>332.3</v>
      </c>
      <c r="HZ33" s="15">
        <f t="shared" si="235"/>
        <v>369.3</v>
      </c>
      <c r="IA33" s="15">
        <f t="shared" si="235"/>
        <v>364.3</v>
      </c>
      <c r="IB33" s="15">
        <f t="shared" si="235"/>
        <v>366.05</v>
      </c>
      <c r="IC33" s="15">
        <f t="shared" si="235"/>
        <v>348.3</v>
      </c>
      <c r="ID33" s="15">
        <f t="shared" si="235"/>
        <v>352.3</v>
      </c>
      <c r="IE33" s="15">
        <f t="shared" si="235"/>
        <v>351.3</v>
      </c>
      <c r="IF33" s="15">
        <f>SUM(IF30:IF32)</f>
        <v>360.3</v>
      </c>
      <c r="IG33" s="15">
        <f t="shared" si="235"/>
        <v>361.3</v>
      </c>
      <c r="IH33" s="15">
        <f t="shared" si="235"/>
        <v>362.3</v>
      </c>
      <c r="II33" s="15">
        <f t="shared" si="235"/>
        <v>382.3</v>
      </c>
      <c r="IJ33" s="15">
        <f t="shared" si="235"/>
        <v>365.3</v>
      </c>
      <c r="IK33" s="15">
        <f t="shared" si="235"/>
        <v>331.3</v>
      </c>
      <c r="IL33" s="15">
        <f t="shared" si="235"/>
        <v>319.3</v>
      </c>
      <c r="IM33" s="15">
        <f t="shared" si="235"/>
        <v>356.3</v>
      </c>
      <c r="IN33" s="15">
        <f t="shared" si="235"/>
        <v>351.3</v>
      </c>
      <c r="IO33" s="15">
        <f t="shared" si="235"/>
        <v>353.4666666666667</v>
      </c>
      <c r="IP33" s="15">
        <f>SUM(IP30:IP32)</f>
        <v>10</v>
      </c>
      <c r="IQ33" s="15">
        <f>SUM(IQ30:IQ32)</f>
        <v>10</v>
      </c>
      <c r="IR33" s="15">
        <f>SUM(IR30:IR32)</f>
        <v>10</v>
      </c>
      <c r="IS33" s="15">
        <f>SUM(IS30:IS32)</f>
        <v>10</v>
      </c>
      <c r="IT33" s="15">
        <f t="shared" ref="IT33:JA33" si="236">SUM(IT30:IT32)</f>
        <v>10</v>
      </c>
      <c r="IU33" s="15">
        <f t="shared" si="236"/>
        <v>10</v>
      </c>
      <c r="IV33" s="15">
        <f t="shared" si="236"/>
        <v>10</v>
      </c>
      <c r="IW33" s="15">
        <f t="shared" si="236"/>
        <v>10</v>
      </c>
      <c r="IX33" s="15">
        <f t="shared" si="236"/>
        <v>10</v>
      </c>
      <c r="IY33" s="15">
        <f t="shared" si="236"/>
        <v>10</v>
      </c>
      <c r="IZ33" s="15">
        <f t="shared" si="236"/>
        <v>10</v>
      </c>
      <c r="JA33" s="15">
        <f t="shared" si="236"/>
        <v>10</v>
      </c>
      <c r="JB33" s="15">
        <f t="shared" si="235"/>
        <v>13</v>
      </c>
      <c r="JC33" s="15">
        <f t="shared" si="235"/>
        <v>2</v>
      </c>
      <c r="JD33" s="15">
        <f t="shared" si="235"/>
        <v>2</v>
      </c>
      <c r="JE33" s="15">
        <f t="shared" si="235"/>
        <v>2</v>
      </c>
      <c r="JF33" s="15">
        <f t="shared" si="235"/>
        <v>2</v>
      </c>
      <c r="JG33" s="15">
        <f t="shared" si="235"/>
        <v>2</v>
      </c>
      <c r="JH33" s="15">
        <f t="shared" si="235"/>
        <v>3</v>
      </c>
      <c r="JI33" s="15">
        <f t="shared" si="235"/>
        <v>3</v>
      </c>
      <c r="JJ33" s="15">
        <f t="shared" si="235"/>
        <v>3</v>
      </c>
      <c r="JK33" s="15">
        <f t="shared" si="235"/>
        <v>3</v>
      </c>
      <c r="JL33" s="15">
        <f t="shared" si="235"/>
        <v>3</v>
      </c>
      <c r="JM33" s="15">
        <f t="shared" si="235"/>
        <v>3</v>
      </c>
      <c r="JN33" s="15">
        <f t="shared" si="235"/>
        <v>3</v>
      </c>
      <c r="JO33" s="15">
        <f t="shared" si="235"/>
        <v>3</v>
      </c>
    </row>
    <row r="34" spans="1:327" ht="15.75" thickBot="1">
      <c r="A34" s="2" t="s">
        <v>39</v>
      </c>
      <c r="P34" s="2" t="str">
        <f>P28</f>
        <v>Roorkee</v>
      </c>
      <c r="AE34" s="2" t="str">
        <f>AE28</f>
        <v>Roorkee SA</v>
      </c>
      <c r="CN34" s="2" t="s">
        <v>39</v>
      </c>
      <c r="DA34" s="2" t="s">
        <v>14</v>
      </c>
      <c r="DN34" s="29" t="s">
        <v>94</v>
      </c>
      <c r="FO34" s="2" t="s">
        <v>39</v>
      </c>
      <c r="FR34" s="58">
        <f>FR33-'[16]Main Sheet'!$BU$12</f>
        <v>0</v>
      </c>
      <c r="GB34" s="2" t="s">
        <v>14</v>
      </c>
      <c r="GO34" s="29" t="s">
        <v>94</v>
      </c>
      <c r="HB34" s="29" t="s">
        <v>118</v>
      </c>
      <c r="HP34" s="2" t="s">
        <v>39</v>
      </c>
      <c r="IC34" s="2" t="s">
        <v>14</v>
      </c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29" t="s">
        <v>94</v>
      </c>
      <c r="JC34" s="29" t="s">
        <v>118</v>
      </c>
    </row>
    <row r="35" spans="1:327">
      <c r="A35" s="8" t="s">
        <v>17</v>
      </c>
      <c r="B35" s="9" t="s">
        <v>6</v>
      </c>
      <c r="C35" s="9" t="s">
        <v>22</v>
      </c>
      <c r="D35" s="9" t="s">
        <v>23</v>
      </c>
      <c r="E35" s="9" t="s">
        <v>24</v>
      </c>
      <c r="F35" s="9" t="s">
        <v>25</v>
      </c>
      <c r="G35" s="9" t="s">
        <v>26</v>
      </c>
      <c r="H35" s="9" t="s">
        <v>27</v>
      </c>
      <c r="I35" s="9" t="s">
        <v>28</v>
      </c>
      <c r="J35" s="9" t="s">
        <v>29</v>
      </c>
      <c r="K35" s="9" t="s">
        <v>30</v>
      </c>
      <c r="L35" s="9" t="s">
        <v>31</v>
      </c>
      <c r="M35" s="9" t="s">
        <v>32</v>
      </c>
      <c r="N35" s="9" t="s">
        <v>33</v>
      </c>
      <c r="O35" s="9" t="s">
        <v>7</v>
      </c>
      <c r="P35" s="10" t="s">
        <v>17</v>
      </c>
      <c r="Q35" s="9" t="s">
        <v>6</v>
      </c>
      <c r="R35" s="9" t="s">
        <v>22</v>
      </c>
      <c r="S35" s="9" t="s">
        <v>23</v>
      </c>
      <c r="T35" s="9" t="s">
        <v>24</v>
      </c>
      <c r="U35" s="9" t="s">
        <v>25</v>
      </c>
      <c r="V35" s="9" t="s">
        <v>26</v>
      </c>
      <c r="W35" s="9" t="s">
        <v>27</v>
      </c>
      <c r="X35" s="9" t="s">
        <v>28</v>
      </c>
      <c r="Y35" s="9" t="s">
        <v>29</v>
      </c>
      <c r="Z35" s="9" t="s">
        <v>30</v>
      </c>
      <c r="AA35" s="9" t="s">
        <v>31</v>
      </c>
      <c r="AB35" s="9" t="s">
        <v>32</v>
      </c>
      <c r="AC35" s="9" t="s">
        <v>33</v>
      </c>
      <c r="AD35" s="9" t="s">
        <v>7</v>
      </c>
      <c r="AE35" s="10" t="s">
        <v>17</v>
      </c>
      <c r="AF35" s="9" t="s">
        <v>6</v>
      </c>
      <c r="AG35" s="9" t="s">
        <v>22</v>
      </c>
      <c r="AH35" s="9" t="s">
        <v>23</v>
      </c>
      <c r="AI35" s="9" t="s">
        <v>24</v>
      </c>
      <c r="AJ35" s="9" t="s">
        <v>25</v>
      </c>
      <c r="AK35" s="9" t="s">
        <v>26</v>
      </c>
      <c r="AL35" s="9" t="s">
        <v>27</v>
      </c>
      <c r="AM35" s="9" t="s">
        <v>28</v>
      </c>
      <c r="AN35" s="9" t="s">
        <v>29</v>
      </c>
      <c r="AO35" s="9" t="s">
        <v>30</v>
      </c>
      <c r="AP35" s="9" t="s">
        <v>31</v>
      </c>
      <c r="AQ35" s="9" t="s">
        <v>32</v>
      </c>
      <c r="AR35" s="9" t="s">
        <v>33</v>
      </c>
      <c r="AS35" s="9" t="s">
        <v>7</v>
      </c>
      <c r="CN35" s="57" t="s">
        <v>81</v>
      </c>
      <c r="CO35" s="57" t="s">
        <v>82</v>
      </c>
      <c r="CP35" s="57" t="s">
        <v>83</v>
      </c>
      <c r="CQ35" s="57" t="s">
        <v>84</v>
      </c>
      <c r="CR35" s="57" t="s">
        <v>85</v>
      </c>
      <c r="CS35" s="57" t="s">
        <v>86</v>
      </c>
      <c r="CT35" s="57" t="s">
        <v>87</v>
      </c>
      <c r="CU35" s="57" t="s">
        <v>88</v>
      </c>
      <c r="CV35" s="57" t="s">
        <v>89</v>
      </c>
      <c r="CW35" s="57" t="s">
        <v>90</v>
      </c>
      <c r="CX35" s="57" t="s">
        <v>91</v>
      </c>
      <c r="CY35" s="57" t="s">
        <v>92</v>
      </c>
      <c r="CZ35" s="57" t="s">
        <v>93</v>
      </c>
      <c r="DA35" s="57" t="s">
        <v>81</v>
      </c>
      <c r="DB35" s="57" t="s">
        <v>82</v>
      </c>
      <c r="DC35" s="57" t="s">
        <v>83</v>
      </c>
      <c r="DD35" s="57" t="s">
        <v>84</v>
      </c>
      <c r="DE35" s="57" t="s">
        <v>85</v>
      </c>
      <c r="DF35" s="57" t="s">
        <v>86</v>
      </c>
      <c r="DG35" s="57" t="s">
        <v>87</v>
      </c>
      <c r="DH35" s="57" t="s">
        <v>88</v>
      </c>
      <c r="DI35" s="57" t="s">
        <v>89</v>
      </c>
      <c r="DJ35" s="57" t="s">
        <v>90</v>
      </c>
      <c r="DK35" s="57" t="s">
        <v>91</v>
      </c>
      <c r="DL35" s="57" t="s">
        <v>92</v>
      </c>
      <c r="DM35" s="57" t="s">
        <v>93</v>
      </c>
      <c r="DN35" s="57" t="s">
        <v>81</v>
      </c>
      <c r="DO35" s="57" t="s">
        <v>82</v>
      </c>
      <c r="DP35" s="57" t="s">
        <v>83</v>
      </c>
      <c r="DQ35" s="57" t="s">
        <v>84</v>
      </c>
      <c r="DR35" s="57" t="s">
        <v>85</v>
      </c>
      <c r="DS35" s="57" t="s">
        <v>86</v>
      </c>
      <c r="DT35" s="57" t="s">
        <v>87</v>
      </c>
      <c r="DU35" s="57" t="s">
        <v>88</v>
      </c>
      <c r="DV35" s="57" t="s">
        <v>89</v>
      </c>
      <c r="DW35" s="57" t="s">
        <v>90</v>
      </c>
      <c r="DX35" s="57" t="s">
        <v>91</v>
      </c>
      <c r="DY35" s="57" t="s">
        <v>92</v>
      </c>
      <c r="DZ35" s="57" t="s">
        <v>93</v>
      </c>
      <c r="FO35" s="57" t="str">
        <f>FO29</f>
        <v>Apr'17</v>
      </c>
      <c r="FP35" s="57" t="str">
        <f t="shared" ref="FP35:HA35" si="237">FP29</f>
        <v>May'17</v>
      </c>
      <c r="FQ35" s="57" t="str">
        <f t="shared" si="237"/>
        <v>Jun'17</v>
      </c>
      <c r="FR35" s="57" t="str">
        <f t="shared" si="237"/>
        <v>Jul'17</v>
      </c>
      <c r="FS35" s="57" t="str">
        <f t="shared" si="237"/>
        <v>Aug'17</v>
      </c>
      <c r="FT35" s="57" t="str">
        <f t="shared" si="237"/>
        <v>Sep'17</v>
      </c>
      <c r="FU35" s="57" t="str">
        <f t="shared" si="237"/>
        <v>Oct'17</v>
      </c>
      <c r="FV35" s="57" t="str">
        <f t="shared" si="237"/>
        <v>Nov'17</v>
      </c>
      <c r="FW35" s="57" t="str">
        <f t="shared" si="237"/>
        <v>Dec'17</v>
      </c>
      <c r="FX35" s="57" t="str">
        <f t="shared" si="237"/>
        <v>Jan'18</v>
      </c>
      <c r="FY35" s="57" t="str">
        <f t="shared" si="237"/>
        <v>Feb'18</v>
      </c>
      <c r="FZ35" s="57" t="str">
        <f t="shared" si="237"/>
        <v>Mar'18</v>
      </c>
      <c r="GA35" s="57" t="str">
        <f t="shared" si="237"/>
        <v>FY 17~18</v>
      </c>
      <c r="GB35" s="57" t="str">
        <f t="shared" si="237"/>
        <v>Apr'17</v>
      </c>
      <c r="GC35" s="57" t="str">
        <f t="shared" si="237"/>
        <v>May'17</v>
      </c>
      <c r="GD35" s="57" t="str">
        <f t="shared" si="237"/>
        <v>Jun'17</v>
      </c>
      <c r="GE35" s="57" t="str">
        <f t="shared" si="237"/>
        <v>Jul'17</v>
      </c>
      <c r="GF35" s="57" t="str">
        <f t="shared" si="237"/>
        <v>Aug'17</v>
      </c>
      <c r="GG35" s="57" t="str">
        <f t="shared" si="237"/>
        <v>Sep'17</v>
      </c>
      <c r="GH35" s="57" t="str">
        <f t="shared" si="237"/>
        <v>Oct'17</v>
      </c>
      <c r="GI35" s="57" t="str">
        <f t="shared" si="237"/>
        <v>Nov'17</v>
      </c>
      <c r="GJ35" s="57" t="str">
        <f t="shared" si="237"/>
        <v>Dec'17</v>
      </c>
      <c r="GK35" s="57" t="str">
        <f t="shared" si="237"/>
        <v>Jan'18</v>
      </c>
      <c r="GL35" s="57" t="str">
        <f t="shared" si="237"/>
        <v>Feb'18</v>
      </c>
      <c r="GM35" s="57" t="str">
        <f t="shared" si="237"/>
        <v>Mar'18</v>
      </c>
      <c r="GN35" s="57" t="str">
        <f t="shared" si="237"/>
        <v>FY 17~18</v>
      </c>
      <c r="GO35" s="57" t="str">
        <f t="shared" si="237"/>
        <v>Apr'17</v>
      </c>
      <c r="GP35" s="57" t="str">
        <f t="shared" si="237"/>
        <v>May'17</v>
      </c>
      <c r="GQ35" s="57" t="str">
        <f t="shared" si="237"/>
        <v>Jun'17</v>
      </c>
      <c r="GR35" s="57" t="str">
        <f t="shared" si="237"/>
        <v>Jul'17</v>
      </c>
      <c r="GS35" s="57" t="str">
        <f t="shared" si="237"/>
        <v>Aug'17</v>
      </c>
      <c r="GT35" s="57" t="str">
        <f t="shared" si="237"/>
        <v>Sep'17</v>
      </c>
      <c r="GU35" s="57" t="str">
        <f t="shared" si="237"/>
        <v>Oct'17</v>
      </c>
      <c r="GV35" s="57" t="str">
        <f t="shared" si="237"/>
        <v>Nov'17</v>
      </c>
      <c r="GW35" s="57" t="str">
        <f t="shared" si="237"/>
        <v>Dec'17</v>
      </c>
      <c r="GX35" s="57" t="str">
        <f t="shared" si="237"/>
        <v>Jan'18</v>
      </c>
      <c r="GY35" s="57" t="str">
        <f t="shared" si="237"/>
        <v>Feb'18</v>
      </c>
      <c r="GZ35" s="57" t="str">
        <f t="shared" si="237"/>
        <v>Mar'18</v>
      </c>
      <c r="HA35" s="57" t="str">
        <f t="shared" si="237"/>
        <v>FY 17~18</v>
      </c>
      <c r="HB35" s="57" t="str">
        <f t="shared" ref="HB35:HN35" si="238">HB29</f>
        <v>Apr'17</v>
      </c>
      <c r="HC35" s="57" t="str">
        <f t="shared" si="238"/>
        <v>May'17</v>
      </c>
      <c r="HD35" s="57" t="str">
        <f t="shared" si="238"/>
        <v>Jun'17</v>
      </c>
      <c r="HE35" s="57" t="str">
        <f t="shared" si="238"/>
        <v>Jul'17</v>
      </c>
      <c r="HF35" s="57" t="str">
        <f t="shared" si="238"/>
        <v>Aug'17</v>
      </c>
      <c r="HG35" s="57" t="str">
        <f t="shared" si="238"/>
        <v>Sep'17</v>
      </c>
      <c r="HH35" s="57" t="str">
        <f t="shared" si="238"/>
        <v>Oct'17</v>
      </c>
      <c r="HI35" s="57" t="str">
        <f t="shared" si="238"/>
        <v>Nov'17</v>
      </c>
      <c r="HJ35" s="57" t="str">
        <f t="shared" si="238"/>
        <v>Dec'17</v>
      </c>
      <c r="HK35" s="57" t="str">
        <f t="shared" si="238"/>
        <v>Jan'18</v>
      </c>
      <c r="HL35" s="57" t="str">
        <f t="shared" si="238"/>
        <v>Feb'18</v>
      </c>
      <c r="HM35" s="57" t="str">
        <f t="shared" si="238"/>
        <v>Mar'18</v>
      </c>
      <c r="HN35" s="57" t="str">
        <f t="shared" si="238"/>
        <v>FY 17~18</v>
      </c>
      <c r="HP35" s="98" t="s">
        <v>127</v>
      </c>
      <c r="HQ35" s="98" t="s">
        <v>128</v>
      </c>
      <c r="HR35" s="99" t="s">
        <v>129</v>
      </c>
      <c r="HS35" s="99" t="s">
        <v>130</v>
      </c>
      <c r="HT35" s="99" t="s">
        <v>131</v>
      </c>
      <c r="HU35" s="99" t="s">
        <v>132</v>
      </c>
      <c r="HV35" s="99" t="s">
        <v>133</v>
      </c>
      <c r="HW35" s="99" t="s">
        <v>134</v>
      </c>
      <c r="HX35" s="99" t="s">
        <v>135</v>
      </c>
      <c r="HY35" s="99" t="s">
        <v>136</v>
      </c>
      <c r="HZ35" s="99" t="s">
        <v>137</v>
      </c>
      <c r="IA35" s="99" t="s">
        <v>138</v>
      </c>
      <c r="IB35" s="99" t="s">
        <v>139</v>
      </c>
      <c r="IC35" s="98" t="s">
        <v>127</v>
      </c>
      <c r="ID35" s="98" t="s">
        <v>128</v>
      </c>
      <c r="IE35" s="99" t="s">
        <v>129</v>
      </c>
      <c r="IF35" s="99" t="s">
        <v>130</v>
      </c>
      <c r="IG35" s="99" t="s">
        <v>131</v>
      </c>
      <c r="IH35" s="99" t="s">
        <v>132</v>
      </c>
      <c r="II35" s="99" t="s">
        <v>133</v>
      </c>
      <c r="IJ35" s="99" t="s">
        <v>134</v>
      </c>
      <c r="IK35" s="99" t="s">
        <v>135</v>
      </c>
      <c r="IL35" s="99" t="s">
        <v>136</v>
      </c>
      <c r="IM35" s="99" t="s">
        <v>137</v>
      </c>
      <c r="IN35" s="99" t="s">
        <v>138</v>
      </c>
      <c r="IO35" s="99" t="s">
        <v>139</v>
      </c>
      <c r="IP35" s="98" t="s">
        <v>127</v>
      </c>
      <c r="IQ35" s="98" t="s">
        <v>128</v>
      </c>
      <c r="IR35" s="99" t="s">
        <v>129</v>
      </c>
      <c r="IS35" s="99" t="s">
        <v>130</v>
      </c>
      <c r="IT35" s="99" t="s">
        <v>131</v>
      </c>
      <c r="IU35" s="99" t="s">
        <v>132</v>
      </c>
      <c r="IV35" s="99" t="s">
        <v>133</v>
      </c>
      <c r="IW35" s="99" t="s">
        <v>134</v>
      </c>
      <c r="IX35" s="99" t="s">
        <v>135</v>
      </c>
      <c r="IY35" s="99" t="s">
        <v>136</v>
      </c>
      <c r="IZ35" s="99" t="s">
        <v>137</v>
      </c>
      <c r="JA35" s="99" t="s">
        <v>138</v>
      </c>
      <c r="JB35" s="99" t="s">
        <v>139</v>
      </c>
      <c r="JC35" s="98" t="s">
        <v>127</v>
      </c>
      <c r="JD35" s="98" t="s">
        <v>128</v>
      </c>
      <c r="JE35" s="99" t="s">
        <v>129</v>
      </c>
      <c r="JF35" s="99" t="s">
        <v>130</v>
      </c>
      <c r="JG35" s="99" t="s">
        <v>131</v>
      </c>
      <c r="JH35" s="99" t="s">
        <v>132</v>
      </c>
      <c r="JI35" s="99" t="s">
        <v>133</v>
      </c>
      <c r="JJ35" s="99" t="s">
        <v>134</v>
      </c>
      <c r="JK35" s="99" t="s">
        <v>135</v>
      </c>
      <c r="JL35" s="99" t="s">
        <v>136</v>
      </c>
      <c r="JM35" s="99" t="s">
        <v>137</v>
      </c>
      <c r="JN35" s="99" t="s">
        <v>138</v>
      </c>
      <c r="JO35" s="99" t="s">
        <v>139</v>
      </c>
    </row>
    <row r="36" spans="1:327">
      <c r="A36" s="12" t="s">
        <v>18</v>
      </c>
      <c r="B36" s="5">
        <f t="shared" ref="B36:N38" si="239">SUM(Q36,AF36,AU36,BJ36,BY36)</f>
        <v>0</v>
      </c>
      <c r="C36" s="5">
        <f t="shared" si="239"/>
        <v>37.299999999999997</v>
      </c>
      <c r="D36" s="5">
        <f t="shared" si="239"/>
        <v>37</v>
      </c>
      <c r="E36" s="5">
        <f t="shared" si="239"/>
        <v>37</v>
      </c>
      <c r="F36" s="5">
        <f t="shared" si="239"/>
        <v>35.299999999999997</v>
      </c>
      <c r="G36" s="5">
        <f t="shared" si="239"/>
        <v>35.299999999999997</v>
      </c>
      <c r="H36" s="5">
        <f t="shared" si="239"/>
        <v>35.299999999999997</v>
      </c>
      <c r="I36" s="5">
        <f t="shared" si="239"/>
        <v>35.299999999999997</v>
      </c>
      <c r="J36" s="5">
        <f t="shared" si="239"/>
        <v>35.299999999999997</v>
      </c>
      <c r="K36" s="5">
        <f t="shared" si="239"/>
        <v>35.299999999999997</v>
      </c>
      <c r="L36" s="5">
        <f t="shared" si="239"/>
        <v>35.299999999999997</v>
      </c>
      <c r="M36" s="5">
        <f t="shared" si="239"/>
        <v>35.299999999999997</v>
      </c>
      <c r="N36" s="5">
        <f t="shared" si="239"/>
        <v>35.299999999999997</v>
      </c>
      <c r="O36" s="7">
        <f>AVERAGE(C36:N36)</f>
        <v>35.750000000000007</v>
      </c>
      <c r="P36" s="4" t="s">
        <v>18</v>
      </c>
      <c r="R36" s="22">
        <f>37.3-AG36</f>
        <v>37.299999999999997</v>
      </c>
      <c r="S36" s="22">
        <f>37-AH36</f>
        <v>37</v>
      </c>
      <c r="T36" s="22">
        <f>37-AI36</f>
        <v>37</v>
      </c>
      <c r="U36" s="22">
        <f t="shared" ref="U36:AC36" si="240">35.3-AJ36</f>
        <v>35.299999999999997</v>
      </c>
      <c r="V36" s="22">
        <f t="shared" si="240"/>
        <v>35.299999999999997</v>
      </c>
      <c r="W36" s="22">
        <f t="shared" si="240"/>
        <v>35.299999999999997</v>
      </c>
      <c r="X36" s="22">
        <f t="shared" si="240"/>
        <v>35.299999999999997</v>
      </c>
      <c r="Y36" s="22">
        <f t="shared" si="240"/>
        <v>35.299999999999997</v>
      </c>
      <c r="Z36" s="22">
        <f t="shared" si="240"/>
        <v>35.299999999999997</v>
      </c>
      <c r="AA36" s="22">
        <f t="shared" si="240"/>
        <v>35.299999999999997</v>
      </c>
      <c r="AB36" s="22">
        <f t="shared" si="240"/>
        <v>35.299999999999997</v>
      </c>
      <c r="AC36" s="22">
        <f t="shared" si="240"/>
        <v>35.299999999999997</v>
      </c>
      <c r="AD36" s="7">
        <f>AVERAGE(R36:AC36)</f>
        <v>35.750000000000007</v>
      </c>
      <c r="AE36" s="4" t="s">
        <v>18</v>
      </c>
      <c r="AS36" s="7" t="e">
        <f>AVERAGE(AG36:AR36)</f>
        <v>#DIV/0!</v>
      </c>
      <c r="CN36" s="5">
        <f t="shared" ref="CN36:CY38" si="241">SUM(DA36,DN36,EA36)</f>
        <v>37</v>
      </c>
      <c r="CO36" s="5">
        <f t="shared" si="241"/>
        <v>37</v>
      </c>
      <c r="CP36" s="5">
        <f t="shared" si="241"/>
        <v>38</v>
      </c>
      <c r="CQ36" s="5">
        <f t="shared" si="241"/>
        <v>40</v>
      </c>
      <c r="CR36" s="5">
        <f t="shared" si="241"/>
        <v>40</v>
      </c>
      <c r="CS36" s="5">
        <f t="shared" si="241"/>
        <v>40</v>
      </c>
      <c r="CT36" s="5">
        <f t="shared" si="241"/>
        <v>40</v>
      </c>
      <c r="CU36" s="5">
        <f t="shared" si="241"/>
        <v>40</v>
      </c>
      <c r="CV36" s="5">
        <f t="shared" si="241"/>
        <v>40</v>
      </c>
      <c r="CW36" s="5">
        <f t="shared" si="241"/>
        <v>40</v>
      </c>
      <c r="CX36" s="5">
        <f t="shared" si="241"/>
        <v>40</v>
      </c>
      <c r="CY36" s="5">
        <f t="shared" si="241"/>
        <v>40</v>
      </c>
      <c r="CZ36" s="13">
        <f>AVERAGE(CN36:CY36)</f>
        <v>39.333333333333336</v>
      </c>
      <c r="DA36" s="5">
        <f>37-DN36</f>
        <v>37</v>
      </c>
      <c r="DB36" s="5">
        <f>37-DO36</f>
        <v>37</v>
      </c>
      <c r="DC36" s="5">
        <f>38-DP36</f>
        <v>38</v>
      </c>
      <c r="DD36" s="5">
        <f t="shared" ref="DD36:DL36" si="242">40-DQ36</f>
        <v>40</v>
      </c>
      <c r="DE36" s="5">
        <f t="shared" si="242"/>
        <v>40</v>
      </c>
      <c r="DF36" s="5">
        <f t="shared" si="242"/>
        <v>40</v>
      </c>
      <c r="DG36" s="5">
        <f t="shared" si="242"/>
        <v>40</v>
      </c>
      <c r="DH36" s="5">
        <f t="shared" si="242"/>
        <v>40</v>
      </c>
      <c r="DI36" s="5">
        <f t="shared" si="242"/>
        <v>40</v>
      </c>
      <c r="DJ36" s="5">
        <f t="shared" si="242"/>
        <v>40</v>
      </c>
      <c r="DK36" s="5">
        <f t="shared" si="242"/>
        <v>40</v>
      </c>
      <c r="DL36" s="5">
        <f t="shared" si="242"/>
        <v>40</v>
      </c>
      <c r="DM36" s="13">
        <f>AVERAGE(DA36:DL36)</f>
        <v>39.333333333333336</v>
      </c>
      <c r="DN36" s="22">
        <f>0</f>
        <v>0</v>
      </c>
      <c r="DO36" s="22">
        <f>0</f>
        <v>0</v>
      </c>
      <c r="DP36" s="22">
        <f>0</f>
        <v>0</v>
      </c>
      <c r="DQ36" s="22">
        <f>0</f>
        <v>0</v>
      </c>
      <c r="DR36" s="22">
        <f>0</f>
        <v>0</v>
      </c>
      <c r="DS36" s="22">
        <f>0</f>
        <v>0</v>
      </c>
      <c r="DT36" s="22">
        <f>0</f>
        <v>0</v>
      </c>
      <c r="DU36" s="22">
        <f>0</f>
        <v>0</v>
      </c>
      <c r="DV36" s="22">
        <f>0</f>
        <v>0</v>
      </c>
      <c r="DW36" s="22">
        <f>0</f>
        <v>0</v>
      </c>
      <c r="DX36" s="22">
        <f>0</f>
        <v>0</v>
      </c>
      <c r="DY36" s="22">
        <f>0</f>
        <v>0</v>
      </c>
      <c r="DZ36" s="63">
        <f>AVERAGE(DN36:DY36)</f>
        <v>0</v>
      </c>
      <c r="FO36" s="5">
        <f t="shared" ref="FO36:FO38" si="243">SUM(GB36,GO36,HB36)</f>
        <v>44</v>
      </c>
      <c r="FP36" s="5">
        <f t="shared" ref="FP36:FP38" si="244">SUM(GC36,GP36,HC36)</f>
        <v>44</v>
      </c>
      <c r="FQ36" s="5">
        <f t="shared" ref="FQ36:FQ38" si="245">SUM(GD36,GQ36,HD36)</f>
        <v>44</v>
      </c>
      <c r="FR36" s="5">
        <f t="shared" ref="FR36:FR38" si="246">SUM(GE36,GR36,HE36)</f>
        <v>45</v>
      </c>
      <c r="FS36" s="5">
        <f t="shared" ref="FS36:FS38" si="247">SUM(GF36,GS36,HF36)</f>
        <v>45</v>
      </c>
      <c r="FT36" s="5">
        <f t="shared" ref="FT36:FT38" si="248">SUM(GG36,GT36,HG36)</f>
        <v>45</v>
      </c>
      <c r="FU36" s="5">
        <f t="shared" ref="FU36:FU38" si="249">SUM(GH36,GU36,HH36)</f>
        <v>44</v>
      </c>
      <c r="FV36" s="5">
        <f t="shared" ref="FV36:FV38" si="250">SUM(GI36,GV36,HI36)</f>
        <v>44</v>
      </c>
      <c r="FW36" s="5">
        <f t="shared" ref="FW36:FW38" si="251">SUM(GJ36,GW36,HJ36)</f>
        <v>44</v>
      </c>
      <c r="FX36" s="5">
        <f t="shared" ref="FX36:FX38" si="252">SUM(GK36,GX36,HK36)</f>
        <v>44</v>
      </c>
      <c r="FY36" s="5">
        <f t="shared" ref="FY36:FY38" si="253">SUM(GL36,GY36,HL36)</f>
        <v>44</v>
      </c>
      <c r="FZ36" s="5">
        <f t="shared" ref="FZ36:FZ38" si="254">SUM(GM36,GZ36,HM36)</f>
        <v>44</v>
      </c>
      <c r="GA36" s="13">
        <f>AVERAGE(FO36:FZ36)</f>
        <v>44.25</v>
      </c>
      <c r="GB36" s="5">
        <f>44-GO36</f>
        <v>44</v>
      </c>
      <c r="GC36" s="5">
        <f>44-GP36</f>
        <v>44</v>
      </c>
      <c r="GD36" s="5">
        <f>44-GQ36</f>
        <v>44</v>
      </c>
      <c r="GE36" s="5">
        <f>45-GR36</f>
        <v>45</v>
      </c>
      <c r="GF36" s="5">
        <f>45-GS36</f>
        <v>45</v>
      </c>
      <c r="GG36" s="5">
        <f>45-GT36</f>
        <v>45</v>
      </c>
      <c r="GH36" s="5">
        <f>44-GU36</f>
        <v>44</v>
      </c>
      <c r="GI36" s="5">
        <f>44-GV36</f>
        <v>44</v>
      </c>
      <c r="GJ36" s="5">
        <f>44-GW36</f>
        <v>44</v>
      </c>
      <c r="GK36" s="5">
        <f>44-GX36</f>
        <v>44</v>
      </c>
      <c r="GL36" s="5">
        <f t="shared" ref="GL36:GM36" si="255">44-GY36</f>
        <v>44</v>
      </c>
      <c r="GM36" s="5">
        <f t="shared" si="255"/>
        <v>44</v>
      </c>
      <c r="GN36" s="13">
        <f>AVERAGE(GB36:GM36)</f>
        <v>44.25</v>
      </c>
      <c r="GO36" s="22">
        <f>0</f>
        <v>0</v>
      </c>
      <c r="GP36" s="22">
        <f>0</f>
        <v>0</v>
      </c>
      <c r="GQ36" s="22">
        <f>0</f>
        <v>0</v>
      </c>
      <c r="GR36" s="22">
        <f>0</f>
        <v>0</v>
      </c>
      <c r="GS36" s="22">
        <f>0</f>
        <v>0</v>
      </c>
      <c r="GT36" s="22">
        <f>0</f>
        <v>0</v>
      </c>
      <c r="GU36" s="22">
        <f>0</f>
        <v>0</v>
      </c>
      <c r="GV36" s="22">
        <f>0</f>
        <v>0</v>
      </c>
      <c r="GW36" s="22">
        <f>0</f>
        <v>0</v>
      </c>
      <c r="GX36" s="22">
        <f>0</f>
        <v>0</v>
      </c>
      <c r="GY36" s="22">
        <f>0</f>
        <v>0</v>
      </c>
      <c r="GZ36" s="22">
        <f>0</f>
        <v>0</v>
      </c>
      <c r="HA36" s="63">
        <f>AVERAGE(GO36:GZ36)</f>
        <v>0</v>
      </c>
      <c r="HB36" s="22">
        <f>0</f>
        <v>0</v>
      </c>
      <c r="HC36" s="22">
        <f>0</f>
        <v>0</v>
      </c>
      <c r="HD36" s="22">
        <f>0</f>
        <v>0</v>
      </c>
      <c r="HE36" s="22">
        <f>0</f>
        <v>0</v>
      </c>
      <c r="HF36" s="22">
        <f>0</f>
        <v>0</v>
      </c>
      <c r="HG36" s="22">
        <f>0</f>
        <v>0</v>
      </c>
      <c r="HH36" s="22">
        <f>0</f>
        <v>0</v>
      </c>
      <c r="HI36" s="22">
        <f>0</f>
        <v>0</v>
      </c>
      <c r="HJ36" s="22">
        <f>0</f>
        <v>0</v>
      </c>
      <c r="HK36" s="22">
        <f>0</f>
        <v>0</v>
      </c>
      <c r="HL36" s="22">
        <f>0</f>
        <v>0</v>
      </c>
      <c r="HM36" s="22">
        <f>0</f>
        <v>0</v>
      </c>
      <c r="HN36" s="63">
        <f>AVERAGE(HB36:HM36)</f>
        <v>0</v>
      </c>
      <c r="HP36" s="5">
        <f t="shared" ref="HP36:HP38" si="256">SUM(IC36,IP36,JC36)</f>
        <v>45.3</v>
      </c>
      <c r="HQ36" s="5">
        <f t="shared" ref="HQ36:HQ38" si="257">SUM(ID36,IQ36,JD36)</f>
        <v>46.3</v>
      </c>
      <c r="HR36" s="5">
        <f t="shared" ref="HR36:HR38" si="258">SUM(IE36,IR36,JE36)</f>
        <v>46.3</v>
      </c>
      <c r="HS36" s="5">
        <f t="shared" ref="HS36:HS38" si="259">SUM(IF36,IS36,JF36)</f>
        <v>49.3</v>
      </c>
      <c r="HT36" s="5">
        <f t="shared" ref="HT36:HT38" si="260">SUM(IG36,IT36,JG36)</f>
        <v>50.3</v>
      </c>
      <c r="HU36" s="5">
        <f t="shared" ref="HU36:HU38" si="261">SUM(IH36,IU36,JH36)</f>
        <v>51.3</v>
      </c>
      <c r="HV36" s="5">
        <f t="shared" ref="HV36:HV38" si="262">SUM(II36,IV36,JI36)</f>
        <v>51.3</v>
      </c>
      <c r="HW36" s="5">
        <f t="shared" ref="HW36:HW38" si="263">SUM(IJ36,IW36,JJ36)</f>
        <v>51.3</v>
      </c>
      <c r="HX36" s="5">
        <f t="shared" ref="HX36:HX38" si="264">SUM(IK36,IX36,JK36)</f>
        <v>52.3</v>
      </c>
      <c r="HY36" s="5">
        <f t="shared" ref="HY36:HY38" si="265">SUM(IL36,IY36,JL36)</f>
        <v>53.3</v>
      </c>
      <c r="HZ36" s="5">
        <f t="shared" ref="HZ36:HZ38" si="266">SUM(IM36,IZ36,JM36)</f>
        <v>53.3</v>
      </c>
      <c r="IA36" s="5">
        <f t="shared" ref="IA36:IA38" si="267">SUM(IN36,JA36,JN36)</f>
        <v>54.3</v>
      </c>
      <c r="IB36" s="63">
        <f>AVERAGE(HP36:IA36)</f>
        <v>50.383333333333333</v>
      </c>
      <c r="IC36" s="21">
        <f>SUM([17]Manpower_month!DK5,[17]Manpower_month!DK6)-SUM(IP30)</f>
        <v>43.3</v>
      </c>
      <c r="ID36" s="21">
        <f>SUM([17]Manpower_month!DL5,[17]Manpower_month!DL6)-SUM(IQ30)</f>
        <v>44.3</v>
      </c>
      <c r="IE36" s="21">
        <f>SUM([17]Manpower_month!DM5,[17]Manpower_month!DM6)-SUM(IR30)</f>
        <v>44.3</v>
      </c>
      <c r="IF36" s="21">
        <f>SUM([17]Manpower_month!DN5,[17]Manpower_month!DN6)-SUM(IS30)</f>
        <v>47.3</v>
      </c>
      <c r="IG36" s="21">
        <f>SUM([18]Manpower_month!DO5,[18]Manpower_month!DO6)-SUM(IT36)</f>
        <v>48.3</v>
      </c>
      <c r="IH36" s="21">
        <f>SUM([18]Manpower_month!DP5,[18]Manpower_month!DP6)-SUM(IU36)</f>
        <v>49.3</v>
      </c>
      <c r="II36" s="21">
        <f>SUM([18]Manpower_month!DQ5,[18]Manpower_month!DQ6)-SUM(IV36)</f>
        <v>49.3</v>
      </c>
      <c r="IJ36" s="21">
        <f>SUM([18]Manpower_month!DR5,[18]Manpower_month!DR6)-SUM(IW36)</f>
        <v>49.3</v>
      </c>
      <c r="IK36" s="21">
        <f>SUM([18]Manpower_month!DS5,[18]Manpower_month!DS6)-SUM(IX36)</f>
        <v>50.3</v>
      </c>
      <c r="IL36" s="21">
        <f>SUM([18]Manpower_month!DT5,[18]Manpower_month!DT6)-SUM(IY36)</f>
        <v>51.3</v>
      </c>
      <c r="IM36" s="21">
        <f>SUM([18]Manpower_month!DU5,[18]Manpower_month!DU6)-SUM(IZ36)</f>
        <v>51.3</v>
      </c>
      <c r="IN36" s="21">
        <f>SUM([18]Manpower_month!DV5,[18]Manpower_month!DV6)-SUM(JA36)</f>
        <v>52.3</v>
      </c>
      <c r="IO36" s="63">
        <f>IFERROR(AVERAGE(IC36:IN36),"")</f>
        <v>48.383333333333333</v>
      </c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63" t="str">
        <f>IFERROR(AVERAGE(IP36:JA36),"")</f>
        <v/>
      </c>
      <c r="JC36" s="5">
        <f>[17]Manpower_month!FW5</f>
        <v>2</v>
      </c>
      <c r="JD36" s="5">
        <f>[17]Manpower_month!FX5</f>
        <v>2</v>
      </c>
      <c r="JE36" s="5">
        <f>[17]Manpower_month!FY5</f>
        <v>2</v>
      </c>
      <c r="JF36" s="5">
        <f>[17]Manpower_month!FZ5</f>
        <v>2</v>
      </c>
      <c r="JG36" s="5">
        <f>[18]Manpower_month!GA5</f>
        <v>2</v>
      </c>
      <c r="JH36" s="5">
        <f>[18]Manpower_month!GB5</f>
        <v>2</v>
      </c>
      <c r="JI36" s="5">
        <f>[18]Manpower_month!GC5</f>
        <v>2</v>
      </c>
      <c r="JJ36" s="5">
        <f>[18]Manpower_month!GD5</f>
        <v>2</v>
      </c>
      <c r="JK36" s="5">
        <f>[18]Manpower_month!GE5</f>
        <v>2</v>
      </c>
      <c r="JL36" s="5">
        <f>[18]Manpower_month!GF5</f>
        <v>2</v>
      </c>
      <c r="JM36" s="5">
        <f>[18]Manpower_month!GG5</f>
        <v>2</v>
      </c>
      <c r="JN36" s="5">
        <f>[18]Manpower_month!GH5</f>
        <v>2</v>
      </c>
      <c r="JO36" s="63">
        <f>IFERROR(AVERAGE(JC36:JN36),"")</f>
        <v>2</v>
      </c>
    </row>
    <row r="37" spans="1:327">
      <c r="A37" s="12" t="s">
        <v>19</v>
      </c>
      <c r="B37" s="5">
        <f t="shared" si="239"/>
        <v>0</v>
      </c>
      <c r="C37" s="5">
        <f t="shared" si="239"/>
        <v>56</v>
      </c>
      <c r="D37" s="5">
        <f t="shared" si="239"/>
        <v>56</v>
      </c>
      <c r="E37" s="5">
        <f t="shared" si="239"/>
        <v>56</v>
      </c>
      <c r="F37" s="5">
        <f t="shared" si="239"/>
        <v>56</v>
      </c>
      <c r="G37" s="5">
        <f t="shared" si="239"/>
        <v>56</v>
      </c>
      <c r="H37" s="5">
        <f t="shared" si="239"/>
        <v>56</v>
      </c>
      <c r="I37" s="5">
        <f t="shared" si="239"/>
        <v>56</v>
      </c>
      <c r="J37" s="5">
        <f t="shared" si="239"/>
        <v>56</v>
      </c>
      <c r="K37" s="5">
        <f t="shared" si="239"/>
        <v>56</v>
      </c>
      <c r="L37" s="5">
        <f t="shared" si="239"/>
        <v>56</v>
      </c>
      <c r="M37" s="5">
        <f t="shared" si="239"/>
        <v>56</v>
      </c>
      <c r="N37" s="5">
        <f t="shared" si="239"/>
        <v>56</v>
      </c>
      <c r="O37" s="7">
        <f>AVERAGE(C37:N37)</f>
        <v>56</v>
      </c>
      <c r="P37" s="4" t="s">
        <v>19</v>
      </c>
      <c r="R37" s="22">
        <f t="shared" ref="R37:AC37" si="268">56-AG37</f>
        <v>55</v>
      </c>
      <c r="S37" s="22">
        <f t="shared" si="268"/>
        <v>55</v>
      </c>
      <c r="T37" s="22">
        <f t="shared" si="268"/>
        <v>55</v>
      </c>
      <c r="U37" s="22">
        <f t="shared" si="268"/>
        <v>55</v>
      </c>
      <c r="V37" s="22">
        <f t="shared" si="268"/>
        <v>55</v>
      </c>
      <c r="W37" s="22">
        <f t="shared" si="268"/>
        <v>55</v>
      </c>
      <c r="X37" s="22">
        <f t="shared" si="268"/>
        <v>55</v>
      </c>
      <c r="Y37" s="22">
        <f t="shared" si="268"/>
        <v>55</v>
      </c>
      <c r="Z37" s="22">
        <f t="shared" si="268"/>
        <v>55</v>
      </c>
      <c r="AA37" s="22">
        <f t="shared" si="268"/>
        <v>55</v>
      </c>
      <c r="AB37" s="22">
        <f t="shared" si="268"/>
        <v>55</v>
      </c>
      <c r="AC37" s="22">
        <f t="shared" si="268"/>
        <v>55</v>
      </c>
      <c r="AD37" s="7">
        <f>AVERAGE(R37:AC37)</f>
        <v>55</v>
      </c>
      <c r="AE37" s="4" t="s">
        <v>19</v>
      </c>
      <c r="AG37" s="22">
        <f>1</f>
        <v>1</v>
      </c>
      <c r="AH37" s="22">
        <f>1</f>
        <v>1</v>
      </c>
      <c r="AI37" s="22">
        <f>1</f>
        <v>1</v>
      </c>
      <c r="AJ37" s="22">
        <f>1</f>
        <v>1</v>
      </c>
      <c r="AK37" s="22">
        <f>1</f>
        <v>1</v>
      </c>
      <c r="AL37" s="22">
        <f>1</f>
        <v>1</v>
      </c>
      <c r="AM37" s="22">
        <f>1</f>
        <v>1</v>
      </c>
      <c r="AN37" s="22">
        <f>1</f>
        <v>1</v>
      </c>
      <c r="AO37" s="22">
        <f>1</f>
        <v>1</v>
      </c>
      <c r="AP37" s="22">
        <f>1</f>
        <v>1</v>
      </c>
      <c r="AQ37" s="22">
        <f>1</f>
        <v>1</v>
      </c>
      <c r="AR37" s="22">
        <f>1</f>
        <v>1</v>
      </c>
      <c r="AS37" s="7">
        <f>AVERAGE(AG37:AR37)</f>
        <v>1</v>
      </c>
      <c r="CN37" s="5">
        <f t="shared" si="241"/>
        <v>54</v>
      </c>
      <c r="CO37" s="5">
        <f t="shared" si="241"/>
        <v>54</v>
      </c>
      <c r="CP37" s="5">
        <f t="shared" si="241"/>
        <v>54</v>
      </c>
      <c r="CQ37" s="5">
        <f t="shared" si="241"/>
        <v>54</v>
      </c>
      <c r="CR37" s="5">
        <f t="shared" si="241"/>
        <v>53</v>
      </c>
      <c r="CS37" s="5">
        <f t="shared" si="241"/>
        <v>53</v>
      </c>
      <c r="CT37" s="5">
        <f t="shared" si="241"/>
        <v>53</v>
      </c>
      <c r="CU37" s="5">
        <f t="shared" si="241"/>
        <v>52</v>
      </c>
      <c r="CV37" s="5">
        <f t="shared" si="241"/>
        <v>52</v>
      </c>
      <c r="CW37" s="5">
        <f t="shared" si="241"/>
        <v>52</v>
      </c>
      <c r="CX37" s="5">
        <f t="shared" si="241"/>
        <v>51</v>
      </c>
      <c r="CY37" s="5">
        <f t="shared" si="241"/>
        <v>51</v>
      </c>
      <c r="CZ37" s="13">
        <f>AVERAGE(CN37:CY37)</f>
        <v>52.75</v>
      </c>
      <c r="DA37" s="5">
        <f>54-DN37</f>
        <v>54</v>
      </c>
      <c r="DB37" s="5">
        <f>54-DO37</f>
        <v>54</v>
      </c>
      <c r="DC37" s="5">
        <f>54-DP37</f>
        <v>54</v>
      </c>
      <c r="DD37" s="5">
        <f>54-DQ37</f>
        <v>54</v>
      </c>
      <c r="DE37" s="5">
        <f>53-DR37</f>
        <v>53</v>
      </c>
      <c r="DF37" s="5">
        <f>53-DS37</f>
        <v>53</v>
      </c>
      <c r="DG37" s="5">
        <f>53-DT37</f>
        <v>53</v>
      </c>
      <c r="DH37" s="5">
        <f>52-DU37</f>
        <v>52</v>
      </c>
      <c r="DI37" s="5">
        <f>52-DV37</f>
        <v>52</v>
      </c>
      <c r="DJ37" s="5">
        <f>52-DW37</f>
        <v>52</v>
      </c>
      <c r="DK37" s="5">
        <f>51-DX37</f>
        <v>51</v>
      </c>
      <c r="DL37" s="5">
        <f>51-DY37</f>
        <v>51</v>
      </c>
      <c r="DM37" s="13">
        <f>AVERAGE(DA37:DL37)</f>
        <v>52.75</v>
      </c>
      <c r="DN37" s="22">
        <f>0</f>
        <v>0</v>
      </c>
      <c r="DO37" s="22">
        <f>0</f>
        <v>0</v>
      </c>
      <c r="DP37" s="22">
        <f>0</f>
        <v>0</v>
      </c>
      <c r="DQ37" s="22">
        <f>0</f>
        <v>0</v>
      </c>
      <c r="DR37" s="22">
        <f>0</f>
        <v>0</v>
      </c>
      <c r="DS37" s="22">
        <f>0</f>
        <v>0</v>
      </c>
      <c r="DT37" s="22">
        <f>0</f>
        <v>0</v>
      </c>
      <c r="DU37" s="22">
        <f>0</f>
        <v>0</v>
      </c>
      <c r="DV37" s="22">
        <f>0</f>
        <v>0</v>
      </c>
      <c r="DW37" s="22">
        <f>0</f>
        <v>0</v>
      </c>
      <c r="DX37" s="22">
        <f>0</f>
        <v>0</v>
      </c>
      <c r="DY37" s="22">
        <f>0</f>
        <v>0</v>
      </c>
      <c r="DZ37" s="63">
        <f>AVERAGE(DN37:DY37)</f>
        <v>0</v>
      </c>
      <c r="FO37" s="5">
        <f t="shared" si="243"/>
        <v>53</v>
      </c>
      <c r="FP37" s="5">
        <f t="shared" si="244"/>
        <v>53</v>
      </c>
      <c r="FQ37" s="5">
        <f t="shared" si="245"/>
        <v>53</v>
      </c>
      <c r="FR37" s="5">
        <f t="shared" si="246"/>
        <v>53</v>
      </c>
      <c r="FS37" s="5">
        <f t="shared" si="247"/>
        <v>53</v>
      </c>
      <c r="FT37" s="5">
        <f t="shared" si="248"/>
        <v>53</v>
      </c>
      <c r="FU37" s="5">
        <f t="shared" si="249"/>
        <v>53</v>
      </c>
      <c r="FV37" s="5">
        <f t="shared" si="250"/>
        <v>53</v>
      </c>
      <c r="FW37" s="5">
        <f t="shared" si="251"/>
        <v>53</v>
      </c>
      <c r="FX37" s="5">
        <f t="shared" si="252"/>
        <v>53</v>
      </c>
      <c r="FY37" s="5">
        <f t="shared" si="253"/>
        <v>53</v>
      </c>
      <c r="FZ37" s="5">
        <f t="shared" si="254"/>
        <v>53</v>
      </c>
      <c r="GA37" s="13">
        <f>AVERAGE(FO37:FZ37)</f>
        <v>53</v>
      </c>
      <c r="GB37" s="5">
        <f t="shared" ref="GB37:GK37" si="269">53-GO37</f>
        <v>53</v>
      </c>
      <c r="GC37" s="5">
        <f t="shared" si="269"/>
        <v>53</v>
      </c>
      <c r="GD37" s="5">
        <f t="shared" si="269"/>
        <v>53</v>
      </c>
      <c r="GE37" s="5">
        <f t="shared" si="269"/>
        <v>53</v>
      </c>
      <c r="GF37" s="5">
        <f t="shared" si="269"/>
        <v>53</v>
      </c>
      <c r="GG37" s="5">
        <f t="shared" si="269"/>
        <v>53</v>
      </c>
      <c r="GH37" s="5">
        <f t="shared" si="269"/>
        <v>53</v>
      </c>
      <c r="GI37" s="5">
        <f t="shared" si="269"/>
        <v>53</v>
      </c>
      <c r="GJ37" s="5">
        <f t="shared" si="269"/>
        <v>53</v>
      </c>
      <c r="GK37" s="5">
        <f t="shared" si="269"/>
        <v>53</v>
      </c>
      <c r="GL37" s="5">
        <f t="shared" ref="GL37" si="270">53-GY37</f>
        <v>53</v>
      </c>
      <c r="GM37" s="5">
        <f t="shared" ref="GM37" si="271">53-GZ37</f>
        <v>53</v>
      </c>
      <c r="GN37" s="13">
        <f>AVERAGE(GB37:GM37)</f>
        <v>53</v>
      </c>
      <c r="GO37" s="22">
        <f>0</f>
        <v>0</v>
      </c>
      <c r="GP37" s="22">
        <f>0</f>
        <v>0</v>
      </c>
      <c r="GQ37" s="22">
        <f>0</f>
        <v>0</v>
      </c>
      <c r="GR37" s="22">
        <f>0</f>
        <v>0</v>
      </c>
      <c r="GS37" s="22">
        <f>0</f>
        <v>0</v>
      </c>
      <c r="GT37" s="22">
        <f>0</f>
        <v>0</v>
      </c>
      <c r="GU37" s="22">
        <f>0</f>
        <v>0</v>
      </c>
      <c r="GV37" s="22">
        <f>0</f>
        <v>0</v>
      </c>
      <c r="GW37" s="22">
        <f>0</f>
        <v>0</v>
      </c>
      <c r="GX37" s="22">
        <f>0</f>
        <v>0</v>
      </c>
      <c r="GY37" s="22">
        <f>0</f>
        <v>0</v>
      </c>
      <c r="GZ37" s="22">
        <f>0</f>
        <v>0</v>
      </c>
      <c r="HA37" s="63">
        <f>AVERAGE(GO37:GZ37)</f>
        <v>0</v>
      </c>
      <c r="HB37" s="22">
        <f>0</f>
        <v>0</v>
      </c>
      <c r="HC37" s="22">
        <f>0</f>
        <v>0</v>
      </c>
      <c r="HD37" s="22">
        <f>0</f>
        <v>0</v>
      </c>
      <c r="HE37" s="22">
        <f>0</f>
        <v>0</v>
      </c>
      <c r="HF37" s="22">
        <f>0</f>
        <v>0</v>
      </c>
      <c r="HG37" s="22">
        <f>0</f>
        <v>0</v>
      </c>
      <c r="HH37" s="22">
        <f>0</f>
        <v>0</v>
      </c>
      <c r="HI37" s="22">
        <f>0</f>
        <v>0</v>
      </c>
      <c r="HJ37" s="22">
        <v>0</v>
      </c>
      <c r="HK37" s="22">
        <v>0</v>
      </c>
      <c r="HL37" s="22">
        <v>0</v>
      </c>
      <c r="HM37" s="22">
        <v>0</v>
      </c>
      <c r="HN37" s="63">
        <f>AVERAGE(HB37:HM37)</f>
        <v>0</v>
      </c>
      <c r="HP37" s="5">
        <f t="shared" si="256"/>
        <v>50</v>
      </c>
      <c r="HQ37" s="5">
        <f t="shared" si="257"/>
        <v>50</v>
      </c>
      <c r="HR37" s="5">
        <f t="shared" si="258"/>
        <v>50</v>
      </c>
      <c r="HS37" s="5">
        <f t="shared" si="259"/>
        <v>50</v>
      </c>
      <c r="HT37" s="5">
        <f t="shared" si="260"/>
        <v>50</v>
      </c>
      <c r="HU37" s="5">
        <f t="shared" si="261"/>
        <v>49</v>
      </c>
      <c r="HV37" s="5">
        <f t="shared" si="262"/>
        <v>49</v>
      </c>
      <c r="HW37" s="5">
        <f t="shared" si="263"/>
        <v>49</v>
      </c>
      <c r="HX37" s="5">
        <f t="shared" si="264"/>
        <v>48</v>
      </c>
      <c r="HY37" s="5">
        <f t="shared" si="265"/>
        <v>48</v>
      </c>
      <c r="HZ37" s="5">
        <f t="shared" si="266"/>
        <v>48</v>
      </c>
      <c r="IA37" s="5">
        <f t="shared" si="267"/>
        <v>47</v>
      </c>
      <c r="IB37" s="63">
        <f>AVERAGE(HP37:IA37)</f>
        <v>49</v>
      </c>
      <c r="IC37" s="21">
        <f>SUM([17]Manpower_month!DK7)-SUM(IP37)</f>
        <v>48</v>
      </c>
      <c r="ID37" s="21">
        <f>SUM([17]Manpower_month!DL7)-SUM(IQ37)</f>
        <v>48</v>
      </c>
      <c r="IE37" s="21">
        <f>SUM([17]Manpower_month!DM7)-SUM(IR37)</f>
        <v>48</v>
      </c>
      <c r="IF37" s="21">
        <f>SUM([17]Manpower_month!DN7)-SUM(IS37)</f>
        <v>48</v>
      </c>
      <c r="IG37" s="21">
        <f>SUM([18]Manpower_month!DO7)-SUM(IT37)</f>
        <v>48</v>
      </c>
      <c r="IH37" s="21">
        <f>SUM([18]Manpower_month!DP7)-SUM(IU37)</f>
        <v>47</v>
      </c>
      <c r="II37" s="21">
        <f>SUM([18]Manpower_month!DQ7)-SUM(IV37)</f>
        <v>47</v>
      </c>
      <c r="IJ37" s="21">
        <f>SUM([18]Manpower_month!DR7)-SUM(IW37)</f>
        <v>47</v>
      </c>
      <c r="IK37" s="21">
        <f>SUM([18]Manpower_month!DS7)-SUM(IX37)</f>
        <v>46</v>
      </c>
      <c r="IL37" s="21">
        <f>SUM([18]Manpower_month!DT7)-SUM(IY37)</f>
        <v>46</v>
      </c>
      <c r="IM37" s="21">
        <f>SUM([18]Manpower_month!DU7)-SUM(IZ37)</f>
        <v>46</v>
      </c>
      <c r="IN37" s="21">
        <f>SUM([18]Manpower_month!DV7)-SUM(JA37)</f>
        <v>45</v>
      </c>
      <c r="IO37" s="63">
        <f t="shared" ref="IO37:IO38" si="272">IFERROR(AVERAGE(IC37:IN37),"")</f>
        <v>47</v>
      </c>
      <c r="IP37" s="20">
        <f>2</f>
        <v>2</v>
      </c>
      <c r="IQ37" s="20">
        <f>2</f>
        <v>2</v>
      </c>
      <c r="IR37" s="20">
        <f>2</f>
        <v>2</v>
      </c>
      <c r="IS37" s="20">
        <f>2</f>
        <v>2</v>
      </c>
      <c r="IT37" s="20">
        <f>2</f>
        <v>2</v>
      </c>
      <c r="IU37" s="20">
        <f>2</f>
        <v>2</v>
      </c>
      <c r="IV37" s="20">
        <f>2</f>
        <v>2</v>
      </c>
      <c r="IW37" s="20">
        <f>2</f>
        <v>2</v>
      </c>
      <c r="IX37" s="20">
        <f>2</f>
        <v>2</v>
      </c>
      <c r="IY37" s="20">
        <f>2</f>
        <v>2</v>
      </c>
      <c r="IZ37" s="20">
        <f>2</f>
        <v>2</v>
      </c>
      <c r="JA37" s="20">
        <f>2</f>
        <v>2</v>
      </c>
      <c r="JB37" s="63">
        <f t="shared" ref="JB37" si="273">IFERROR(AVERAGE(IP37:JA37),"")</f>
        <v>2</v>
      </c>
      <c r="JC37" s="21">
        <f>[17]Manpower_month!FW7</f>
        <v>0</v>
      </c>
      <c r="JD37" s="21">
        <f>[17]Manpower_month!FX7</f>
        <v>0</v>
      </c>
      <c r="JE37" s="21">
        <f>[17]Manpower_month!FY7</f>
        <v>0</v>
      </c>
      <c r="JF37" s="21">
        <f>[17]Manpower_month!FZ7</f>
        <v>0</v>
      </c>
      <c r="JG37" s="21">
        <f>[18]Manpower_month!GA7</f>
        <v>0</v>
      </c>
      <c r="JH37" s="21">
        <f>[18]Manpower_month!GB7</f>
        <v>0</v>
      </c>
      <c r="JI37" s="21">
        <f>[18]Manpower_month!GC7</f>
        <v>0</v>
      </c>
      <c r="JJ37" s="21">
        <f>[18]Manpower_month!GD7</f>
        <v>0</v>
      </c>
      <c r="JK37" s="21">
        <f>[18]Manpower_month!GE7</f>
        <v>0</v>
      </c>
      <c r="JL37" s="21">
        <f>[18]Manpower_month!GF7</f>
        <v>0</v>
      </c>
      <c r="JM37" s="21">
        <f>[18]Manpower_month!GG7</f>
        <v>0</v>
      </c>
      <c r="JN37" s="21">
        <f>[18]Manpower_month!GH7</f>
        <v>0</v>
      </c>
      <c r="JO37" s="63">
        <f t="shared" ref="JO37:JO38" si="274">IFERROR(AVERAGE(JC37:JN37),"")</f>
        <v>0</v>
      </c>
    </row>
    <row r="38" spans="1:327">
      <c r="A38" s="12" t="s">
        <v>20</v>
      </c>
      <c r="B38" s="5">
        <f t="shared" si="239"/>
        <v>0</v>
      </c>
      <c r="C38" s="5">
        <f t="shared" si="239"/>
        <v>207</v>
      </c>
      <c r="D38" s="5">
        <f t="shared" si="239"/>
        <v>207</v>
      </c>
      <c r="E38" s="5">
        <f t="shared" si="239"/>
        <v>207</v>
      </c>
      <c r="F38" s="5">
        <f t="shared" si="239"/>
        <v>207</v>
      </c>
      <c r="G38" s="5">
        <f t="shared" si="239"/>
        <v>207</v>
      </c>
      <c r="H38" s="5">
        <f t="shared" si="239"/>
        <v>207</v>
      </c>
      <c r="I38" s="5">
        <f t="shared" si="239"/>
        <v>207</v>
      </c>
      <c r="J38" s="5">
        <f t="shared" si="239"/>
        <v>207</v>
      </c>
      <c r="K38" s="5">
        <f t="shared" si="239"/>
        <v>207</v>
      </c>
      <c r="L38" s="5">
        <f t="shared" si="239"/>
        <v>207</v>
      </c>
      <c r="M38" s="5">
        <f t="shared" si="239"/>
        <v>207</v>
      </c>
      <c r="N38" s="5">
        <f t="shared" si="239"/>
        <v>207</v>
      </c>
      <c r="O38" s="7">
        <f>AVERAGE(C38:N38)</f>
        <v>207</v>
      </c>
      <c r="P38" s="4" t="s">
        <v>20</v>
      </c>
      <c r="R38" s="22">
        <f t="shared" ref="R38:AC38" si="275">207-AG38</f>
        <v>197</v>
      </c>
      <c r="S38" s="22">
        <f t="shared" si="275"/>
        <v>197</v>
      </c>
      <c r="T38" s="22">
        <f t="shared" si="275"/>
        <v>197</v>
      </c>
      <c r="U38" s="22">
        <f t="shared" si="275"/>
        <v>197</v>
      </c>
      <c r="V38" s="22">
        <f t="shared" si="275"/>
        <v>197</v>
      </c>
      <c r="W38" s="22">
        <f t="shared" si="275"/>
        <v>197</v>
      </c>
      <c r="X38" s="22">
        <f t="shared" si="275"/>
        <v>197</v>
      </c>
      <c r="Y38" s="22">
        <f t="shared" si="275"/>
        <v>197</v>
      </c>
      <c r="Z38" s="22">
        <f t="shared" si="275"/>
        <v>197</v>
      </c>
      <c r="AA38" s="22">
        <f t="shared" si="275"/>
        <v>197</v>
      </c>
      <c r="AB38" s="22">
        <f t="shared" si="275"/>
        <v>197</v>
      </c>
      <c r="AC38" s="22">
        <f t="shared" si="275"/>
        <v>197</v>
      </c>
      <c r="AD38" s="7">
        <f>AVERAGE(R38:AC38)</f>
        <v>197</v>
      </c>
      <c r="AE38" s="4" t="s">
        <v>20</v>
      </c>
      <c r="AG38" s="22">
        <f>10</f>
        <v>10</v>
      </c>
      <c r="AH38" s="22">
        <f>10</f>
        <v>10</v>
      </c>
      <c r="AI38" s="22">
        <f>10</f>
        <v>10</v>
      </c>
      <c r="AJ38" s="22">
        <f>10</f>
        <v>10</v>
      </c>
      <c r="AK38" s="22">
        <f>10</f>
        <v>10</v>
      </c>
      <c r="AL38" s="22">
        <f>10</f>
        <v>10</v>
      </c>
      <c r="AM38" s="22">
        <f>10</f>
        <v>10</v>
      </c>
      <c r="AN38" s="22">
        <f>10</f>
        <v>10</v>
      </c>
      <c r="AO38" s="22">
        <f>10</f>
        <v>10</v>
      </c>
      <c r="AP38" s="22">
        <f>10</f>
        <v>10</v>
      </c>
      <c r="AQ38" s="22">
        <f>10</f>
        <v>10</v>
      </c>
      <c r="AR38" s="22">
        <f>10</f>
        <v>10</v>
      </c>
      <c r="AS38" s="7">
        <f>AVERAGE(AG38:AR38)</f>
        <v>10</v>
      </c>
      <c r="CN38" s="5">
        <f t="shared" si="241"/>
        <v>228</v>
      </c>
      <c r="CO38" s="5">
        <f t="shared" si="241"/>
        <v>228</v>
      </c>
      <c r="CP38" s="5">
        <f t="shared" si="241"/>
        <v>226</v>
      </c>
      <c r="CQ38" s="5">
        <f t="shared" si="241"/>
        <v>226</v>
      </c>
      <c r="CR38" s="5">
        <f t="shared" si="241"/>
        <v>226</v>
      </c>
      <c r="CS38" s="5">
        <f t="shared" si="241"/>
        <v>225</v>
      </c>
      <c r="CT38" s="5">
        <f t="shared" si="241"/>
        <v>225</v>
      </c>
      <c r="CU38" s="5">
        <f t="shared" si="241"/>
        <v>225</v>
      </c>
      <c r="CV38" s="5">
        <f t="shared" si="241"/>
        <v>225</v>
      </c>
      <c r="CW38" s="5">
        <f t="shared" si="241"/>
        <v>225</v>
      </c>
      <c r="CX38" s="5">
        <f t="shared" si="241"/>
        <v>225</v>
      </c>
      <c r="CY38" s="5">
        <f t="shared" si="241"/>
        <v>225</v>
      </c>
      <c r="CZ38" s="13">
        <f>AVERAGE(CN38:CY38)</f>
        <v>225.75</v>
      </c>
      <c r="DA38" s="5">
        <f>228-DN38</f>
        <v>217</v>
      </c>
      <c r="DB38" s="5">
        <f>228-DO38</f>
        <v>217</v>
      </c>
      <c r="DC38" s="5">
        <f>226-DP38</f>
        <v>215</v>
      </c>
      <c r="DD38" s="5">
        <f>226-DQ38</f>
        <v>215</v>
      </c>
      <c r="DE38" s="5">
        <f>226-DR38</f>
        <v>215</v>
      </c>
      <c r="DF38" s="5">
        <f t="shared" ref="DF38:DL38" si="276">225-DS38</f>
        <v>214</v>
      </c>
      <c r="DG38" s="5">
        <f t="shared" si="276"/>
        <v>214</v>
      </c>
      <c r="DH38" s="5">
        <f t="shared" si="276"/>
        <v>214</v>
      </c>
      <c r="DI38" s="5">
        <f t="shared" si="276"/>
        <v>214</v>
      </c>
      <c r="DJ38" s="5">
        <f t="shared" si="276"/>
        <v>214</v>
      </c>
      <c r="DK38" s="5">
        <f t="shared" si="276"/>
        <v>214</v>
      </c>
      <c r="DL38" s="5">
        <f t="shared" si="276"/>
        <v>214</v>
      </c>
      <c r="DM38" s="13">
        <f>AVERAGE(DA38:DL38)</f>
        <v>214.75</v>
      </c>
      <c r="DN38" s="22">
        <f>11</f>
        <v>11</v>
      </c>
      <c r="DO38" s="22">
        <f>11</f>
        <v>11</v>
      </c>
      <c r="DP38" s="22">
        <f>11</f>
        <v>11</v>
      </c>
      <c r="DQ38" s="22">
        <f>11</f>
        <v>11</v>
      </c>
      <c r="DR38" s="22">
        <f>11</f>
        <v>11</v>
      </c>
      <c r="DS38" s="22">
        <f>11</f>
        <v>11</v>
      </c>
      <c r="DT38" s="22">
        <f>11</f>
        <v>11</v>
      </c>
      <c r="DU38" s="22">
        <f>11</f>
        <v>11</v>
      </c>
      <c r="DV38" s="22">
        <f>11</f>
        <v>11</v>
      </c>
      <c r="DW38" s="22">
        <f>11</f>
        <v>11</v>
      </c>
      <c r="DX38" s="22">
        <f>11</f>
        <v>11</v>
      </c>
      <c r="DY38" s="22">
        <f>11</f>
        <v>11</v>
      </c>
      <c r="DZ38" s="63">
        <f>AVERAGE(DN38:DY38)</f>
        <v>11</v>
      </c>
      <c r="FO38" s="5">
        <f t="shared" si="243"/>
        <v>209</v>
      </c>
      <c r="FP38" s="5">
        <f t="shared" si="244"/>
        <v>209</v>
      </c>
      <c r="FQ38" s="5">
        <f t="shared" si="245"/>
        <v>206</v>
      </c>
      <c r="FR38" s="5">
        <f t="shared" si="246"/>
        <v>207</v>
      </c>
      <c r="FS38" s="5">
        <f t="shared" si="247"/>
        <v>203</v>
      </c>
      <c r="FT38" s="5">
        <f t="shared" si="248"/>
        <v>200</v>
      </c>
      <c r="FU38" s="5">
        <f t="shared" si="249"/>
        <v>200</v>
      </c>
      <c r="FV38" s="5">
        <f t="shared" si="250"/>
        <v>199</v>
      </c>
      <c r="FW38" s="5">
        <f t="shared" si="251"/>
        <v>199</v>
      </c>
      <c r="FX38" s="5">
        <f t="shared" si="252"/>
        <v>220</v>
      </c>
      <c r="FY38" s="5">
        <f t="shared" si="253"/>
        <v>220</v>
      </c>
      <c r="FZ38" s="5">
        <f t="shared" si="254"/>
        <v>220</v>
      </c>
      <c r="GA38" s="13">
        <f>AVERAGE(FO38:FZ38)</f>
        <v>207.66666666666666</v>
      </c>
      <c r="GB38" s="5">
        <f>209-GO38</f>
        <v>199</v>
      </c>
      <c r="GC38" s="5">
        <f>209-GP38</f>
        <v>199</v>
      </c>
      <c r="GD38" s="5">
        <f>206-GQ38</f>
        <v>196</v>
      </c>
      <c r="GE38" s="5">
        <f>207-GR38</f>
        <v>197</v>
      </c>
      <c r="GF38" s="5">
        <f>203-GS38</f>
        <v>193</v>
      </c>
      <c r="GG38" s="5">
        <f>200-GT38</f>
        <v>190</v>
      </c>
      <c r="GH38" s="5">
        <f>200-GU38</f>
        <v>190</v>
      </c>
      <c r="GI38" s="5">
        <f>199-GV38</f>
        <v>189</v>
      </c>
      <c r="GJ38" s="5">
        <f>199-GW38</f>
        <v>189</v>
      </c>
      <c r="GK38" s="5">
        <f>220-GX38</f>
        <v>210</v>
      </c>
      <c r="GL38" s="5">
        <f t="shared" ref="GL38:GM38" si="277">220-GY38</f>
        <v>210</v>
      </c>
      <c r="GM38" s="5">
        <f t="shared" si="277"/>
        <v>210</v>
      </c>
      <c r="GN38" s="13">
        <f>AVERAGE(GB38:GM38)</f>
        <v>197.66666666666666</v>
      </c>
      <c r="GO38" s="22">
        <f>10</f>
        <v>10</v>
      </c>
      <c r="GP38" s="22">
        <f>10</f>
        <v>10</v>
      </c>
      <c r="GQ38" s="22">
        <f>10</f>
        <v>10</v>
      </c>
      <c r="GR38" s="22">
        <f>10</f>
        <v>10</v>
      </c>
      <c r="GS38" s="22">
        <f>10</f>
        <v>10</v>
      </c>
      <c r="GT38" s="22">
        <f>10</f>
        <v>10</v>
      </c>
      <c r="GU38" s="22">
        <f>10</f>
        <v>10</v>
      </c>
      <c r="GV38" s="22">
        <f>10</f>
        <v>10</v>
      </c>
      <c r="GW38" s="22">
        <f>10</f>
        <v>10</v>
      </c>
      <c r="GX38" s="22">
        <f>10</f>
        <v>10</v>
      </c>
      <c r="GY38" s="22">
        <f>10</f>
        <v>10</v>
      </c>
      <c r="GZ38" s="22">
        <f>10</f>
        <v>10</v>
      </c>
      <c r="HA38" s="63">
        <f>AVERAGE(GO38:GZ38)</f>
        <v>10</v>
      </c>
      <c r="HB38" s="22">
        <f>0</f>
        <v>0</v>
      </c>
      <c r="HC38" s="22">
        <f>0</f>
        <v>0</v>
      </c>
      <c r="HD38" s="22">
        <f>0</f>
        <v>0</v>
      </c>
      <c r="HE38" s="22">
        <f>0</f>
        <v>0</v>
      </c>
      <c r="HF38" s="22">
        <f>0</f>
        <v>0</v>
      </c>
      <c r="HG38" s="22">
        <f>0</f>
        <v>0</v>
      </c>
      <c r="HH38" s="22">
        <f>0</f>
        <v>0</v>
      </c>
      <c r="HI38" s="22">
        <f>0</f>
        <v>0</v>
      </c>
      <c r="HJ38" s="22">
        <f>0</f>
        <v>0</v>
      </c>
      <c r="HK38" s="22">
        <f>0</f>
        <v>0</v>
      </c>
      <c r="HL38" s="22">
        <f>0</f>
        <v>0</v>
      </c>
      <c r="HM38" s="22">
        <f>0</f>
        <v>0</v>
      </c>
      <c r="HN38" s="63">
        <f>AVERAGE(HB38:HM38)</f>
        <v>0</v>
      </c>
      <c r="HP38" s="5">
        <f t="shared" si="256"/>
        <v>242</v>
      </c>
      <c r="HQ38" s="5">
        <f t="shared" si="257"/>
        <v>242</v>
      </c>
      <c r="HR38" s="5">
        <f t="shared" si="258"/>
        <v>242</v>
      </c>
      <c r="HS38" s="5">
        <f t="shared" si="259"/>
        <v>242</v>
      </c>
      <c r="HT38" s="5">
        <f t="shared" si="260"/>
        <v>242</v>
      </c>
      <c r="HU38" s="5">
        <f t="shared" si="261"/>
        <v>242</v>
      </c>
      <c r="HV38" s="5">
        <f t="shared" si="262"/>
        <v>242</v>
      </c>
      <c r="HW38" s="5">
        <f t="shared" si="263"/>
        <v>242</v>
      </c>
      <c r="HX38" s="5">
        <f t="shared" si="264"/>
        <v>242</v>
      </c>
      <c r="HY38" s="5">
        <f t="shared" si="265"/>
        <v>242</v>
      </c>
      <c r="HZ38" s="5">
        <f t="shared" si="266"/>
        <v>242</v>
      </c>
      <c r="IA38" s="5">
        <f t="shared" si="267"/>
        <v>242</v>
      </c>
      <c r="IB38" s="63">
        <f>AVERAGE(HP38:IA38)</f>
        <v>242</v>
      </c>
      <c r="IC38" s="21">
        <f>SUM([17]Manpower_month!DK8)-SUM(IP38)</f>
        <v>230</v>
      </c>
      <c r="ID38" s="21">
        <f>SUM([17]Manpower_month!DL8)-SUM(IQ38)</f>
        <v>230</v>
      </c>
      <c r="IE38" s="21">
        <f>SUM([17]Manpower_month!DM8)-SUM(IR38)</f>
        <v>230</v>
      </c>
      <c r="IF38" s="21">
        <f>SUM([17]Manpower_month!DN8)-SUM(IS38)</f>
        <v>230</v>
      </c>
      <c r="IG38" s="21">
        <f>SUM([18]Manpower_month!DO8)-SUM(IT38)</f>
        <v>230</v>
      </c>
      <c r="IH38" s="21">
        <f>SUM([18]Manpower_month!DP8)-SUM(IU38)</f>
        <v>230</v>
      </c>
      <c r="II38" s="21">
        <f>SUM([18]Manpower_month!DQ8)-SUM(IV38)</f>
        <v>230</v>
      </c>
      <c r="IJ38" s="21">
        <f>SUM([18]Manpower_month!DR8)-SUM(IW38)</f>
        <v>230</v>
      </c>
      <c r="IK38" s="21">
        <f>SUM([18]Manpower_month!DS8)-SUM(IX38)</f>
        <v>230</v>
      </c>
      <c r="IL38" s="21">
        <f>SUM([18]Manpower_month!DT8)-SUM(IY38)</f>
        <v>230</v>
      </c>
      <c r="IM38" s="21">
        <f>SUM([18]Manpower_month!DU8)-SUM(IZ38)</f>
        <v>230</v>
      </c>
      <c r="IN38" s="21">
        <f>SUM([18]Manpower_month!DV8)-SUM(JA38)</f>
        <v>230</v>
      </c>
      <c r="IO38" s="63">
        <f t="shared" si="272"/>
        <v>230</v>
      </c>
      <c r="IP38" s="102">
        <f>10</f>
        <v>10</v>
      </c>
      <c r="IQ38" s="102">
        <f>10</f>
        <v>10</v>
      </c>
      <c r="IR38" s="102">
        <f>10</f>
        <v>10</v>
      </c>
      <c r="IS38" s="102">
        <f>10</f>
        <v>10</v>
      </c>
      <c r="IT38" s="102">
        <f>10</f>
        <v>10</v>
      </c>
      <c r="IU38" s="102">
        <f>10</f>
        <v>10</v>
      </c>
      <c r="IV38" s="102">
        <f>10</f>
        <v>10</v>
      </c>
      <c r="IW38" s="102">
        <f>10</f>
        <v>10</v>
      </c>
      <c r="IX38" s="102">
        <f>10</f>
        <v>10</v>
      </c>
      <c r="IY38" s="102">
        <f>10</f>
        <v>10</v>
      </c>
      <c r="IZ38" s="102">
        <f>10</f>
        <v>10</v>
      </c>
      <c r="JA38" s="102">
        <f>10</f>
        <v>10</v>
      </c>
      <c r="JB38" s="63" t="str">
        <f>IFERROR(AVERAGE(#REF!),"")</f>
        <v/>
      </c>
      <c r="JC38" s="21">
        <f>[17]Manpower_month!FW8</f>
        <v>2</v>
      </c>
      <c r="JD38" s="21">
        <f>[17]Manpower_month!FX8</f>
        <v>2</v>
      </c>
      <c r="JE38" s="21">
        <f>[17]Manpower_month!FY8</f>
        <v>2</v>
      </c>
      <c r="JF38" s="21">
        <f>[17]Manpower_month!FZ8</f>
        <v>2</v>
      </c>
      <c r="JG38" s="21">
        <f>[18]Manpower_month!GA8</f>
        <v>2</v>
      </c>
      <c r="JH38" s="21">
        <f>[18]Manpower_month!GB8</f>
        <v>2</v>
      </c>
      <c r="JI38" s="21">
        <f>[18]Manpower_month!GC8</f>
        <v>2</v>
      </c>
      <c r="JJ38" s="21">
        <f>[18]Manpower_month!GD8</f>
        <v>2</v>
      </c>
      <c r="JK38" s="21">
        <f>[18]Manpower_month!GE8</f>
        <v>2</v>
      </c>
      <c r="JL38" s="21">
        <f>[18]Manpower_month!GF8</f>
        <v>2</v>
      </c>
      <c r="JM38" s="21">
        <f>[18]Manpower_month!GG8</f>
        <v>2</v>
      </c>
      <c r="JN38" s="21">
        <f>[18]Manpower_month!GH8</f>
        <v>2</v>
      </c>
      <c r="JO38" s="63">
        <f t="shared" si="274"/>
        <v>2</v>
      </c>
    </row>
    <row r="39" spans="1:327" ht="15.75" thickBot="1">
      <c r="A39" s="14" t="s">
        <v>21</v>
      </c>
      <c r="B39" s="15">
        <f>SUM(B36:B38)</f>
        <v>0</v>
      </c>
      <c r="C39" s="15">
        <f>SUM(C36:C38)</f>
        <v>300.3</v>
      </c>
      <c r="D39" s="15">
        <f t="shared" ref="D39:M39" si="278">SUM(D36:D38)</f>
        <v>300</v>
      </c>
      <c r="E39" s="15">
        <f t="shared" si="278"/>
        <v>300</v>
      </c>
      <c r="F39" s="15">
        <f t="shared" si="278"/>
        <v>298.3</v>
      </c>
      <c r="G39" s="15">
        <f t="shared" si="278"/>
        <v>298.3</v>
      </c>
      <c r="H39" s="15">
        <f t="shared" si="278"/>
        <v>298.3</v>
      </c>
      <c r="I39" s="15">
        <f t="shared" si="278"/>
        <v>298.3</v>
      </c>
      <c r="J39" s="15">
        <f t="shared" si="278"/>
        <v>298.3</v>
      </c>
      <c r="K39" s="15">
        <f t="shared" si="278"/>
        <v>298.3</v>
      </c>
      <c r="L39" s="15">
        <f t="shared" si="278"/>
        <v>298.3</v>
      </c>
      <c r="M39" s="15">
        <f t="shared" si="278"/>
        <v>298.3</v>
      </c>
      <c r="N39" s="15">
        <f>SUM(N36:N38)</f>
        <v>298.3</v>
      </c>
      <c r="O39" s="16">
        <f>AVERAGE(C39:N39)</f>
        <v>298.75000000000006</v>
      </c>
      <c r="P39" s="17" t="s">
        <v>21</v>
      </c>
      <c r="Q39" s="15">
        <f>SUM(Q36:Q38)</f>
        <v>0</v>
      </c>
      <c r="R39" s="15">
        <f>SUM(R36:R38)</f>
        <v>289.3</v>
      </c>
      <c r="S39" s="15">
        <f t="shared" ref="S39:AB39" si="279">SUM(S36:S38)</f>
        <v>289</v>
      </c>
      <c r="T39" s="15">
        <f t="shared" si="279"/>
        <v>289</v>
      </c>
      <c r="U39" s="15">
        <f t="shared" si="279"/>
        <v>287.3</v>
      </c>
      <c r="V39" s="15">
        <f t="shared" si="279"/>
        <v>287.3</v>
      </c>
      <c r="W39" s="15">
        <f t="shared" si="279"/>
        <v>287.3</v>
      </c>
      <c r="X39" s="15">
        <f t="shared" si="279"/>
        <v>287.3</v>
      </c>
      <c r="Y39" s="15">
        <f t="shared" si="279"/>
        <v>287.3</v>
      </c>
      <c r="Z39" s="15">
        <f t="shared" si="279"/>
        <v>287.3</v>
      </c>
      <c r="AA39" s="15">
        <f t="shared" si="279"/>
        <v>287.3</v>
      </c>
      <c r="AB39" s="15">
        <f t="shared" si="279"/>
        <v>287.3</v>
      </c>
      <c r="AC39" s="15">
        <f>SUM(AC36:AC38)</f>
        <v>287.3</v>
      </c>
      <c r="AD39" s="16">
        <f>AVERAGE(R39:AC39)</f>
        <v>287.75000000000006</v>
      </c>
      <c r="AE39" s="17" t="s">
        <v>21</v>
      </c>
      <c r="AF39" s="15">
        <f>SUM(AF36:AF38)</f>
        <v>0</v>
      </c>
      <c r="AG39" s="15">
        <f>SUM(AG36:AG38)</f>
        <v>11</v>
      </c>
      <c r="AH39" s="15">
        <f t="shared" ref="AH39:AQ39" si="280">SUM(AH36:AH38)</f>
        <v>11</v>
      </c>
      <c r="AI39" s="15">
        <f t="shared" si="280"/>
        <v>11</v>
      </c>
      <c r="AJ39" s="15">
        <f t="shared" si="280"/>
        <v>11</v>
      </c>
      <c r="AK39" s="15">
        <f t="shared" si="280"/>
        <v>11</v>
      </c>
      <c r="AL39" s="15">
        <f t="shared" si="280"/>
        <v>11</v>
      </c>
      <c r="AM39" s="15">
        <f t="shared" si="280"/>
        <v>11</v>
      </c>
      <c r="AN39" s="15">
        <f t="shared" si="280"/>
        <v>11</v>
      </c>
      <c r="AO39" s="15">
        <f t="shared" si="280"/>
        <v>11</v>
      </c>
      <c r="AP39" s="15">
        <f t="shared" si="280"/>
        <v>11</v>
      </c>
      <c r="AQ39" s="15">
        <f t="shared" si="280"/>
        <v>11</v>
      </c>
      <c r="AR39" s="15">
        <f>SUM(AR36:AR38)</f>
        <v>11</v>
      </c>
      <c r="AS39" s="16">
        <f>AVERAGE(AG39:AR39)</f>
        <v>11</v>
      </c>
      <c r="CN39" s="15">
        <f t="shared" ref="CN39:CY39" si="281">SUM(CN36:CN38)</f>
        <v>319</v>
      </c>
      <c r="CO39" s="15">
        <f t="shared" si="281"/>
        <v>319</v>
      </c>
      <c r="CP39" s="15">
        <f t="shared" si="281"/>
        <v>318</v>
      </c>
      <c r="CQ39" s="15">
        <f t="shared" si="281"/>
        <v>320</v>
      </c>
      <c r="CR39" s="15">
        <f t="shared" si="281"/>
        <v>319</v>
      </c>
      <c r="CS39" s="15">
        <f t="shared" si="281"/>
        <v>318</v>
      </c>
      <c r="CT39" s="15">
        <f t="shared" si="281"/>
        <v>318</v>
      </c>
      <c r="CU39" s="15">
        <f t="shared" si="281"/>
        <v>317</v>
      </c>
      <c r="CV39" s="15">
        <f t="shared" si="281"/>
        <v>317</v>
      </c>
      <c r="CW39" s="15">
        <f t="shared" si="281"/>
        <v>317</v>
      </c>
      <c r="CX39" s="15">
        <f t="shared" si="281"/>
        <v>316</v>
      </c>
      <c r="CY39" s="15">
        <f t="shared" si="281"/>
        <v>316</v>
      </c>
      <c r="CZ39" s="18">
        <f>AVERAGE(CN39:CY39)</f>
        <v>317.83333333333331</v>
      </c>
      <c r="DA39" s="15">
        <f t="shared" ref="DA39:DL39" si="282">SUM(DA36:DA38)</f>
        <v>308</v>
      </c>
      <c r="DB39" s="15">
        <f t="shared" si="282"/>
        <v>308</v>
      </c>
      <c r="DC39" s="15">
        <f t="shared" si="282"/>
        <v>307</v>
      </c>
      <c r="DD39" s="15">
        <f t="shared" si="282"/>
        <v>309</v>
      </c>
      <c r="DE39" s="15">
        <f t="shared" si="282"/>
        <v>308</v>
      </c>
      <c r="DF39" s="15">
        <f t="shared" si="282"/>
        <v>307</v>
      </c>
      <c r="DG39" s="15">
        <f t="shared" si="282"/>
        <v>307</v>
      </c>
      <c r="DH39" s="15">
        <f t="shared" si="282"/>
        <v>306</v>
      </c>
      <c r="DI39" s="15">
        <f t="shared" si="282"/>
        <v>306</v>
      </c>
      <c r="DJ39" s="15">
        <f t="shared" si="282"/>
        <v>306</v>
      </c>
      <c r="DK39" s="15">
        <f t="shared" si="282"/>
        <v>305</v>
      </c>
      <c r="DL39" s="15">
        <f t="shared" si="282"/>
        <v>305</v>
      </c>
      <c r="DM39" s="18">
        <f>AVERAGE(DA39:DL39)</f>
        <v>306.83333333333331</v>
      </c>
      <c r="DN39" s="15">
        <f t="shared" ref="DN39:DY39" si="283">SUM(DN36:DN38)</f>
        <v>11</v>
      </c>
      <c r="DO39" s="15">
        <f t="shared" si="283"/>
        <v>11</v>
      </c>
      <c r="DP39" s="15">
        <f t="shared" si="283"/>
        <v>11</v>
      </c>
      <c r="DQ39" s="15">
        <f t="shared" si="283"/>
        <v>11</v>
      </c>
      <c r="DR39" s="15">
        <f t="shared" si="283"/>
        <v>11</v>
      </c>
      <c r="DS39" s="15">
        <f t="shared" si="283"/>
        <v>11</v>
      </c>
      <c r="DT39" s="15">
        <f t="shared" si="283"/>
        <v>11</v>
      </c>
      <c r="DU39" s="15">
        <f t="shared" si="283"/>
        <v>11</v>
      </c>
      <c r="DV39" s="15">
        <f t="shared" si="283"/>
        <v>11</v>
      </c>
      <c r="DW39" s="15">
        <f t="shared" si="283"/>
        <v>11</v>
      </c>
      <c r="DX39" s="15">
        <f t="shared" si="283"/>
        <v>11</v>
      </c>
      <c r="DY39" s="15">
        <f t="shared" si="283"/>
        <v>11</v>
      </c>
      <c r="DZ39" s="64">
        <f>AVERAGE(DN39:DY39)</f>
        <v>11</v>
      </c>
      <c r="FO39" s="15">
        <f t="shared" ref="FO39:FZ39" si="284">SUM(FO36:FO38)</f>
        <v>306</v>
      </c>
      <c r="FP39" s="15">
        <f t="shared" si="284"/>
        <v>306</v>
      </c>
      <c r="FQ39" s="15">
        <f t="shared" si="284"/>
        <v>303</v>
      </c>
      <c r="FR39" s="15">
        <f t="shared" si="284"/>
        <v>305</v>
      </c>
      <c r="FS39" s="15">
        <f t="shared" si="284"/>
        <v>301</v>
      </c>
      <c r="FT39" s="15">
        <f t="shared" si="284"/>
        <v>298</v>
      </c>
      <c r="FU39" s="15">
        <f t="shared" si="284"/>
        <v>297</v>
      </c>
      <c r="FV39" s="15">
        <f t="shared" si="284"/>
        <v>296</v>
      </c>
      <c r="FW39" s="15">
        <f t="shared" si="284"/>
        <v>296</v>
      </c>
      <c r="FX39" s="15">
        <f t="shared" si="284"/>
        <v>317</v>
      </c>
      <c r="FY39" s="15">
        <f t="shared" si="284"/>
        <v>317</v>
      </c>
      <c r="FZ39" s="15">
        <f t="shared" si="284"/>
        <v>317</v>
      </c>
      <c r="GA39" s="18">
        <f>AVERAGE(FO39:FZ39)</f>
        <v>304.91666666666669</v>
      </c>
      <c r="GB39" s="15">
        <f t="shared" ref="GB39:GM39" si="285">SUM(GB36:GB38)</f>
        <v>296</v>
      </c>
      <c r="GC39" s="15">
        <f t="shared" si="285"/>
        <v>296</v>
      </c>
      <c r="GD39" s="15">
        <f t="shared" si="285"/>
        <v>293</v>
      </c>
      <c r="GE39" s="15">
        <f t="shared" si="285"/>
        <v>295</v>
      </c>
      <c r="GF39" s="15">
        <f t="shared" si="285"/>
        <v>291</v>
      </c>
      <c r="GG39" s="15">
        <f t="shared" si="285"/>
        <v>288</v>
      </c>
      <c r="GH39" s="15">
        <f t="shared" si="285"/>
        <v>287</v>
      </c>
      <c r="GI39" s="15">
        <f t="shared" si="285"/>
        <v>286</v>
      </c>
      <c r="GJ39" s="15">
        <f t="shared" si="285"/>
        <v>286</v>
      </c>
      <c r="GK39" s="15">
        <f t="shared" si="285"/>
        <v>307</v>
      </c>
      <c r="GL39" s="15">
        <f t="shared" si="285"/>
        <v>307</v>
      </c>
      <c r="GM39" s="15">
        <f t="shared" si="285"/>
        <v>307</v>
      </c>
      <c r="GN39" s="18">
        <f>AVERAGE(GB39:GM39)</f>
        <v>294.91666666666669</v>
      </c>
      <c r="GO39" s="15">
        <f t="shared" ref="GO39:GZ39" si="286">SUM(GO36:GO38)</f>
        <v>10</v>
      </c>
      <c r="GP39" s="15">
        <f t="shared" si="286"/>
        <v>10</v>
      </c>
      <c r="GQ39" s="15">
        <f t="shared" si="286"/>
        <v>10</v>
      </c>
      <c r="GR39" s="15">
        <f t="shared" si="286"/>
        <v>10</v>
      </c>
      <c r="GS39" s="15">
        <f t="shared" si="286"/>
        <v>10</v>
      </c>
      <c r="GT39" s="15">
        <f t="shared" si="286"/>
        <v>10</v>
      </c>
      <c r="GU39" s="15">
        <f t="shared" si="286"/>
        <v>10</v>
      </c>
      <c r="GV39" s="15">
        <f t="shared" si="286"/>
        <v>10</v>
      </c>
      <c r="GW39" s="15">
        <f t="shared" si="286"/>
        <v>10</v>
      </c>
      <c r="GX39" s="15">
        <f t="shared" si="286"/>
        <v>10</v>
      </c>
      <c r="GY39" s="15">
        <f t="shared" si="286"/>
        <v>10</v>
      </c>
      <c r="GZ39" s="15">
        <f t="shared" si="286"/>
        <v>10</v>
      </c>
      <c r="HA39" s="64">
        <f>AVERAGE(GO39:GZ39)</f>
        <v>10</v>
      </c>
      <c r="HB39" s="15">
        <f t="shared" ref="HB39:HM39" si="287">SUM(HB36:HB38)</f>
        <v>0</v>
      </c>
      <c r="HC39" s="15">
        <f t="shared" si="287"/>
        <v>0</v>
      </c>
      <c r="HD39" s="15">
        <f t="shared" si="287"/>
        <v>0</v>
      </c>
      <c r="HE39" s="15">
        <f t="shared" si="287"/>
        <v>0</v>
      </c>
      <c r="HF39" s="15">
        <f t="shared" si="287"/>
        <v>0</v>
      </c>
      <c r="HG39" s="15">
        <f t="shared" si="287"/>
        <v>0</v>
      </c>
      <c r="HH39" s="15">
        <f t="shared" si="287"/>
        <v>0</v>
      </c>
      <c r="HI39" s="15">
        <f t="shared" si="287"/>
        <v>0</v>
      </c>
      <c r="HJ39" s="15">
        <f t="shared" si="287"/>
        <v>0</v>
      </c>
      <c r="HK39" s="15">
        <f t="shared" si="287"/>
        <v>0</v>
      </c>
      <c r="HL39" s="15">
        <f t="shared" si="287"/>
        <v>0</v>
      </c>
      <c r="HM39" s="15">
        <f t="shared" si="287"/>
        <v>0</v>
      </c>
      <c r="HN39" s="64">
        <f>AVERAGE(HB39:HM39)</f>
        <v>0</v>
      </c>
      <c r="HP39" s="15">
        <f t="shared" ref="HP39:JO39" si="288">SUM(HP36:HP38)</f>
        <v>337.3</v>
      </c>
      <c r="HQ39" s="15">
        <f t="shared" si="288"/>
        <v>338.3</v>
      </c>
      <c r="HR39" s="15">
        <f t="shared" si="288"/>
        <v>338.3</v>
      </c>
      <c r="HS39" s="15">
        <f t="shared" si="288"/>
        <v>341.3</v>
      </c>
      <c r="HT39" s="15">
        <f t="shared" si="288"/>
        <v>342.3</v>
      </c>
      <c r="HU39" s="15">
        <f t="shared" si="288"/>
        <v>342.3</v>
      </c>
      <c r="HV39" s="15">
        <f t="shared" si="288"/>
        <v>342.3</v>
      </c>
      <c r="HW39" s="15">
        <f t="shared" si="288"/>
        <v>342.3</v>
      </c>
      <c r="HX39" s="15">
        <f t="shared" si="288"/>
        <v>342.3</v>
      </c>
      <c r="HY39" s="15">
        <f t="shared" si="288"/>
        <v>343.3</v>
      </c>
      <c r="HZ39" s="15">
        <f t="shared" si="288"/>
        <v>343.3</v>
      </c>
      <c r="IA39" s="15">
        <f t="shared" si="288"/>
        <v>343.3</v>
      </c>
      <c r="IB39" s="15">
        <f t="shared" si="288"/>
        <v>341.38333333333333</v>
      </c>
      <c r="IC39" s="15">
        <f t="shared" si="288"/>
        <v>321.3</v>
      </c>
      <c r="ID39" s="15">
        <f t="shared" si="288"/>
        <v>322.3</v>
      </c>
      <c r="IE39" s="15">
        <f t="shared" si="288"/>
        <v>322.3</v>
      </c>
      <c r="IF39" s="15">
        <f t="shared" si="288"/>
        <v>325.3</v>
      </c>
      <c r="IG39" s="15">
        <f t="shared" si="288"/>
        <v>326.3</v>
      </c>
      <c r="IH39" s="15">
        <f t="shared" si="288"/>
        <v>326.3</v>
      </c>
      <c r="II39" s="15">
        <f t="shared" si="288"/>
        <v>326.3</v>
      </c>
      <c r="IJ39" s="15">
        <f t="shared" si="288"/>
        <v>326.3</v>
      </c>
      <c r="IK39" s="15">
        <f t="shared" si="288"/>
        <v>326.3</v>
      </c>
      <c r="IL39" s="15">
        <f t="shared" si="288"/>
        <v>327.3</v>
      </c>
      <c r="IM39" s="15">
        <f t="shared" si="288"/>
        <v>327.3</v>
      </c>
      <c r="IN39" s="15">
        <f t="shared" si="288"/>
        <v>327.3</v>
      </c>
      <c r="IO39" s="15">
        <f t="shared" si="288"/>
        <v>325.38333333333333</v>
      </c>
      <c r="IP39" s="15">
        <f t="shared" ref="IP39:JA39" si="289">SUM(IP36:IP38)</f>
        <v>12</v>
      </c>
      <c r="IQ39" s="15">
        <f t="shared" si="289"/>
        <v>12</v>
      </c>
      <c r="IR39" s="15">
        <f t="shared" si="289"/>
        <v>12</v>
      </c>
      <c r="IS39" s="15">
        <f t="shared" si="289"/>
        <v>12</v>
      </c>
      <c r="IT39" s="15">
        <f t="shared" si="289"/>
        <v>12</v>
      </c>
      <c r="IU39" s="15">
        <f t="shared" si="289"/>
        <v>12</v>
      </c>
      <c r="IV39" s="15">
        <f t="shared" si="289"/>
        <v>12</v>
      </c>
      <c r="IW39" s="15">
        <f t="shared" si="289"/>
        <v>12</v>
      </c>
      <c r="IX39" s="15">
        <f t="shared" si="289"/>
        <v>12</v>
      </c>
      <c r="IY39" s="15">
        <f t="shared" si="289"/>
        <v>12</v>
      </c>
      <c r="IZ39" s="15">
        <f t="shared" si="289"/>
        <v>12</v>
      </c>
      <c r="JA39" s="15">
        <f t="shared" si="289"/>
        <v>12</v>
      </c>
      <c r="JB39" s="15">
        <f t="shared" si="288"/>
        <v>2</v>
      </c>
      <c r="JC39" s="15">
        <f t="shared" si="288"/>
        <v>4</v>
      </c>
      <c r="JD39" s="15">
        <f t="shared" si="288"/>
        <v>4</v>
      </c>
      <c r="JE39" s="15">
        <f t="shared" si="288"/>
        <v>4</v>
      </c>
      <c r="JF39" s="15">
        <f t="shared" si="288"/>
        <v>4</v>
      </c>
      <c r="JG39" s="15">
        <f t="shared" si="288"/>
        <v>4</v>
      </c>
      <c r="JH39" s="15">
        <f t="shared" si="288"/>
        <v>4</v>
      </c>
      <c r="JI39" s="15">
        <f t="shared" si="288"/>
        <v>4</v>
      </c>
      <c r="JJ39" s="15">
        <f t="shared" si="288"/>
        <v>4</v>
      </c>
      <c r="JK39" s="15">
        <f t="shared" si="288"/>
        <v>4</v>
      </c>
      <c r="JL39" s="15">
        <f t="shared" si="288"/>
        <v>4</v>
      </c>
      <c r="JM39" s="15">
        <f t="shared" si="288"/>
        <v>4</v>
      </c>
      <c r="JN39" s="15">
        <f t="shared" si="288"/>
        <v>4</v>
      </c>
      <c r="JO39" s="15">
        <f t="shared" si="288"/>
        <v>4</v>
      </c>
    </row>
    <row r="40" spans="1:327">
      <c r="FR40" s="58">
        <f>FR39-'[16]Main Sheet'!$BT$12</f>
        <v>0.19999999999998863</v>
      </c>
    </row>
    <row r="41" spans="1:327" ht="15.75" thickBot="1">
      <c r="A41" s="2" t="s">
        <v>45</v>
      </c>
      <c r="P41" s="2" t="s">
        <v>15</v>
      </c>
      <c r="AE41" s="2" t="s">
        <v>46</v>
      </c>
      <c r="CN41" s="2" t="s">
        <v>54</v>
      </c>
      <c r="DA41" s="2" t="s">
        <v>15</v>
      </c>
      <c r="DN41" s="29" t="s">
        <v>94</v>
      </c>
      <c r="EA41" s="29" t="s">
        <v>37</v>
      </c>
      <c r="EN41" s="29" t="s">
        <v>99</v>
      </c>
      <c r="FA41" s="29" t="s">
        <v>96</v>
      </c>
      <c r="FO41" s="2" t="s">
        <v>54</v>
      </c>
      <c r="GA41" s="58">
        <f>GA45-HN45-IA45-IN45</f>
        <v>205.66666666666666</v>
      </c>
      <c r="GB41" s="2" t="s">
        <v>15</v>
      </c>
      <c r="GO41" s="29" t="s">
        <v>94</v>
      </c>
      <c r="HB41" s="29" t="s">
        <v>37</v>
      </c>
      <c r="HO41" s="29" t="s">
        <v>99</v>
      </c>
      <c r="IB41" s="29" t="s">
        <v>96</v>
      </c>
      <c r="IP41" s="2" t="s">
        <v>54</v>
      </c>
      <c r="JB41" s="41">
        <f>JB45-KO45-LB45</f>
        <v>205</v>
      </c>
      <c r="JC41" s="2" t="s">
        <v>140</v>
      </c>
      <c r="JD41" s="3"/>
      <c r="JE41" s="3"/>
      <c r="JF41" s="3"/>
      <c r="JG41" s="3"/>
      <c r="JH41" s="58"/>
      <c r="JI41" s="58"/>
      <c r="JJ41" s="58"/>
      <c r="JK41" s="58"/>
      <c r="JL41" s="3"/>
      <c r="JM41" s="3"/>
      <c r="JN41" s="3"/>
      <c r="JO41" s="3"/>
      <c r="JP41" s="29" t="s">
        <v>94</v>
      </c>
      <c r="KC41" s="29" t="s">
        <v>141</v>
      </c>
      <c r="KP41" s="29" t="s">
        <v>142</v>
      </c>
      <c r="LC41" s="29" t="s">
        <v>96</v>
      </c>
    </row>
    <row r="42" spans="1:327">
      <c r="A42" s="8" t="s">
        <v>17</v>
      </c>
      <c r="B42" s="9" t="s">
        <v>6</v>
      </c>
      <c r="C42" s="9" t="s">
        <v>22</v>
      </c>
      <c r="D42" s="9" t="s">
        <v>23</v>
      </c>
      <c r="E42" s="9" t="s">
        <v>24</v>
      </c>
      <c r="F42" s="9" t="s">
        <v>25</v>
      </c>
      <c r="G42" s="9" t="s">
        <v>26</v>
      </c>
      <c r="H42" s="9" t="s">
        <v>27</v>
      </c>
      <c r="I42" s="9" t="s">
        <v>28</v>
      </c>
      <c r="J42" s="9" t="s">
        <v>29</v>
      </c>
      <c r="K42" s="9" t="s">
        <v>30</v>
      </c>
      <c r="L42" s="9" t="s">
        <v>31</v>
      </c>
      <c r="M42" s="9" t="s">
        <v>32</v>
      </c>
      <c r="N42" s="9" t="s">
        <v>33</v>
      </c>
      <c r="O42" s="9" t="s">
        <v>7</v>
      </c>
      <c r="P42" s="10" t="s">
        <v>17</v>
      </c>
      <c r="Q42" s="9" t="s">
        <v>6</v>
      </c>
      <c r="R42" s="9" t="s">
        <v>22</v>
      </c>
      <c r="S42" s="9" t="s">
        <v>23</v>
      </c>
      <c r="T42" s="9" t="s">
        <v>24</v>
      </c>
      <c r="U42" s="9" t="s">
        <v>25</v>
      </c>
      <c r="V42" s="9" t="s">
        <v>26</v>
      </c>
      <c r="W42" s="9" t="s">
        <v>27</v>
      </c>
      <c r="X42" s="9" t="s">
        <v>28</v>
      </c>
      <c r="Y42" s="9" t="s">
        <v>29</v>
      </c>
      <c r="Z42" s="9" t="s">
        <v>30</v>
      </c>
      <c r="AA42" s="9" t="s">
        <v>31</v>
      </c>
      <c r="AB42" s="9" t="s">
        <v>32</v>
      </c>
      <c r="AC42" s="9" t="s">
        <v>33</v>
      </c>
      <c r="AD42" s="9" t="s">
        <v>7</v>
      </c>
      <c r="AE42" s="10" t="s">
        <v>17</v>
      </c>
      <c r="AF42" s="9" t="s">
        <v>6</v>
      </c>
      <c r="AG42" s="9" t="s">
        <v>22</v>
      </c>
      <c r="AH42" s="9" t="s">
        <v>23</v>
      </c>
      <c r="AI42" s="9" t="s">
        <v>24</v>
      </c>
      <c r="AJ42" s="9" t="s">
        <v>25</v>
      </c>
      <c r="AK42" s="9" t="s">
        <v>26</v>
      </c>
      <c r="AL42" s="9" t="s">
        <v>27</v>
      </c>
      <c r="AM42" s="9" t="s">
        <v>28</v>
      </c>
      <c r="AN42" s="9" t="s">
        <v>29</v>
      </c>
      <c r="AO42" s="9" t="s">
        <v>30</v>
      </c>
      <c r="AP42" s="9" t="s">
        <v>31</v>
      </c>
      <c r="AQ42" s="9" t="s">
        <v>32</v>
      </c>
      <c r="AR42" s="9" t="s">
        <v>33</v>
      </c>
      <c r="AS42" s="9" t="s">
        <v>7</v>
      </c>
      <c r="CN42" s="57" t="s">
        <v>81</v>
      </c>
      <c r="CO42" s="57" t="s">
        <v>82</v>
      </c>
      <c r="CP42" s="57" t="s">
        <v>83</v>
      </c>
      <c r="CQ42" s="57" t="s">
        <v>84</v>
      </c>
      <c r="CR42" s="57" t="s">
        <v>85</v>
      </c>
      <c r="CS42" s="57" t="s">
        <v>86</v>
      </c>
      <c r="CT42" s="57" t="s">
        <v>87</v>
      </c>
      <c r="CU42" s="57" t="s">
        <v>88</v>
      </c>
      <c r="CV42" s="57" t="s">
        <v>89</v>
      </c>
      <c r="CW42" s="57" t="s">
        <v>90</v>
      </c>
      <c r="CX42" s="57" t="s">
        <v>91</v>
      </c>
      <c r="CY42" s="57" t="s">
        <v>92</v>
      </c>
      <c r="CZ42" s="57" t="s">
        <v>93</v>
      </c>
      <c r="DA42" s="57" t="s">
        <v>81</v>
      </c>
      <c r="DB42" s="57" t="s">
        <v>82</v>
      </c>
      <c r="DC42" s="57" t="s">
        <v>83</v>
      </c>
      <c r="DD42" s="57" t="s">
        <v>84</v>
      </c>
      <c r="DE42" s="57" t="s">
        <v>85</v>
      </c>
      <c r="DF42" s="57" t="s">
        <v>86</v>
      </c>
      <c r="DG42" s="57" t="s">
        <v>87</v>
      </c>
      <c r="DH42" s="57" t="s">
        <v>88</v>
      </c>
      <c r="DI42" s="57" t="s">
        <v>89</v>
      </c>
      <c r="DJ42" s="57" t="s">
        <v>90</v>
      </c>
      <c r="DK42" s="57" t="s">
        <v>91</v>
      </c>
      <c r="DL42" s="57" t="s">
        <v>92</v>
      </c>
      <c r="DM42" s="57" t="s">
        <v>93</v>
      </c>
      <c r="DN42" s="57" t="s">
        <v>81</v>
      </c>
      <c r="DO42" s="57" t="s">
        <v>82</v>
      </c>
      <c r="DP42" s="57" t="s">
        <v>83</v>
      </c>
      <c r="DQ42" s="57" t="s">
        <v>84</v>
      </c>
      <c r="DR42" s="57" t="s">
        <v>85</v>
      </c>
      <c r="DS42" s="57" t="s">
        <v>86</v>
      </c>
      <c r="DT42" s="57" t="s">
        <v>87</v>
      </c>
      <c r="DU42" s="57" t="s">
        <v>88</v>
      </c>
      <c r="DV42" s="57" t="s">
        <v>89</v>
      </c>
      <c r="DW42" s="57" t="s">
        <v>90</v>
      </c>
      <c r="DX42" s="57" t="s">
        <v>91</v>
      </c>
      <c r="DY42" s="57" t="s">
        <v>92</v>
      </c>
      <c r="DZ42" s="57" t="s">
        <v>93</v>
      </c>
      <c r="EA42" s="57" t="s">
        <v>81</v>
      </c>
      <c r="EB42" s="57" t="s">
        <v>82</v>
      </c>
      <c r="EC42" s="57" t="s">
        <v>83</v>
      </c>
      <c r="ED42" s="57" t="s">
        <v>84</v>
      </c>
      <c r="EE42" s="57" t="s">
        <v>85</v>
      </c>
      <c r="EF42" s="57" t="s">
        <v>86</v>
      </c>
      <c r="EG42" s="57" t="s">
        <v>87</v>
      </c>
      <c r="EH42" s="57" t="s">
        <v>88</v>
      </c>
      <c r="EI42" s="57" t="s">
        <v>89</v>
      </c>
      <c r="EJ42" s="57" t="s">
        <v>90</v>
      </c>
      <c r="EK42" s="57" t="s">
        <v>91</v>
      </c>
      <c r="EL42" s="57" t="s">
        <v>92</v>
      </c>
      <c r="EM42" s="57" t="s">
        <v>93</v>
      </c>
      <c r="EN42" s="57" t="s">
        <v>81</v>
      </c>
      <c r="EO42" s="57" t="s">
        <v>82</v>
      </c>
      <c r="EP42" s="57" t="s">
        <v>83</v>
      </c>
      <c r="EQ42" s="57" t="s">
        <v>84</v>
      </c>
      <c r="ER42" s="57" t="s">
        <v>85</v>
      </c>
      <c r="ES42" s="57" t="s">
        <v>86</v>
      </c>
      <c r="ET42" s="57" t="s">
        <v>87</v>
      </c>
      <c r="EU42" s="57" t="s">
        <v>88</v>
      </c>
      <c r="EV42" s="57" t="s">
        <v>89</v>
      </c>
      <c r="EW42" s="57" t="s">
        <v>90</v>
      </c>
      <c r="EX42" s="57" t="s">
        <v>91</v>
      </c>
      <c r="EY42" s="57" t="s">
        <v>92</v>
      </c>
      <c r="EZ42" s="57" t="s">
        <v>93</v>
      </c>
      <c r="FA42" s="57" t="s">
        <v>81</v>
      </c>
      <c r="FB42" s="57" t="s">
        <v>82</v>
      </c>
      <c r="FC42" s="57" t="s">
        <v>83</v>
      </c>
      <c r="FD42" s="57" t="s">
        <v>84</v>
      </c>
      <c r="FE42" s="57" t="s">
        <v>85</v>
      </c>
      <c r="FF42" s="57" t="s">
        <v>86</v>
      </c>
      <c r="FG42" s="57" t="s">
        <v>87</v>
      </c>
      <c r="FH42" s="57" t="s">
        <v>88</v>
      </c>
      <c r="FI42" s="57" t="s">
        <v>89</v>
      </c>
      <c r="FJ42" s="57" t="s">
        <v>90</v>
      </c>
      <c r="FK42" s="57" t="s">
        <v>91</v>
      </c>
      <c r="FL42" s="57" t="s">
        <v>92</v>
      </c>
      <c r="FM42" s="57" t="s">
        <v>93</v>
      </c>
      <c r="FO42" s="57" t="s">
        <v>104</v>
      </c>
      <c r="FP42" s="57" t="s">
        <v>105</v>
      </c>
      <c r="FQ42" s="57" t="s">
        <v>106</v>
      </c>
      <c r="FR42" s="57" t="s">
        <v>107</v>
      </c>
      <c r="FS42" s="57" t="s">
        <v>108</v>
      </c>
      <c r="FT42" s="57" t="s">
        <v>109</v>
      </c>
      <c r="FU42" s="57" t="s">
        <v>110</v>
      </c>
      <c r="FV42" s="57" t="s">
        <v>111</v>
      </c>
      <c r="FW42" s="57" t="s">
        <v>112</v>
      </c>
      <c r="FX42" s="57" t="s">
        <v>113</v>
      </c>
      <c r="FY42" s="57" t="s">
        <v>114</v>
      </c>
      <c r="FZ42" s="57" t="s">
        <v>115</v>
      </c>
      <c r="GA42" s="57" t="s">
        <v>116</v>
      </c>
      <c r="GB42" s="57" t="s">
        <v>104</v>
      </c>
      <c r="GC42" s="57" t="s">
        <v>105</v>
      </c>
      <c r="GD42" s="57" t="s">
        <v>106</v>
      </c>
      <c r="GE42" s="57" t="s">
        <v>107</v>
      </c>
      <c r="GF42" s="57" t="s">
        <v>108</v>
      </c>
      <c r="GG42" s="57" t="s">
        <v>109</v>
      </c>
      <c r="GH42" s="57" t="s">
        <v>110</v>
      </c>
      <c r="GI42" s="57" t="s">
        <v>111</v>
      </c>
      <c r="GJ42" s="57" t="s">
        <v>112</v>
      </c>
      <c r="GK42" s="57" t="s">
        <v>113</v>
      </c>
      <c r="GL42" s="57" t="s">
        <v>114</v>
      </c>
      <c r="GM42" s="57" t="s">
        <v>115</v>
      </c>
      <c r="GN42" s="57" t="s">
        <v>116</v>
      </c>
      <c r="GO42" s="57" t="s">
        <v>104</v>
      </c>
      <c r="GP42" s="57" t="s">
        <v>105</v>
      </c>
      <c r="GQ42" s="57" t="s">
        <v>106</v>
      </c>
      <c r="GR42" s="57" t="s">
        <v>107</v>
      </c>
      <c r="GS42" s="57" t="s">
        <v>108</v>
      </c>
      <c r="GT42" s="57" t="s">
        <v>109</v>
      </c>
      <c r="GU42" s="57" t="s">
        <v>110</v>
      </c>
      <c r="GV42" s="57" t="s">
        <v>111</v>
      </c>
      <c r="GW42" s="57" t="s">
        <v>112</v>
      </c>
      <c r="GX42" s="57" t="s">
        <v>113</v>
      </c>
      <c r="GY42" s="57" t="s">
        <v>114</v>
      </c>
      <c r="GZ42" s="57" t="s">
        <v>115</v>
      </c>
      <c r="HA42" s="57" t="s">
        <v>116</v>
      </c>
      <c r="HB42" s="57" t="s">
        <v>104</v>
      </c>
      <c r="HC42" s="57" t="s">
        <v>105</v>
      </c>
      <c r="HD42" s="57" t="s">
        <v>106</v>
      </c>
      <c r="HE42" s="57" t="s">
        <v>107</v>
      </c>
      <c r="HF42" s="57" t="s">
        <v>108</v>
      </c>
      <c r="HG42" s="57" t="s">
        <v>109</v>
      </c>
      <c r="HH42" s="57" t="s">
        <v>110</v>
      </c>
      <c r="HI42" s="57" t="s">
        <v>111</v>
      </c>
      <c r="HJ42" s="57" t="s">
        <v>112</v>
      </c>
      <c r="HK42" s="57" t="s">
        <v>113</v>
      </c>
      <c r="HL42" s="57" t="s">
        <v>114</v>
      </c>
      <c r="HM42" s="57" t="s">
        <v>115</v>
      </c>
      <c r="HN42" s="57" t="s">
        <v>116</v>
      </c>
      <c r="HO42" s="57" t="s">
        <v>104</v>
      </c>
      <c r="HP42" s="57" t="s">
        <v>105</v>
      </c>
      <c r="HQ42" s="57" t="s">
        <v>106</v>
      </c>
      <c r="HR42" s="57" t="s">
        <v>107</v>
      </c>
      <c r="HS42" s="57" t="s">
        <v>108</v>
      </c>
      <c r="HT42" s="57" t="s">
        <v>109</v>
      </c>
      <c r="HU42" s="57" t="s">
        <v>110</v>
      </c>
      <c r="HV42" s="57" t="s">
        <v>111</v>
      </c>
      <c r="HW42" s="57" t="s">
        <v>112</v>
      </c>
      <c r="HX42" s="57" t="s">
        <v>113</v>
      </c>
      <c r="HY42" s="57" t="s">
        <v>114</v>
      </c>
      <c r="HZ42" s="57" t="s">
        <v>115</v>
      </c>
      <c r="IA42" s="57" t="s">
        <v>116</v>
      </c>
      <c r="IB42" s="57" t="s">
        <v>104</v>
      </c>
      <c r="IC42" s="57" t="s">
        <v>105</v>
      </c>
      <c r="ID42" s="57" t="s">
        <v>106</v>
      </c>
      <c r="IE42" s="57" t="s">
        <v>107</v>
      </c>
      <c r="IF42" s="57" t="s">
        <v>108</v>
      </c>
      <c r="IG42" s="57" t="s">
        <v>109</v>
      </c>
      <c r="IH42" s="57" t="s">
        <v>110</v>
      </c>
      <c r="II42" s="57" t="s">
        <v>111</v>
      </c>
      <c r="IJ42" s="57" t="s">
        <v>112</v>
      </c>
      <c r="IK42" s="57" t="s">
        <v>113</v>
      </c>
      <c r="IL42" s="57" t="s">
        <v>114</v>
      </c>
      <c r="IM42" s="57" t="s">
        <v>115</v>
      </c>
      <c r="IN42" s="57" t="s">
        <v>116</v>
      </c>
      <c r="IP42" s="98" t="s">
        <v>127</v>
      </c>
      <c r="IQ42" s="98" t="s">
        <v>128</v>
      </c>
      <c r="IR42" s="99" t="s">
        <v>129</v>
      </c>
      <c r="IS42" s="99" t="s">
        <v>130</v>
      </c>
      <c r="IT42" s="99" t="s">
        <v>131</v>
      </c>
      <c r="IU42" s="99" t="s">
        <v>132</v>
      </c>
      <c r="IV42" s="99" t="s">
        <v>133</v>
      </c>
      <c r="IW42" s="99" t="s">
        <v>134</v>
      </c>
      <c r="IX42" s="99" t="s">
        <v>135</v>
      </c>
      <c r="IY42" s="99" t="s">
        <v>136</v>
      </c>
      <c r="IZ42" s="99" t="s">
        <v>137</v>
      </c>
      <c r="JA42" s="99" t="s">
        <v>138</v>
      </c>
      <c r="JB42" s="99" t="s">
        <v>139</v>
      </c>
      <c r="JC42" s="98" t="s">
        <v>127</v>
      </c>
      <c r="JD42" s="98" t="s">
        <v>128</v>
      </c>
      <c r="JE42" s="99" t="s">
        <v>129</v>
      </c>
      <c r="JF42" s="99" t="s">
        <v>130</v>
      </c>
      <c r="JG42" s="99" t="s">
        <v>131</v>
      </c>
      <c r="JH42" s="99" t="s">
        <v>132</v>
      </c>
      <c r="JI42" s="99" t="s">
        <v>133</v>
      </c>
      <c r="JJ42" s="99" t="s">
        <v>134</v>
      </c>
      <c r="JK42" s="99" t="s">
        <v>135</v>
      </c>
      <c r="JL42" s="99" t="s">
        <v>136</v>
      </c>
      <c r="JM42" s="99" t="s">
        <v>137</v>
      </c>
      <c r="JN42" s="99" t="s">
        <v>138</v>
      </c>
      <c r="JO42" s="99" t="s">
        <v>139</v>
      </c>
      <c r="JP42" s="98" t="s">
        <v>127</v>
      </c>
      <c r="JQ42" s="98" t="s">
        <v>128</v>
      </c>
      <c r="JR42" s="99" t="s">
        <v>129</v>
      </c>
      <c r="JS42" s="99" t="s">
        <v>130</v>
      </c>
      <c r="JT42" s="99" t="s">
        <v>131</v>
      </c>
      <c r="JU42" s="99" t="s">
        <v>132</v>
      </c>
      <c r="JV42" s="99" t="s">
        <v>133</v>
      </c>
      <c r="JW42" s="99" t="s">
        <v>134</v>
      </c>
      <c r="JX42" s="99" t="s">
        <v>135</v>
      </c>
      <c r="JY42" s="99" t="s">
        <v>136</v>
      </c>
      <c r="JZ42" s="99" t="s">
        <v>137</v>
      </c>
      <c r="KA42" s="99" t="s">
        <v>138</v>
      </c>
      <c r="KB42" s="99" t="s">
        <v>139</v>
      </c>
      <c r="KC42" s="98" t="s">
        <v>127</v>
      </c>
      <c r="KD42" s="98" t="s">
        <v>128</v>
      </c>
      <c r="KE42" s="99" t="s">
        <v>129</v>
      </c>
      <c r="KF42" s="99" t="s">
        <v>130</v>
      </c>
      <c r="KG42" s="99" t="s">
        <v>131</v>
      </c>
      <c r="KH42" s="99" t="s">
        <v>132</v>
      </c>
      <c r="KI42" s="99" t="s">
        <v>133</v>
      </c>
      <c r="KJ42" s="99" t="s">
        <v>134</v>
      </c>
      <c r="KK42" s="99" t="s">
        <v>135</v>
      </c>
      <c r="KL42" s="99" t="s">
        <v>136</v>
      </c>
      <c r="KM42" s="99" t="s">
        <v>137</v>
      </c>
      <c r="KN42" s="99" t="s">
        <v>138</v>
      </c>
      <c r="KO42" s="99" t="s">
        <v>139</v>
      </c>
      <c r="KP42" s="98" t="s">
        <v>127</v>
      </c>
      <c r="KQ42" s="98" t="s">
        <v>128</v>
      </c>
      <c r="KR42" s="99" t="s">
        <v>129</v>
      </c>
      <c r="KS42" s="99" t="s">
        <v>130</v>
      </c>
      <c r="KT42" s="99" t="s">
        <v>131</v>
      </c>
      <c r="KU42" s="99" t="s">
        <v>132</v>
      </c>
      <c r="KV42" s="99" t="s">
        <v>133</v>
      </c>
      <c r="KW42" s="99" t="s">
        <v>134</v>
      </c>
      <c r="KX42" s="99" t="s">
        <v>135</v>
      </c>
      <c r="KY42" s="99" t="s">
        <v>136</v>
      </c>
      <c r="KZ42" s="99" t="s">
        <v>137</v>
      </c>
      <c r="LA42" s="99" t="s">
        <v>138</v>
      </c>
      <c r="LB42" s="99" t="s">
        <v>139</v>
      </c>
      <c r="LC42" s="98" t="s">
        <v>127</v>
      </c>
      <c r="LD42" s="98" t="s">
        <v>128</v>
      </c>
      <c r="LE42" s="99" t="s">
        <v>129</v>
      </c>
      <c r="LF42" s="99" t="s">
        <v>130</v>
      </c>
      <c r="LG42" s="99" t="s">
        <v>131</v>
      </c>
      <c r="LH42" s="99" t="s">
        <v>132</v>
      </c>
      <c r="LI42" s="99" t="s">
        <v>133</v>
      </c>
      <c r="LJ42" s="99" t="s">
        <v>134</v>
      </c>
      <c r="LK42" s="99" t="s">
        <v>135</v>
      </c>
      <c r="LL42" s="99" t="s">
        <v>136</v>
      </c>
      <c r="LM42" s="99" t="s">
        <v>137</v>
      </c>
      <c r="LN42" s="99" t="s">
        <v>138</v>
      </c>
      <c r="LO42" s="99" t="s">
        <v>139</v>
      </c>
    </row>
    <row r="43" spans="1:327">
      <c r="A43" s="12" t="s">
        <v>18</v>
      </c>
      <c r="B43" s="5">
        <f>SUM(Q43,AF43,AU43,BJ43,BY43)</f>
        <v>43</v>
      </c>
      <c r="C43" s="5">
        <f t="shared" ref="C43:N45" si="290">SUM(R43,AG43,AV43,BK43,BZ43)</f>
        <v>48.5</v>
      </c>
      <c r="D43" s="5">
        <f t="shared" si="290"/>
        <v>50</v>
      </c>
      <c r="E43" s="5">
        <f t="shared" si="290"/>
        <v>49.5</v>
      </c>
      <c r="F43" s="5">
        <f t="shared" si="290"/>
        <v>49</v>
      </c>
      <c r="G43" s="5">
        <f t="shared" si="290"/>
        <v>47</v>
      </c>
      <c r="H43" s="5">
        <f t="shared" si="290"/>
        <v>44</v>
      </c>
      <c r="I43" s="5">
        <f t="shared" si="290"/>
        <v>44</v>
      </c>
      <c r="J43" s="5">
        <f t="shared" si="290"/>
        <v>43</v>
      </c>
      <c r="K43" s="5">
        <f t="shared" si="290"/>
        <v>44</v>
      </c>
      <c r="L43" s="5">
        <f t="shared" si="290"/>
        <v>46</v>
      </c>
      <c r="M43" s="5">
        <f t="shared" si="290"/>
        <v>45</v>
      </c>
      <c r="N43" s="5">
        <f t="shared" si="290"/>
        <v>45</v>
      </c>
      <c r="O43" s="7">
        <f>AVERAGE(C43:N43)</f>
        <v>46.25</v>
      </c>
      <c r="P43" s="4" t="s">
        <v>18</v>
      </c>
      <c r="Q43" s="5">
        <f>43</f>
        <v>43</v>
      </c>
      <c r="R43" s="5">
        <v>48.5</v>
      </c>
      <c r="S43" s="20">
        <f>50</f>
        <v>50</v>
      </c>
      <c r="T43" s="20">
        <v>49.5</v>
      </c>
      <c r="U43" s="20">
        <v>49</v>
      </c>
      <c r="V43" s="20">
        <v>47</v>
      </c>
      <c r="W43" s="20">
        <f>44</f>
        <v>44</v>
      </c>
      <c r="X43" s="20">
        <f>44</f>
        <v>44</v>
      </c>
      <c r="Y43" s="20">
        <f>43</f>
        <v>43</v>
      </c>
      <c r="Z43" s="20">
        <f>44</f>
        <v>44</v>
      </c>
      <c r="AA43" s="20">
        <f>46</f>
        <v>46</v>
      </c>
      <c r="AB43" s="20">
        <f>45</f>
        <v>45</v>
      </c>
      <c r="AC43" s="20">
        <f>45</f>
        <v>45</v>
      </c>
      <c r="AD43" s="7">
        <f>AVERAGE(R43:AC43)</f>
        <v>46.25</v>
      </c>
      <c r="AE43" s="4" t="s">
        <v>18</v>
      </c>
      <c r="AF43" s="5"/>
      <c r="AG43" s="5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7" t="e">
        <f>AVERAGE(AG43:AR43)</f>
        <v>#DIV/0!</v>
      </c>
      <c r="CN43" s="5">
        <f>SUM(DA43,DN43,EA43,EN43,FA43)</f>
        <v>63</v>
      </c>
      <c r="CO43" s="5">
        <f t="shared" ref="CO43:CY45" si="291">SUM(DB43,DO43,EB43,EO43,FB43)</f>
        <v>62</v>
      </c>
      <c r="CP43" s="5">
        <f t="shared" si="291"/>
        <v>62</v>
      </c>
      <c r="CQ43" s="5">
        <f t="shared" si="291"/>
        <v>63</v>
      </c>
      <c r="CR43" s="5">
        <f t="shared" si="291"/>
        <v>66</v>
      </c>
      <c r="CS43" s="5">
        <f t="shared" si="291"/>
        <v>65</v>
      </c>
      <c r="CT43" s="5">
        <f t="shared" si="291"/>
        <v>70</v>
      </c>
      <c r="CU43" s="5">
        <f t="shared" si="291"/>
        <v>71</v>
      </c>
      <c r="CV43" s="5">
        <f t="shared" si="291"/>
        <v>73</v>
      </c>
      <c r="CW43" s="5">
        <f t="shared" si="291"/>
        <v>78</v>
      </c>
      <c r="CX43" s="5">
        <f t="shared" si="291"/>
        <v>80</v>
      </c>
      <c r="CY43" s="5">
        <f t="shared" si="291"/>
        <v>78</v>
      </c>
      <c r="CZ43" s="13">
        <f>AVERAGE(CN43:CY43)</f>
        <v>69.25</v>
      </c>
      <c r="DA43" s="5">
        <f>47-DN43-FA43</f>
        <v>47</v>
      </c>
      <c r="DB43" s="5">
        <f>46-DO43-FB43</f>
        <v>46</v>
      </c>
      <c r="DC43" s="5">
        <f>46-DP43-FC43</f>
        <v>46</v>
      </c>
      <c r="DD43" s="5">
        <f>46-DQ43-FD43</f>
        <v>46</v>
      </c>
      <c r="DE43" s="5">
        <f>49-DR43-FE43</f>
        <v>49</v>
      </c>
      <c r="DF43" s="5">
        <f>48-DS43-FF43</f>
        <v>48</v>
      </c>
      <c r="DG43" s="5">
        <f>53-DT43-FG43</f>
        <v>53</v>
      </c>
      <c r="DH43" s="5">
        <f>52-DU43-FH43</f>
        <v>52</v>
      </c>
      <c r="DI43" s="5">
        <f>54-DV43-FI43</f>
        <v>54</v>
      </c>
      <c r="DJ43" s="5">
        <f>58-DW43-FJ43</f>
        <v>58</v>
      </c>
      <c r="DK43" s="5">
        <f>60-DX43-FK43</f>
        <v>60</v>
      </c>
      <c r="DL43" s="5">
        <f>57-DY43-FL43</f>
        <v>57</v>
      </c>
      <c r="DM43" s="13">
        <f>AVERAGE(DA43:DL43)</f>
        <v>51.333333333333336</v>
      </c>
      <c r="DN43" s="22">
        <f>0</f>
        <v>0</v>
      </c>
      <c r="DO43" s="22">
        <f>0</f>
        <v>0</v>
      </c>
      <c r="DP43" s="22">
        <f>0</f>
        <v>0</v>
      </c>
      <c r="DQ43" s="22">
        <f>0</f>
        <v>0</v>
      </c>
      <c r="DR43" s="22">
        <f>0</f>
        <v>0</v>
      </c>
      <c r="DS43" s="22">
        <f>0</f>
        <v>0</v>
      </c>
      <c r="DT43" s="22">
        <f>0</f>
        <v>0</v>
      </c>
      <c r="DU43" s="22">
        <f>0</f>
        <v>0</v>
      </c>
      <c r="DV43" s="22">
        <v>0</v>
      </c>
      <c r="DW43" s="22">
        <f>0</f>
        <v>0</v>
      </c>
      <c r="DX43" s="22">
        <f>0</f>
        <v>0</v>
      </c>
      <c r="DY43" s="22">
        <v>0</v>
      </c>
      <c r="DZ43" s="63">
        <f>AVERAGE(DN43:DY43)</f>
        <v>0</v>
      </c>
      <c r="EA43" s="22">
        <f>14</f>
        <v>14</v>
      </c>
      <c r="EB43" s="22">
        <f>14</f>
        <v>14</v>
      </c>
      <c r="EC43" s="22">
        <f>14</f>
        <v>14</v>
      </c>
      <c r="ED43" s="22">
        <f>15</f>
        <v>15</v>
      </c>
      <c r="EE43" s="22">
        <f>15</f>
        <v>15</v>
      </c>
      <c r="EF43" s="22">
        <f>15</f>
        <v>15</v>
      </c>
      <c r="EG43" s="22">
        <f>14</f>
        <v>14</v>
      </c>
      <c r="EH43" s="22">
        <f>15</f>
        <v>15</v>
      </c>
      <c r="EI43" s="22">
        <v>14</v>
      </c>
      <c r="EJ43" s="22">
        <v>14</v>
      </c>
      <c r="EK43" s="22">
        <v>14</v>
      </c>
      <c r="EL43" s="22">
        <v>13</v>
      </c>
      <c r="EM43" s="63">
        <f>AVERAGE(EA43:EL43)</f>
        <v>14.25</v>
      </c>
      <c r="EN43" s="22">
        <f>2</f>
        <v>2</v>
      </c>
      <c r="EO43" s="22">
        <f>2</f>
        <v>2</v>
      </c>
      <c r="EP43" s="22">
        <f>2</f>
        <v>2</v>
      </c>
      <c r="EQ43" s="22">
        <f>2</f>
        <v>2</v>
      </c>
      <c r="ER43" s="22">
        <f>2</f>
        <v>2</v>
      </c>
      <c r="ES43" s="22">
        <f>2</f>
        <v>2</v>
      </c>
      <c r="ET43" s="22">
        <f>2+1</f>
        <v>3</v>
      </c>
      <c r="EU43" s="22">
        <f>2+1+1</f>
        <v>4</v>
      </c>
      <c r="EV43" s="22">
        <v>5</v>
      </c>
      <c r="EW43" s="22">
        <f>6</f>
        <v>6</v>
      </c>
      <c r="EX43" s="22">
        <v>6</v>
      </c>
      <c r="EY43" s="22">
        <v>8</v>
      </c>
      <c r="EZ43" s="63">
        <f>AVERAGE(EN43:EY43)</f>
        <v>3.6666666666666665</v>
      </c>
      <c r="FA43" s="22">
        <f>0</f>
        <v>0</v>
      </c>
      <c r="FB43" s="22">
        <f>0</f>
        <v>0</v>
      </c>
      <c r="FC43" s="22">
        <f>0</f>
        <v>0</v>
      </c>
      <c r="FD43" s="22">
        <f>0</f>
        <v>0</v>
      </c>
      <c r="FE43" s="22">
        <f>0</f>
        <v>0</v>
      </c>
      <c r="FF43" s="22">
        <f>0</f>
        <v>0</v>
      </c>
      <c r="FG43" s="22">
        <f>0</f>
        <v>0</v>
      </c>
      <c r="FH43" s="22">
        <f>0</f>
        <v>0</v>
      </c>
      <c r="FI43" s="22">
        <v>0</v>
      </c>
      <c r="FJ43" s="22">
        <f>0</f>
        <v>0</v>
      </c>
      <c r="FK43" s="22">
        <f>0</f>
        <v>0</v>
      </c>
      <c r="FM43" s="63">
        <f>AVERAGE(FA43:FL43)</f>
        <v>0</v>
      </c>
      <c r="FO43" s="5">
        <f>SUM(GB43,GO43,HB43,HO43,IB43)</f>
        <v>81.5</v>
      </c>
      <c r="FP43" s="5">
        <f t="shared" ref="FP43:FP45" si="292">SUM(GC43,GP43,HC43,HP43,IC43)</f>
        <v>82.5</v>
      </c>
      <c r="FQ43" s="5">
        <f t="shared" ref="FQ43:FQ45" si="293">SUM(GD43,GQ43,HD43,HQ43,ID43)</f>
        <v>83</v>
      </c>
      <c r="FR43" s="5">
        <f t="shared" ref="FR43:FR45" si="294">SUM(GE43,GR43,HE43,HR43,IE43)</f>
        <v>81.5</v>
      </c>
      <c r="FS43" s="5">
        <f t="shared" ref="FS43:FS45" si="295">SUM(GF43,GS43,HF43,HS43,IF43)</f>
        <v>83.5</v>
      </c>
      <c r="FT43" s="5">
        <f t="shared" ref="FT43:FT45" si="296">SUM(GG43,GT43,HG43,HT43,IG43)</f>
        <v>79.5</v>
      </c>
      <c r="FU43" s="5">
        <f t="shared" ref="FU43:FU45" si="297">SUM(GH43,GU43,HH43,HU43,IH43)</f>
        <v>79</v>
      </c>
      <c r="FV43" s="5">
        <f t="shared" ref="FV43:FV45" si="298">SUM(GI43,GV43,HI43,HV43,II43)</f>
        <v>83.5</v>
      </c>
      <c r="FW43" s="5">
        <f t="shared" ref="FW43:FW45" si="299">SUM(GJ43,GW43,HJ43,HW43,IJ43)</f>
        <v>85.5</v>
      </c>
      <c r="FX43" s="5">
        <f t="shared" ref="FX43:FX44" si="300">SUM(GK43,GX43,HK43,HX43,IK43)</f>
        <v>87</v>
      </c>
      <c r="FY43" s="5">
        <f t="shared" ref="FY43:FY44" si="301">SUM(GL43,GY43,HL43,HY43,IL43)</f>
        <v>87</v>
      </c>
      <c r="FZ43" s="5">
        <f t="shared" ref="FZ43:FZ45" si="302">SUM(GM43,GZ43,HM43,HZ43,IM43)</f>
        <v>90</v>
      </c>
      <c r="GA43" s="13">
        <f>AVERAGE(FO43:FZ43)</f>
        <v>83.625</v>
      </c>
      <c r="GB43" s="5">
        <f>59.5-GO43-IB43</f>
        <v>59.5</v>
      </c>
      <c r="GC43" s="5">
        <f>59.5-GP43-IC43</f>
        <v>59.5</v>
      </c>
      <c r="GD43" s="5">
        <f>60-GQ43-ID43</f>
        <v>60</v>
      </c>
      <c r="GE43" s="5">
        <f>57.5-GR43-IE43</f>
        <v>57.5</v>
      </c>
      <c r="GF43" s="5">
        <f>58.5-GS43-IF43</f>
        <v>58.5</v>
      </c>
      <c r="GG43" s="5">
        <f>54.5-GT43-IG43</f>
        <v>54.5</v>
      </c>
      <c r="GH43" s="5">
        <f>54-GU43-IH43</f>
        <v>54</v>
      </c>
      <c r="GI43" s="5">
        <f>55.5-GV43-II43</f>
        <v>55.5</v>
      </c>
      <c r="GJ43" s="5">
        <f>57.5-GW43-IJ43</f>
        <v>57.5</v>
      </c>
      <c r="GK43" s="5">
        <f>58-GX43-IK43</f>
        <v>58</v>
      </c>
      <c r="GL43" s="5">
        <f t="shared" ref="GL43" si="303">58-GY43-IL43</f>
        <v>58</v>
      </c>
      <c r="GM43" s="5">
        <f>62-GZ43-IM43</f>
        <v>62</v>
      </c>
      <c r="GN43" s="13">
        <f>AVERAGE(GB43:GM43)</f>
        <v>57.875</v>
      </c>
      <c r="HA43" s="63" t="e">
        <f>AVERAGE(GO43:GZ43)</f>
        <v>#DIV/0!</v>
      </c>
      <c r="HB43" s="22">
        <v>15</v>
      </c>
      <c r="HC43" s="22">
        <v>16</v>
      </c>
      <c r="HD43" s="22">
        <v>16</v>
      </c>
      <c r="HE43" s="22">
        <v>16</v>
      </c>
      <c r="HF43" s="22">
        <v>15</v>
      </c>
      <c r="HG43" s="22">
        <v>15</v>
      </c>
      <c r="HH43" s="22">
        <v>15</v>
      </c>
      <c r="HI43" s="22">
        <v>15</v>
      </c>
      <c r="HJ43" s="22">
        <v>16</v>
      </c>
      <c r="HK43" s="22">
        <v>17</v>
      </c>
      <c r="HL43" s="22">
        <v>17</v>
      </c>
      <c r="HM43" s="22">
        <v>16</v>
      </c>
      <c r="HN43" s="63">
        <f>AVERAGE(HB43:HM43)</f>
        <v>15.75</v>
      </c>
      <c r="HO43" s="22">
        <v>7</v>
      </c>
      <c r="HP43" s="22">
        <v>7</v>
      </c>
      <c r="HQ43" s="22">
        <v>7</v>
      </c>
      <c r="HR43" s="22">
        <v>8</v>
      </c>
      <c r="HS43" s="22">
        <v>10</v>
      </c>
      <c r="HT43" s="22">
        <v>10</v>
      </c>
      <c r="HU43" s="22">
        <v>10</v>
      </c>
      <c r="HV43" s="22">
        <v>13</v>
      </c>
      <c r="HW43" s="22">
        <v>12</v>
      </c>
      <c r="HX43" s="22">
        <v>12</v>
      </c>
      <c r="HY43" s="22">
        <v>12</v>
      </c>
      <c r="HZ43" s="22">
        <v>12</v>
      </c>
      <c r="IA43" s="63">
        <f>AVERAGE(HO43:HZ43)</f>
        <v>10</v>
      </c>
      <c r="IN43" s="63" t="e">
        <f>AVERAGE(IB43:IM43)</f>
        <v>#DIV/0!</v>
      </c>
      <c r="IP43" s="5">
        <f>SUM(JC43,JP43,KC43,KP43,LC43)</f>
        <v>89</v>
      </c>
      <c r="IQ43" s="5">
        <f t="shared" ref="IQ43:JA45" si="304">SUM(JD43,JQ43,KD43,KQ43,LD43)</f>
        <v>89</v>
      </c>
      <c r="IR43" s="5">
        <f t="shared" si="304"/>
        <v>87</v>
      </c>
      <c r="IS43" s="5">
        <f t="shared" si="304"/>
        <v>90</v>
      </c>
      <c r="IT43" s="5">
        <f t="shared" si="304"/>
        <v>89</v>
      </c>
      <c r="IU43" s="5">
        <f t="shared" si="304"/>
        <v>88</v>
      </c>
      <c r="IV43" s="5">
        <f t="shared" si="304"/>
        <v>89</v>
      </c>
      <c r="IW43" s="5">
        <f t="shared" si="304"/>
        <v>90</v>
      </c>
      <c r="IX43" s="5">
        <f t="shared" si="304"/>
        <v>87</v>
      </c>
      <c r="IY43" s="5">
        <f t="shared" si="304"/>
        <v>93</v>
      </c>
      <c r="IZ43" s="5">
        <f t="shared" si="304"/>
        <v>92</v>
      </c>
      <c r="JA43" s="5">
        <f t="shared" si="304"/>
        <v>95</v>
      </c>
      <c r="JB43" s="63">
        <f>AVERAGE(IP43:JA43)</f>
        <v>89.833333333333329</v>
      </c>
      <c r="JC43" s="21">
        <f>[4]Sheet1!B8</f>
        <v>61</v>
      </c>
      <c r="JD43" s="21">
        <f>[4]Sheet1!J8</f>
        <v>61</v>
      </c>
      <c r="JE43" s="21">
        <f>[4]Sheet1!P8</f>
        <v>58</v>
      </c>
      <c r="JF43" s="21">
        <f>[5]Sheet1!$H$8+[5]Sheet1!$I$8</f>
        <v>60</v>
      </c>
      <c r="JG43" s="21">
        <f>'[6]Manpower Strength Aug''18'!$B$7+'[6]Manpower Strength Aug''18'!$C$7</f>
        <v>62</v>
      </c>
      <c r="JH43" s="21">
        <f>'[6]Manpower Strength Sep''18'!$B$7+'[6]Manpower Strength Sep''18'!$C$7</f>
        <v>62</v>
      </c>
      <c r="JI43" s="21">
        <f>'[6]Manpower Strength Oct''18'!$B$7+'[6]Manpower Strength Oct''18'!$C$7</f>
        <v>63</v>
      </c>
      <c r="JJ43" s="21">
        <f>'[6]Manpower Strength Nov''18'!$B$7+'[6]Manpower Strength Nov''18'!$C$7</f>
        <v>63</v>
      </c>
      <c r="JK43" s="21">
        <f>'[6]Manpower Strength Dec''18'!$B$7+'[6]Manpower Strength Dec''18'!$C$7</f>
        <v>60</v>
      </c>
      <c r="JL43" s="21">
        <f>'[6]Manpower Strength Jan''19'!$B$7+'[6]Manpower Strength Jan''19'!$C$7</f>
        <v>66</v>
      </c>
      <c r="JM43" s="21">
        <f>'[6]Manpower Strength Feb''19'!$B$7+'[6]Manpower Strength Feb''19'!$C$7</f>
        <v>64</v>
      </c>
      <c r="JN43" s="21">
        <f>'[6]Manpower Strength Mar''19'!$B$7+'[6]Manpower Strength Mar''19'!$C$7</f>
        <v>64</v>
      </c>
      <c r="JO43" s="63">
        <f>IFERROR(AVERAGE(JC43:JN43),"")</f>
        <v>62</v>
      </c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63" t="str">
        <f>IFERROR(AVERAGE(JP43:KA43),"")</f>
        <v/>
      </c>
      <c r="KC43" s="21">
        <f>[4]Sheet1!B10</f>
        <v>16</v>
      </c>
      <c r="KD43" s="21">
        <f>[4]Sheet1!J10</f>
        <v>16</v>
      </c>
      <c r="KE43" s="21">
        <f>[4]Sheet1!P10</f>
        <v>14</v>
      </c>
      <c r="KF43" s="21">
        <f>[5]Sheet1!$H$10+[5]Sheet1!$I$10</f>
        <v>15</v>
      </c>
      <c r="KG43" s="21">
        <f>'[6]Manpower Strength Aug''18'!$B$9+'[6]Manpower Strength Aug''18'!$C$9</f>
        <v>14</v>
      </c>
      <c r="KH43" s="21">
        <f>'[6]Manpower Strength Sep''18'!$B$9+'[6]Manpower Strength Sep''18'!$C$9</f>
        <v>14</v>
      </c>
      <c r="KI43" s="21">
        <f>'[6]Manpower Strength Oct''18'!$B$9+'[6]Manpower Strength Oct''18'!$C$9</f>
        <v>14</v>
      </c>
      <c r="KJ43" s="21">
        <f>'[6]Manpower Strength Nov''18'!$B$9+'[6]Manpower Strength Nov''18'!$C$9</f>
        <v>16</v>
      </c>
      <c r="KK43" s="21">
        <f>'[6]Manpower Strength Dec''18'!$B$9+'[6]Manpower Strength Dec''18'!$C$9</f>
        <v>16</v>
      </c>
      <c r="KL43" s="21">
        <f>'[6]Manpower Strength Jan''19'!$B$9+'[6]Manpower Strength Jan''19'!$C$9</f>
        <v>16</v>
      </c>
      <c r="KM43" s="21">
        <f>'[6]Manpower Strength Feb''19'!$B$9+'[6]Manpower Strength Feb''19'!$C$9</f>
        <v>17</v>
      </c>
      <c r="KN43" s="21">
        <f>'[6]Manpower Strength Mar''19'!$B$9+'[6]Manpower Strength Mar''19'!$C$9</f>
        <v>20</v>
      </c>
      <c r="KO43" s="63">
        <f>IFERROR(AVERAGE(KC43:KN43),"")</f>
        <v>15.666666666666666</v>
      </c>
      <c r="KP43" s="21">
        <f>[4]Sheet1!B11</f>
        <v>12</v>
      </c>
      <c r="KQ43" s="21">
        <f>[4]Sheet1!J11</f>
        <v>12</v>
      </c>
      <c r="KR43" s="21">
        <f>[4]Sheet1!$P$11</f>
        <v>15</v>
      </c>
      <c r="KS43" s="21">
        <f>[5]Sheet1!$H$11+[5]Sheet1!$I$11</f>
        <v>15</v>
      </c>
      <c r="KT43" s="21">
        <f>'[6]Manpower Strength Aug''18'!$B$10+'[6]Manpower Strength Aug''18'!$C$10</f>
        <v>13</v>
      </c>
      <c r="KU43" s="21">
        <f>'[6]Manpower Strength Sep''18'!B10</f>
        <v>12</v>
      </c>
      <c r="KV43" s="21">
        <f>'[6]Manpower Strength Oct''18'!$B$10</f>
        <v>12</v>
      </c>
      <c r="KW43" s="21">
        <f>'[6]Manpower Strength Nov''18'!$B$10</f>
        <v>11</v>
      </c>
      <c r="KX43" s="21">
        <f>'[6]Manpower Strength Dec''18'!$B$10</f>
        <v>11</v>
      </c>
      <c r="KY43" s="21">
        <f>'[6]Manpower Strength Jan''19'!$B$10</f>
        <v>11</v>
      </c>
      <c r="KZ43" s="21">
        <f>'[6]Manpower Strength Feb''19'!$B$10</f>
        <v>11</v>
      </c>
      <c r="LA43" s="21">
        <f>'[6]Manpower Strength Mar''19'!$B$10</f>
        <v>11</v>
      </c>
      <c r="LB43" s="63">
        <f>IFERROR(AVERAGE(KP43:LA43),"")</f>
        <v>12.166666666666666</v>
      </c>
      <c r="LC43" s="21"/>
      <c r="LD43" s="21"/>
      <c r="LE43" s="21"/>
      <c r="LF43" s="21"/>
      <c r="LG43" s="21"/>
      <c r="LH43" s="21"/>
      <c r="LI43" s="21"/>
      <c r="LJ43" s="21"/>
      <c r="LK43" s="21"/>
      <c r="LL43" s="21"/>
      <c r="LM43" s="21"/>
      <c r="LN43" s="21"/>
      <c r="LO43" s="63" t="str">
        <f>IFERROR(AVERAGE(LC43:LN43),"")</f>
        <v/>
      </c>
    </row>
    <row r="44" spans="1:327">
      <c r="A44" s="12" t="s">
        <v>19</v>
      </c>
      <c r="B44" s="5">
        <f>SUM(Q44,AF44,AU44,BJ44,BY44)</f>
        <v>35</v>
      </c>
      <c r="C44" s="5">
        <f t="shared" si="290"/>
        <v>35</v>
      </c>
      <c r="D44" s="5">
        <f t="shared" si="290"/>
        <v>35</v>
      </c>
      <c r="E44" s="5">
        <f t="shared" si="290"/>
        <v>35</v>
      </c>
      <c r="F44" s="5">
        <f t="shared" si="290"/>
        <v>35</v>
      </c>
      <c r="G44" s="5">
        <f t="shared" si="290"/>
        <v>35</v>
      </c>
      <c r="H44" s="5">
        <f t="shared" si="290"/>
        <v>35</v>
      </c>
      <c r="I44" s="5">
        <f t="shared" si="290"/>
        <v>35</v>
      </c>
      <c r="J44" s="5">
        <f t="shared" si="290"/>
        <v>35</v>
      </c>
      <c r="K44" s="5">
        <f t="shared" si="290"/>
        <v>35</v>
      </c>
      <c r="L44" s="5">
        <f t="shared" si="290"/>
        <v>35</v>
      </c>
      <c r="M44" s="5">
        <f t="shared" si="290"/>
        <v>35</v>
      </c>
      <c r="N44" s="5">
        <f t="shared" si="290"/>
        <v>35</v>
      </c>
      <c r="O44" s="7">
        <f>AVERAGE(C44:N44)</f>
        <v>35</v>
      </c>
      <c r="P44" s="4" t="s">
        <v>19</v>
      </c>
      <c r="Q44" s="5">
        <f t="shared" ref="Q44:AC44" si="305">35-AF44</f>
        <v>32</v>
      </c>
      <c r="R44" s="5">
        <f t="shared" si="305"/>
        <v>33</v>
      </c>
      <c r="S44" s="21">
        <f t="shared" si="305"/>
        <v>33</v>
      </c>
      <c r="T44" s="21">
        <f t="shared" si="305"/>
        <v>33</v>
      </c>
      <c r="U44" s="21">
        <f t="shared" si="305"/>
        <v>33</v>
      </c>
      <c r="V44" s="21">
        <f t="shared" si="305"/>
        <v>33</v>
      </c>
      <c r="W44" s="21">
        <f t="shared" si="305"/>
        <v>33</v>
      </c>
      <c r="X44" s="21">
        <f t="shared" si="305"/>
        <v>33</v>
      </c>
      <c r="Y44" s="21">
        <f t="shared" si="305"/>
        <v>33</v>
      </c>
      <c r="Z44" s="21">
        <f t="shared" si="305"/>
        <v>33</v>
      </c>
      <c r="AA44" s="21">
        <f t="shared" si="305"/>
        <v>33</v>
      </c>
      <c r="AB44" s="21">
        <f t="shared" si="305"/>
        <v>33</v>
      </c>
      <c r="AC44" s="21">
        <f t="shared" si="305"/>
        <v>33</v>
      </c>
      <c r="AD44" s="7">
        <f>AVERAGE(R44:AC44)</f>
        <v>33</v>
      </c>
      <c r="AE44" s="4" t="s">
        <v>19</v>
      </c>
      <c r="AF44" s="5">
        <v>3</v>
      </c>
      <c r="AG44" s="5">
        <f>2</f>
        <v>2</v>
      </c>
      <c r="AH44" s="5">
        <f>2</f>
        <v>2</v>
      </c>
      <c r="AI44" s="5">
        <f>2</f>
        <v>2</v>
      </c>
      <c r="AJ44" s="5">
        <f>2</f>
        <v>2</v>
      </c>
      <c r="AK44" s="5">
        <f>2</f>
        <v>2</v>
      </c>
      <c r="AL44" s="5">
        <f>2</f>
        <v>2</v>
      </c>
      <c r="AM44" s="5">
        <f>2</f>
        <v>2</v>
      </c>
      <c r="AN44" s="5">
        <f>2</f>
        <v>2</v>
      </c>
      <c r="AO44" s="5">
        <f>2</f>
        <v>2</v>
      </c>
      <c r="AP44" s="5">
        <f>2</f>
        <v>2</v>
      </c>
      <c r="AQ44" s="5">
        <f>2</f>
        <v>2</v>
      </c>
      <c r="AR44" s="5">
        <f>2</f>
        <v>2</v>
      </c>
      <c r="AS44" s="7">
        <f>AVERAGE(AG44:AR44)</f>
        <v>2</v>
      </c>
      <c r="CN44" s="5">
        <f>SUM(DA44,DN44,EA44,EN44,FA44)</f>
        <v>35</v>
      </c>
      <c r="CO44" s="5">
        <f t="shared" si="291"/>
        <v>35</v>
      </c>
      <c r="CP44" s="5">
        <f t="shared" si="291"/>
        <v>34</v>
      </c>
      <c r="CQ44" s="5">
        <f t="shared" si="291"/>
        <v>34</v>
      </c>
      <c r="CR44" s="5">
        <f t="shared" si="291"/>
        <v>34</v>
      </c>
      <c r="CS44" s="5">
        <f t="shared" si="291"/>
        <v>34</v>
      </c>
      <c r="CT44" s="5">
        <f t="shared" si="291"/>
        <v>34</v>
      </c>
      <c r="CU44" s="5">
        <f t="shared" si="291"/>
        <v>34</v>
      </c>
      <c r="CV44" s="5">
        <f t="shared" si="291"/>
        <v>34</v>
      </c>
      <c r="CW44" s="5">
        <f t="shared" si="291"/>
        <v>34</v>
      </c>
      <c r="CX44" s="5">
        <f t="shared" si="291"/>
        <v>34</v>
      </c>
      <c r="CY44" s="5">
        <f t="shared" si="291"/>
        <v>34</v>
      </c>
      <c r="CZ44" s="13">
        <f>AVERAGE(CN44:CY44)</f>
        <v>34.166666666666664</v>
      </c>
      <c r="DA44" s="5">
        <f>34-DN44-FA44</f>
        <v>32</v>
      </c>
      <c r="DB44" s="5">
        <f>34-DO44-FB44</f>
        <v>32</v>
      </c>
      <c r="DC44" s="5">
        <f t="shared" ref="DC44:DL44" si="306">33-DP44-FC44</f>
        <v>31</v>
      </c>
      <c r="DD44" s="5">
        <f t="shared" si="306"/>
        <v>31</v>
      </c>
      <c r="DE44" s="5">
        <f t="shared" si="306"/>
        <v>31</v>
      </c>
      <c r="DF44" s="5">
        <f t="shared" si="306"/>
        <v>31</v>
      </c>
      <c r="DG44" s="5">
        <f t="shared" si="306"/>
        <v>31</v>
      </c>
      <c r="DH44" s="5">
        <f t="shared" si="306"/>
        <v>31</v>
      </c>
      <c r="DI44" s="5">
        <f t="shared" si="306"/>
        <v>31</v>
      </c>
      <c r="DJ44" s="5">
        <f t="shared" si="306"/>
        <v>31</v>
      </c>
      <c r="DK44" s="5">
        <f t="shared" si="306"/>
        <v>31</v>
      </c>
      <c r="DL44" s="5">
        <f t="shared" si="306"/>
        <v>31</v>
      </c>
      <c r="DM44" s="13">
        <f>AVERAGE(DA44:DL44)</f>
        <v>31.166666666666668</v>
      </c>
      <c r="DN44" s="22">
        <f>2</f>
        <v>2</v>
      </c>
      <c r="DO44" s="22">
        <f>2</f>
        <v>2</v>
      </c>
      <c r="DP44" s="22">
        <f>2</f>
        <v>2</v>
      </c>
      <c r="DQ44" s="22">
        <f>2</f>
        <v>2</v>
      </c>
      <c r="DR44" s="22">
        <f>2</f>
        <v>2</v>
      </c>
      <c r="DS44" s="22">
        <f>2</f>
        <v>2</v>
      </c>
      <c r="DT44" s="22">
        <f>2</f>
        <v>2</v>
      </c>
      <c r="DU44" s="22">
        <f>2</f>
        <v>2</v>
      </c>
      <c r="DV44" s="22">
        <v>2</v>
      </c>
      <c r="DW44" s="22">
        <v>2</v>
      </c>
      <c r="DX44" s="22">
        <f>2</f>
        <v>2</v>
      </c>
      <c r="DY44" s="22">
        <v>2</v>
      </c>
      <c r="DZ44" s="63">
        <f>AVERAGE(DN44:DY44)</f>
        <v>2</v>
      </c>
      <c r="EA44" s="22">
        <f>1</f>
        <v>1</v>
      </c>
      <c r="EB44" s="22">
        <f>1</f>
        <v>1</v>
      </c>
      <c r="EC44" s="22">
        <f>1</f>
        <v>1</v>
      </c>
      <c r="ED44" s="22">
        <f>1</f>
        <v>1</v>
      </c>
      <c r="EE44" s="22">
        <f>1</f>
        <v>1</v>
      </c>
      <c r="EF44" s="22">
        <f>1</f>
        <v>1</v>
      </c>
      <c r="EG44" s="22">
        <f>1</f>
        <v>1</v>
      </c>
      <c r="EH44" s="22">
        <f>1</f>
        <v>1</v>
      </c>
      <c r="EI44" s="22">
        <v>1</v>
      </c>
      <c r="EJ44" s="22">
        <v>1</v>
      </c>
      <c r="EK44" s="22">
        <v>1</v>
      </c>
      <c r="EL44" s="22">
        <v>1</v>
      </c>
      <c r="EM44" s="63">
        <f>AVERAGE(EA44:EL44)</f>
        <v>1</v>
      </c>
      <c r="EN44" s="22">
        <f>0</f>
        <v>0</v>
      </c>
      <c r="EO44" s="22">
        <f>0</f>
        <v>0</v>
      </c>
      <c r="EP44" s="22">
        <f>0</f>
        <v>0</v>
      </c>
      <c r="EQ44" s="22">
        <f>0</f>
        <v>0</v>
      </c>
      <c r="ER44" s="22">
        <f>0</f>
        <v>0</v>
      </c>
      <c r="ES44" s="22">
        <f>0</f>
        <v>0</v>
      </c>
      <c r="ET44" s="22">
        <f>0</f>
        <v>0</v>
      </c>
      <c r="EU44" s="22">
        <f>0</f>
        <v>0</v>
      </c>
      <c r="EV44" s="22">
        <v>0</v>
      </c>
      <c r="EW44" s="22">
        <f>0</f>
        <v>0</v>
      </c>
      <c r="EX44" s="22">
        <v>0</v>
      </c>
      <c r="EY44" s="22">
        <v>0</v>
      </c>
      <c r="EZ44" s="63">
        <f>AVERAGE(EN44:EY44)</f>
        <v>0</v>
      </c>
      <c r="FA44" s="22">
        <f>0</f>
        <v>0</v>
      </c>
      <c r="FB44" s="22">
        <f>0</f>
        <v>0</v>
      </c>
      <c r="FC44" s="22">
        <f>0</f>
        <v>0</v>
      </c>
      <c r="FD44" s="22">
        <f>0</f>
        <v>0</v>
      </c>
      <c r="FE44" s="22">
        <f>0</f>
        <v>0</v>
      </c>
      <c r="FF44" s="22">
        <f>0</f>
        <v>0</v>
      </c>
      <c r="FG44" s="22">
        <f>0</f>
        <v>0</v>
      </c>
      <c r="FH44" s="22">
        <f>0</f>
        <v>0</v>
      </c>
      <c r="FI44" s="22">
        <v>0</v>
      </c>
      <c r="FJ44" s="22">
        <f>0</f>
        <v>0</v>
      </c>
      <c r="FK44" s="22">
        <f>0</f>
        <v>0</v>
      </c>
      <c r="FM44" s="63">
        <f>AVERAGE(FA44:FL44)</f>
        <v>0</v>
      </c>
      <c r="FO44" s="5">
        <f>SUM(GB44,GO44,HB44,HO44,IB44)</f>
        <v>34</v>
      </c>
      <c r="FP44" s="5">
        <f t="shared" si="292"/>
        <v>34</v>
      </c>
      <c r="FQ44" s="5">
        <f t="shared" si="293"/>
        <v>34</v>
      </c>
      <c r="FR44" s="5">
        <f t="shared" si="294"/>
        <v>34</v>
      </c>
      <c r="FS44" s="5">
        <f t="shared" si="295"/>
        <v>34</v>
      </c>
      <c r="FT44" s="5">
        <f t="shared" si="296"/>
        <v>34</v>
      </c>
      <c r="FU44" s="5">
        <f t="shared" si="297"/>
        <v>33</v>
      </c>
      <c r="FV44" s="5">
        <f t="shared" si="298"/>
        <v>33</v>
      </c>
      <c r="FW44" s="5">
        <f t="shared" si="299"/>
        <v>33</v>
      </c>
      <c r="FX44" s="5">
        <f t="shared" si="300"/>
        <v>33</v>
      </c>
      <c r="FY44" s="5">
        <f t="shared" si="301"/>
        <v>33</v>
      </c>
      <c r="FZ44" s="5">
        <f t="shared" si="302"/>
        <v>33</v>
      </c>
      <c r="GA44" s="13">
        <f>AVERAGE(FO44:FZ44)</f>
        <v>33.5</v>
      </c>
      <c r="GB44" s="5">
        <f t="shared" ref="GB44:GG44" si="307">33-GO44-IB44</f>
        <v>31</v>
      </c>
      <c r="GC44" s="5">
        <f t="shared" si="307"/>
        <v>31</v>
      </c>
      <c r="GD44" s="5">
        <f t="shared" si="307"/>
        <v>31</v>
      </c>
      <c r="GE44" s="5">
        <f t="shared" si="307"/>
        <v>31</v>
      </c>
      <c r="GF44" s="5">
        <f t="shared" si="307"/>
        <v>31</v>
      </c>
      <c r="GG44" s="5">
        <f t="shared" si="307"/>
        <v>31</v>
      </c>
      <c r="GH44" s="5">
        <f>32-GU44-IH44</f>
        <v>30</v>
      </c>
      <c r="GI44" s="5">
        <f>32-GV44-II44</f>
        <v>30</v>
      </c>
      <c r="GJ44" s="5">
        <f>32-GW44-IJ44</f>
        <v>30</v>
      </c>
      <c r="GK44" s="5">
        <f>32-GX44-IK44</f>
        <v>30</v>
      </c>
      <c r="GL44" s="5">
        <f t="shared" ref="GL44:GM44" si="308">32-GY44-IL44</f>
        <v>30</v>
      </c>
      <c r="GM44" s="5">
        <f t="shared" si="308"/>
        <v>30</v>
      </c>
      <c r="GN44" s="13">
        <f>AVERAGE(GB44:GM44)</f>
        <v>30.5</v>
      </c>
      <c r="GO44" s="22">
        <v>2</v>
      </c>
      <c r="GP44" s="22">
        <v>2</v>
      </c>
      <c r="GQ44" s="22">
        <v>2</v>
      </c>
      <c r="GR44" s="22">
        <v>2</v>
      </c>
      <c r="GS44" s="22">
        <v>2</v>
      </c>
      <c r="GT44" s="22">
        <v>2</v>
      </c>
      <c r="GU44" s="22">
        <v>2</v>
      </c>
      <c r="GV44" s="22">
        <v>2</v>
      </c>
      <c r="GW44" s="22">
        <v>2</v>
      </c>
      <c r="GX44" s="22">
        <f>2</f>
        <v>2</v>
      </c>
      <c r="GY44" s="22">
        <f>2</f>
        <v>2</v>
      </c>
      <c r="GZ44" s="22">
        <f>2</f>
        <v>2</v>
      </c>
      <c r="HA44" s="63">
        <f>AVERAGE(GO44:GZ44)</f>
        <v>2</v>
      </c>
      <c r="HB44" s="22">
        <v>1</v>
      </c>
      <c r="HC44" s="22">
        <v>1</v>
      </c>
      <c r="HD44" s="22">
        <v>1</v>
      </c>
      <c r="HE44" s="22">
        <v>1</v>
      </c>
      <c r="HF44" s="22">
        <v>1</v>
      </c>
      <c r="HG44" s="22">
        <v>1</v>
      </c>
      <c r="HH44" s="22">
        <v>1</v>
      </c>
      <c r="HI44" s="22">
        <v>1</v>
      </c>
      <c r="HJ44" s="22">
        <v>1</v>
      </c>
      <c r="HK44" s="22">
        <f>1</f>
        <v>1</v>
      </c>
      <c r="HL44" s="22">
        <f>1</f>
        <v>1</v>
      </c>
      <c r="HM44" s="22">
        <f>1</f>
        <v>1</v>
      </c>
      <c r="HN44" s="63">
        <f>AVERAGE(HB44:HM44)</f>
        <v>1</v>
      </c>
      <c r="HO44" s="22">
        <v>0</v>
      </c>
      <c r="HP44" s="22">
        <v>0</v>
      </c>
      <c r="HQ44" s="22">
        <v>0</v>
      </c>
      <c r="HR44" s="22">
        <v>0</v>
      </c>
      <c r="HS44" s="22">
        <v>0</v>
      </c>
      <c r="HT44" s="22">
        <v>0</v>
      </c>
      <c r="HU44" s="22">
        <f>0</f>
        <v>0</v>
      </c>
      <c r="HV44" s="22">
        <f>0</f>
        <v>0</v>
      </c>
      <c r="HW44" s="22">
        <f>0</f>
        <v>0</v>
      </c>
      <c r="HX44" s="22">
        <f>0</f>
        <v>0</v>
      </c>
      <c r="HY44" s="22">
        <f>0</f>
        <v>0</v>
      </c>
      <c r="HZ44" s="22">
        <f>0</f>
        <v>0</v>
      </c>
      <c r="IA44" s="63">
        <f>AVERAGE(HO44:HZ44)</f>
        <v>0</v>
      </c>
      <c r="IN44" s="63" t="e">
        <f>AVERAGE(IB44:IM44)</f>
        <v>#DIV/0!</v>
      </c>
      <c r="IP44" s="5">
        <f t="shared" ref="IP44:IP45" si="309">SUM(JC44,JP44,KC44,KP44,LC44)</f>
        <v>33</v>
      </c>
      <c r="IQ44" s="5">
        <f t="shared" si="304"/>
        <v>33</v>
      </c>
      <c r="IR44" s="5">
        <f t="shared" si="304"/>
        <v>33</v>
      </c>
      <c r="IS44" s="5">
        <f t="shared" si="304"/>
        <v>33</v>
      </c>
      <c r="IT44" s="5">
        <f t="shared" si="304"/>
        <v>33</v>
      </c>
      <c r="IU44" s="5">
        <f t="shared" si="304"/>
        <v>33</v>
      </c>
      <c r="IV44" s="5">
        <f t="shared" si="304"/>
        <v>33</v>
      </c>
      <c r="IW44" s="5">
        <f t="shared" si="304"/>
        <v>33</v>
      </c>
      <c r="IX44" s="5">
        <f t="shared" si="304"/>
        <v>33</v>
      </c>
      <c r="IY44" s="5">
        <f t="shared" si="304"/>
        <v>32</v>
      </c>
      <c r="IZ44" s="5">
        <f t="shared" si="304"/>
        <v>29</v>
      </c>
      <c r="JA44" s="5">
        <f t="shared" si="304"/>
        <v>27</v>
      </c>
      <c r="JB44" s="63">
        <f>AVERAGE(IP44:JA44)</f>
        <v>32.083333333333336</v>
      </c>
      <c r="JC44" s="101">
        <f>[4]Sheet1!C8-SUM(JP44)</f>
        <v>30</v>
      </c>
      <c r="JD44" s="101">
        <f>[4]Sheet1!K8-SUM(JQ44)</f>
        <v>30</v>
      </c>
      <c r="JE44" s="101">
        <f>[4]Sheet1!Q8-SUM(JR44)</f>
        <v>30</v>
      </c>
      <c r="JF44" s="101">
        <f>[5]Sheet1!$J$8-SUM(JS44)</f>
        <v>30</v>
      </c>
      <c r="JG44" s="101">
        <f>'[6]Manpower Strength Aug''18'!$D$7-SUM(JT44)</f>
        <v>30</v>
      </c>
      <c r="JH44" s="175">
        <f>'[6]Manpower Strength Sep''18'!$D$7-SUM(JU44)</f>
        <v>30</v>
      </c>
      <c r="JI44" s="175">
        <f>'[6]Manpower Strength Oct''18'!$D$7-SUM(JV44)</f>
        <v>30</v>
      </c>
      <c r="JJ44" s="175">
        <f>'[6]Manpower Strength Nov''18'!$D$7-SUM(JW44)</f>
        <v>30</v>
      </c>
      <c r="JK44" s="175">
        <f>'[6]Manpower Strength Dec''18'!$D$7-SUM(JX44)</f>
        <v>30</v>
      </c>
      <c r="JL44" s="175">
        <f>'[6]Manpower Strength Jan''19'!$D$7-SUM(JY44)</f>
        <v>29</v>
      </c>
      <c r="JM44" s="175">
        <f>'[6]Manpower Strength Feb''19'!$D$7-SUM(JZ44)</f>
        <v>27</v>
      </c>
      <c r="JN44" s="175">
        <f>'[6]Manpower Strength Mar''19'!$D$7-SUM(KA44)</f>
        <v>25</v>
      </c>
      <c r="JO44" s="63">
        <f t="shared" ref="JO44:JO45" si="310">IFERROR(AVERAGE(JC44:JN44),"")</f>
        <v>29.25</v>
      </c>
      <c r="JP44" s="20">
        <f>2</f>
        <v>2</v>
      </c>
      <c r="JQ44" s="20">
        <f>2</f>
        <v>2</v>
      </c>
      <c r="JR44" s="20">
        <f>2</f>
        <v>2</v>
      </c>
      <c r="JS44" s="20">
        <f t="shared" ref="JS44:KA44" si="311">JR44</f>
        <v>2</v>
      </c>
      <c r="JT44" s="20">
        <f t="shared" si="311"/>
        <v>2</v>
      </c>
      <c r="JU44" s="20">
        <f t="shared" si="311"/>
        <v>2</v>
      </c>
      <c r="JV44" s="20">
        <f t="shared" si="311"/>
        <v>2</v>
      </c>
      <c r="JW44" s="20">
        <f t="shared" si="311"/>
        <v>2</v>
      </c>
      <c r="JX44" s="20">
        <f t="shared" si="311"/>
        <v>2</v>
      </c>
      <c r="JY44" s="20">
        <f t="shared" si="311"/>
        <v>2</v>
      </c>
      <c r="JZ44" s="20">
        <f t="shared" si="311"/>
        <v>2</v>
      </c>
      <c r="KA44" s="20">
        <f t="shared" si="311"/>
        <v>2</v>
      </c>
      <c r="KB44" s="63">
        <f t="shared" ref="KB44:KB45" si="312">IFERROR(AVERAGE(JP44:KA44),"")</f>
        <v>2</v>
      </c>
      <c r="KC44" s="21">
        <f>[4]Sheet1!C10</f>
        <v>1</v>
      </c>
      <c r="KD44" s="21">
        <f>[4]Sheet1!K10</f>
        <v>1</v>
      </c>
      <c r="KE44" s="21">
        <f>[4]Sheet1!Q10</f>
        <v>1</v>
      </c>
      <c r="KF44" s="21">
        <f>[5]Sheet1!$J$10</f>
        <v>1</v>
      </c>
      <c r="KG44" s="21">
        <f>'[6]Manpower Strength Aug''18'!$D$9</f>
        <v>1</v>
      </c>
      <c r="KH44" s="21">
        <f>'[6]Manpower Strength Sep''18'!$D$9</f>
        <v>1</v>
      </c>
      <c r="KI44" s="21">
        <f>'[6]Manpower Strength Oct''18'!$D$9</f>
        <v>1</v>
      </c>
      <c r="KJ44" s="21">
        <f>'[6]Manpower Strength Nov''18'!$D$9</f>
        <v>1</v>
      </c>
      <c r="KK44" s="21">
        <f>'[6]Manpower Strength Dec''18'!$D$9</f>
        <v>1</v>
      </c>
      <c r="KL44" s="21">
        <f>'[6]Manpower Strength Jan''19'!$D$9</f>
        <v>1</v>
      </c>
      <c r="KM44" s="21">
        <f>'[6]Manpower Strength Feb''19'!$D$9</f>
        <v>0</v>
      </c>
      <c r="KN44" s="21">
        <f>'[6]Manpower Strength Mar''19'!$D$9</f>
        <v>0</v>
      </c>
      <c r="KO44" s="63">
        <f t="shared" ref="KO44:KO45" si="313">IFERROR(AVERAGE(KC44:KN44),"")</f>
        <v>0.83333333333333337</v>
      </c>
      <c r="KP44" s="21"/>
      <c r="KQ44" s="21"/>
      <c r="KR44" s="21"/>
      <c r="KS44" s="21"/>
      <c r="KT44" s="21"/>
      <c r="KU44" s="21"/>
      <c r="KV44" s="21"/>
      <c r="KW44" s="21"/>
      <c r="KX44" s="21"/>
      <c r="KY44" s="21"/>
      <c r="KZ44" s="21"/>
      <c r="LA44" s="21"/>
      <c r="LB44" s="63" t="str">
        <f t="shared" ref="LB44:LB45" si="314">IFERROR(AVERAGE(KP44:LA44),"")</f>
        <v/>
      </c>
      <c r="LC44" s="21"/>
      <c r="LD44" s="21"/>
      <c r="LE44" s="21"/>
      <c r="LF44" s="21"/>
      <c r="LG44" s="21"/>
      <c r="LH44" s="21"/>
      <c r="LI44" s="21"/>
      <c r="LJ44" s="21"/>
      <c r="LK44" s="21"/>
      <c r="LL44" s="21"/>
      <c r="LM44" s="21"/>
      <c r="LN44" s="21"/>
      <c r="LO44" s="63" t="str">
        <f t="shared" ref="LO44:LO45" si="315">IFERROR(AVERAGE(LC44:LN44),"")</f>
        <v/>
      </c>
    </row>
    <row r="45" spans="1:327">
      <c r="A45" s="12" t="s">
        <v>20</v>
      </c>
      <c r="B45" s="5">
        <f>SUM(Q45,AF45,AU45,BJ45,BY45)</f>
        <v>198.5</v>
      </c>
      <c r="C45" s="5">
        <f t="shared" si="290"/>
        <v>191</v>
      </c>
      <c r="D45" s="5">
        <f t="shared" si="290"/>
        <v>179</v>
      </c>
      <c r="E45" s="5">
        <f t="shared" si="290"/>
        <v>178</v>
      </c>
      <c r="F45" s="5">
        <f t="shared" si="290"/>
        <v>191.5</v>
      </c>
      <c r="G45" s="5">
        <f t="shared" si="290"/>
        <v>200.5</v>
      </c>
      <c r="H45" s="5">
        <f t="shared" si="290"/>
        <v>188.5</v>
      </c>
      <c r="I45" s="5">
        <f t="shared" si="290"/>
        <v>184.5</v>
      </c>
      <c r="J45" s="5">
        <f t="shared" si="290"/>
        <v>186.5</v>
      </c>
      <c r="K45" s="5">
        <f t="shared" si="290"/>
        <v>180.5</v>
      </c>
      <c r="L45" s="5">
        <f t="shared" si="290"/>
        <v>162.5</v>
      </c>
      <c r="M45" s="5">
        <f t="shared" si="290"/>
        <v>187.5</v>
      </c>
      <c r="N45" s="5">
        <f t="shared" si="290"/>
        <v>196.5</v>
      </c>
      <c r="O45" s="7">
        <f>AVERAGE(C45:N45)</f>
        <v>185.54166666666666</v>
      </c>
      <c r="P45" s="4" t="s">
        <v>20</v>
      </c>
      <c r="Q45" s="5">
        <f>198.5-AF45</f>
        <v>190.5</v>
      </c>
      <c r="R45" s="5">
        <f>191-AG45</f>
        <v>189</v>
      </c>
      <c r="S45" s="21">
        <f>179-AH45</f>
        <v>177</v>
      </c>
      <c r="T45" s="21">
        <f>178-AI45</f>
        <v>176</v>
      </c>
      <c r="U45" s="23">
        <f>191.5-AJ45</f>
        <v>189.5</v>
      </c>
      <c r="V45" s="23">
        <f>200.5-AK45</f>
        <v>198.5</v>
      </c>
      <c r="W45" s="23">
        <f>188.5-AL45</f>
        <v>186.5</v>
      </c>
      <c r="X45" s="23">
        <f>184.5-AM45</f>
        <v>182.5</v>
      </c>
      <c r="Y45" s="23">
        <f>186.5-AN45</f>
        <v>184.5</v>
      </c>
      <c r="Z45" s="23">
        <f>180.5-AO45</f>
        <v>178.5</v>
      </c>
      <c r="AA45" s="23">
        <f>162.5-AP45</f>
        <v>160.5</v>
      </c>
      <c r="AB45" s="23">
        <f>187.5-AQ45</f>
        <v>185.5</v>
      </c>
      <c r="AC45" s="23">
        <f>196.5-AR45</f>
        <v>194.5</v>
      </c>
      <c r="AD45" s="7">
        <f>AVERAGE(R45:AC45)</f>
        <v>183.54166666666666</v>
      </c>
      <c r="AE45" s="4" t="s">
        <v>20</v>
      </c>
      <c r="AF45" s="5">
        <v>8</v>
      </c>
      <c r="AG45" s="5">
        <f>2</f>
        <v>2</v>
      </c>
      <c r="AH45" s="5">
        <f>2</f>
        <v>2</v>
      </c>
      <c r="AI45" s="5">
        <f>2</f>
        <v>2</v>
      </c>
      <c r="AJ45" s="5">
        <f>2</f>
        <v>2</v>
      </c>
      <c r="AK45" s="5">
        <f>2</f>
        <v>2</v>
      </c>
      <c r="AL45" s="5">
        <f>2</f>
        <v>2</v>
      </c>
      <c r="AM45" s="5">
        <f>2</f>
        <v>2</v>
      </c>
      <c r="AN45" s="5">
        <f>2</f>
        <v>2</v>
      </c>
      <c r="AO45" s="5">
        <f>2</f>
        <v>2</v>
      </c>
      <c r="AP45" s="5">
        <f>2</f>
        <v>2</v>
      </c>
      <c r="AQ45" s="5">
        <f>2</f>
        <v>2</v>
      </c>
      <c r="AR45" s="5">
        <f>2</f>
        <v>2</v>
      </c>
      <c r="AS45" s="7">
        <f>AVERAGE(AG45:AR45)</f>
        <v>2</v>
      </c>
      <c r="CN45" s="5">
        <f>SUM(DA45,DN45,EA45,EN45,FA45)</f>
        <v>316.5</v>
      </c>
      <c r="CO45" s="5">
        <f t="shared" si="291"/>
        <v>303.5</v>
      </c>
      <c r="CP45" s="5">
        <f t="shared" si="291"/>
        <v>343.5</v>
      </c>
      <c r="CQ45" s="5">
        <f t="shared" si="291"/>
        <v>357.5</v>
      </c>
      <c r="CR45" s="5">
        <f t="shared" si="291"/>
        <v>356</v>
      </c>
      <c r="CS45" s="5">
        <f t="shared" si="291"/>
        <v>345</v>
      </c>
      <c r="CT45" s="5">
        <f t="shared" si="291"/>
        <v>347</v>
      </c>
      <c r="CU45" s="5">
        <f t="shared" si="291"/>
        <v>369</v>
      </c>
      <c r="CV45" s="5">
        <f t="shared" si="291"/>
        <v>349</v>
      </c>
      <c r="CW45" s="5">
        <f>SUM(DJ45,DW45,EJ45,EW45,FJ45)</f>
        <v>367</v>
      </c>
      <c r="CX45" s="5">
        <f>SUM(DK45,DX45,EK45,EX45,FK45)</f>
        <v>382</v>
      </c>
      <c r="CY45" s="5">
        <f t="shared" si="291"/>
        <v>399</v>
      </c>
      <c r="CZ45" s="13">
        <f>AVERAGE(CN45:CY45)</f>
        <v>352.91666666666669</v>
      </c>
      <c r="DA45" s="5">
        <f>195.5-DN45-FA45</f>
        <v>167.5</v>
      </c>
      <c r="DB45" s="5">
        <f>183.5-DO45-FB45</f>
        <v>156.5</v>
      </c>
      <c r="DC45" s="5">
        <f>216.5-DP45-FC45</f>
        <v>188.5</v>
      </c>
      <c r="DD45" s="5">
        <f>225.5-DQ45-FD45</f>
        <v>199.5</v>
      </c>
      <c r="DE45" s="5">
        <f>224-DR45-FE45</f>
        <v>198</v>
      </c>
      <c r="DF45" s="5">
        <f>215-DS45-FF45</f>
        <v>190</v>
      </c>
      <c r="DG45" s="5">
        <f>218-DT45-FG45</f>
        <v>193</v>
      </c>
      <c r="DH45" s="5">
        <f>219-DU45-FH45</f>
        <v>195</v>
      </c>
      <c r="DI45" s="5">
        <f>199-DV45-FI45</f>
        <v>175</v>
      </c>
      <c r="DJ45" s="5">
        <f>193-DW45-FJ45</f>
        <v>171</v>
      </c>
      <c r="DK45" s="5">
        <f>200-DX45-FK45</f>
        <v>179</v>
      </c>
      <c r="DL45" s="5">
        <f>220-DY45-FL45</f>
        <v>207</v>
      </c>
      <c r="DM45" s="13">
        <f>AVERAGE(DA45:DL45)</f>
        <v>185</v>
      </c>
      <c r="DN45" s="22">
        <f>16</f>
        <v>16</v>
      </c>
      <c r="DO45" s="22">
        <f>16</f>
        <v>16</v>
      </c>
      <c r="DP45" s="22">
        <f>16</f>
        <v>16</v>
      </c>
      <c r="DQ45" s="22">
        <f>16</f>
        <v>16</v>
      </c>
      <c r="DR45" s="22">
        <f>16</f>
        <v>16</v>
      </c>
      <c r="DS45" s="22">
        <f>15</f>
        <v>15</v>
      </c>
      <c r="DT45" s="22">
        <f>7+8</f>
        <v>15</v>
      </c>
      <c r="DU45" s="22">
        <f>7+8</f>
        <v>15</v>
      </c>
      <c r="DV45" s="22">
        <v>15</v>
      </c>
      <c r="DW45" s="22">
        <v>12</v>
      </c>
      <c r="DX45" s="22">
        <v>11</v>
      </c>
      <c r="DY45" s="22">
        <v>13</v>
      </c>
      <c r="DZ45" s="63">
        <f>AVERAGE(DN45:DY45)</f>
        <v>14.666666666666666</v>
      </c>
      <c r="EA45" s="22">
        <f>104</f>
        <v>104</v>
      </c>
      <c r="EB45" s="22">
        <f>103</f>
        <v>103</v>
      </c>
      <c r="EC45" s="22">
        <f>111</f>
        <v>111</v>
      </c>
      <c r="ED45" s="22">
        <f>113</f>
        <v>113</v>
      </c>
      <c r="EE45" s="22">
        <f>115</f>
        <v>115</v>
      </c>
      <c r="EF45" s="22">
        <f>113</f>
        <v>113</v>
      </c>
      <c r="EG45" s="22">
        <f>112</f>
        <v>112</v>
      </c>
      <c r="EH45" s="22">
        <f>115</f>
        <v>115</v>
      </c>
      <c r="EI45" s="22">
        <v>106</v>
      </c>
      <c r="EJ45" s="22">
        <v>106</v>
      </c>
      <c r="EK45" s="22">
        <v>109</v>
      </c>
      <c r="EL45" s="22">
        <v>108</v>
      </c>
      <c r="EM45" s="63">
        <f>AVERAGE(EA45:EL45)</f>
        <v>109.58333333333333</v>
      </c>
      <c r="EN45" s="22">
        <f>17</f>
        <v>17</v>
      </c>
      <c r="EO45" s="22">
        <f>17</f>
        <v>17</v>
      </c>
      <c r="EP45" s="22">
        <f>16</f>
        <v>16</v>
      </c>
      <c r="EQ45" s="22">
        <f>19</f>
        <v>19</v>
      </c>
      <c r="ER45" s="22">
        <f>17</f>
        <v>17</v>
      </c>
      <c r="ES45" s="22">
        <f>17</f>
        <v>17</v>
      </c>
      <c r="ET45" s="22">
        <f>17</f>
        <v>17</v>
      </c>
      <c r="EU45" s="66">
        <f>17+18</f>
        <v>35</v>
      </c>
      <c r="EV45" s="66">
        <f>17+27</f>
        <v>44</v>
      </c>
      <c r="EW45" s="66">
        <f>23+45</f>
        <v>68</v>
      </c>
      <c r="EX45" s="22">
        <v>73</v>
      </c>
      <c r="EY45" s="22">
        <v>71</v>
      </c>
      <c r="EZ45" s="63">
        <f>AVERAGE(EN45:EY45)</f>
        <v>34.25</v>
      </c>
      <c r="FA45" s="22">
        <v>12</v>
      </c>
      <c r="FB45" s="22">
        <v>11</v>
      </c>
      <c r="FC45" s="22">
        <v>12</v>
      </c>
      <c r="FD45" s="22">
        <f>10</f>
        <v>10</v>
      </c>
      <c r="FE45" s="22">
        <f>10</f>
        <v>10</v>
      </c>
      <c r="FF45" s="22">
        <f>10</f>
        <v>10</v>
      </c>
      <c r="FG45" s="22">
        <f>10</f>
        <v>10</v>
      </c>
      <c r="FH45" s="22">
        <f>10-1</f>
        <v>9</v>
      </c>
      <c r="FI45" s="22">
        <v>9</v>
      </c>
      <c r="FJ45" s="22">
        <v>10</v>
      </c>
      <c r="FK45" s="22">
        <v>10</v>
      </c>
      <c r="FM45" s="63">
        <f>AVERAGE(FA45:FL45)</f>
        <v>10.272727272727273</v>
      </c>
      <c r="FO45" s="5">
        <f>SUM(GB45,GO45,HB45,HO45,IB45)</f>
        <v>391</v>
      </c>
      <c r="FP45" s="5">
        <f t="shared" si="292"/>
        <v>394</v>
      </c>
      <c r="FQ45" s="5">
        <f t="shared" si="293"/>
        <v>413</v>
      </c>
      <c r="FR45" s="5">
        <f t="shared" si="294"/>
        <v>416</v>
      </c>
      <c r="FS45" s="5">
        <f t="shared" si="295"/>
        <v>417</v>
      </c>
      <c r="FT45" s="5">
        <f t="shared" si="296"/>
        <v>424</v>
      </c>
      <c r="FU45" s="5">
        <f t="shared" si="297"/>
        <v>422</v>
      </c>
      <c r="FV45" s="5">
        <f t="shared" si="298"/>
        <v>438</v>
      </c>
      <c r="FW45" s="5">
        <f t="shared" si="299"/>
        <v>438</v>
      </c>
      <c r="FX45" s="5">
        <f>SUM(GK45,GX45,HK45,HX45,IK45)</f>
        <v>424</v>
      </c>
      <c r="FY45" s="5">
        <f>SUM(GL45,GY45,HL45,HY45,IL45)</f>
        <v>443</v>
      </c>
      <c r="FZ45" s="5">
        <f t="shared" si="302"/>
        <v>421</v>
      </c>
      <c r="GA45" s="13">
        <f>AVERAGE(FO45:FZ45)</f>
        <v>420.08333333333331</v>
      </c>
      <c r="GB45" s="5">
        <f>217-GO45-IB45</f>
        <v>195</v>
      </c>
      <c r="GC45" s="5">
        <f>218-GP45-IC45</f>
        <v>195</v>
      </c>
      <c r="GD45" s="5">
        <f>216-GQ45-ID45</f>
        <v>193</v>
      </c>
      <c r="GE45" s="5">
        <f>219-GR45-IE45</f>
        <v>197</v>
      </c>
      <c r="GF45" s="5">
        <f>213-GS45-IF45</f>
        <v>190</v>
      </c>
      <c r="GG45" s="5">
        <f>223-GT45-IG45</f>
        <v>200</v>
      </c>
      <c r="GH45" s="5">
        <f>210-GU45-IH45</f>
        <v>189</v>
      </c>
      <c r="GI45" s="5">
        <f>219-GV45-II45</f>
        <v>196</v>
      </c>
      <c r="GJ45" s="5">
        <f>219-GW45-IJ45</f>
        <v>199</v>
      </c>
      <c r="GK45" s="5">
        <f>215-GX45-IK45</f>
        <v>205</v>
      </c>
      <c r="GL45" s="5">
        <f>206-GY45-IL45</f>
        <v>196</v>
      </c>
      <c r="GM45" s="5">
        <f>205-GZ45-IM45</f>
        <v>195</v>
      </c>
      <c r="GN45" s="13">
        <f>AVERAGE(GB45:GM45)</f>
        <v>195.83333333333334</v>
      </c>
      <c r="GO45" s="22">
        <v>11</v>
      </c>
      <c r="GP45" s="22">
        <v>11</v>
      </c>
      <c r="GQ45" s="22">
        <v>11</v>
      </c>
      <c r="GR45" s="22">
        <v>11</v>
      </c>
      <c r="GS45" s="22">
        <v>11</v>
      </c>
      <c r="GT45" s="22">
        <v>11</v>
      </c>
      <c r="GU45" s="22">
        <f>9</f>
        <v>9</v>
      </c>
      <c r="GV45" s="22">
        <v>11</v>
      </c>
      <c r="GW45" s="22">
        <f>8</f>
        <v>8</v>
      </c>
      <c r="GX45" s="22">
        <v>8</v>
      </c>
      <c r="GY45" s="22">
        <v>8</v>
      </c>
      <c r="GZ45" s="22">
        <v>8</v>
      </c>
      <c r="HA45" s="63">
        <f>AVERAGE(GO45:GZ45)</f>
        <v>9.8333333333333339</v>
      </c>
      <c r="HB45" s="22">
        <v>119</v>
      </c>
      <c r="HC45" s="22">
        <v>121</v>
      </c>
      <c r="HD45" s="22">
        <v>117</v>
      </c>
      <c r="HE45" s="22">
        <v>117</v>
      </c>
      <c r="HF45" s="22">
        <v>124</v>
      </c>
      <c r="HG45" s="22">
        <v>121</v>
      </c>
      <c r="HH45" s="22">
        <v>123</v>
      </c>
      <c r="HI45" s="22">
        <v>124</v>
      </c>
      <c r="HJ45" s="22">
        <v>124</v>
      </c>
      <c r="HK45" s="22">
        <v>114</v>
      </c>
      <c r="HL45" s="22">
        <v>112</v>
      </c>
      <c r="HM45" s="22">
        <v>121</v>
      </c>
      <c r="HN45" s="63">
        <f>AVERAGE(HB45:HM45)</f>
        <v>119.75</v>
      </c>
      <c r="HO45" s="22">
        <v>55</v>
      </c>
      <c r="HP45" s="22">
        <v>55</v>
      </c>
      <c r="HQ45" s="22">
        <v>80</v>
      </c>
      <c r="HR45" s="22">
        <v>80</v>
      </c>
      <c r="HS45" s="22">
        <v>80</v>
      </c>
      <c r="HT45" s="22">
        <v>80</v>
      </c>
      <c r="HU45" s="22">
        <v>89</v>
      </c>
      <c r="HV45" s="22">
        <v>95</v>
      </c>
      <c r="HW45" s="22">
        <v>95</v>
      </c>
      <c r="HX45" s="22">
        <v>95</v>
      </c>
      <c r="HY45" s="22">
        <v>125</v>
      </c>
      <c r="HZ45" s="22">
        <v>95</v>
      </c>
      <c r="IA45" s="63">
        <f>AVERAGE(HO45:HZ45)</f>
        <v>85.333333333333329</v>
      </c>
      <c r="IB45" s="22">
        <v>11</v>
      </c>
      <c r="IC45" s="22">
        <v>12</v>
      </c>
      <c r="ID45" s="22">
        <v>12</v>
      </c>
      <c r="IE45" s="22">
        <v>11</v>
      </c>
      <c r="IF45" s="22">
        <v>12</v>
      </c>
      <c r="IG45" s="22">
        <v>12</v>
      </c>
      <c r="IH45" s="22">
        <v>12</v>
      </c>
      <c r="II45" s="22">
        <v>12</v>
      </c>
      <c r="IJ45" s="22">
        <v>12</v>
      </c>
      <c r="IK45" s="22">
        <v>2</v>
      </c>
      <c r="IL45" s="22">
        <v>2</v>
      </c>
      <c r="IM45" s="22">
        <v>2</v>
      </c>
      <c r="IN45" s="63">
        <f>AVERAGE(IB45:IM45)</f>
        <v>9.3333333333333339</v>
      </c>
      <c r="IP45" s="5">
        <f t="shared" si="309"/>
        <v>449</v>
      </c>
      <c r="IQ45" s="5">
        <f t="shared" si="304"/>
        <v>460</v>
      </c>
      <c r="IR45" s="5">
        <f t="shared" si="304"/>
        <v>464</v>
      </c>
      <c r="IS45" s="5">
        <f t="shared" si="304"/>
        <v>434</v>
      </c>
      <c r="IT45" s="5">
        <f t="shared" si="304"/>
        <v>486</v>
      </c>
      <c r="IU45" s="5">
        <f t="shared" si="304"/>
        <v>435</v>
      </c>
      <c r="IV45" s="5">
        <f t="shared" si="304"/>
        <v>439</v>
      </c>
      <c r="IW45" s="5">
        <f t="shared" si="304"/>
        <v>425</v>
      </c>
      <c r="IX45" s="5">
        <f t="shared" si="304"/>
        <v>390</v>
      </c>
      <c r="IY45" s="5">
        <f t="shared" si="304"/>
        <v>408</v>
      </c>
      <c r="IZ45" s="5">
        <f t="shared" si="304"/>
        <v>413</v>
      </c>
      <c r="JA45" s="5">
        <f t="shared" si="304"/>
        <v>414</v>
      </c>
      <c r="JB45" s="63">
        <f>AVERAGE(IP45:JA45)</f>
        <v>434.75</v>
      </c>
      <c r="JC45" s="101">
        <f>[4]Sheet1!D8-SUM(JP45)</f>
        <v>194</v>
      </c>
      <c r="JD45" s="101">
        <f>[4]Sheet1!L8-SUM(JQ45)</f>
        <v>195</v>
      </c>
      <c r="JE45" s="101">
        <f>[4]Sheet1!R8-SUM(JR45)</f>
        <v>200</v>
      </c>
      <c r="JF45" s="101">
        <f>[5]Sheet1!$K$8-SUM(JS45)</f>
        <v>198</v>
      </c>
      <c r="JG45" s="101">
        <f>'[6]Manpower Strength Aug''18'!$E$7-SUM(JT45)</f>
        <v>202</v>
      </c>
      <c r="JH45" s="175">
        <f>'[6]Manpower Strength Sep''18'!$E$7-SUM(JU45)</f>
        <v>192</v>
      </c>
      <c r="JI45" s="175">
        <f>'[6]Manpower Strength Oct''18'!$E$7-SUM(JV45)</f>
        <v>196</v>
      </c>
      <c r="JJ45" s="175">
        <f>'[6]Manpower Strength Nov''18'!$E$7-SUM(JW45)</f>
        <v>198</v>
      </c>
      <c r="JK45" s="175">
        <f>'[6]Manpower Strength Dec''18'!$E$7-SUM(JX45)</f>
        <v>183</v>
      </c>
      <c r="JL45" s="175">
        <f>'[6]Manpower Strength Jan''19'!$E$7-SUM(JY45)</f>
        <v>190</v>
      </c>
      <c r="JM45" s="175">
        <f>'[6]Manpower Strength Feb''19'!$E$7-SUM(JZ45)</f>
        <v>198</v>
      </c>
      <c r="JN45" s="175">
        <f>'[6]Manpower Strength Mar''19'!$E$7-SUM(KA45)</f>
        <v>192</v>
      </c>
      <c r="JO45" s="63">
        <f t="shared" si="310"/>
        <v>194.83333333333334</v>
      </c>
      <c r="JP45" s="20">
        <f>11</f>
        <v>11</v>
      </c>
      <c r="JQ45" s="20">
        <f>11</f>
        <v>11</v>
      </c>
      <c r="JR45" s="20">
        <f>10</f>
        <v>10</v>
      </c>
      <c r="JS45" s="20">
        <f>10</f>
        <v>10</v>
      </c>
      <c r="JT45" s="20">
        <f>10</f>
        <v>10</v>
      </c>
      <c r="JU45" s="20">
        <f>10</f>
        <v>10</v>
      </c>
      <c r="JV45" s="20">
        <f>10</f>
        <v>10</v>
      </c>
      <c r="JW45" s="20">
        <f>10</f>
        <v>10</v>
      </c>
      <c r="JX45" s="20">
        <f>10</f>
        <v>10</v>
      </c>
      <c r="JY45" s="20">
        <f>10</f>
        <v>10</v>
      </c>
      <c r="JZ45" s="20">
        <f>10</f>
        <v>10</v>
      </c>
      <c r="KA45" s="20">
        <f>10</f>
        <v>10</v>
      </c>
      <c r="KB45" s="63">
        <f t="shared" si="312"/>
        <v>10.166666666666666</v>
      </c>
      <c r="KC45" s="21">
        <f>[4]Sheet1!D10</f>
        <v>121</v>
      </c>
      <c r="KD45" s="21">
        <f>[4]Sheet1!L10</f>
        <v>121</v>
      </c>
      <c r="KE45" s="21">
        <f>[4]Sheet1!R10</f>
        <v>121</v>
      </c>
      <c r="KF45" s="21">
        <f>[5]Sheet1!$K$10</f>
        <v>121</v>
      </c>
      <c r="KG45" s="21">
        <f>'[6]Manpower Strength Aug''18'!$E$9</f>
        <v>121</v>
      </c>
      <c r="KH45" s="21">
        <f>'[6]Manpower Strength Sep''18'!$E$9</f>
        <v>121</v>
      </c>
      <c r="KI45" s="21">
        <f>'[6]Manpower Strength Oct''18'!$E$9</f>
        <v>121</v>
      </c>
      <c r="KJ45" s="21">
        <f>'[6]Manpower Strength Nov''18'!$E$9</f>
        <v>109</v>
      </c>
      <c r="KK45" s="21">
        <f>'[6]Manpower Strength Dec''18'!$E$9</f>
        <v>86</v>
      </c>
      <c r="KL45" s="21">
        <f>'[6]Manpower Strength Jan''19'!$E$9</f>
        <v>96</v>
      </c>
      <c r="KM45" s="21">
        <f>'[6]Manpower Strength Feb''19'!$E$9</f>
        <v>91</v>
      </c>
      <c r="KN45" s="21">
        <f>'[6]Manpower Strength Mar''19'!$E$9</f>
        <v>83</v>
      </c>
      <c r="KO45" s="63">
        <f t="shared" si="313"/>
        <v>109.33333333333333</v>
      </c>
      <c r="KP45" s="21">
        <f>[4]Sheet1!D11</f>
        <v>123</v>
      </c>
      <c r="KQ45" s="21">
        <f>[4]Sheet1!L11</f>
        <v>133</v>
      </c>
      <c r="KR45" s="21">
        <f>[4]Sheet1!R11</f>
        <v>133</v>
      </c>
      <c r="KS45" s="21">
        <f>[5]Sheet1!$K$11</f>
        <v>105</v>
      </c>
      <c r="KT45" s="21">
        <f>'[6]Manpower Strength Aug''18'!$E$10</f>
        <v>153</v>
      </c>
      <c r="KU45" s="21">
        <f>'[6]Manpower Strength Sep''18'!E10</f>
        <v>112</v>
      </c>
      <c r="KV45" s="21">
        <f>'[6]Manpower Strength Oct''18'!$E$10</f>
        <v>112</v>
      </c>
      <c r="KW45" s="21">
        <f>'[6]Manpower Strength Nov''18'!$E$10</f>
        <v>108</v>
      </c>
      <c r="KX45" s="21">
        <f>'[6]Manpower Strength Dec''18'!$E$10</f>
        <v>111</v>
      </c>
      <c r="KY45" s="21">
        <f>'[6]Manpower Strength Jan''19'!$E$10</f>
        <v>112</v>
      </c>
      <c r="KZ45" s="21">
        <f>'[6]Manpower Strength Feb''19'!$E$10</f>
        <v>114</v>
      </c>
      <c r="LA45" s="21">
        <f>'[6]Manpower Strength Mar''19'!$E$10</f>
        <v>129</v>
      </c>
      <c r="LB45" s="63">
        <f t="shared" si="314"/>
        <v>120.41666666666667</v>
      </c>
      <c r="LC45" s="21"/>
      <c r="LD45" s="21"/>
      <c r="LE45" s="21"/>
      <c r="LF45" s="21"/>
      <c r="LG45" s="21"/>
      <c r="LH45" s="21"/>
      <c r="LI45" s="21"/>
      <c r="LJ45" s="21"/>
      <c r="LK45" s="21"/>
      <c r="LL45" s="21"/>
      <c r="LM45" s="21"/>
      <c r="LN45" s="21"/>
      <c r="LO45" s="63" t="str">
        <f t="shared" si="315"/>
        <v/>
      </c>
    </row>
    <row r="46" spans="1:327" ht="15.75" thickBot="1">
      <c r="A46" s="14" t="s">
        <v>21</v>
      </c>
      <c r="B46" s="15">
        <f>SUM(B43:B45)</f>
        <v>276.5</v>
      </c>
      <c r="C46" s="15">
        <f>SUM(C43:C45)</f>
        <v>274.5</v>
      </c>
      <c r="D46" s="15">
        <f t="shared" ref="D46:M46" si="316">SUM(D43:D45)</f>
        <v>264</v>
      </c>
      <c r="E46" s="15">
        <f t="shared" si="316"/>
        <v>262.5</v>
      </c>
      <c r="F46" s="15">
        <f t="shared" si="316"/>
        <v>275.5</v>
      </c>
      <c r="G46" s="15">
        <f t="shared" si="316"/>
        <v>282.5</v>
      </c>
      <c r="H46" s="15">
        <f t="shared" si="316"/>
        <v>267.5</v>
      </c>
      <c r="I46" s="15">
        <f t="shared" si="316"/>
        <v>263.5</v>
      </c>
      <c r="J46" s="15">
        <f t="shared" si="316"/>
        <v>264.5</v>
      </c>
      <c r="K46" s="15">
        <f t="shared" si="316"/>
        <v>259.5</v>
      </c>
      <c r="L46" s="15">
        <f t="shared" si="316"/>
        <v>243.5</v>
      </c>
      <c r="M46" s="15">
        <f t="shared" si="316"/>
        <v>267.5</v>
      </c>
      <c r="N46" s="15">
        <f>SUM(N43:N45)</f>
        <v>276.5</v>
      </c>
      <c r="O46" s="16">
        <f>AVERAGE(C46:N46)</f>
        <v>266.79166666666669</v>
      </c>
      <c r="P46" s="17" t="s">
        <v>21</v>
      </c>
      <c r="Q46" s="15">
        <f>SUM(Q43:Q45)</f>
        <v>265.5</v>
      </c>
      <c r="R46" s="15">
        <f>SUM(R43:R45)</f>
        <v>270.5</v>
      </c>
      <c r="S46" s="15">
        <f t="shared" ref="S46:AB46" si="317">SUM(S43:S45)</f>
        <v>260</v>
      </c>
      <c r="T46" s="15">
        <f t="shared" si="317"/>
        <v>258.5</v>
      </c>
      <c r="U46" s="15">
        <f t="shared" si="317"/>
        <v>271.5</v>
      </c>
      <c r="V46" s="15">
        <f t="shared" si="317"/>
        <v>278.5</v>
      </c>
      <c r="W46" s="15">
        <f t="shared" si="317"/>
        <v>263.5</v>
      </c>
      <c r="X46" s="15">
        <f t="shared" si="317"/>
        <v>259.5</v>
      </c>
      <c r="Y46" s="15">
        <f t="shared" si="317"/>
        <v>260.5</v>
      </c>
      <c r="Z46" s="15">
        <f t="shared" si="317"/>
        <v>255.5</v>
      </c>
      <c r="AA46" s="15">
        <f t="shared" si="317"/>
        <v>239.5</v>
      </c>
      <c r="AB46" s="15">
        <f t="shared" si="317"/>
        <v>263.5</v>
      </c>
      <c r="AC46" s="15">
        <f>SUM(AC43:AC45)</f>
        <v>272.5</v>
      </c>
      <c r="AD46" s="16">
        <f>AVERAGE(R46:AC46)</f>
        <v>262.79166666666669</v>
      </c>
      <c r="AE46" s="17" t="s">
        <v>21</v>
      </c>
      <c r="AF46" s="15">
        <f>SUM(AF43:AF45)</f>
        <v>11</v>
      </c>
      <c r="AG46" s="15">
        <f>SUM(AG43:AG45)</f>
        <v>4</v>
      </c>
      <c r="AH46" s="15">
        <f t="shared" ref="AH46:AQ46" si="318">SUM(AH43:AH45)</f>
        <v>4</v>
      </c>
      <c r="AI46" s="15">
        <f t="shared" si="318"/>
        <v>4</v>
      </c>
      <c r="AJ46" s="15">
        <f t="shared" si="318"/>
        <v>4</v>
      </c>
      <c r="AK46" s="15">
        <f t="shared" si="318"/>
        <v>4</v>
      </c>
      <c r="AL46" s="15">
        <f t="shared" si="318"/>
        <v>4</v>
      </c>
      <c r="AM46" s="15">
        <f t="shared" si="318"/>
        <v>4</v>
      </c>
      <c r="AN46" s="15">
        <f t="shared" si="318"/>
        <v>4</v>
      </c>
      <c r="AO46" s="15">
        <f t="shared" si="318"/>
        <v>4</v>
      </c>
      <c r="AP46" s="15">
        <f t="shared" si="318"/>
        <v>4</v>
      </c>
      <c r="AQ46" s="15">
        <f t="shared" si="318"/>
        <v>4</v>
      </c>
      <c r="AR46" s="15">
        <f>SUM(AR43:AR45)</f>
        <v>4</v>
      </c>
      <c r="AS46" s="16">
        <f>AVERAGE(AG46:AR46)</f>
        <v>4</v>
      </c>
      <c r="CN46" s="15">
        <f t="shared" ref="CN46:CY46" si="319">SUM(CN43:CN45)</f>
        <v>414.5</v>
      </c>
      <c r="CO46" s="15">
        <f t="shared" si="319"/>
        <v>400.5</v>
      </c>
      <c r="CP46" s="15">
        <f t="shared" si="319"/>
        <v>439.5</v>
      </c>
      <c r="CQ46" s="15">
        <f t="shared" si="319"/>
        <v>454.5</v>
      </c>
      <c r="CR46" s="15">
        <f t="shared" si="319"/>
        <v>456</v>
      </c>
      <c r="CS46" s="15">
        <f t="shared" si="319"/>
        <v>444</v>
      </c>
      <c r="CT46" s="15">
        <f t="shared" si="319"/>
        <v>451</v>
      </c>
      <c r="CU46" s="15">
        <f t="shared" si="319"/>
        <v>474</v>
      </c>
      <c r="CV46" s="15">
        <f t="shared" si="319"/>
        <v>456</v>
      </c>
      <c r="CW46" s="15">
        <f t="shared" si="319"/>
        <v>479</v>
      </c>
      <c r="CX46" s="15">
        <f t="shared" si="319"/>
        <v>496</v>
      </c>
      <c r="CY46" s="15">
        <f t="shared" si="319"/>
        <v>511</v>
      </c>
      <c r="CZ46" s="18">
        <f>AVERAGE(CN46:CY46)</f>
        <v>456.33333333333331</v>
      </c>
      <c r="DA46" s="15">
        <f t="shared" ref="DA46:DL46" si="320">SUM(DA43:DA45)</f>
        <v>246.5</v>
      </c>
      <c r="DB46" s="15">
        <f t="shared" si="320"/>
        <v>234.5</v>
      </c>
      <c r="DC46" s="15">
        <f t="shared" si="320"/>
        <v>265.5</v>
      </c>
      <c r="DD46" s="15">
        <f t="shared" si="320"/>
        <v>276.5</v>
      </c>
      <c r="DE46" s="15">
        <f t="shared" si="320"/>
        <v>278</v>
      </c>
      <c r="DF46" s="15">
        <f t="shared" si="320"/>
        <v>269</v>
      </c>
      <c r="DG46" s="15">
        <f t="shared" si="320"/>
        <v>277</v>
      </c>
      <c r="DH46" s="15">
        <f t="shared" si="320"/>
        <v>278</v>
      </c>
      <c r="DI46" s="15">
        <f t="shared" si="320"/>
        <v>260</v>
      </c>
      <c r="DJ46" s="15">
        <f t="shared" si="320"/>
        <v>260</v>
      </c>
      <c r="DK46" s="15">
        <f t="shared" si="320"/>
        <v>270</v>
      </c>
      <c r="DL46" s="15">
        <f t="shared" si="320"/>
        <v>295</v>
      </c>
      <c r="DM46" s="18">
        <f>AVERAGE(DA46:DL46)</f>
        <v>267.5</v>
      </c>
      <c r="DN46" s="15">
        <f t="shared" ref="DN46:DY46" si="321">SUM(DN43:DN45)</f>
        <v>18</v>
      </c>
      <c r="DO46" s="15">
        <f t="shared" si="321"/>
        <v>18</v>
      </c>
      <c r="DP46" s="15">
        <f t="shared" si="321"/>
        <v>18</v>
      </c>
      <c r="DQ46" s="15">
        <f t="shared" si="321"/>
        <v>18</v>
      </c>
      <c r="DR46" s="15">
        <f t="shared" si="321"/>
        <v>18</v>
      </c>
      <c r="DS46" s="15">
        <f t="shared" si="321"/>
        <v>17</v>
      </c>
      <c r="DT46" s="15">
        <f t="shared" si="321"/>
        <v>17</v>
      </c>
      <c r="DU46" s="15">
        <f t="shared" si="321"/>
        <v>17</v>
      </c>
      <c r="DV46" s="15">
        <f t="shared" si="321"/>
        <v>17</v>
      </c>
      <c r="DW46" s="15">
        <f t="shared" si="321"/>
        <v>14</v>
      </c>
      <c r="DX46" s="15">
        <f t="shared" si="321"/>
        <v>13</v>
      </c>
      <c r="DY46" s="15">
        <f t="shared" si="321"/>
        <v>15</v>
      </c>
      <c r="DZ46" s="64">
        <f>AVERAGE(DN46:DY46)</f>
        <v>16.666666666666668</v>
      </c>
      <c r="EA46" s="15">
        <f t="shared" ref="EA46:EL46" si="322">SUM(EA43:EA45)</f>
        <v>119</v>
      </c>
      <c r="EB46" s="15">
        <f t="shared" si="322"/>
        <v>118</v>
      </c>
      <c r="EC46" s="15">
        <f t="shared" si="322"/>
        <v>126</v>
      </c>
      <c r="ED46" s="15">
        <f t="shared" si="322"/>
        <v>129</v>
      </c>
      <c r="EE46" s="15">
        <f t="shared" si="322"/>
        <v>131</v>
      </c>
      <c r="EF46" s="15">
        <f t="shared" si="322"/>
        <v>129</v>
      </c>
      <c r="EG46" s="15">
        <f t="shared" si="322"/>
        <v>127</v>
      </c>
      <c r="EH46" s="15">
        <f t="shared" si="322"/>
        <v>131</v>
      </c>
      <c r="EI46" s="15">
        <f t="shared" si="322"/>
        <v>121</v>
      </c>
      <c r="EJ46" s="15">
        <f t="shared" si="322"/>
        <v>121</v>
      </c>
      <c r="EK46" s="15">
        <f t="shared" si="322"/>
        <v>124</v>
      </c>
      <c r="EL46" s="15">
        <f t="shared" si="322"/>
        <v>122</v>
      </c>
      <c r="EM46" s="64">
        <f>AVERAGE(EA46:EL46)</f>
        <v>124.83333333333333</v>
      </c>
      <c r="EN46" s="15">
        <f t="shared" ref="EN46:EY46" si="323">SUM(EN43:EN45)</f>
        <v>19</v>
      </c>
      <c r="EO46" s="15">
        <f t="shared" si="323"/>
        <v>19</v>
      </c>
      <c r="EP46" s="15">
        <f t="shared" si="323"/>
        <v>18</v>
      </c>
      <c r="EQ46" s="15">
        <f t="shared" si="323"/>
        <v>21</v>
      </c>
      <c r="ER46" s="15">
        <f t="shared" si="323"/>
        <v>19</v>
      </c>
      <c r="ES46" s="15">
        <f t="shared" si="323"/>
        <v>19</v>
      </c>
      <c r="ET46" s="15">
        <f t="shared" si="323"/>
        <v>20</v>
      </c>
      <c r="EU46" s="15">
        <f t="shared" si="323"/>
        <v>39</v>
      </c>
      <c r="EV46" s="15">
        <f t="shared" si="323"/>
        <v>49</v>
      </c>
      <c r="EW46" s="15">
        <f t="shared" si="323"/>
        <v>74</v>
      </c>
      <c r="EX46" s="15">
        <f t="shared" si="323"/>
        <v>79</v>
      </c>
      <c r="EY46" s="15">
        <f t="shared" si="323"/>
        <v>79</v>
      </c>
      <c r="EZ46" s="64">
        <f>AVERAGE(EN46:EY46)</f>
        <v>37.916666666666664</v>
      </c>
      <c r="FA46" s="15">
        <f t="shared" ref="FA46:FL46" si="324">SUM(FA43:FA45)</f>
        <v>12</v>
      </c>
      <c r="FB46" s="15">
        <f t="shared" si="324"/>
        <v>11</v>
      </c>
      <c r="FC46" s="15">
        <f t="shared" si="324"/>
        <v>12</v>
      </c>
      <c r="FD46" s="15">
        <f t="shared" si="324"/>
        <v>10</v>
      </c>
      <c r="FE46" s="15">
        <f t="shared" si="324"/>
        <v>10</v>
      </c>
      <c r="FF46" s="15">
        <f t="shared" si="324"/>
        <v>10</v>
      </c>
      <c r="FG46" s="15">
        <f t="shared" si="324"/>
        <v>10</v>
      </c>
      <c r="FH46" s="15">
        <f t="shared" si="324"/>
        <v>9</v>
      </c>
      <c r="FI46" s="15">
        <f t="shared" si="324"/>
        <v>9</v>
      </c>
      <c r="FJ46" s="15">
        <f t="shared" si="324"/>
        <v>10</v>
      </c>
      <c r="FK46" s="15">
        <f t="shared" si="324"/>
        <v>10</v>
      </c>
      <c r="FL46" s="15">
        <f t="shared" si="324"/>
        <v>0</v>
      </c>
      <c r="FM46" s="64">
        <f>AVERAGE(FA46:FL46)</f>
        <v>9.4166666666666661</v>
      </c>
      <c r="FO46" s="15">
        <f t="shared" ref="FO46:FZ46" si="325">SUM(FO43:FO45)</f>
        <v>506.5</v>
      </c>
      <c r="FP46" s="15">
        <f t="shared" si="325"/>
        <v>510.5</v>
      </c>
      <c r="FQ46" s="15">
        <f t="shared" si="325"/>
        <v>530</v>
      </c>
      <c r="FR46" s="15">
        <f t="shared" si="325"/>
        <v>531.5</v>
      </c>
      <c r="FS46" s="15">
        <f t="shared" si="325"/>
        <v>534.5</v>
      </c>
      <c r="FT46" s="15">
        <f t="shared" si="325"/>
        <v>537.5</v>
      </c>
      <c r="FU46" s="15">
        <f t="shared" si="325"/>
        <v>534</v>
      </c>
      <c r="FV46" s="15">
        <f t="shared" si="325"/>
        <v>554.5</v>
      </c>
      <c r="FW46" s="15">
        <f t="shared" si="325"/>
        <v>556.5</v>
      </c>
      <c r="FX46" s="15">
        <f t="shared" si="325"/>
        <v>544</v>
      </c>
      <c r="FY46" s="15">
        <f t="shared" si="325"/>
        <v>563</v>
      </c>
      <c r="FZ46" s="15">
        <f t="shared" si="325"/>
        <v>544</v>
      </c>
      <c r="GA46" s="18">
        <f>AVERAGE(FO46:FZ46)</f>
        <v>537.20833333333337</v>
      </c>
      <c r="GB46" s="15">
        <f t="shared" ref="GB46:GM46" si="326">SUM(GB43:GB45)</f>
        <v>285.5</v>
      </c>
      <c r="GC46" s="15">
        <f t="shared" si="326"/>
        <v>285.5</v>
      </c>
      <c r="GD46" s="15">
        <f t="shared" si="326"/>
        <v>284</v>
      </c>
      <c r="GE46" s="15">
        <f t="shared" si="326"/>
        <v>285.5</v>
      </c>
      <c r="GF46" s="15">
        <f t="shared" si="326"/>
        <v>279.5</v>
      </c>
      <c r="GG46" s="15">
        <f t="shared" si="326"/>
        <v>285.5</v>
      </c>
      <c r="GH46" s="15">
        <f t="shared" si="326"/>
        <v>273</v>
      </c>
      <c r="GI46" s="15">
        <f t="shared" si="326"/>
        <v>281.5</v>
      </c>
      <c r="GJ46" s="15">
        <f t="shared" si="326"/>
        <v>286.5</v>
      </c>
      <c r="GK46" s="15">
        <f t="shared" si="326"/>
        <v>293</v>
      </c>
      <c r="GL46" s="15">
        <f t="shared" si="326"/>
        <v>284</v>
      </c>
      <c r="GM46" s="15">
        <f t="shared" si="326"/>
        <v>287</v>
      </c>
      <c r="GN46" s="18">
        <f>AVERAGE(GB46:GM46)</f>
        <v>284.20833333333331</v>
      </c>
      <c r="GO46" s="15">
        <f t="shared" ref="GO46:GZ46" si="327">SUM(GO43:GO45)</f>
        <v>13</v>
      </c>
      <c r="GP46" s="15">
        <f t="shared" si="327"/>
        <v>13</v>
      </c>
      <c r="GQ46" s="15">
        <f t="shared" si="327"/>
        <v>13</v>
      </c>
      <c r="GR46" s="15">
        <f t="shared" si="327"/>
        <v>13</v>
      </c>
      <c r="GS46" s="15">
        <f t="shared" si="327"/>
        <v>13</v>
      </c>
      <c r="GT46" s="15">
        <f t="shared" si="327"/>
        <v>13</v>
      </c>
      <c r="GU46" s="15">
        <f t="shared" si="327"/>
        <v>11</v>
      </c>
      <c r="GV46" s="15">
        <f t="shared" si="327"/>
        <v>13</v>
      </c>
      <c r="GW46" s="15">
        <f t="shared" si="327"/>
        <v>10</v>
      </c>
      <c r="GX46" s="15">
        <f t="shared" si="327"/>
        <v>10</v>
      </c>
      <c r="GY46" s="15">
        <f t="shared" si="327"/>
        <v>10</v>
      </c>
      <c r="GZ46" s="15">
        <f t="shared" si="327"/>
        <v>10</v>
      </c>
      <c r="HA46" s="64">
        <f>AVERAGE(GO46:GZ46)</f>
        <v>11.833333333333334</v>
      </c>
      <c r="HB46" s="15">
        <f t="shared" ref="HB46:HM46" si="328">SUM(HB43:HB45)</f>
        <v>135</v>
      </c>
      <c r="HC46" s="15">
        <f t="shared" si="328"/>
        <v>138</v>
      </c>
      <c r="HD46" s="15">
        <f t="shared" si="328"/>
        <v>134</v>
      </c>
      <c r="HE46" s="15">
        <f t="shared" si="328"/>
        <v>134</v>
      </c>
      <c r="HF46" s="15">
        <f t="shared" si="328"/>
        <v>140</v>
      </c>
      <c r="HG46" s="15">
        <f t="shared" si="328"/>
        <v>137</v>
      </c>
      <c r="HH46" s="15">
        <f t="shared" si="328"/>
        <v>139</v>
      </c>
      <c r="HI46" s="15">
        <f t="shared" si="328"/>
        <v>140</v>
      </c>
      <c r="HJ46" s="15">
        <f t="shared" si="328"/>
        <v>141</v>
      </c>
      <c r="HK46" s="15">
        <f t="shared" si="328"/>
        <v>132</v>
      </c>
      <c r="HL46" s="15">
        <f t="shared" si="328"/>
        <v>130</v>
      </c>
      <c r="HM46" s="15">
        <f t="shared" si="328"/>
        <v>138</v>
      </c>
      <c r="HN46" s="64">
        <f>AVERAGE(HB46:HM46)</f>
        <v>136.5</v>
      </c>
      <c r="HO46" s="15">
        <f t="shared" ref="HO46:HZ46" si="329">SUM(HO43:HO45)</f>
        <v>62</v>
      </c>
      <c r="HP46" s="15">
        <f t="shared" si="329"/>
        <v>62</v>
      </c>
      <c r="HQ46" s="15">
        <f t="shared" si="329"/>
        <v>87</v>
      </c>
      <c r="HR46" s="15">
        <f t="shared" si="329"/>
        <v>88</v>
      </c>
      <c r="HS46" s="15">
        <f t="shared" si="329"/>
        <v>90</v>
      </c>
      <c r="HT46" s="15">
        <f t="shared" si="329"/>
        <v>90</v>
      </c>
      <c r="HU46" s="15">
        <f t="shared" si="329"/>
        <v>99</v>
      </c>
      <c r="HV46" s="15">
        <f t="shared" si="329"/>
        <v>108</v>
      </c>
      <c r="HW46" s="15">
        <f t="shared" si="329"/>
        <v>107</v>
      </c>
      <c r="HX46" s="15">
        <f t="shared" si="329"/>
        <v>107</v>
      </c>
      <c r="HY46" s="15">
        <f t="shared" si="329"/>
        <v>137</v>
      </c>
      <c r="HZ46" s="15">
        <f t="shared" si="329"/>
        <v>107</v>
      </c>
      <c r="IA46" s="64">
        <f>AVERAGE(HO46:HZ46)</f>
        <v>95.333333333333329</v>
      </c>
      <c r="IB46" s="15">
        <f t="shared" ref="IB46:IM46" si="330">SUM(IB43:IB45)</f>
        <v>11</v>
      </c>
      <c r="IC46" s="15">
        <f t="shared" si="330"/>
        <v>12</v>
      </c>
      <c r="ID46" s="15">
        <f t="shared" si="330"/>
        <v>12</v>
      </c>
      <c r="IE46" s="15">
        <f t="shared" si="330"/>
        <v>11</v>
      </c>
      <c r="IF46" s="15">
        <f t="shared" si="330"/>
        <v>12</v>
      </c>
      <c r="IG46" s="15">
        <f t="shared" si="330"/>
        <v>12</v>
      </c>
      <c r="IH46" s="15">
        <f t="shared" si="330"/>
        <v>12</v>
      </c>
      <c r="II46" s="15">
        <f t="shared" si="330"/>
        <v>12</v>
      </c>
      <c r="IJ46" s="15">
        <f t="shared" si="330"/>
        <v>12</v>
      </c>
      <c r="IK46" s="15">
        <f t="shared" si="330"/>
        <v>2</v>
      </c>
      <c r="IL46" s="15">
        <f t="shared" si="330"/>
        <v>2</v>
      </c>
      <c r="IM46" s="15">
        <f t="shared" si="330"/>
        <v>2</v>
      </c>
      <c r="IN46" s="64">
        <f>AVERAGE(IB46:IM46)</f>
        <v>9.3333333333333339</v>
      </c>
      <c r="IP46" s="15">
        <f t="shared" ref="IP46:KO46" si="331">SUM(IP43:IP45)</f>
        <v>571</v>
      </c>
      <c r="IQ46" s="15">
        <f t="shared" si="331"/>
        <v>582</v>
      </c>
      <c r="IR46" s="15">
        <f t="shared" si="331"/>
        <v>584</v>
      </c>
      <c r="IS46" s="15">
        <f t="shared" si="331"/>
        <v>557</v>
      </c>
      <c r="IT46" s="15">
        <f t="shared" si="331"/>
        <v>608</v>
      </c>
      <c r="IU46" s="15">
        <f t="shared" si="331"/>
        <v>556</v>
      </c>
      <c r="IV46" s="15">
        <f t="shared" si="331"/>
        <v>561</v>
      </c>
      <c r="IW46" s="15">
        <f t="shared" si="331"/>
        <v>548</v>
      </c>
      <c r="IX46" s="15">
        <f t="shared" si="331"/>
        <v>510</v>
      </c>
      <c r="IY46" s="15">
        <f t="shared" si="331"/>
        <v>533</v>
      </c>
      <c r="IZ46" s="15">
        <f t="shared" si="331"/>
        <v>534</v>
      </c>
      <c r="JA46" s="15">
        <f t="shared" si="331"/>
        <v>536</v>
      </c>
      <c r="JB46" s="15">
        <f t="shared" si="331"/>
        <v>556.66666666666663</v>
      </c>
      <c r="JC46" s="15">
        <f t="shared" si="331"/>
        <v>285</v>
      </c>
      <c r="JD46" s="15">
        <f t="shared" si="331"/>
        <v>286</v>
      </c>
      <c r="JE46" s="15">
        <f t="shared" si="331"/>
        <v>288</v>
      </c>
      <c r="JF46" s="15">
        <f t="shared" si="331"/>
        <v>288</v>
      </c>
      <c r="JG46" s="15">
        <f t="shared" si="331"/>
        <v>294</v>
      </c>
      <c r="JH46" s="15">
        <f t="shared" si="331"/>
        <v>284</v>
      </c>
      <c r="JI46" s="15">
        <f t="shared" si="331"/>
        <v>289</v>
      </c>
      <c r="JJ46" s="15">
        <f t="shared" si="331"/>
        <v>291</v>
      </c>
      <c r="JK46" s="15">
        <f t="shared" si="331"/>
        <v>273</v>
      </c>
      <c r="JL46" s="15">
        <f t="shared" si="331"/>
        <v>285</v>
      </c>
      <c r="JM46" s="15">
        <f t="shared" si="331"/>
        <v>289</v>
      </c>
      <c r="JN46" s="15">
        <f t="shared" si="331"/>
        <v>281</v>
      </c>
      <c r="JO46" s="15">
        <f t="shared" si="331"/>
        <v>286.08333333333337</v>
      </c>
      <c r="JP46" s="15">
        <f t="shared" si="331"/>
        <v>13</v>
      </c>
      <c r="JQ46" s="15">
        <f t="shared" si="331"/>
        <v>13</v>
      </c>
      <c r="JR46" s="15">
        <f t="shared" si="331"/>
        <v>12</v>
      </c>
      <c r="JS46" s="15">
        <f t="shared" si="331"/>
        <v>12</v>
      </c>
      <c r="JT46" s="15">
        <f t="shared" si="331"/>
        <v>12</v>
      </c>
      <c r="JU46" s="15">
        <f t="shared" si="331"/>
        <v>12</v>
      </c>
      <c r="JV46" s="15">
        <f t="shared" si="331"/>
        <v>12</v>
      </c>
      <c r="JW46" s="15">
        <f t="shared" si="331"/>
        <v>12</v>
      </c>
      <c r="JX46" s="15">
        <f t="shared" si="331"/>
        <v>12</v>
      </c>
      <c r="JY46" s="15">
        <f t="shared" si="331"/>
        <v>12</v>
      </c>
      <c r="JZ46" s="15">
        <f t="shared" si="331"/>
        <v>12</v>
      </c>
      <c r="KA46" s="15">
        <f t="shared" si="331"/>
        <v>12</v>
      </c>
      <c r="KB46" s="15">
        <f t="shared" si="331"/>
        <v>12.166666666666666</v>
      </c>
      <c r="KC46" s="15">
        <f t="shared" si="331"/>
        <v>138</v>
      </c>
      <c r="KD46" s="15">
        <f t="shared" si="331"/>
        <v>138</v>
      </c>
      <c r="KE46" s="15">
        <f t="shared" si="331"/>
        <v>136</v>
      </c>
      <c r="KF46" s="15">
        <f t="shared" si="331"/>
        <v>137</v>
      </c>
      <c r="KG46" s="15">
        <f t="shared" si="331"/>
        <v>136</v>
      </c>
      <c r="KH46" s="15">
        <f t="shared" si="331"/>
        <v>136</v>
      </c>
      <c r="KI46" s="15">
        <f t="shared" si="331"/>
        <v>136</v>
      </c>
      <c r="KJ46" s="15">
        <f t="shared" si="331"/>
        <v>126</v>
      </c>
      <c r="KK46" s="15">
        <f t="shared" si="331"/>
        <v>103</v>
      </c>
      <c r="KL46" s="15">
        <f t="shared" si="331"/>
        <v>113</v>
      </c>
      <c r="KM46" s="15">
        <f t="shared" si="331"/>
        <v>108</v>
      </c>
      <c r="KN46" s="15">
        <f t="shared" si="331"/>
        <v>103</v>
      </c>
      <c r="KO46" s="15">
        <f t="shared" si="331"/>
        <v>125.83333333333333</v>
      </c>
      <c r="KP46" s="15">
        <f t="shared" ref="KP46:LO46" si="332">SUM(KP43:KP45)</f>
        <v>135</v>
      </c>
      <c r="KQ46" s="15">
        <f t="shared" si="332"/>
        <v>145</v>
      </c>
      <c r="KR46" s="15">
        <f t="shared" si="332"/>
        <v>148</v>
      </c>
      <c r="KS46" s="15">
        <f t="shared" si="332"/>
        <v>120</v>
      </c>
      <c r="KT46" s="15">
        <f t="shared" si="332"/>
        <v>166</v>
      </c>
      <c r="KU46" s="15">
        <f t="shared" si="332"/>
        <v>124</v>
      </c>
      <c r="KV46" s="15">
        <f t="shared" si="332"/>
        <v>124</v>
      </c>
      <c r="KW46" s="15">
        <f t="shared" si="332"/>
        <v>119</v>
      </c>
      <c r="KX46" s="15">
        <f t="shared" si="332"/>
        <v>122</v>
      </c>
      <c r="KY46" s="15">
        <f t="shared" si="332"/>
        <v>123</v>
      </c>
      <c r="KZ46" s="15">
        <f t="shared" si="332"/>
        <v>125</v>
      </c>
      <c r="LA46" s="15">
        <f t="shared" si="332"/>
        <v>140</v>
      </c>
      <c r="LB46" s="15">
        <f t="shared" si="332"/>
        <v>132.58333333333334</v>
      </c>
      <c r="LC46" s="15">
        <f t="shared" si="332"/>
        <v>0</v>
      </c>
      <c r="LD46" s="15">
        <f t="shared" si="332"/>
        <v>0</v>
      </c>
      <c r="LE46" s="15">
        <f t="shared" si="332"/>
        <v>0</v>
      </c>
      <c r="LF46" s="15">
        <f t="shared" si="332"/>
        <v>0</v>
      </c>
      <c r="LG46" s="15">
        <f t="shared" si="332"/>
        <v>0</v>
      </c>
      <c r="LH46" s="15">
        <f t="shared" si="332"/>
        <v>0</v>
      </c>
      <c r="LI46" s="15">
        <f t="shared" si="332"/>
        <v>0</v>
      </c>
      <c r="LJ46" s="15">
        <f t="shared" si="332"/>
        <v>0</v>
      </c>
      <c r="LK46" s="15">
        <f t="shared" si="332"/>
        <v>0</v>
      </c>
      <c r="LL46" s="15">
        <f t="shared" si="332"/>
        <v>0</v>
      </c>
      <c r="LM46" s="15">
        <f t="shared" si="332"/>
        <v>0</v>
      </c>
      <c r="LN46" s="15">
        <f t="shared" si="332"/>
        <v>0</v>
      </c>
      <c r="LO46" s="15">
        <f t="shared" si="332"/>
        <v>0</v>
      </c>
    </row>
    <row r="47" spans="1:327" ht="15.75" thickBot="1">
      <c r="A47" s="2" t="s">
        <v>39</v>
      </c>
      <c r="P47" s="2" t="str">
        <f>P41</f>
        <v>T-16 Auto</v>
      </c>
      <c r="AE47" s="2" t="str">
        <f>AE41</f>
        <v>T-16 Auto SA</v>
      </c>
      <c r="CN47" s="2" t="s">
        <v>39</v>
      </c>
      <c r="DA47" s="2" t="s">
        <v>15</v>
      </c>
      <c r="DN47" s="29" t="s">
        <v>94</v>
      </c>
      <c r="EA47" s="29" t="s">
        <v>37</v>
      </c>
      <c r="EN47" s="29" t="s">
        <v>95</v>
      </c>
      <c r="FA47" s="29" t="s">
        <v>96</v>
      </c>
      <c r="FO47" s="2" t="s">
        <v>39</v>
      </c>
      <c r="FR47" s="58">
        <f>FR46-(SUM('[16]Main Sheet'!$BU$9:$BU$10,'[16]Main Sheet'!$BU$13))</f>
        <v>-1</v>
      </c>
      <c r="GB47" s="2" t="s">
        <v>15</v>
      </c>
      <c r="GO47" s="29" t="s">
        <v>94</v>
      </c>
      <c r="HB47" s="29" t="s">
        <v>37</v>
      </c>
      <c r="HO47" s="29" t="s">
        <v>95</v>
      </c>
      <c r="IB47" s="29" t="s">
        <v>96</v>
      </c>
      <c r="IP47" s="2" t="s">
        <v>39</v>
      </c>
      <c r="JC47" s="2" t="s">
        <v>140</v>
      </c>
      <c r="JD47" s="3"/>
      <c r="JE47" s="3"/>
      <c r="JF47" s="3"/>
      <c r="JG47" s="3"/>
      <c r="JH47" s="3"/>
      <c r="JI47" s="3"/>
      <c r="JJ47" s="41">
        <f>JJ46+JW46+LJ46</f>
        <v>303</v>
      </c>
      <c r="JK47" s="41">
        <f>JK46+JX46+LK46</f>
        <v>285</v>
      </c>
      <c r="JL47" s="41">
        <f>JL46+JY46+LL46</f>
        <v>297</v>
      </c>
      <c r="JM47" s="41">
        <f>JM46+JZ46+LM46</f>
        <v>301</v>
      </c>
      <c r="JN47" s="41">
        <f>JN46+KA46+LN46</f>
        <v>293</v>
      </c>
      <c r="JO47" s="3"/>
      <c r="JP47" s="29" t="s">
        <v>94</v>
      </c>
      <c r="KC47" s="29" t="s">
        <v>141</v>
      </c>
      <c r="KP47" s="29" t="s">
        <v>142</v>
      </c>
      <c r="LC47" s="29" t="s">
        <v>96</v>
      </c>
    </row>
    <row r="48" spans="1:327">
      <c r="A48" s="8" t="s">
        <v>17</v>
      </c>
      <c r="B48" s="9" t="s">
        <v>6</v>
      </c>
      <c r="C48" s="9" t="s">
        <v>22</v>
      </c>
      <c r="D48" s="9" t="s">
        <v>23</v>
      </c>
      <c r="E48" s="9" t="s">
        <v>24</v>
      </c>
      <c r="F48" s="9" t="s">
        <v>25</v>
      </c>
      <c r="G48" s="9" t="s">
        <v>26</v>
      </c>
      <c r="H48" s="9" t="s">
        <v>27</v>
      </c>
      <c r="I48" s="9" t="s">
        <v>28</v>
      </c>
      <c r="J48" s="9" t="s">
        <v>29</v>
      </c>
      <c r="K48" s="9" t="s">
        <v>30</v>
      </c>
      <c r="L48" s="9" t="s">
        <v>31</v>
      </c>
      <c r="M48" s="9" t="s">
        <v>32</v>
      </c>
      <c r="N48" s="9" t="s">
        <v>33</v>
      </c>
      <c r="O48" s="9" t="s">
        <v>7</v>
      </c>
      <c r="P48" s="10" t="s">
        <v>17</v>
      </c>
      <c r="Q48" s="9" t="s">
        <v>6</v>
      </c>
      <c r="R48" s="9" t="s">
        <v>22</v>
      </c>
      <c r="S48" s="9" t="s">
        <v>23</v>
      </c>
      <c r="T48" s="9" t="s">
        <v>24</v>
      </c>
      <c r="U48" s="9" t="s">
        <v>25</v>
      </c>
      <c r="V48" s="9" t="s">
        <v>26</v>
      </c>
      <c r="W48" s="9" t="s">
        <v>27</v>
      </c>
      <c r="X48" s="9" t="s">
        <v>28</v>
      </c>
      <c r="Y48" s="9" t="s">
        <v>29</v>
      </c>
      <c r="Z48" s="9" t="s">
        <v>30</v>
      </c>
      <c r="AA48" s="9" t="s">
        <v>31</v>
      </c>
      <c r="AB48" s="9" t="s">
        <v>32</v>
      </c>
      <c r="AC48" s="9" t="s">
        <v>33</v>
      </c>
      <c r="AD48" s="9" t="s">
        <v>7</v>
      </c>
      <c r="AE48" s="10" t="s">
        <v>17</v>
      </c>
      <c r="AF48" s="9" t="s">
        <v>6</v>
      </c>
      <c r="AG48" s="9" t="s">
        <v>22</v>
      </c>
      <c r="AH48" s="9" t="s">
        <v>23</v>
      </c>
      <c r="AI48" s="9" t="s">
        <v>24</v>
      </c>
      <c r="AJ48" s="9" t="s">
        <v>25</v>
      </c>
      <c r="AK48" s="9" t="s">
        <v>26</v>
      </c>
      <c r="AL48" s="9" t="s">
        <v>27</v>
      </c>
      <c r="AM48" s="9" t="s">
        <v>28</v>
      </c>
      <c r="AN48" s="9" t="s">
        <v>29</v>
      </c>
      <c r="AO48" s="9" t="s">
        <v>30</v>
      </c>
      <c r="AP48" s="9" t="s">
        <v>31</v>
      </c>
      <c r="AQ48" s="9" t="s">
        <v>32</v>
      </c>
      <c r="AR48" s="9" t="s">
        <v>33</v>
      </c>
      <c r="AS48" s="9" t="s">
        <v>7</v>
      </c>
      <c r="CN48" s="57" t="s">
        <v>81</v>
      </c>
      <c r="CO48" s="57" t="s">
        <v>82</v>
      </c>
      <c r="CP48" s="57" t="s">
        <v>83</v>
      </c>
      <c r="CQ48" s="57" t="s">
        <v>84</v>
      </c>
      <c r="CR48" s="57" t="s">
        <v>85</v>
      </c>
      <c r="CS48" s="57" t="s">
        <v>86</v>
      </c>
      <c r="CT48" s="57" t="s">
        <v>87</v>
      </c>
      <c r="CU48" s="57" t="s">
        <v>88</v>
      </c>
      <c r="CV48" s="57" t="s">
        <v>89</v>
      </c>
      <c r="CW48" s="57" t="s">
        <v>90</v>
      </c>
      <c r="CX48" s="57" t="s">
        <v>91</v>
      </c>
      <c r="CY48" s="57" t="s">
        <v>92</v>
      </c>
      <c r="CZ48" s="57" t="s">
        <v>93</v>
      </c>
      <c r="DA48" s="57" t="s">
        <v>81</v>
      </c>
      <c r="DB48" s="57" t="s">
        <v>82</v>
      </c>
      <c r="DC48" s="57" t="s">
        <v>83</v>
      </c>
      <c r="DD48" s="57" t="s">
        <v>84</v>
      </c>
      <c r="DE48" s="57" t="s">
        <v>85</v>
      </c>
      <c r="DF48" s="57" t="s">
        <v>86</v>
      </c>
      <c r="DG48" s="57" t="s">
        <v>87</v>
      </c>
      <c r="DH48" s="57" t="s">
        <v>88</v>
      </c>
      <c r="DI48" s="57" t="s">
        <v>89</v>
      </c>
      <c r="DJ48" s="57" t="s">
        <v>90</v>
      </c>
      <c r="DK48" s="57" t="s">
        <v>91</v>
      </c>
      <c r="DL48" s="57" t="s">
        <v>92</v>
      </c>
      <c r="DM48" s="57" t="s">
        <v>93</v>
      </c>
      <c r="DN48" s="57" t="s">
        <v>81</v>
      </c>
      <c r="DO48" s="57" t="s">
        <v>82</v>
      </c>
      <c r="DP48" s="57" t="s">
        <v>83</v>
      </c>
      <c r="DQ48" s="57" t="s">
        <v>84</v>
      </c>
      <c r="DR48" s="57" t="s">
        <v>85</v>
      </c>
      <c r="DS48" s="57" t="s">
        <v>86</v>
      </c>
      <c r="DT48" s="57" t="s">
        <v>87</v>
      </c>
      <c r="DU48" s="57" t="s">
        <v>88</v>
      </c>
      <c r="DV48" s="57" t="s">
        <v>89</v>
      </c>
      <c r="DW48" s="57" t="s">
        <v>90</v>
      </c>
      <c r="DX48" s="57" t="s">
        <v>91</v>
      </c>
      <c r="DY48" s="57" t="s">
        <v>92</v>
      </c>
      <c r="DZ48" s="57" t="s">
        <v>93</v>
      </c>
      <c r="EA48" s="57" t="s">
        <v>81</v>
      </c>
      <c r="EB48" s="57" t="s">
        <v>82</v>
      </c>
      <c r="EC48" s="57" t="s">
        <v>83</v>
      </c>
      <c r="ED48" s="57" t="s">
        <v>84</v>
      </c>
      <c r="EE48" s="57" t="s">
        <v>85</v>
      </c>
      <c r="EF48" s="57" t="s">
        <v>86</v>
      </c>
      <c r="EG48" s="57" t="s">
        <v>87</v>
      </c>
      <c r="EH48" s="57" t="s">
        <v>88</v>
      </c>
      <c r="EI48" s="57" t="s">
        <v>89</v>
      </c>
      <c r="EJ48" s="57" t="s">
        <v>90</v>
      </c>
      <c r="EK48" s="57" t="s">
        <v>91</v>
      </c>
      <c r="EL48" s="57" t="s">
        <v>92</v>
      </c>
      <c r="EM48" s="57" t="s">
        <v>93</v>
      </c>
      <c r="EN48" s="57" t="s">
        <v>81</v>
      </c>
      <c r="EO48" s="57" t="s">
        <v>82</v>
      </c>
      <c r="EP48" s="57" t="s">
        <v>83</v>
      </c>
      <c r="EQ48" s="57" t="s">
        <v>84</v>
      </c>
      <c r="ER48" s="57" t="s">
        <v>85</v>
      </c>
      <c r="ES48" s="57" t="s">
        <v>86</v>
      </c>
      <c r="ET48" s="57" t="s">
        <v>87</v>
      </c>
      <c r="EU48" s="57" t="s">
        <v>88</v>
      </c>
      <c r="EV48" s="57" t="s">
        <v>89</v>
      </c>
      <c r="EW48" s="57" t="s">
        <v>90</v>
      </c>
      <c r="EX48" s="57" t="s">
        <v>91</v>
      </c>
      <c r="EY48" s="57" t="s">
        <v>92</v>
      </c>
      <c r="EZ48" s="57" t="s">
        <v>93</v>
      </c>
      <c r="FA48" s="57" t="s">
        <v>81</v>
      </c>
      <c r="FB48" s="57" t="s">
        <v>82</v>
      </c>
      <c r="FC48" s="57" t="s">
        <v>83</v>
      </c>
      <c r="FD48" s="57" t="s">
        <v>84</v>
      </c>
      <c r="FE48" s="57" t="s">
        <v>85</v>
      </c>
      <c r="FF48" s="57" t="s">
        <v>86</v>
      </c>
      <c r="FG48" s="57" t="s">
        <v>87</v>
      </c>
      <c r="FH48" s="57" t="s">
        <v>88</v>
      </c>
      <c r="FI48" s="57" t="s">
        <v>89</v>
      </c>
      <c r="FJ48" s="57" t="s">
        <v>90</v>
      </c>
      <c r="FK48" s="57" t="s">
        <v>91</v>
      </c>
      <c r="FL48" s="57" t="s">
        <v>92</v>
      </c>
      <c r="FM48" s="57" t="s">
        <v>93</v>
      </c>
      <c r="FO48" s="57" t="str">
        <f>FO42</f>
        <v>Apr'17</v>
      </c>
      <c r="FP48" s="57" t="str">
        <f t="shared" ref="FP48:IA48" si="333">FP42</f>
        <v>May'17</v>
      </c>
      <c r="FQ48" s="57" t="str">
        <f t="shared" si="333"/>
        <v>Jun'17</v>
      </c>
      <c r="FR48" s="57" t="str">
        <f t="shared" si="333"/>
        <v>Jul'17</v>
      </c>
      <c r="FS48" s="57" t="str">
        <f t="shared" si="333"/>
        <v>Aug'17</v>
      </c>
      <c r="FT48" s="57" t="str">
        <f t="shared" si="333"/>
        <v>Sep'17</v>
      </c>
      <c r="FU48" s="57" t="str">
        <f t="shared" si="333"/>
        <v>Oct'17</v>
      </c>
      <c r="FV48" s="57" t="str">
        <f t="shared" si="333"/>
        <v>Nov'17</v>
      </c>
      <c r="FW48" s="57" t="str">
        <f t="shared" si="333"/>
        <v>Dec'17</v>
      </c>
      <c r="FX48" s="57" t="str">
        <f t="shared" si="333"/>
        <v>Jan'18</v>
      </c>
      <c r="FY48" s="57" t="str">
        <f t="shared" si="333"/>
        <v>Feb'18</v>
      </c>
      <c r="FZ48" s="57" t="str">
        <f t="shared" si="333"/>
        <v>Mar'18</v>
      </c>
      <c r="GA48" s="57" t="str">
        <f t="shared" si="333"/>
        <v>FY 17~18</v>
      </c>
      <c r="GB48" s="57" t="str">
        <f t="shared" si="333"/>
        <v>Apr'17</v>
      </c>
      <c r="GC48" s="57" t="str">
        <f t="shared" si="333"/>
        <v>May'17</v>
      </c>
      <c r="GD48" s="57" t="str">
        <f t="shared" si="333"/>
        <v>Jun'17</v>
      </c>
      <c r="GE48" s="57" t="str">
        <f t="shared" si="333"/>
        <v>Jul'17</v>
      </c>
      <c r="GF48" s="57" t="str">
        <f t="shared" si="333"/>
        <v>Aug'17</v>
      </c>
      <c r="GG48" s="57" t="str">
        <f t="shared" si="333"/>
        <v>Sep'17</v>
      </c>
      <c r="GH48" s="57" t="str">
        <f t="shared" si="333"/>
        <v>Oct'17</v>
      </c>
      <c r="GI48" s="57" t="str">
        <f t="shared" si="333"/>
        <v>Nov'17</v>
      </c>
      <c r="GJ48" s="57" t="str">
        <f t="shared" si="333"/>
        <v>Dec'17</v>
      </c>
      <c r="GK48" s="57" t="str">
        <f t="shared" si="333"/>
        <v>Jan'18</v>
      </c>
      <c r="GL48" s="57" t="str">
        <f t="shared" si="333"/>
        <v>Feb'18</v>
      </c>
      <c r="GM48" s="57" t="str">
        <f t="shared" si="333"/>
        <v>Mar'18</v>
      </c>
      <c r="GN48" s="57" t="str">
        <f t="shared" si="333"/>
        <v>FY 17~18</v>
      </c>
      <c r="GO48" s="57" t="str">
        <f t="shared" si="333"/>
        <v>Apr'17</v>
      </c>
      <c r="GP48" s="57" t="str">
        <f t="shared" si="333"/>
        <v>May'17</v>
      </c>
      <c r="GQ48" s="57" t="str">
        <f t="shared" si="333"/>
        <v>Jun'17</v>
      </c>
      <c r="GR48" s="57" t="str">
        <f t="shared" si="333"/>
        <v>Jul'17</v>
      </c>
      <c r="GS48" s="57" t="str">
        <f t="shared" si="333"/>
        <v>Aug'17</v>
      </c>
      <c r="GT48" s="57" t="str">
        <f t="shared" si="333"/>
        <v>Sep'17</v>
      </c>
      <c r="GU48" s="57" t="str">
        <f t="shared" si="333"/>
        <v>Oct'17</v>
      </c>
      <c r="GV48" s="57" t="str">
        <f t="shared" si="333"/>
        <v>Nov'17</v>
      </c>
      <c r="GW48" s="57" t="str">
        <f t="shared" si="333"/>
        <v>Dec'17</v>
      </c>
      <c r="GX48" s="57" t="str">
        <f t="shared" si="333"/>
        <v>Jan'18</v>
      </c>
      <c r="GY48" s="57" t="str">
        <f t="shared" si="333"/>
        <v>Feb'18</v>
      </c>
      <c r="GZ48" s="57" t="str">
        <f t="shared" si="333"/>
        <v>Mar'18</v>
      </c>
      <c r="HA48" s="57" t="str">
        <f t="shared" si="333"/>
        <v>FY 17~18</v>
      </c>
      <c r="HB48" s="57" t="str">
        <f t="shared" si="333"/>
        <v>Apr'17</v>
      </c>
      <c r="HC48" s="57" t="str">
        <f t="shared" si="333"/>
        <v>May'17</v>
      </c>
      <c r="HD48" s="57" t="str">
        <f t="shared" si="333"/>
        <v>Jun'17</v>
      </c>
      <c r="HE48" s="57" t="str">
        <f t="shared" si="333"/>
        <v>Jul'17</v>
      </c>
      <c r="HF48" s="57" t="str">
        <f t="shared" si="333"/>
        <v>Aug'17</v>
      </c>
      <c r="HG48" s="57" t="str">
        <f t="shared" si="333"/>
        <v>Sep'17</v>
      </c>
      <c r="HH48" s="57" t="str">
        <f t="shared" si="333"/>
        <v>Oct'17</v>
      </c>
      <c r="HI48" s="57" t="str">
        <f t="shared" si="333"/>
        <v>Nov'17</v>
      </c>
      <c r="HJ48" s="57" t="str">
        <f t="shared" si="333"/>
        <v>Dec'17</v>
      </c>
      <c r="HK48" s="57" t="str">
        <f t="shared" si="333"/>
        <v>Jan'18</v>
      </c>
      <c r="HL48" s="57" t="str">
        <f t="shared" si="333"/>
        <v>Feb'18</v>
      </c>
      <c r="HM48" s="57" t="str">
        <f t="shared" si="333"/>
        <v>Mar'18</v>
      </c>
      <c r="HN48" s="57" t="str">
        <f t="shared" si="333"/>
        <v>FY 17~18</v>
      </c>
      <c r="HO48" s="57" t="str">
        <f t="shared" si="333"/>
        <v>Apr'17</v>
      </c>
      <c r="HP48" s="57" t="str">
        <f t="shared" si="333"/>
        <v>May'17</v>
      </c>
      <c r="HQ48" s="57" t="str">
        <f t="shared" si="333"/>
        <v>Jun'17</v>
      </c>
      <c r="HR48" s="57" t="str">
        <f t="shared" si="333"/>
        <v>Jul'17</v>
      </c>
      <c r="HS48" s="57" t="str">
        <f t="shared" si="333"/>
        <v>Aug'17</v>
      </c>
      <c r="HT48" s="57" t="str">
        <f t="shared" si="333"/>
        <v>Sep'17</v>
      </c>
      <c r="HU48" s="57" t="str">
        <f t="shared" si="333"/>
        <v>Oct'17</v>
      </c>
      <c r="HV48" s="57" t="str">
        <f t="shared" si="333"/>
        <v>Nov'17</v>
      </c>
      <c r="HW48" s="57" t="str">
        <f t="shared" si="333"/>
        <v>Dec'17</v>
      </c>
      <c r="HX48" s="57" t="str">
        <f t="shared" si="333"/>
        <v>Jan'18</v>
      </c>
      <c r="HY48" s="57" t="str">
        <f t="shared" si="333"/>
        <v>Feb'18</v>
      </c>
      <c r="HZ48" s="57" t="str">
        <f t="shared" si="333"/>
        <v>Mar'18</v>
      </c>
      <c r="IA48" s="57" t="str">
        <f t="shared" si="333"/>
        <v>FY 17~18</v>
      </c>
      <c r="IB48" s="57" t="str">
        <f t="shared" ref="IB48:IN48" si="334">IB42</f>
        <v>Apr'17</v>
      </c>
      <c r="IC48" s="57" t="str">
        <f t="shared" si="334"/>
        <v>May'17</v>
      </c>
      <c r="ID48" s="57" t="str">
        <f t="shared" si="334"/>
        <v>Jun'17</v>
      </c>
      <c r="IE48" s="57" t="str">
        <f t="shared" si="334"/>
        <v>Jul'17</v>
      </c>
      <c r="IF48" s="57" t="str">
        <f t="shared" si="334"/>
        <v>Aug'17</v>
      </c>
      <c r="IG48" s="57" t="str">
        <f t="shared" si="334"/>
        <v>Sep'17</v>
      </c>
      <c r="IH48" s="57" t="str">
        <f t="shared" si="334"/>
        <v>Oct'17</v>
      </c>
      <c r="II48" s="57" t="str">
        <f t="shared" si="334"/>
        <v>Nov'17</v>
      </c>
      <c r="IJ48" s="57" t="str">
        <f t="shared" si="334"/>
        <v>Dec'17</v>
      </c>
      <c r="IK48" s="57" t="str">
        <f t="shared" si="334"/>
        <v>Jan'18</v>
      </c>
      <c r="IL48" s="57" t="str">
        <f t="shared" si="334"/>
        <v>Feb'18</v>
      </c>
      <c r="IM48" s="57" t="str">
        <f t="shared" si="334"/>
        <v>Mar'18</v>
      </c>
      <c r="IN48" s="57" t="str">
        <f t="shared" si="334"/>
        <v>FY 17~18</v>
      </c>
      <c r="IP48" s="98" t="s">
        <v>127</v>
      </c>
      <c r="IQ48" s="98" t="s">
        <v>128</v>
      </c>
      <c r="IR48" s="99" t="s">
        <v>129</v>
      </c>
      <c r="IS48" s="99" t="s">
        <v>130</v>
      </c>
      <c r="IT48" s="99" t="s">
        <v>131</v>
      </c>
      <c r="IU48" s="99" t="s">
        <v>132</v>
      </c>
      <c r="IV48" s="99" t="s">
        <v>133</v>
      </c>
      <c r="IW48" s="99" t="s">
        <v>134</v>
      </c>
      <c r="IX48" s="99" t="s">
        <v>135</v>
      </c>
      <c r="IY48" s="99" t="s">
        <v>136</v>
      </c>
      <c r="IZ48" s="99" t="s">
        <v>137</v>
      </c>
      <c r="JA48" s="99" t="s">
        <v>138</v>
      </c>
      <c r="JB48" s="99" t="s">
        <v>139</v>
      </c>
      <c r="JC48" s="98" t="s">
        <v>127</v>
      </c>
      <c r="JD48" s="98" t="s">
        <v>128</v>
      </c>
      <c r="JE48" s="99" t="s">
        <v>129</v>
      </c>
      <c r="JF48" s="99" t="s">
        <v>130</v>
      </c>
      <c r="JG48" s="99" t="s">
        <v>131</v>
      </c>
      <c r="JH48" s="99" t="s">
        <v>132</v>
      </c>
      <c r="JI48" s="99" t="s">
        <v>133</v>
      </c>
      <c r="JJ48" s="99" t="s">
        <v>134</v>
      </c>
      <c r="JK48" s="99" t="s">
        <v>135</v>
      </c>
      <c r="JL48" s="99" t="s">
        <v>136</v>
      </c>
      <c r="JM48" s="99" t="s">
        <v>137</v>
      </c>
      <c r="JN48" s="99" t="s">
        <v>138</v>
      </c>
      <c r="JO48" s="99" t="s">
        <v>139</v>
      </c>
      <c r="JP48" s="98" t="s">
        <v>127</v>
      </c>
      <c r="JQ48" s="98" t="s">
        <v>128</v>
      </c>
      <c r="JR48" s="99" t="s">
        <v>129</v>
      </c>
      <c r="JS48" s="99" t="s">
        <v>130</v>
      </c>
      <c r="JT48" s="99" t="s">
        <v>131</v>
      </c>
      <c r="JU48" s="99" t="s">
        <v>132</v>
      </c>
      <c r="JV48" s="99" t="s">
        <v>133</v>
      </c>
      <c r="JW48" s="99" t="s">
        <v>134</v>
      </c>
      <c r="JX48" s="99" t="s">
        <v>135</v>
      </c>
      <c r="JY48" s="99" t="s">
        <v>136</v>
      </c>
      <c r="JZ48" s="99" t="s">
        <v>137</v>
      </c>
      <c r="KA48" s="99" t="s">
        <v>138</v>
      </c>
      <c r="KB48" s="99" t="s">
        <v>139</v>
      </c>
      <c r="KC48" s="98" t="s">
        <v>127</v>
      </c>
      <c r="KD48" s="98" t="s">
        <v>128</v>
      </c>
      <c r="KE48" s="99" t="s">
        <v>129</v>
      </c>
      <c r="KF48" s="99" t="s">
        <v>130</v>
      </c>
      <c r="KG48" s="99" t="s">
        <v>131</v>
      </c>
      <c r="KH48" s="99" t="s">
        <v>132</v>
      </c>
      <c r="KI48" s="99" t="s">
        <v>133</v>
      </c>
      <c r="KJ48" s="99" t="s">
        <v>134</v>
      </c>
      <c r="KK48" s="99" t="s">
        <v>135</v>
      </c>
      <c r="KL48" s="99" t="s">
        <v>136</v>
      </c>
      <c r="KM48" s="99" t="s">
        <v>137</v>
      </c>
      <c r="KN48" s="99" t="s">
        <v>138</v>
      </c>
      <c r="KO48" s="99" t="s">
        <v>139</v>
      </c>
      <c r="KP48" s="98" t="s">
        <v>127</v>
      </c>
      <c r="KQ48" s="98" t="s">
        <v>128</v>
      </c>
      <c r="KR48" s="99" t="s">
        <v>129</v>
      </c>
      <c r="KS48" s="99" t="s">
        <v>130</v>
      </c>
      <c r="KT48" s="99" t="s">
        <v>131</v>
      </c>
      <c r="KU48" s="99" t="s">
        <v>132</v>
      </c>
      <c r="KV48" s="99" t="s">
        <v>133</v>
      </c>
      <c r="KW48" s="99" t="s">
        <v>134</v>
      </c>
      <c r="KX48" s="99" t="s">
        <v>135</v>
      </c>
      <c r="KY48" s="99" t="s">
        <v>136</v>
      </c>
      <c r="KZ48" s="99" t="s">
        <v>137</v>
      </c>
      <c r="LA48" s="99" t="s">
        <v>138</v>
      </c>
      <c r="LB48" s="99" t="s">
        <v>139</v>
      </c>
      <c r="LC48" s="98" t="s">
        <v>127</v>
      </c>
      <c r="LD48" s="98" t="s">
        <v>128</v>
      </c>
      <c r="LE48" s="99" t="s">
        <v>129</v>
      </c>
      <c r="LF48" s="99" t="s">
        <v>130</v>
      </c>
      <c r="LG48" s="99" t="s">
        <v>131</v>
      </c>
      <c r="LH48" s="99" t="s">
        <v>132</v>
      </c>
      <c r="LI48" s="99" t="s">
        <v>133</v>
      </c>
      <c r="LJ48" s="99" t="s">
        <v>134</v>
      </c>
      <c r="LK48" s="99" t="s">
        <v>135</v>
      </c>
      <c r="LL48" s="99" t="s">
        <v>136</v>
      </c>
      <c r="LM48" s="99" t="s">
        <v>137</v>
      </c>
      <c r="LN48" s="99" t="s">
        <v>138</v>
      </c>
      <c r="LO48" s="99" t="s">
        <v>139</v>
      </c>
    </row>
    <row r="49" spans="1:327">
      <c r="A49" s="12" t="s">
        <v>18</v>
      </c>
      <c r="B49" s="5"/>
      <c r="C49" s="5">
        <f t="shared" ref="C49:N51" si="335">SUM(R49,AG49,AV49,BK49,BZ49)</f>
        <v>52.5</v>
      </c>
      <c r="D49" s="5">
        <f t="shared" si="335"/>
        <v>53</v>
      </c>
      <c r="E49" s="5">
        <f t="shared" si="335"/>
        <v>53</v>
      </c>
      <c r="F49" s="5">
        <f t="shared" si="335"/>
        <v>54.5</v>
      </c>
      <c r="G49" s="5">
        <f t="shared" si="335"/>
        <v>54.5</v>
      </c>
      <c r="H49" s="5">
        <f t="shared" si="335"/>
        <v>54.5</v>
      </c>
      <c r="I49" s="5">
        <f t="shared" si="335"/>
        <v>54.5</v>
      </c>
      <c r="J49" s="5">
        <f t="shared" si="335"/>
        <v>54.5</v>
      </c>
      <c r="K49" s="5">
        <f t="shared" si="335"/>
        <v>54.5</v>
      </c>
      <c r="L49" s="5">
        <f t="shared" si="335"/>
        <v>52.5</v>
      </c>
      <c r="M49" s="5">
        <f t="shared" si="335"/>
        <v>52.5</v>
      </c>
      <c r="N49" s="5">
        <f t="shared" si="335"/>
        <v>52.5</v>
      </c>
      <c r="O49" s="7">
        <f>AVERAGE(C49:N49)</f>
        <v>53.583333333333336</v>
      </c>
      <c r="P49" s="4" t="s">
        <v>18</v>
      </c>
      <c r="R49" s="22">
        <v>52.5</v>
      </c>
      <c r="S49" s="22">
        <f>53</f>
        <v>53</v>
      </c>
      <c r="T49" s="22">
        <f>53</f>
        <v>53</v>
      </c>
      <c r="U49" s="22">
        <v>54.5</v>
      </c>
      <c r="V49" s="22">
        <v>54.5</v>
      </c>
      <c r="W49" s="22">
        <v>54.5</v>
      </c>
      <c r="X49" s="22">
        <v>54.5</v>
      </c>
      <c r="Y49" s="22">
        <v>54.5</v>
      </c>
      <c r="Z49" s="22">
        <v>54.5</v>
      </c>
      <c r="AA49" s="22">
        <v>52.5</v>
      </c>
      <c r="AB49" s="22">
        <v>52.5</v>
      </c>
      <c r="AC49" s="22">
        <v>52.5</v>
      </c>
      <c r="AD49" s="7">
        <f>AVERAGE(R49:AC49)</f>
        <v>53.583333333333336</v>
      </c>
      <c r="AE49" s="4" t="s">
        <v>18</v>
      </c>
      <c r="AG49" s="22"/>
      <c r="AH49" s="22"/>
      <c r="AS49" s="7" t="e">
        <f>AVERAGE(AG49:AR49)</f>
        <v>#DIV/0!</v>
      </c>
      <c r="CN49" s="5">
        <f t="shared" ref="CN49:CY51" si="336">SUM(DA49,DN49,EA49,EN49,FA49)</f>
        <v>67</v>
      </c>
      <c r="CO49" s="5">
        <f t="shared" si="336"/>
        <v>71</v>
      </c>
      <c r="CP49" s="5">
        <f t="shared" si="336"/>
        <v>71</v>
      </c>
      <c r="CQ49" s="5">
        <f t="shared" si="336"/>
        <v>81</v>
      </c>
      <c r="CR49" s="5">
        <f t="shared" si="336"/>
        <v>81</v>
      </c>
      <c r="CS49" s="5">
        <f t="shared" si="336"/>
        <v>82</v>
      </c>
      <c r="CT49" s="5">
        <f t="shared" si="336"/>
        <v>82</v>
      </c>
      <c r="CU49" s="5">
        <f t="shared" si="336"/>
        <v>82</v>
      </c>
      <c r="CV49" s="5">
        <f t="shared" si="336"/>
        <v>82</v>
      </c>
      <c r="CW49" s="5">
        <f t="shared" si="336"/>
        <v>76</v>
      </c>
      <c r="CX49" s="5">
        <f t="shared" si="336"/>
        <v>76</v>
      </c>
      <c r="CY49" s="5">
        <f t="shared" si="336"/>
        <v>76</v>
      </c>
      <c r="CZ49" s="13">
        <f>AVERAGE(CN49:CY49)</f>
        <v>77.25</v>
      </c>
      <c r="DA49" s="5">
        <f>50-DN49-FA49</f>
        <v>50</v>
      </c>
      <c r="DB49" s="5">
        <f>53-DO49-FB49</f>
        <v>53</v>
      </c>
      <c r="DC49" s="5">
        <f>53-DP49-FC49</f>
        <v>53</v>
      </c>
      <c r="DD49" s="5">
        <f t="shared" ref="DD49:DI49" si="337">60-DQ49-FD49</f>
        <v>60</v>
      </c>
      <c r="DE49" s="5">
        <f t="shared" si="337"/>
        <v>60</v>
      </c>
      <c r="DF49" s="5">
        <f t="shared" si="337"/>
        <v>60</v>
      </c>
      <c r="DG49" s="5">
        <f t="shared" si="337"/>
        <v>60</v>
      </c>
      <c r="DH49" s="5">
        <f t="shared" si="337"/>
        <v>60</v>
      </c>
      <c r="DI49" s="5">
        <f t="shared" si="337"/>
        <v>60</v>
      </c>
      <c r="DJ49" s="5">
        <f>54-DW49-FJ49</f>
        <v>54</v>
      </c>
      <c r="DK49" s="5">
        <f>54-DX49-FK49</f>
        <v>54</v>
      </c>
      <c r="DL49" s="5">
        <f>54-DY49-FL49</f>
        <v>54</v>
      </c>
      <c r="DM49" s="13">
        <f>AVERAGE(DA49:DL49)</f>
        <v>56.5</v>
      </c>
      <c r="DN49" s="22">
        <f>0</f>
        <v>0</v>
      </c>
      <c r="DO49" s="22">
        <f>0</f>
        <v>0</v>
      </c>
      <c r="DP49" s="22">
        <f>0</f>
        <v>0</v>
      </c>
      <c r="DQ49" s="22">
        <f>0</f>
        <v>0</v>
      </c>
      <c r="DR49" s="22">
        <f>0</f>
        <v>0</v>
      </c>
      <c r="DS49" s="22">
        <f>0</f>
        <v>0</v>
      </c>
      <c r="DT49" s="22">
        <f>0</f>
        <v>0</v>
      </c>
      <c r="DU49" s="22">
        <f>0</f>
        <v>0</v>
      </c>
      <c r="DV49" s="22">
        <f>0</f>
        <v>0</v>
      </c>
      <c r="DW49" s="22">
        <f>0</f>
        <v>0</v>
      </c>
      <c r="DX49" s="22">
        <f>0</f>
        <v>0</v>
      </c>
      <c r="DY49" s="22">
        <f>0</f>
        <v>0</v>
      </c>
      <c r="DZ49" s="63">
        <f>AVERAGE(DN49:DY49)</f>
        <v>0</v>
      </c>
      <c r="EA49" s="22">
        <f>15</f>
        <v>15</v>
      </c>
      <c r="EB49" s="22">
        <f>15</f>
        <v>15</v>
      </c>
      <c r="EC49" s="22">
        <f>15</f>
        <v>15</v>
      </c>
      <c r="ED49" s="22">
        <f>16</f>
        <v>16</v>
      </c>
      <c r="EE49" s="22">
        <f>16</f>
        <v>16</v>
      </c>
      <c r="EF49" s="22">
        <f>16</f>
        <v>16</v>
      </c>
      <c r="EG49" s="22">
        <f>16</f>
        <v>16</v>
      </c>
      <c r="EH49" s="22">
        <f>16</f>
        <v>16</v>
      </c>
      <c r="EI49" s="22">
        <f>16</f>
        <v>16</v>
      </c>
      <c r="EJ49" s="22">
        <f>16</f>
        <v>16</v>
      </c>
      <c r="EK49" s="22">
        <f>16</f>
        <v>16</v>
      </c>
      <c r="EL49" s="22">
        <f>16</f>
        <v>16</v>
      </c>
      <c r="EM49" s="63">
        <f>AVERAGE(EA49:EL49)</f>
        <v>15.75</v>
      </c>
      <c r="EN49" s="22">
        <f>2</f>
        <v>2</v>
      </c>
      <c r="EO49" s="22">
        <f>3</f>
        <v>3</v>
      </c>
      <c r="EP49" s="22">
        <f>3</f>
        <v>3</v>
      </c>
      <c r="EQ49" s="22">
        <f>5</f>
        <v>5</v>
      </c>
      <c r="ER49" s="22">
        <f>5</f>
        <v>5</v>
      </c>
      <c r="ES49" s="22">
        <f>6</f>
        <v>6</v>
      </c>
      <c r="ET49" s="22">
        <f>6</f>
        <v>6</v>
      </c>
      <c r="EU49" s="22">
        <f>6</f>
        <v>6</v>
      </c>
      <c r="EV49" s="22">
        <f>6</f>
        <v>6</v>
      </c>
      <c r="EW49" s="22">
        <f>6</f>
        <v>6</v>
      </c>
      <c r="EX49" s="22">
        <f>6</f>
        <v>6</v>
      </c>
      <c r="EY49" s="22">
        <v>6</v>
      </c>
      <c r="EZ49" s="63">
        <f>AVERAGE(EN49:EY49)</f>
        <v>5</v>
      </c>
      <c r="FA49" s="22">
        <f>0</f>
        <v>0</v>
      </c>
      <c r="FB49" s="22">
        <f>0</f>
        <v>0</v>
      </c>
      <c r="FC49" s="22">
        <f>0</f>
        <v>0</v>
      </c>
      <c r="FD49" s="22">
        <f>0</f>
        <v>0</v>
      </c>
      <c r="FE49" s="22">
        <f>0</f>
        <v>0</v>
      </c>
      <c r="FF49" s="22">
        <f>0</f>
        <v>0</v>
      </c>
      <c r="FG49" s="22">
        <f>0</f>
        <v>0</v>
      </c>
      <c r="FH49" s="22">
        <f>0</f>
        <v>0</v>
      </c>
      <c r="FI49" s="22">
        <f>0</f>
        <v>0</v>
      </c>
      <c r="FJ49" s="22">
        <f>0</f>
        <v>0</v>
      </c>
      <c r="FK49" s="22">
        <f>0</f>
        <v>0</v>
      </c>
      <c r="FL49" s="22">
        <f>0</f>
        <v>0</v>
      </c>
      <c r="FM49" s="63">
        <f>AVERAGE(FA49:FL49)</f>
        <v>0</v>
      </c>
      <c r="FO49" s="5">
        <f>SUM(GB49,GO49,HB49,HO49,IB49)</f>
        <v>94</v>
      </c>
      <c r="FP49" s="5">
        <f t="shared" ref="FP49:FP51" si="338">SUM(GC49,GP49,HC49,HP49,IC49)</f>
        <v>94</v>
      </c>
      <c r="FQ49" s="5">
        <f t="shared" ref="FQ49:FQ51" si="339">SUM(GD49,GQ49,HD49,HQ49,ID49)</f>
        <v>94</v>
      </c>
      <c r="FR49" s="5">
        <f t="shared" ref="FR49:FR51" si="340">SUM(GE49,GR49,HE49,HR49,IE49)</f>
        <v>94</v>
      </c>
      <c r="FS49" s="5">
        <f t="shared" ref="FS49:FS51" si="341">SUM(GF49,GS49,HF49,HS49,IF49)</f>
        <v>94</v>
      </c>
      <c r="FT49" s="5">
        <f t="shared" ref="FT49:FT51" si="342">SUM(GG49,GT49,HG49,HT49,IG49)</f>
        <v>94</v>
      </c>
      <c r="FU49" s="5">
        <f t="shared" ref="FU49:FU51" si="343">SUM(GH49,GU49,HH49,HU49,IH49)</f>
        <v>94</v>
      </c>
      <c r="FV49" s="5">
        <f t="shared" ref="FV49:FV51" si="344">SUM(GI49,GV49,HI49,HV49,II49)</f>
        <v>94</v>
      </c>
      <c r="FW49" s="5">
        <f t="shared" ref="FW49:FW51" si="345">SUM(GJ49,GW49,HJ49,HW49,IJ49)</f>
        <v>94</v>
      </c>
      <c r="FX49" s="5">
        <f t="shared" ref="FX49:FX50" si="346">SUM(GK49,GX49,HK49,HX49,IK49)</f>
        <v>94</v>
      </c>
      <c r="FY49" s="5">
        <f t="shared" ref="FY49:FY50" si="347">SUM(GL49,GY49,HL49,HY49,IL49)</f>
        <v>94</v>
      </c>
      <c r="FZ49" s="5">
        <f t="shared" ref="FZ49:FZ51" si="348">SUM(GM49,GZ49,HM49,HZ49,IM49)</f>
        <v>94</v>
      </c>
      <c r="GA49" s="13">
        <f>AVERAGE(FO49:FZ49)</f>
        <v>94</v>
      </c>
      <c r="GB49" s="5">
        <f t="shared" ref="GB49:GK49" si="349">61-GO49-IB49</f>
        <v>61</v>
      </c>
      <c r="GC49" s="5">
        <f t="shared" si="349"/>
        <v>61</v>
      </c>
      <c r="GD49" s="5">
        <f t="shared" si="349"/>
        <v>61</v>
      </c>
      <c r="GE49" s="5">
        <f t="shared" si="349"/>
        <v>61</v>
      </c>
      <c r="GF49" s="5">
        <f t="shared" si="349"/>
        <v>61</v>
      </c>
      <c r="GG49" s="5">
        <f t="shared" si="349"/>
        <v>61</v>
      </c>
      <c r="GH49" s="5">
        <f t="shared" si="349"/>
        <v>61</v>
      </c>
      <c r="GI49" s="5">
        <f t="shared" si="349"/>
        <v>61</v>
      </c>
      <c r="GJ49" s="5">
        <f t="shared" si="349"/>
        <v>61</v>
      </c>
      <c r="GK49" s="5">
        <f t="shared" si="349"/>
        <v>61</v>
      </c>
      <c r="GL49" s="5">
        <f t="shared" ref="GL49" si="350">61-GY49-IL49</f>
        <v>61</v>
      </c>
      <c r="GM49" s="5">
        <f t="shared" ref="GM49" si="351">61-GZ49-IM49</f>
        <v>61</v>
      </c>
      <c r="GN49" s="13">
        <f>AVERAGE(GB49:GM49)</f>
        <v>61</v>
      </c>
      <c r="HA49" s="63" t="e">
        <f>AVERAGE(GO49:GZ49)</f>
        <v>#DIV/0!</v>
      </c>
      <c r="HB49" s="22">
        <v>19</v>
      </c>
      <c r="HC49" s="22">
        <v>19</v>
      </c>
      <c r="HD49" s="22">
        <v>19</v>
      </c>
      <c r="HE49" s="22">
        <v>19</v>
      </c>
      <c r="HF49" s="22">
        <v>19</v>
      </c>
      <c r="HG49" s="22">
        <v>19</v>
      </c>
      <c r="HH49" s="22">
        <v>19</v>
      </c>
      <c r="HI49" s="22">
        <v>19</v>
      </c>
      <c r="HJ49" s="22">
        <v>19</v>
      </c>
      <c r="HK49" s="22">
        <v>19</v>
      </c>
      <c r="HL49" s="22">
        <v>19</v>
      </c>
      <c r="HM49" s="22">
        <v>19</v>
      </c>
      <c r="HN49" s="63">
        <f>AVERAGE(HB49:HM49)</f>
        <v>19</v>
      </c>
      <c r="HO49" s="22">
        <v>14</v>
      </c>
      <c r="HP49" s="22">
        <v>14</v>
      </c>
      <c r="HQ49" s="22">
        <v>14</v>
      </c>
      <c r="HR49" s="22">
        <v>14</v>
      </c>
      <c r="HS49" s="22">
        <v>14</v>
      </c>
      <c r="HT49" s="22">
        <v>14</v>
      </c>
      <c r="HU49" s="22">
        <v>14</v>
      </c>
      <c r="HV49" s="22">
        <v>14</v>
      </c>
      <c r="HW49" s="22">
        <v>14</v>
      </c>
      <c r="HX49" s="22">
        <v>14</v>
      </c>
      <c r="HY49" s="22">
        <v>14</v>
      </c>
      <c r="HZ49" s="22">
        <v>14</v>
      </c>
      <c r="IA49" s="63">
        <f>AVERAGE(HO49:HZ49)</f>
        <v>14</v>
      </c>
      <c r="IN49" s="63" t="e">
        <f>AVERAGE(IB49:IM49)</f>
        <v>#DIV/0!</v>
      </c>
      <c r="IP49" s="5">
        <f>SUM(JC49,JP49,KC49,KP49,LC49)</f>
        <v>93.5</v>
      </c>
      <c r="IQ49" s="5">
        <f t="shared" ref="IQ49:IQ51" si="352">SUM(JD49,JQ49,KD49,KQ49,LD49)</f>
        <v>97.5</v>
      </c>
      <c r="IR49" s="5">
        <f t="shared" ref="IR49:IR51" si="353">SUM(JE49,JR49,KE49,KR49,LE49)</f>
        <v>99.5</v>
      </c>
      <c r="IS49" s="5">
        <f t="shared" ref="IS49:IS51" si="354">SUM(JF49,JS49,KF49,KS49,LF49)</f>
        <v>103.5</v>
      </c>
      <c r="IT49" s="5">
        <f t="shared" ref="IT49:IT51" si="355">SUM(JG49,JT49,KG49,KT49,LG49)</f>
        <v>103.5</v>
      </c>
      <c r="IU49" s="5">
        <f t="shared" ref="IU49:IU51" si="356">SUM(JH49,JU49,KH49,KU49,LH49)</f>
        <v>101.5</v>
      </c>
      <c r="IV49" s="5">
        <f t="shared" ref="IV49:IV51" si="357">SUM(JI49,JV49,KI49,KV49,LI49)</f>
        <v>101.5</v>
      </c>
      <c r="IW49" s="5">
        <f t="shared" ref="IW49:IW51" si="358">SUM(JJ49,JW49,KJ49,KW49,LJ49)</f>
        <v>101.5</v>
      </c>
      <c r="IX49" s="5">
        <f t="shared" ref="IX49:IX51" si="359">SUM(JK49,JX49,KK49,KX49,LK49)</f>
        <v>101</v>
      </c>
      <c r="IY49" s="5">
        <f t="shared" ref="IY49:IY51" si="360">SUM(JL49,JY49,KL49,KY49,LL49)</f>
        <v>101.5</v>
      </c>
      <c r="IZ49" s="5">
        <f t="shared" ref="IZ49:IZ51" si="361">SUM(JM49,JZ49,KM49,KZ49,LM49)</f>
        <v>101.5</v>
      </c>
      <c r="JA49" s="5">
        <f t="shared" ref="JA49:JA51" si="362">SUM(JN49,KA49,KN49,LA49,LN49)</f>
        <v>101.375</v>
      </c>
      <c r="JB49" s="63">
        <f>AVERAGE(IP49:JA49)</f>
        <v>100.61458333333333</v>
      </c>
      <c r="JC49" s="21">
        <f>SUM([17]Manpower_month!EA5,[17]Manpower_month!EA6)-SUM(JP49)</f>
        <v>59.5</v>
      </c>
      <c r="JD49" s="21">
        <f>SUM([17]Manpower_month!EB5,[17]Manpower_month!EB6)-SUM(JQ49)</f>
        <v>59.5</v>
      </c>
      <c r="JE49" s="21">
        <f>SUM([17]Manpower_month!EC5,[17]Manpower_month!EC6)-SUM(JR49)</f>
        <v>59.5</v>
      </c>
      <c r="JF49" s="21">
        <f>SUM([17]Manpower_month!ED5,[17]Manpower_month!ED6)-SUM(JS49)</f>
        <v>63.5</v>
      </c>
      <c r="JG49" s="21">
        <f>SUM([18]Manpower_month!EE5,[18]Manpower_month!EE6)-SUM(JT49)</f>
        <v>63.5</v>
      </c>
      <c r="JH49" s="21">
        <f>SUM([18]Manpower_month!EF5,[18]Manpower_month!EF6)-SUM(JU49)</f>
        <v>61.5</v>
      </c>
      <c r="JI49" s="21">
        <f>SUM([18]Manpower_month!EG5,[18]Manpower_month!EG6)-SUM(JV49)</f>
        <v>61.5</v>
      </c>
      <c r="JJ49" s="21">
        <f>SUM([18]Manpower_month!EH5,[18]Manpower_month!EH6)-SUM(JW49)</f>
        <v>61.5</v>
      </c>
      <c r="JK49" s="21">
        <f>SUM([18]Manpower_month!EI5,[18]Manpower_month!EI6)-SUM(JX49)</f>
        <v>61</v>
      </c>
      <c r="JL49" s="21">
        <f>SUM([18]Manpower_month!EJ5,[18]Manpower_month!EJ6)-SUM(JY49)</f>
        <v>61.5</v>
      </c>
      <c r="JM49" s="21">
        <f>SUM([18]Manpower_month!EK5,[18]Manpower_month!EK6)-SUM(JZ49)</f>
        <v>61.5</v>
      </c>
      <c r="JN49" s="21">
        <f>SUM([18]Manpower_month!EL5,[18]Manpower_month!EL6)-SUM(KA49)</f>
        <v>61.375</v>
      </c>
      <c r="JO49" s="63">
        <f>IFERROR(AVERAGE(JC49:JN49),"")</f>
        <v>61.28125</v>
      </c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63" t="str">
        <f>IFERROR(AVERAGE(JP49:KA49),"")</f>
        <v/>
      </c>
      <c r="KC49" s="21">
        <f>[17]Manpower_month!AY5</f>
        <v>18</v>
      </c>
      <c r="KD49" s="21">
        <f>[17]Manpower_month!AZ5</f>
        <v>19</v>
      </c>
      <c r="KE49" s="21">
        <f>[17]Manpower_month!BA5</f>
        <v>21</v>
      </c>
      <c r="KF49" s="21">
        <f>[17]Manpower_month!BB5</f>
        <v>21</v>
      </c>
      <c r="KG49" s="21">
        <f>[18]Manpower_month!BC5</f>
        <v>21</v>
      </c>
      <c r="KH49" s="21">
        <f>[18]Manpower_month!BD5</f>
        <v>21</v>
      </c>
      <c r="KI49" s="21">
        <f>[18]Manpower_month!BE5</f>
        <v>21</v>
      </c>
      <c r="KJ49" s="21">
        <f>[18]Manpower_month!BF5</f>
        <v>21</v>
      </c>
      <c r="KK49" s="21">
        <f>[18]Manpower_month!BG5</f>
        <v>21</v>
      </c>
      <c r="KL49" s="21">
        <f>[18]Manpower_month!BH5</f>
        <v>21</v>
      </c>
      <c r="KM49" s="21">
        <f>[18]Manpower_month!BI5</f>
        <v>21</v>
      </c>
      <c r="KN49" s="21">
        <f>[18]Manpower_month!BJ5</f>
        <v>21</v>
      </c>
      <c r="KO49" s="63">
        <f>IFERROR(AVERAGE(KC49:KN49),"")</f>
        <v>20.583333333333332</v>
      </c>
      <c r="KP49" s="21">
        <f>[17]Manpower_month!BO5</f>
        <v>14</v>
      </c>
      <c r="KQ49" s="21">
        <f>[17]Manpower_month!BP5</f>
        <v>17</v>
      </c>
      <c r="KR49" s="21">
        <f>[17]Manpower_month!BQ5</f>
        <v>17</v>
      </c>
      <c r="KS49" s="21">
        <f>[17]Manpower_month!BR5</f>
        <v>17</v>
      </c>
      <c r="KT49" s="21">
        <f>[18]Manpower_month!BS5</f>
        <v>17</v>
      </c>
      <c r="KU49" s="21">
        <f>[18]Manpower_month!BT5</f>
        <v>17</v>
      </c>
      <c r="KV49" s="21">
        <f>[18]Manpower_month!BU5</f>
        <v>17</v>
      </c>
      <c r="KW49" s="21">
        <f>[18]Manpower_month!BV5</f>
        <v>17</v>
      </c>
      <c r="KX49" s="21">
        <f>[18]Manpower_month!BW5</f>
        <v>17</v>
      </c>
      <c r="KY49" s="21">
        <f>[18]Manpower_month!BX5</f>
        <v>17</v>
      </c>
      <c r="KZ49" s="21">
        <f>[18]Manpower_month!BY5</f>
        <v>17</v>
      </c>
      <c r="LA49" s="21">
        <f>[18]Manpower_month!BZ5</f>
        <v>17</v>
      </c>
      <c r="LB49" s="63">
        <f>IFERROR(AVERAGE(KP49:LA49),"")</f>
        <v>16.75</v>
      </c>
      <c r="LC49" s="21">
        <f>[17]Manpower_month!EQ5</f>
        <v>2</v>
      </c>
      <c r="LD49" s="21">
        <f>[17]Manpower_month!ER5</f>
        <v>2</v>
      </c>
      <c r="LE49" s="21">
        <f>[17]Manpower_month!ES5</f>
        <v>2</v>
      </c>
      <c r="LF49" s="21">
        <f>[17]Manpower_month!ET5</f>
        <v>2</v>
      </c>
      <c r="LG49" s="21">
        <f>[18]Manpower_month!EU5</f>
        <v>2</v>
      </c>
      <c r="LH49" s="21">
        <f>[18]Manpower_month!EV5</f>
        <v>2</v>
      </c>
      <c r="LI49" s="21">
        <f>[18]Manpower_month!EW5</f>
        <v>2</v>
      </c>
      <c r="LJ49" s="21">
        <f>[18]Manpower_month!EX5</f>
        <v>2</v>
      </c>
      <c r="LK49" s="21">
        <f>[18]Manpower_month!EY5</f>
        <v>2</v>
      </c>
      <c r="LL49" s="21">
        <f>[18]Manpower_month!EZ5</f>
        <v>2</v>
      </c>
      <c r="LM49" s="21">
        <f>[18]Manpower_month!FA5</f>
        <v>2</v>
      </c>
      <c r="LN49" s="21">
        <f>[18]Manpower_month!FB5</f>
        <v>2</v>
      </c>
      <c r="LO49" s="63">
        <f>IFERROR(AVERAGE(LC49:LN49),"")</f>
        <v>2</v>
      </c>
    </row>
    <row r="50" spans="1:327">
      <c r="A50" s="12" t="s">
        <v>19</v>
      </c>
      <c r="B50" s="5"/>
      <c r="C50" s="5">
        <f t="shared" si="335"/>
        <v>35</v>
      </c>
      <c r="D50" s="5">
        <f t="shared" si="335"/>
        <v>35</v>
      </c>
      <c r="E50" s="5">
        <f t="shared" si="335"/>
        <v>35</v>
      </c>
      <c r="F50" s="5">
        <f t="shared" si="335"/>
        <v>35</v>
      </c>
      <c r="G50" s="5">
        <f t="shared" si="335"/>
        <v>35</v>
      </c>
      <c r="H50" s="5">
        <f t="shared" si="335"/>
        <v>35</v>
      </c>
      <c r="I50" s="5">
        <f t="shared" si="335"/>
        <v>35</v>
      </c>
      <c r="J50" s="5">
        <f t="shared" si="335"/>
        <v>35</v>
      </c>
      <c r="K50" s="5">
        <f t="shared" si="335"/>
        <v>35</v>
      </c>
      <c r="L50" s="5">
        <f t="shared" si="335"/>
        <v>35</v>
      </c>
      <c r="M50" s="5">
        <f t="shared" si="335"/>
        <v>35</v>
      </c>
      <c r="N50" s="5">
        <f t="shared" si="335"/>
        <v>35</v>
      </c>
      <c r="O50" s="7">
        <f>AVERAGE(C50:N50)</f>
        <v>35</v>
      </c>
      <c r="P50" s="4" t="s">
        <v>19</v>
      </c>
      <c r="R50" s="22">
        <f>35-AG50</f>
        <v>33</v>
      </c>
      <c r="S50" s="22">
        <f>35-AH50</f>
        <v>33</v>
      </c>
      <c r="T50" s="22">
        <f t="shared" ref="T50:AC50" si="363">35-AI50</f>
        <v>33</v>
      </c>
      <c r="U50" s="22">
        <f t="shared" si="363"/>
        <v>33</v>
      </c>
      <c r="V50" s="22">
        <f t="shared" si="363"/>
        <v>33</v>
      </c>
      <c r="W50" s="22">
        <f t="shared" si="363"/>
        <v>33</v>
      </c>
      <c r="X50" s="22">
        <f t="shared" si="363"/>
        <v>33</v>
      </c>
      <c r="Y50" s="22">
        <f t="shared" si="363"/>
        <v>33</v>
      </c>
      <c r="Z50" s="22">
        <f t="shared" si="363"/>
        <v>33</v>
      </c>
      <c r="AA50" s="22">
        <f t="shared" si="363"/>
        <v>33</v>
      </c>
      <c r="AB50" s="22">
        <f t="shared" si="363"/>
        <v>33</v>
      </c>
      <c r="AC50" s="22">
        <f t="shared" si="363"/>
        <v>33</v>
      </c>
      <c r="AD50" s="7">
        <f>AVERAGE(R50:AC50)</f>
        <v>33</v>
      </c>
      <c r="AE50" s="4" t="s">
        <v>19</v>
      </c>
      <c r="AG50" s="22">
        <f>2</f>
        <v>2</v>
      </c>
      <c r="AH50" s="22">
        <f>2</f>
        <v>2</v>
      </c>
      <c r="AI50" s="22">
        <f>2</f>
        <v>2</v>
      </c>
      <c r="AJ50" s="22">
        <f>2</f>
        <v>2</v>
      </c>
      <c r="AK50" s="22">
        <f>2</f>
        <v>2</v>
      </c>
      <c r="AL50" s="22">
        <f>2</f>
        <v>2</v>
      </c>
      <c r="AM50" s="22">
        <f>2</f>
        <v>2</v>
      </c>
      <c r="AN50" s="22">
        <f>2</f>
        <v>2</v>
      </c>
      <c r="AO50" s="22">
        <f>2</f>
        <v>2</v>
      </c>
      <c r="AP50" s="22">
        <f>2</f>
        <v>2</v>
      </c>
      <c r="AQ50" s="22">
        <f>2</f>
        <v>2</v>
      </c>
      <c r="AR50" s="22">
        <f>2</f>
        <v>2</v>
      </c>
      <c r="AS50" s="7">
        <f>AVERAGE(AG50:AR50)</f>
        <v>2</v>
      </c>
      <c r="CN50" s="5">
        <f t="shared" si="336"/>
        <v>36</v>
      </c>
      <c r="CO50" s="5">
        <f t="shared" si="336"/>
        <v>36</v>
      </c>
      <c r="CP50" s="5">
        <f t="shared" si="336"/>
        <v>36</v>
      </c>
      <c r="CQ50" s="5">
        <f t="shared" si="336"/>
        <v>36</v>
      </c>
      <c r="CR50" s="5">
        <f t="shared" si="336"/>
        <v>36</v>
      </c>
      <c r="CS50" s="5">
        <f t="shared" si="336"/>
        <v>36</v>
      </c>
      <c r="CT50" s="5">
        <f t="shared" si="336"/>
        <v>36</v>
      </c>
      <c r="CU50" s="5">
        <f t="shared" si="336"/>
        <v>36</v>
      </c>
      <c r="CV50" s="5">
        <f t="shared" si="336"/>
        <v>36</v>
      </c>
      <c r="CW50" s="5">
        <f t="shared" si="336"/>
        <v>36</v>
      </c>
      <c r="CX50" s="5">
        <f t="shared" si="336"/>
        <v>36</v>
      </c>
      <c r="CY50" s="5">
        <f t="shared" si="336"/>
        <v>36</v>
      </c>
      <c r="CZ50" s="13">
        <f>AVERAGE(CN50:CY50)</f>
        <v>36</v>
      </c>
      <c r="DA50" s="5">
        <f t="shared" ref="DA50:DL50" si="364">35-DN50-FA50</f>
        <v>35</v>
      </c>
      <c r="DB50" s="5">
        <f t="shared" si="364"/>
        <v>35</v>
      </c>
      <c r="DC50" s="5">
        <f t="shared" si="364"/>
        <v>35</v>
      </c>
      <c r="DD50" s="5">
        <f t="shared" si="364"/>
        <v>35</v>
      </c>
      <c r="DE50" s="5">
        <f t="shared" si="364"/>
        <v>35</v>
      </c>
      <c r="DF50" s="5">
        <f t="shared" si="364"/>
        <v>35</v>
      </c>
      <c r="DG50" s="5">
        <f t="shared" si="364"/>
        <v>35</v>
      </c>
      <c r="DH50" s="5">
        <f t="shared" si="364"/>
        <v>35</v>
      </c>
      <c r="DI50" s="5">
        <f t="shared" si="364"/>
        <v>35</v>
      </c>
      <c r="DJ50" s="5">
        <f t="shared" si="364"/>
        <v>35</v>
      </c>
      <c r="DK50" s="5">
        <f t="shared" si="364"/>
        <v>35</v>
      </c>
      <c r="DL50" s="5">
        <f t="shared" si="364"/>
        <v>35</v>
      </c>
      <c r="DM50" s="13">
        <f>AVERAGE(DA50:DL50)</f>
        <v>35</v>
      </c>
      <c r="DN50" s="22">
        <f>0</f>
        <v>0</v>
      </c>
      <c r="DO50" s="22">
        <f>0</f>
        <v>0</v>
      </c>
      <c r="DP50" s="22">
        <f>0</f>
        <v>0</v>
      </c>
      <c r="DQ50" s="22">
        <f>0</f>
        <v>0</v>
      </c>
      <c r="DR50" s="22">
        <f>0</f>
        <v>0</v>
      </c>
      <c r="DS50" s="22">
        <f>0</f>
        <v>0</v>
      </c>
      <c r="DT50" s="22">
        <f>0</f>
        <v>0</v>
      </c>
      <c r="DU50" s="22">
        <f>0</f>
        <v>0</v>
      </c>
      <c r="DV50" s="22">
        <f>0</f>
        <v>0</v>
      </c>
      <c r="DW50" s="22">
        <f>0</f>
        <v>0</v>
      </c>
      <c r="DX50" s="22">
        <f>0</f>
        <v>0</v>
      </c>
      <c r="DY50" s="22">
        <f>0</f>
        <v>0</v>
      </c>
      <c r="DZ50" s="63">
        <f>AVERAGE(DN50:DY50)</f>
        <v>0</v>
      </c>
      <c r="EA50" s="22">
        <f>1</f>
        <v>1</v>
      </c>
      <c r="EB50" s="22">
        <f>1</f>
        <v>1</v>
      </c>
      <c r="EC50" s="22">
        <f>1</f>
        <v>1</v>
      </c>
      <c r="ED50" s="22">
        <f>1</f>
        <v>1</v>
      </c>
      <c r="EE50" s="22">
        <f>1</f>
        <v>1</v>
      </c>
      <c r="EF50" s="22">
        <f>1</f>
        <v>1</v>
      </c>
      <c r="EG50" s="22">
        <f>1</f>
        <v>1</v>
      </c>
      <c r="EH50" s="22">
        <f>1</f>
        <v>1</v>
      </c>
      <c r="EI50" s="22">
        <f>1</f>
        <v>1</v>
      </c>
      <c r="EJ50" s="22">
        <f>1</f>
        <v>1</v>
      </c>
      <c r="EK50" s="22">
        <f>1</f>
        <v>1</v>
      </c>
      <c r="EL50" s="22">
        <f>1</f>
        <v>1</v>
      </c>
      <c r="EM50" s="63">
        <f>AVERAGE(EA50:EL50)</f>
        <v>1</v>
      </c>
      <c r="EN50" s="22">
        <f>0</f>
        <v>0</v>
      </c>
      <c r="EO50" s="22">
        <f>0</f>
        <v>0</v>
      </c>
      <c r="EP50" s="22">
        <f>0</f>
        <v>0</v>
      </c>
      <c r="EQ50" s="22">
        <f>0</f>
        <v>0</v>
      </c>
      <c r="ER50" s="22">
        <f>0</f>
        <v>0</v>
      </c>
      <c r="ES50" s="22">
        <f>0</f>
        <v>0</v>
      </c>
      <c r="ET50" s="22">
        <f>0</f>
        <v>0</v>
      </c>
      <c r="EU50" s="22">
        <f>0</f>
        <v>0</v>
      </c>
      <c r="EV50" s="22">
        <f>0</f>
        <v>0</v>
      </c>
      <c r="EW50" s="22">
        <f>0</f>
        <v>0</v>
      </c>
      <c r="EX50" s="22">
        <f>0</f>
        <v>0</v>
      </c>
      <c r="EY50" s="22">
        <v>0</v>
      </c>
      <c r="EZ50" s="63">
        <f>AVERAGE(EN50:EY50)</f>
        <v>0</v>
      </c>
      <c r="FA50" s="22">
        <f>0</f>
        <v>0</v>
      </c>
      <c r="FB50" s="22">
        <f>0</f>
        <v>0</v>
      </c>
      <c r="FC50" s="22">
        <f>0</f>
        <v>0</v>
      </c>
      <c r="FD50" s="22">
        <f>0</f>
        <v>0</v>
      </c>
      <c r="FE50" s="22">
        <f>0</f>
        <v>0</v>
      </c>
      <c r="FF50" s="22">
        <f>0</f>
        <v>0</v>
      </c>
      <c r="FG50" s="22">
        <f>0</f>
        <v>0</v>
      </c>
      <c r="FH50" s="22">
        <f>0</f>
        <v>0</v>
      </c>
      <c r="FI50" s="22">
        <f>0</f>
        <v>0</v>
      </c>
      <c r="FJ50" s="22">
        <f>0</f>
        <v>0</v>
      </c>
      <c r="FK50" s="22">
        <f>0</f>
        <v>0</v>
      </c>
      <c r="FL50" s="22">
        <f>0</f>
        <v>0</v>
      </c>
      <c r="FM50" s="63">
        <f>AVERAGE(FA50:FL50)</f>
        <v>0</v>
      </c>
      <c r="FO50" s="5">
        <f>SUM(GB50,GO50,HB50,HO50,IB50)</f>
        <v>34</v>
      </c>
      <c r="FP50" s="5">
        <f t="shared" si="338"/>
        <v>34</v>
      </c>
      <c r="FQ50" s="5">
        <f t="shared" si="339"/>
        <v>34</v>
      </c>
      <c r="FR50" s="5">
        <f t="shared" si="340"/>
        <v>34</v>
      </c>
      <c r="FS50" s="5">
        <f t="shared" si="341"/>
        <v>34</v>
      </c>
      <c r="FT50" s="5">
        <f t="shared" si="342"/>
        <v>34</v>
      </c>
      <c r="FU50" s="5">
        <f t="shared" si="343"/>
        <v>34</v>
      </c>
      <c r="FV50" s="5">
        <f t="shared" si="344"/>
        <v>34</v>
      </c>
      <c r="FW50" s="5">
        <f t="shared" si="345"/>
        <v>34</v>
      </c>
      <c r="FX50" s="5">
        <f t="shared" si="346"/>
        <v>34</v>
      </c>
      <c r="FY50" s="5">
        <f t="shared" si="347"/>
        <v>34</v>
      </c>
      <c r="FZ50" s="5">
        <f t="shared" si="348"/>
        <v>34</v>
      </c>
      <c r="GA50" s="13">
        <f>AVERAGE(FO50:FZ50)</f>
        <v>34</v>
      </c>
      <c r="GB50" s="5">
        <f t="shared" ref="GB50:GK50" si="365">33-GO50-IB50</f>
        <v>31</v>
      </c>
      <c r="GC50" s="5">
        <f t="shared" si="365"/>
        <v>31</v>
      </c>
      <c r="GD50" s="5">
        <f t="shared" si="365"/>
        <v>31</v>
      </c>
      <c r="GE50" s="5">
        <f t="shared" si="365"/>
        <v>31</v>
      </c>
      <c r="GF50" s="5">
        <f t="shared" si="365"/>
        <v>31</v>
      </c>
      <c r="GG50" s="5">
        <f t="shared" si="365"/>
        <v>31</v>
      </c>
      <c r="GH50" s="5">
        <f t="shared" si="365"/>
        <v>31</v>
      </c>
      <c r="GI50" s="5">
        <f t="shared" si="365"/>
        <v>31</v>
      </c>
      <c r="GJ50" s="5">
        <f t="shared" si="365"/>
        <v>31</v>
      </c>
      <c r="GK50" s="5">
        <f t="shared" si="365"/>
        <v>31</v>
      </c>
      <c r="GL50" s="5">
        <f t="shared" ref="GL50" si="366">33-GY50-IL50</f>
        <v>31</v>
      </c>
      <c r="GM50" s="5">
        <f t="shared" ref="GM50" si="367">33-GZ50-IM50</f>
        <v>31</v>
      </c>
      <c r="GN50" s="13">
        <f>AVERAGE(GB50:GM50)</f>
        <v>31</v>
      </c>
      <c r="GO50" s="22">
        <v>2</v>
      </c>
      <c r="GP50" s="22">
        <v>2</v>
      </c>
      <c r="GQ50" s="22">
        <v>2</v>
      </c>
      <c r="GR50" s="22">
        <v>2</v>
      </c>
      <c r="GS50" s="22">
        <v>2</v>
      </c>
      <c r="GT50" s="22">
        <v>2</v>
      </c>
      <c r="GU50" s="22">
        <v>2</v>
      </c>
      <c r="GV50" s="22">
        <v>2</v>
      </c>
      <c r="GW50" s="22">
        <v>2</v>
      </c>
      <c r="GX50" s="22">
        <v>2</v>
      </c>
      <c r="GY50" s="22">
        <v>2</v>
      </c>
      <c r="GZ50" s="22">
        <v>2</v>
      </c>
      <c r="HA50" s="63">
        <f>AVERAGE(GO50:GZ50)</f>
        <v>2</v>
      </c>
      <c r="HB50" s="22">
        <v>1</v>
      </c>
      <c r="HC50" s="22">
        <v>1</v>
      </c>
      <c r="HD50" s="22">
        <v>1</v>
      </c>
      <c r="HE50" s="22">
        <v>1</v>
      </c>
      <c r="HF50" s="22">
        <v>1</v>
      </c>
      <c r="HG50" s="22">
        <v>1</v>
      </c>
      <c r="HH50" s="22">
        <v>1</v>
      </c>
      <c r="HI50" s="22">
        <v>1</v>
      </c>
      <c r="HJ50" s="22">
        <v>1</v>
      </c>
      <c r="HK50" s="22">
        <v>1</v>
      </c>
      <c r="HL50" s="22">
        <v>1</v>
      </c>
      <c r="HM50" s="22">
        <v>1</v>
      </c>
      <c r="HN50" s="63">
        <f>AVERAGE(HB50:HM50)</f>
        <v>1</v>
      </c>
      <c r="HO50" s="22">
        <v>0</v>
      </c>
      <c r="HP50" s="22">
        <v>0</v>
      </c>
      <c r="HQ50" s="22">
        <v>0</v>
      </c>
      <c r="HR50" s="22">
        <v>0</v>
      </c>
      <c r="HS50" s="22">
        <v>0</v>
      </c>
      <c r="HT50" s="22">
        <v>0</v>
      </c>
      <c r="HU50" s="22">
        <v>0</v>
      </c>
      <c r="HV50" s="22">
        <v>0</v>
      </c>
      <c r="HW50" s="22">
        <v>0</v>
      </c>
      <c r="HX50" s="22">
        <v>0</v>
      </c>
      <c r="HY50" s="22">
        <v>0</v>
      </c>
      <c r="HZ50" s="22">
        <v>0</v>
      </c>
      <c r="IA50" s="63">
        <f>AVERAGE(HO50:HZ50)</f>
        <v>0</v>
      </c>
      <c r="IN50" s="63" t="e">
        <f>AVERAGE(IB50:IM50)</f>
        <v>#DIV/0!</v>
      </c>
      <c r="IP50" s="5">
        <f t="shared" ref="IP50:IP51" si="368">SUM(JC50,JP50,KC50,KP50,LC50)</f>
        <v>33</v>
      </c>
      <c r="IQ50" s="5">
        <f t="shared" si="352"/>
        <v>33</v>
      </c>
      <c r="IR50" s="5">
        <f t="shared" si="353"/>
        <v>33</v>
      </c>
      <c r="IS50" s="5">
        <f t="shared" si="354"/>
        <v>33</v>
      </c>
      <c r="IT50" s="5">
        <f t="shared" si="355"/>
        <v>33</v>
      </c>
      <c r="IU50" s="5">
        <f t="shared" si="356"/>
        <v>33</v>
      </c>
      <c r="IV50" s="5">
        <f t="shared" si="357"/>
        <v>33</v>
      </c>
      <c r="IW50" s="5">
        <f t="shared" si="358"/>
        <v>33</v>
      </c>
      <c r="IX50" s="5">
        <f t="shared" si="359"/>
        <v>33</v>
      </c>
      <c r="IY50" s="5">
        <f t="shared" si="360"/>
        <v>33</v>
      </c>
      <c r="IZ50" s="5">
        <f t="shared" si="361"/>
        <v>33</v>
      </c>
      <c r="JA50" s="5">
        <f t="shared" si="362"/>
        <v>33</v>
      </c>
      <c r="JB50" s="63">
        <f>AVERAGE(IP50:JA50)</f>
        <v>33</v>
      </c>
      <c r="JC50" s="21">
        <f>[17]Manpower_month!EA7-SUM(JP50)</f>
        <v>30</v>
      </c>
      <c r="JD50" s="21">
        <f>[17]Manpower_month!EB7-SUM(JQ50)</f>
        <v>30</v>
      </c>
      <c r="JE50" s="21">
        <f>[17]Manpower_month!EC7-SUM(JR50)</f>
        <v>30</v>
      </c>
      <c r="JF50" s="21">
        <f>[17]Manpower_month!ED7-SUM(JS50)</f>
        <v>30</v>
      </c>
      <c r="JG50" s="21">
        <f>[18]Manpower_month!EE7-SUM(JT50)</f>
        <v>30</v>
      </c>
      <c r="JH50" s="21">
        <f>[18]Manpower_month!EF7-SUM(JU50)</f>
        <v>30</v>
      </c>
      <c r="JI50" s="21">
        <f>[18]Manpower_month!EG7-SUM(JV50)</f>
        <v>30</v>
      </c>
      <c r="JJ50" s="21">
        <f>[18]Manpower_month!EH7-SUM(JW50)</f>
        <v>30</v>
      </c>
      <c r="JK50" s="21">
        <f>[18]Manpower_month!EI7-SUM(JX50)</f>
        <v>30</v>
      </c>
      <c r="JL50" s="21">
        <f>[18]Manpower_month!EJ7-SUM(JY50)</f>
        <v>30</v>
      </c>
      <c r="JM50" s="21">
        <f>[18]Manpower_month!EK7-SUM(JZ50)</f>
        <v>30</v>
      </c>
      <c r="JN50" s="21">
        <f>[18]Manpower_month!EL7-SUM(KA50)</f>
        <v>30</v>
      </c>
      <c r="JO50" s="63">
        <f t="shared" ref="JO50:JO51" si="369">IFERROR(AVERAGE(JC50:JN50),"")</f>
        <v>30</v>
      </c>
      <c r="JP50" s="102">
        <f>2</f>
        <v>2</v>
      </c>
      <c r="JQ50" s="102">
        <f>2</f>
        <v>2</v>
      </c>
      <c r="JR50" s="102">
        <f>2</f>
        <v>2</v>
      </c>
      <c r="JS50" s="102">
        <f>2</f>
        <v>2</v>
      </c>
      <c r="JT50" s="102">
        <f>2</f>
        <v>2</v>
      </c>
      <c r="JU50" s="102">
        <f>2</f>
        <v>2</v>
      </c>
      <c r="JV50" s="102">
        <f>2</f>
        <v>2</v>
      </c>
      <c r="JW50" s="102">
        <f>2</f>
        <v>2</v>
      </c>
      <c r="JX50" s="102">
        <f>2</f>
        <v>2</v>
      </c>
      <c r="JY50" s="102">
        <f>2</f>
        <v>2</v>
      </c>
      <c r="JZ50" s="102">
        <f>2</f>
        <v>2</v>
      </c>
      <c r="KA50" s="102">
        <f>2</f>
        <v>2</v>
      </c>
      <c r="KB50" s="63">
        <f t="shared" ref="KB50:KB51" si="370">IFERROR(AVERAGE(JP50:KA50),"")</f>
        <v>2</v>
      </c>
      <c r="KC50" s="21">
        <f>[17]Manpower_month!AY7</f>
        <v>1</v>
      </c>
      <c r="KD50" s="21">
        <f>[17]Manpower_month!AZ7</f>
        <v>1</v>
      </c>
      <c r="KE50" s="21">
        <f>[17]Manpower_month!BA7</f>
        <v>1</v>
      </c>
      <c r="KF50" s="21">
        <f>[17]Manpower_month!BB7</f>
        <v>1</v>
      </c>
      <c r="KG50" s="21">
        <f>[18]Manpower_month!BC7</f>
        <v>1</v>
      </c>
      <c r="KH50" s="21">
        <f>[18]Manpower_month!BD7</f>
        <v>1</v>
      </c>
      <c r="KI50" s="21">
        <f>[18]Manpower_month!BE7</f>
        <v>1</v>
      </c>
      <c r="KJ50" s="21">
        <f>[18]Manpower_month!BF7</f>
        <v>1</v>
      </c>
      <c r="KK50" s="21">
        <f>[18]Manpower_month!BG7</f>
        <v>1</v>
      </c>
      <c r="KL50" s="21">
        <f>[18]Manpower_month!BH7</f>
        <v>1</v>
      </c>
      <c r="KM50" s="21">
        <f>[18]Manpower_month!BI7</f>
        <v>1</v>
      </c>
      <c r="KN50" s="21">
        <f>[18]Manpower_month!BJ7</f>
        <v>1</v>
      </c>
      <c r="KO50" s="63">
        <f t="shared" ref="KO50:KO51" si="371">IFERROR(AVERAGE(KC50:KN50),"")</f>
        <v>1</v>
      </c>
      <c r="KP50" s="21">
        <f>[17]Manpower_month!BO7</f>
        <v>0</v>
      </c>
      <c r="KQ50" s="21">
        <f>[17]Manpower_month!BP7</f>
        <v>0</v>
      </c>
      <c r="KR50" s="21">
        <f>[17]Manpower_month!BQ7</f>
        <v>0</v>
      </c>
      <c r="KS50" s="21">
        <f>[17]Manpower_month!BR7</f>
        <v>0</v>
      </c>
      <c r="KT50" s="21">
        <f>[18]Manpower_month!BS7</f>
        <v>0</v>
      </c>
      <c r="KU50" s="21">
        <f>[18]Manpower_month!BT7</f>
        <v>0</v>
      </c>
      <c r="KV50" s="21">
        <f>[18]Manpower_month!BU7</f>
        <v>0</v>
      </c>
      <c r="KW50" s="21">
        <f>[18]Manpower_month!BV7</f>
        <v>0</v>
      </c>
      <c r="KX50" s="21">
        <f>[18]Manpower_month!BW7</f>
        <v>0</v>
      </c>
      <c r="KY50" s="21">
        <f>[18]Manpower_month!BX7</f>
        <v>0</v>
      </c>
      <c r="KZ50" s="21">
        <f>[18]Manpower_month!BY7</f>
        <v>0</v>
      </c>
      <c r="LA50" s="21">
        <f>[18]Manpower_month!BZ7</f>
        <v>0</v>
      </c>
      <c r="LB50" s="63">
        <f t="shared" ref="LB50:LB51" si="372">IFERROR(AVERAGE(KP50:LA50),"")</f>
        <v>0</v>
      </c>
      <c r="LC50" s="21">
        <f>[17]Manpower_month!EQ7</f>
        <v>0</v>
      </c>
      <c r="LD50" s="21">
        <f>[17]Manpower_month!ER7</f>
        <v>0</v>
      </c>
      <c r="LE50" s="21">
        <f>[17]Manpower_month!ES7</f>
        <v>0</v>
      </c>
      <c r="LF50" s="21">
        <f>[17]Manpower_month!ET7</f>
        <v>0</v>
      </c>
      <c r="LG50" s="21">
        <f>[18]Manpower_month!EU7</f>
        <v>0</v>
      </c>
      <c r="LH50" s="21">
        <f>[18]Manpower_month!EV7</f>
        <v>0</v>
      </c>
      <c r="LI50" s="21">
        <f>[18]Manpower_month!EW7</f>
        <v>0</v>
      </c>
      <c r="LJ50" s="21">
        <f>[18]Manpower_month!EX7</f>
        <v>0</v>
      </c>
      <c r="LK50" s="21">
        <f>[18]Manpower_month!EY7</f>
        <v>0</v>
      </c>
      <c r="LL50" s="21">
        <f>[18]Manpower_month!EZ7</f>
        <v>0</v>
      </c>
      <c r="LM50" s="21">
        <f>[18]Manpower_month!FA7</f>
        <v>0</v>
      </c>
      <c r="LN50" s="21">
        <f>[18]Manpower_month!FB7</f>
        <v>0</v>
      </c>
      <c r="LO50" s="63">
        <f t="shared" ref="LO50:LO51" si="373">IFERROR(AVERAGE(LC50:LN50),"")</f>
        <v>0</v>
      </c>
    </row>
    <row r="51" spans="1:327">
      <c r="A51" s="12" t="s">
        <v>20</v>
      </c>
      <c r="B51" s="5"/>
      <c r="C51" s="5">
        <f t="shared" si="335"/>
        <v>192.5</v>
      </c>
      <c r="D51" s="5">
        <f t="shared" si="335"/>
        <v>192.5</v>
      </c>
      <c r="E51" s="5">
        <f t="shared" si="335"/>
        <v>192.5</v>
      </c>
      <c r="F51" s="5">
        <f t="shared" si="335"/>
        <v>192.5</v>
      </c>
      <c r="G51" s="5">
        <f t="shared" si="335"/>
        <v>192.5</v>
      </c>
      <c r="H51" s="5">
        <f t="shared" si="335"/>
        <v>192.5</v>
      </c>
      <c r="I51" s="5">
        <f t="shared" si="335"/>
        <v>192.5</v>
      </c>
      <c r="J51" s="5">
        <f t="shared" si="335"/>
        <v>192.5</v>
      </c>
      <c r="K51" s="5">
        <f t="shared" si="335"/>
        <v>192.5</v>
      </c>
      <c r="L51" s="5">
        <f t="shared" si="335"/>
        <v>192.5</v>
      </c>
      <c r="M51" s="5">
        <f t="shared" si="335"/>
        <v>192.5</v>
      </c>
      <c r="N51" s="5">
        <f t="shared" si="335"/>
        <v>192.5</v>
      </c>
      <c r="O51" s="7">
        <f>AVERAGE(C51:N51)</f>
        <v>192.5</v>
      </c>
      <c r="P51" s="4" t="s">
        <v>20</v>
      </c>
      <c r="R51" s="22">
        <f t="shared" ref="R51:AC51" si="374">192.5-AG51</f>
        <v>190.5</v>
      </c>
      <c r="S51" s="22">
        <f t="shared" si="374"/>
        <v>190.5</v>
      </c>
      <c r="T51" s="22">
        <f t="shared" si="374"/>
        <v>190.5</v>
      </c>
      <c r="U51" s="22">
        <f t="shared" si="374"/>
        <v>190.5</v>
      </c>
      <c r="V51" s="22">
        <f t="shared" si="374"/>
        <v>190.5</v>
      </c>
      <c r="W51" s="22">
        <f t="shared" si="374"/>
        <v>190.5</v>
      </c>
      <c r="X51" s="22">
        <f t="shared" si="374"/>
        <v>190.5</v>
      </c>
      <c r="Y51" s="22">
        <f t="shared" si="374"/>
        <v>190.5</v>
      </c>
      <c r="Z51" s="22">
        <f t="shared" si="374"/>
        <v>190.5</v>
      </c>
      <c r="AA51" s="22">
        <f t="shared" si="374"/>
        <v>190.5</v>
      </c>
      <c r="AB51" s="22">
        <f t="shared" si="374"/>
        <v>190.5</v>
      </c>
      <c r="AC51" s="22">
        <f t="shared" si="374"/>
        <v>190.5</v>
      </c>
      <c r="AD51" s="7">
        <f>AVERAGE(R51:AC51)</f>
        <v>190.5</v>
      </c>
      <c r="AE51" s="4" t="s">
        <v>20</v>
      </c>
      <c r="AG51" s="22">
        <f>2</f>
        <v>2</v>
      </c>
      <c r="AH51" s="22">
        <f>2</f>
        <v>2</v>
      </c>
      <c r="AI51" s="22">
        <f>2</f>
        <v>2</v>
      </c>
      <c r="AJ51" s="22">
        <f>2</f>
        <v>2</v>
      </c>
      <c r="AK51" s="22">
        <f>2</f>
        <v>2</v>
      </c>
      <c r="AL51" s="22">
        <f>2</f>
        <v>2</v>
      </c>
      <c r="AM51" s="22">
        <f>2</f>
        <v>2</v>
      </c>
      <c r="AN51" s="22">
        <f>2</f>
        <v>2</v>
      </c>
      <c r="AO51" s="22">
        <f>2</f>
        <v>2</v>
      </c>
      <c r="AP51" s="22">
        <f>2</f>
        <v>2</v>
      </c>
      <c r="AQ51" s="22">
        <f>2</f>
        <v>2</v>
      </c>
      <c r="AR51" s="22">
        <f>2</f>
        <v>2</v>
      </c>
      <c r="AS51" s="7">
        <f>AVERAGE(AG51:AR51)</f>
        <v>2</v>
      </c>
      <c r="CN51" s="5">
        <f t="shared" si="336"/>
        <v>325</v>
      </c>
      <c r="CO51" s="5">
        <f t="shared" si="336"/>
        <v>325</v>
      </c>
      <c r="CP51" s="5">
        <f t="shared" si="336"/>
        <v>325</v>
      </c>
      <c r="CQ51" s="5">
        <f t="shared" si="336"/>
        <v>325</v>
      </c>
      <c r="CR51" s="5">
        <f t="shared" si="336"/>
        <v>338</v>
      </c>
      <c r="CS51" s="5">
        <f t="shared" si="336"/>
        <v>338</v>
      </c>
      <c r="CT51" s="5">
        <f t="shared" si="336"/>
        <v>338</v>
      </c>
      <c r="CU51" s="5">
        <f t="shared" si="336"/>
        <v>321</v>
      </c>
      <c r="CV51" s="5">
        <f t="shared" si="336"/>
        <v>321</v>
      </c>
      <c r="CW51" s="5">
        <f t="shared" si="336"/>
        <v>328</v>
      </c>
      <c r="CX51" s="5">
        <f t="shared" si="336"/>
        <v>333</v>
      </c>
      <c r="CY51" s="5">
        <f t="shared" si="336"/>
        <v>338</v>
      </c>
      <c r="CZ51" s="13">
        <f>AVERAGE(CN51:CY51)</f>
        <v>329.58333333333331</v>
      </c>
      <c r="DA51" s="5">
        <f>(177+15)-DN51-FA51</f>
        <v>173</v>
      </c>
      <c r="DB51" s="5">
        <f>(177+15)-DO51-FB51</f>
        <v>173</v>
      </c>
      <c r="DC51" s="5">
        <f t="shared" ref="DC51:DJ51" si="375">(192)-DP51-FC51</f>
        <v>173</v>
      </c>
      <c r="DD51" s="5">
        <f t="shared" si="375"/>
        <v>173</v>
      </c>
      <c r="DE51" s="5">
        <f t="shared" si="375"/>
        <v>173</v>
      </c>
      <c r="DF51" s="5">
        <f t="shared" si="375"/>
        <v>173</v>
      </c>
      <c r="DG51" s="5">
        <f t="shared" si="375"/>
        <v>173</v>
      </c>
      <c r="DH51" s="5">
        <f t="shared" si="375"/>
        <v>173</v>
      </c>
      <c r="DI51" s="5">
        <f t="shared" si="375"/>
        <v>173</v>
      </c>
      <c r="DJ51" s="5">
        <f t="shared" si="375"/>
        <v>173</v>
      </c>
      <c r="DK51" s="5">
        <f>(192)-DX51-FK51</f>
        <v>173</v>
      </c>
      <c r="DL51" s="5">
        <f>(192)-DY51-FL51</f>
        <v>173</v>
      </c>
      <c r="DM51" s="13">
        <f>AVERAGE(DA51:DL51)</f>
        <v>173</v>
      </c>
      <c r="DN51" s="22">
        <f>4</f>
        <v>4</v>
      </c>
      <c r="DO51" s="22">
        <f>4</f>
        <v>4</v>
      </c>
      <c r="DP51" s="22">
        <f>4</f>
        <v>4</v>
      </c>
      <c r="DQ51" s="22">
        <f>4</f>
        <v>4</v>
      </c>
      <c r="DR51" s="22">
        <f>4</f>
        <v>4</v>
      </c>
      <c r="DS51" s="22">
        <f>4</f>
        <v>4</v>
      </c>
      <c r="DT51" s="22">
        <f>4</f>
        <v>4</v>
      </c>
      <c r="DU51" s="22">
        <f>4</f>
        <v>4</v>
      </c>
      <c r="DV51" s="22">
        <f>4</f>
        <v>4</v>
      </c>
      <c r="DW51" s="22">
        <f>4</f>
        <v>4</v>
      </c>
      <c r="DX51" s="22">
        <f>4</f>
        <v>4</v>
      </c>
      <c r="DY51" s="22">
        <f>4</f>
        <v>4</v>
      </c>
      <c r="DZ51" s="63">
        <f>AVERAGE(DN51:DY51)</f>
        <v>4</v>
      </c>
      <c r="EA51" s="22">
        <f>116</f>
        <v>116</v>
      </c>
      <c r="EB51" s="22">
        <f>116</f>
        <v>116</v>
      </c>
      <c r="EC51" s="22">
        <f>116</f>
        <v>116</v>
      </c>
      <c r="ED51" s="22">
        <f>116</f>
        <v>116</v>
      </c>
      <c r="EE51" s="22">
        <f>116</f>
        <v>116</v>
      </c>
      <c r="EF51" s="22">
        <f>116</f>
        <v>116</v>
      </c>
      <c r="EG51" s="22">
        <f>116</f>
        <v>116</v>
      </c>
      <c r="EH51" s="22">
        <f>116</f>
        <v>116</v>
      </c>
      <c r="EI51" s="22">
        <f>116</f>
        <v>116</v>
      </c>
      <c r="EJ51" s="22">
        <f>116</f>
        <v>116</v>
      </c>
      <c r="EK51" s="22">
        <f>116</f>
        <v>116</v>
      </c>
      <c r="EL51" s="22">
        <f>116</f>
        <v>116</v>
      </c>
      <c r="EM51" s="63">
        <f>AVERAGE(EA51:EL51)</f>
        <v>116</v>
      </c>
      <c r="EN51" s="22">
        <f>17</f>
        <v>17</v>
      </c>
      <c r="EO51" s="22">
        <f>17</f>
        <v>17</v>
      </c>
      <c r="EP51" s="22">
        <f>17</f>
        <v>17</v>
      </c>
      <c r="EQ51" s="22">
        <f>17</f>
        <v>17</v>
      </c>
      <c r="ER51" s="22">
        <f>30</f>
        <v>30</v>
      </c>
      <c r="ES51" s="22">
        <f>30</f>
        <v>30</v>
      </c>
      <c r="ET51" s="22">
        <f>30</f>
        <v>30</v>
      </c>
      <c r="EU51" s="22">
        <f>13</f>
        <v>13</v>
      </c>
      <c r="EV51" s="22">
        <v>13</v>
      </c>
      <c r="EW51" s="22">
        <f>20</f>
        <v>20</v>
      </c>
      <c r="EX51" s="22">
        <v>25</v>
      </c>
      <c r="EY51" s="22">
        <v>30</v>
      </c>
      <c r="EZ51" s="63">
        <f>AVERAGE(EN51:EY51)</f>
        <v>21.583333333333332</v>
      </c>
      <c r="FA51" s="22">
        <f>15</f>
        <v>15</v>
      </c>
      <c r="FB51" s="22">
        <f>15</f>
        <v>15</v>
      </c>
      <c r="FC51" s="22">
        <f>15</f>
        <v>15</v>
      </c>
      <c r="FD51" s="22">
        <f>15</f>
        <v>15</v>
      </c>
      <c r="FE51" s="22">
        <f>15</f>
        <v>15</v>
      </c>
      <c r="FF51" s="22">
        <f>15</f>
        <v>15</v>
      </c>
      <c r="FG51" s="22">
        <f>15</f>
        <v>15</v>
      </c>
      <c r="FH51" s="22">
        <f>15</f>
        <v>15</v>
      </c>
      <c r="FI51" s="22">
        <f>15</f>
        <v>15</v>
      </c>
      <c r="FJ51" s="22">
        <f>15</f>
        <v>15</v>
      </c>
      <c r="FK51" s="22">
        <f>15</f>
        <v>15</v>
      </c>
      <c r="FL51" s="22">
        <f>15</f>
        <v>15</v>
      </c>
      <c r="FM51" s="63">
        <f>AVERAGE(FA51:FL51)</f>
        <v>15</v>
      </c>
      <c r="FO51" s="5">
        <f>SUM(GB51,GO51,HB51,HO51,IB51)</f>
        <v>406</v>
      </c>
      <c r="FP51" s="5">
        <f t="shared" si="338"/>
        <v>406</v>
      </c>
      <c r="FQ51" s="5">
        <f t="shared" si="339"/>
        <v>406</v>
      </c>
      <c r="FR51" s="5">
        <f t="shared" si="340"/>
        <v>406</v>
      </c>
      <c r="FS51" s="5">
        <f t="shared" si="341"/>
        <v>406</v>
      </c>
      <c r="FT51" s="5">
        <f t="shared" si="342"/>
        <v>406</v>
      </c>
      <c r="FU51" s="5">
        <f t="shared" si="343"/>
        <v>406</v>
      </c>
      <c r="FV51" s="5">
        <f t="shared" si="344"/>
        <v>406</v>
      </c>
      <c r="FW51" s="5">
        <f t="shared" si="345"/>
        <v>406</v>
      </c>
      <c r="FX51" s="5">
        <f>SUM(GK51,GX51,HK51,HX51,IK51)</f>
        <v>406</v>
      </c>
      <c r="FY51" s="5">
        <f>SUM(GL51,GY51,HL51,HY51,IL51)</f>
        <v>406</v>
      </c>
      <c r="FZ51" s="5">
        <f t="shared" si="348"/>
        <v>391</v>
      </c>
      <c r="GA51" s="13">
        <f>AVERAGE(FO51:FZ51)</f>
        <v>404.75</v>
      </c>
      <c r="GB51" s="5">
        <f t="shared" ref="GB51:GK51" si="376">203-GO51-IB51</f>
        <v>173</v>
      </c>
      <c r="GC51" s="5">
        <f t="shared" si="376"/>
        <v>173</v>
      </c>
      <c r="GD51" s="5">
        <f t="shared" si="376"/>
        <v>173</v>
      </c>
      <c r="GE51" s="5">
        <f t="shared" si="376"/>
        <v>173</v>
      </c>
      <c r="GF51" s="5">
        <f t="shared" si="376"/>
        <v>173</v>
      </c>
      <c r="GG51" s="5">
        <f t="shared" si="376"/>
        <v>173</v>
      </c>
      <c r="GH51" s="5">
        <f t="shared" si="376"/>
        <v>173</v>
      </c>
      <c r="GI51" s="5">
        <f t="shared" si="376"/>
        <v>173</v>
      </c>
      <c r="GJ51" s="5">
        <f t="shared" si="376"/>
        <v>173</v>
      </c>
      <c r="GK51" s="5">
        <f t="shared" si="376"/>
        <v>173</v>
      </c>
      <c r="GL51" s="5">
        <f t="shared" ref="GL51" si="377">203-GY51-IL51</f>
        <v>173</v>
      </c>
      <c r="GM51" s="5">
        <f>188-GZ51-IM51</f>
        <v>158</v>
      </c>
      <c r="GN51" s="13">
        <f>AVERAGE(GB51:GM51)</f>
        <v>171.75</v>
      </c>
      <c r="GO51" s="22">
        <v>15</v>
      </c>
      <c r="GP51" s="22">
        <v>15</v>
      </c>
      <c r="GQ51" s="22">
        <v>15</v>
      </c>
      <c r="GR51" s="22">
        <v>15</v>
      </c>
      <c r="GS51" s="22">
        <v>15</v>
      </c>
      <c r="GT51" s="22">
        <v>15</v>
      </c>
      <c r="GU51" s="22">
        <v>15</v>
      </c>
      <c r="GV51" s="22">
        <v>15</v>
      </c>
      <c r="GW51" s="22">
        <v>15</v>
      </c>
      <c r="GX51" s="22">
        <v>15</v>
      </c>
      <c r="GY51" s="22">
        <v>15</v>
      </c>
      <c r="GZ51" s="22">
        <v>15</v>
      </c>
      <c r="HA51" s="63">
        <f>AVERAGE(GO51:GZ51)</f>
        <v>15</v>
      </c>
      <c r="HB51" s="22">
        <v>124</v>
      </c>
      <c r="HC51" s="22">
        <v>124</v>
      </c>
      <c r="HD51" s="22">
        <v>124</v>
      </c>
      <c r="HE51" s="22">
        <v>124</v>
      </c>
      <c r="HF51" s="22">
        <v>124</v>
      </c>
      <c r="HG51" s="22">
        <v>124</v>
      </c>
      <c r="HH51" s="22">
        <v>124</v>
      </c>
      <c r="HI51" s="22">
        <v>124</v>
      </c>
      <c r="HJ51" s="22">
        <v>124</v>
      </c>
      <c r="HK51" s="22">
        <v>124</v>
      </c>
      <c r="HL51" s="22">
        <v>124</v>
      </c>
      <c r="HM51" s="22">
        <v>124</v>
      </c>
      <c r="HN51" s="63">
        <f>AVERAGE(HB51:HM51)</f>
        <v>124</v>
      </c>
      <c r="HO51" s="22">
        <v>79</v>
      </c>
      <c r="HP51" s="22">
        <v>79</v>
      </c>
      <c r="HQ51" s="22">
        <v>79</v>
      </c>
      <c r="HR51" s="22">
        <v>79</v>
      </c>
      <c r="HS51" s="22">
        <v>79</v>
      </c>
      <c r="HT51" s="22">
        <v>79</v>
      </c>
      <c r="HU51" s="22">
        <v>79</v>
      </c>
      <c r="HV51" s="22">
        <v>79</v>
      </c>
      <c r="HW51" s="22">
        <v>79</v>
      </c>
      <c r="HX51" s="22">
        <v>79</v>
      </c>
      <c r="HY51" s="22">
        <v>79</v>
      </c>
      <c r="HZ51" s="22">
        <v>79</v>
      </c>
      <c r="IA51" s="63">
        <f>AVERAGE(HO51:HZ51)</f>
        <v>79</v>
      </c>
      <c r="IB51" s="22">
        <v>15</v>
      </c>
      <c r="IC51" s="22">
        <v>15</v>
      </c>
      <c r="ID51" s="22">
        <v>15</v>
      </c>
      <c r="IE51" s="22">
        <v>15</v>
      </c>
      <c r="IF51" s="22">
        <v>15</v>
      </c>
      <c r="IG51" s="22">
        <v>15</v>
      </c>
      <c r="IH51" s="22">
        <v>15</v>
      </c>
      <c r="II51" s="22">
        <v>15</v>
      </c>
      <c r="IJ51" s="22">
        <v>15</v>
      </c>
      <c r="IK51" s="22">
        <v>15</v>
      </c>
      <c r="IL51" s="22">
        <v>15</v>
      </c>
      <c r="IM51" s="22">
        <v>15</v>
      </c>
      <c r="IN51" s="63">
        <f>AVERAGE(IB51:IM51)</f>
        <v>15</v>
      </c>
      <c r="IP51" s="5">
        <f t="shared" si="368"/>
        <v>444</v>
      </c>
      <c r="IQ51" s="5">
        <f t="shared" si="352"/>
        <v>444</v>
      </c>
      <c r="IR51" s="5">
        <f t="shared" si="353"/>
        <v>444</v>
      </c>
      <c r="IS51" s="5">
        <f t="shared" si="354"/>
        <v>444</v>
      </c>
      <c r="IT51" s="5">
        <f t="shared" si="355"/>
        <v>444</v>
      </c>
      <c r="IU51" s="5">
        <f t="shared" si="356"/>
        <v>444</v>
      </c>
      <c r="IV51" s="5">
        <f t="shared" si="357"/>
        <v>444</v>
      </c>
      <c r="IW51" s="5">
        <f t="shared" si="358"/>
        <v>444</v>
      </c>
      <c r="IX51" s="5">
        <f t="shared" si="359"/>
        <v>444</v>
      </c>
      <c r="IY51" s="5">
        <f t="shared" si="360"/>
        <v>444</v>
      </c>
      <c r="IZ51" s="5">
        <f t="shared" si="361"/>
        <v>444</v>
      </c>
      <c r="JA51" s="5">
        <f t="shared" si="362"/>
        <v>444</v>
      </c>
      <c r="JB51" s="63">
        <f>AVERAGE(IP51:JA51)</f>
        <v>444</v>
      </c>
      <c r="JC51" s="21">
        <f>[17]Manpower_month!EA8-SUM(JP51)</f>
        <v>177</v>
      </c>
      <c r="JD51" s="21">
        <f>[17]Manpower_month!EB8-SUM(JQ51)</f>
        <v>177</v>
      </c>
      <c r="JE51" s="21">
        <f>[17]Manpower_month!EC8-SUM(JR51)</f>
        <v>177</v>
      </c>
      <c r="JF51" s="21">
        <f>[17]Manpower_month!ED8-SUM(JS51)</f>
        <v>177</v>
      </c>
      <c r="JG51" s="21">
        <f>[18]Manpower_month!EE8-SUM(JT51)</f>
        <v>177</v>
      </c>
      <c r="JH51" s="21">
        <f>[18]Manpower_month!EF8-SUM(JU51)</f>
        <v>177</v>
      </c>
      <c r="JI51" s="21">
        <f>[18]Manpower_month!EG8-SUM(JV51)</f>
        <v>177</v>
      </c>
      <c r="JJ51" s="21">
        <f>[18]Manpower_month!EH8-SUM(JW51)</f>
        <v>177</v>
      </c>
      <c r="JK51" s="21">
        <f>[18]Manpower_month!EI8-SUM(JX51)</f>
        <v>177</v>
      </c>
      <c r="JL51" s="21">
        <f>[18]Manpower_month!EJ8-SUM(JY51)</f>
        <v>177</v>
      </c>
      <c r="JM51" s="21">
        <f>[18]Manpower_month!EK8-SUM(JZ51)</f>
        <v>177</v>
      </c>
      <c r="JN51" s="21">
        <f>[18]Manpower_month!EL8-SUM(KA51)</f>
        <v>177</v>
      </c>
      <c r="JO51" s="63">
        <f t="shared" si="369"/>
        <v>177</v>
      </c>
      <c r="JP51" s="102">
        <f>11</f>
        <v>11</v>
      </c>
      <c r="JQ51" s="102">
        <f>11</f>
        <v>11</v>
      </c>
      <c r="JR51" s="102">
        <f>11</f>
        <v>11</v>
      </c>
      <c r="JS51" s="102">
        <f>11</f>
        <v>11</v>
      </c>
      <c r="JT51" s="102">
        <f>11</f>
        <v>11</v>
      </c>
      <c r="JU51" s="102">
        <f>11</f>
        <v>11</v>
      </c>
      <c r="JV51" s="102">
        <f>11</f>
        <v>11</v>
      </c>
      <c r="JW51" s="102">
        <f>11</f>
        <v>11</v>
      </c>
      <c r="JX51" s="102">
        <f>11</f>
        <v>11</v>
      </c>
      <c r="JY51" s="102">
        <f>11</f>
        <v>11</v>
      </c>
      <c r="JZ51" s="102">
        <f>11</f>
        <v>11</v>
      </c>
      <c r="KA51" s="102">
        <f>11</f>
        <v>11</v>
      </c>
      <c r="KB51" s="63">
        <f t="shared" si="370"/>
        <v>11</v>
      </c>
      <c r="KC51" s="21">
        <f>[17]Manpower_month!AY8</f>
        <v>121</v>
      </c>
      <c r="KD51" s="21">
        <f>[17]Manpower_month!AZ8</f>
        <v>121</v>
      </c>
      <c r="KE51" s="21">
        <f>[17]Manpower_month!BA8</f>
        <v>121</v>
      </c>
      <c r="KF51" s="21">
        <f>[17]Manpower_month!BB8</f>
        <v>121</v>
      </c>
      <c r="KG51" s="21">
        <f>[18]Manpower_month!BC8</f>
        <v>121</v>
      </c>
      <c r="KH51" s="21">
        <f>[18]Manpower_month!BD8</f>
        <v>121</v>
      </c>
      <c r="KI51" s="21">
        <f>[18]Manpower_month!BE8</f>
        <v>121</v>
      </c>
      <c r="KJ51" s="21">
        <f>[18]Manpower_month!BF8</f>
        <v>121</v>
      </c>
      <c r="KK51" s="21">
        <f>[18]Manpower_month!BG8</f>
        <v>121</v>
      </c>
      <c r="KL51" s="21">
        <f>[18]Manpower_month!BH8</f>
        <v>121</v>
      </c>
      <c r="KM51" s="21">
        <f>[18]Manpower_month!BI8</f>
        <v>121</v>
      </c>
      <c r="KN51" s="21">
        <f>[18]Manpower_month!BJ8</f>
        <v>121</v>
      </c>
      <c r="KO51" s="63">
        <f t="shared" si="371"/>
        <v>121</v>
      </c>
      <c r="KP51" s="21">
        <f>[17]Manpower_month!BO8</f>
        <v>133</v>
      </c>
      <c r="KQ51" s="21">
        <f>[17]Manpower_month!BP8</f>
        <v>133</v>
      </c>
      <c r="KR51" s="21">
        <f>[17]Manpower_month!BQ8</f>
        <v>133</v>
      </c>
      <c r="KS51" s="21">
        <f>[17]Manpower_month!BR8</f>
        <v>133</v>
      </c>
      <c r="KT51" s="21">
        <f>[18]Manpower_month!BS8</f>
        <v>133</v>
      </c>
      <c r="KU51" s="21">
        <f>[18]Manpower_month!BT8</f>
        <v>133</v>
      </c>
      <c r="KV51" s="21">
        <f>[18]Manpower_month!BU8</f>
        <v>133</v>
      </c>
      <c r="KW51" s="21">
        <f>[18]Manpower_month!BV8</f>
        <v>133</v>
      </c>
      <c r="KX51" s="21">
        <f>[18]Manpower_month!BW8</f>
        <v>133</v>
      </c>
      <c r="KY51" s="21">
        <f>[18]Manpower_month!BX8</f>
        <v>133</v>
      </c>
      <c r="KZ51" s="21">
        <f>[18]Manpower_month!BY8</f>
        <v>133</v>
      </c>
      <c r="LA51" s="21">
        <f>[18]Manpower_month!BZ8</f>
        <v>133</v>
      </c>
      <c r="LB51" s="63">
        <f t="shared" si="372"/>
        <v>133</v>
      </c>
      <c r="LC51" s="21">
        <f>[17]Manpower_month!EQ8</f>
        <v>2</v>
      </c>
      <c r="LD51" s="21">
        <f>[17]Manpower_month!ER8</f>
        <v>2</v>
      </c>
      <c r="LE51" s="21">
        <f>[17]Manpower_month!ES8</f>
        <v>2</v>
      </c>
      <c r="LF51" s="21">
        <f>[17]Manpower_month!ET8</f>
        <v>2</v>
      </c>
      <c r="LG51" s="21">
        <f>[18]Manpower_month!EU8</f>
        <v>2</v>
      </c>
      <c r="LH51" s="21">
        <f>[18]Manpower_month!EV8</f>
        <v>2</v>
      </c>
      <c r="LI51" s="21">
        <f>[18]Manpower_month!EW8</f>
        <v>2</v>
      </c>
      <c r="LJ51" s="21">
        <f>[18]Manpower_month!EX8</f>
        <v>2</v>
      </c>
      <c r="LK51" s="21">
        <f>[18]Manpower_month!EY8</f>
        <v>2</v>
      </c>
      <c r="LL51" s="21">
        <f>[18]Manpower_month!EZ8</f>
        <v>2</v>
      </c>
      <c r="LM51" s="21">
        <f>[18]Manpower_month!FA8</f>
        <v>2</v>
      </c>
      <c r="LN51" s="21">
        <f>[18]Manpower_month!FB8</f>
        <v>2</v>
      </c>
      <c r="LO51" s="63">
        <f t="shared" si="373"/>
        <v>2</v>
      </c>
    </row>
    <row r="52" spans="1:327" ht="15.75" thickBot="1">
      <c r="A52" s="14" t="s">
        <v>21</v>
      </c>
      <c r="B52" s="15">
        <f>SUM(B49:B51)</f>
        <v>0</v>
      </c>
      <c r="C52" s="15">
        <f>SUM(C49:C51)</f>
        <v>280</v>
      </c>
      <c r="D52" s="15">
        <f t="shared" ref="D52:M52" si="378">SUM(D49:D51)</f>
        <v>280.5</v>
      </c>
      <c r="E52" s="15">
        <f t="shared" si="378"/>
        <v>280.5</v>
      </c>
      <c r="F52" s="15">
        <f t="shared" si="378"/>
        <v>282</v>
      </c>
      <c r="G52" s="15">
        <f t="shared" si="378"/>
        <v>282</v>
      </c>
      <c r="H52" s="15">
        <f t="shared" si="378"/>
        <v>282</v>
      </c>
      <c r="I52" s="15">
        <f t="shared" si="378"/>
        <v>282</v>
      </c>
      <c r="J52" s="15">
        <f t="shared" si="378"/>
        <v>282</v>
      </c>
      <c r="K52" s="15">
        <f t="shared" si="378"/>
        <v>282</v>
      </c>
      <c r="L52" s="15">
        <f t="shared" si="378"/>
        <v>280</v>
      </c>
      <c r="M52" s="15">
        <f t="shared" si="378"/>
        <v>280</v>
      </c>
      <c r="N52" s="15">
        <f>SUM(N49:N51)</f>
        <v>280</v>
      </c>
      <c r="O52" s="16">
        <f>AVERAGE(C52:N52)</f>
        <v>281.08333333333331</v>
      </c>
      <c r="P52" s="17" t="s">
        <v>21</v>
      </c>
      <c r="Q52" s="15">
        <f>SUM(Q49:Q51)</f>
        <v>0</v>
      </c>
      <c r="R52" s="15">
        <f>SUM(R49:R51)</f>
        <v>276</v>
      </c>
      <c r="S52" s="15">
        <f t="shared" ref="S52:AB52" si="379">SUM(S49:S51)</f>
        <v>276.5</v>
      </c>
      <c r="T52" s="15">
        <f t="shared" si="379"/>
        <v>276.5</v>
      </c>
      <c r="U52" s="15">
        <f t="shared" si="379"/>
        <v>278</v>
      </c>
      <c r="V52" s="15">
        <f t="shared" si="379"/>
        <v>278</v>
      </c>
      <c r="W52" s="15">
        <f t="shared" si="379"/>
        <v>278</v>
      </c>
      <c r="X52" s="15">
        <f t="shared" si="379"/>
        <v>278</v>
      </c>
      <c r="Y52" s="15">
        <f t="shared" si="379"/>
        <v>278</v>
      </c>
      <c r="Z52" s="15">
        <f t="shared" si="379"/>
        <v>278</v>
      </c>
      <c r="AA52" s="15">
        <f t="shared" si="379"/>
        <v>276</v>
      </c>
      <c r="AB52" s="15">
        <f t="shared" si="379"/>
        <v>276</v>
      </c>
      <c r="AC52" s="15">
        <f>SUM(AC49:AC51)</f>
        <v>276</v>
      </c>
      <c r="AD52" s="16">
        <f>AVERAGE(R52:AC52)</f>
        <v>277.08333333333331</v>
      </c>
      <c r="AE52" s="17" t="s">
        <v>21</v>
      </c>
      <c r="AF52" s="15">
        <f>SUM(AF49:AF51)</f>
        <v>0</v>
      </c>
      <c r="AG52" s="15">
        <f>SUM(AG49:AG51)</f>
        <v>4</v>
      </c>
      <c r="AH52" s="15">
        <f t="shared" ref="AH52:AQ52" si="380">SUM(AH49:AH51)</f>
        <v>4</v>
      </c>
      <c r="AI52" s="15">
        <f t="shared" si="380"/>
        <v>4</v>
      </c>
      <c r="AJ52" s="15">
        <f t="shared" si="380"/>
        <v>4</v>
      </c>
      <c r="AK52" s="15">
        <f t="shared" si="380"/>
        <v>4</v>
      </c>
      <c r="AL52" s="15">
        <f t="shared" si="380"/>
        <v>4</v>
      </c>
      <c r="AM52" s="15">
        <f t="shared" si="380"/>
        <v>4</v>
      </c>
      <c r="AN52" s="15">
        <f t="shared" si="380"/>
        <v>4</v>
      </c>
      <c r="AO52" s="15">
        <f t="shared" si="380"/>
        <v>4</v>
      </c>
      <c r="AP52" s="15">
        <f t="shared" si="380"/>
        <v>4</v>
      </c>
      <c r="AQ52" s="15">
        <f t="shared" si="380"/>
        <v>4</v>
      </c>
      <c r="AR52" s="15">
        <f>SUM(AR49:AR51)</f>
        <v>4</v>
      </c>
      <c r="AS52" s="16">
        <f>AVERAGE(AG52:AR52)</f>
        <v>4</v>
      </c>
      <c r="CN52" s="15">
        <f t="shared" ref="CN52:CY52" si="381">SUM(CN49:CN51)</f>
        <v>428</v>
      </c>
      <c r="CO52" s="15">
        <f t="shared" si="381"/>
        <v>432</v>
      </c>
      <c r="CP52" s="15">
        <f t="shared" si="381"/>
        <v>432</v>
      </c>
      <c r="CQ52" s="15">
        <f t="shared" si="381"/>
        <v>442</v>
      </c>
      <c r="CR52" s="15">
        <f t="shared" si="381"/>
        <v>455</v>
      </c>
      <c r="CS52" s="15">
        <f t="shared" si="381"/>
        <v>456</v>
      </c>
      <c r="CT52" s="15">
        <f t="shared" si="381"/>
        <v>456</v>
      </c>
      <c r="CU52" s="15">
        <f t="shared" si="381"/>
        <v>439</v>
      </c>
      <c r="CV52" s="15">
        <f t="shared" si="381"/>
        <v>439</v>
      </c>
      <c r="CW52" s="15">
        <f t="shared" si="381"/>
        <v>440</v>
      </c>
      <c r="CX52" s="15">
        <f t="shared" si="381"/>
        <v>445</v>
      </c>
      <c r="CY52" s="15">
        <f t="shared" si="381"/>
        <v>450</v>
      </c>
      <c r="CZ52" s="18">
        <f>AVERAGE(CN52:CY52)</f>
        <v>442.83333333333331</v>
      </c>
      <c r="DA52" s="15">
        <f t="shared" ref="DA52:DL52" si="382">SUM(DA49:DA51)</f>
        <v>258</v>
      </c>
      <c r="DB52" s="15">
        <f t="shared" si="382"/>
        <v>261</v>
      </c>
      <c r="DC52" s="15">
        <f t="shared" si="382"/>
        <v>261</v>
      </c>
      <c r="DD52" s="15">
        <f t="shared" si="382"/>
        <v>268</v>
      </c>
      <c r="DE52" s="15">
        <f t="shared" si="382"/>
        <v>268</v>
      </c>
      <c r="DF52" s="15">
        <f t="shared" si="382"/>
        <v>268</v>
      </c>
      <c r="DG52" s="15">
        <f t="shared" si="382"/>
        <v>268</v>
      </c>
      <c r="DH52" s="15">
        <f t="shared" si="382"/>
        <v>268</v>
      </c>
      <c r="DI52" s="15">
        <f t="shared" si="382"/>
        <v>268</v>
      </c>
      <c r="DJ52" s="15">
        <f t="shared" si="382"/>
        <v>262</v>
      </c>
      <c r="DK52" s="15">
        <f t="shared" si="382"/>
        <v>262</v>
      </c>
      <c r="DL52" s="15">
        <f t="shared" si="382"/>
        <v>262</v>
      </c>
      <c r="DM52" s="18">
        <f>AVERAGE(DA52:DL52)</f>
        <v>264.5</v>
      </c>
      <c r="DN52" s="15">
        <f t="shared" ref="DN52:DY52" si="383">SUM(DN49:DN51)</f>
        <v>4</v>
      </c>
      <c r="DO52" s="15">
        <f t="shared" si="383"/>
        <v>4</v>
      </c>
      <c r="DP52" s="15">
        <f t="shared" si="383"/>
        <v>4</v>
      </c>
      <c r="DQ52" s="15">
        <f t="shared" si="383"/>
        <v>4</v>
      </c>
      <c r="DR52" s="15">
        <f t="shared" si="383"/>
        <v>4</v>
      </c>
      <c r="DS52" s="15">
        <f t="shared" si="383"/>
        <v>4</v>
      </c>
      <c r="DT52" s="15">
        <f t="shared" si="383"/>
        <v>4</v>
      </c>
      <c r="DU52" s="15">
        <f t="shared" si="383"/>
        <v>4</v>
      </c>
      <c r="DV52" s="15">
        <f t="shared" si="383"/>
        <v>4</v>
      </c>
      <c r="DW52" s="15">
        <f t="shared" si="383"/>
        <v>4</v>
      </c>
      <c r="DX52" s="15">
        <f t="shared" si="383"/>
        <v>4</v>
      </c>
      <c r="DY52" s="15">
        <f t="shared" si="383"/>
        <v>4</v>
      </c>
      <c r="DZ52" s="64">
        <f>AVERAGE(DN52:DY52)</f>
        <v>4</v>
      </c>
      <c r="EA52" s="15">
        <f t="shared" ref="EA52:EL52" si="384">SUM(EA49:EA51)</f>
        <v>132</v>
      </c>
      <c r="EB52" s="15">
        <f t="shared" si="384"/>
        <v>132</v>
      </c>
      <c r="EC52" s="15">
        <f t="shared" si="384"/>
        <v>132</v>
      </c>
      <c r="ED52" s="15">
        <f t="shared" si="384"/>
        <v>133</v>
      </c>
      <c r="EE52" s="15">
        <f t="shared" si="384"/>
        <v>133</v>
      </c>
      <c r="EF52" s="15">
        <f t="shared" si="384"/>
        <v>133</v>
      </c>
      <c r="EG52" s="15">
        <f t="shared" si="384"/>
        <v>133</v>
      </c>
      <c r="EH52" s="15">
        <f t="shared" si="384"/>
        <v>133</v>
      </c>
      <c r="EI52" s="15">
        <f t="shared" si="384"/>
        <v>133</v>
      </c>
      <c r="EJ52" s="15">
        <f t="shared" si="384"/>
        <v>133</v>
      </c>
      <c r="EK52" s="15">
        <f t="shared" si="384"/>
        <v>133</v>
      </c>
      <c r="EL52" s="15">
        <f t="shared" si="384"/>
        <v>133</v>
      </c>
      <c r="EM52" s="64">
        <f>AVERAGE(EA52:EL52)</f>
        <v>132.75</v>
      </c>
      <c r="EN52" s="15">
        <f t="shared" ref="EN52:EY52" si="385">SUM(EN49:EN51)</f>
        <v>19</v>
      </c>
      <c r="EO52" s="15">
        <f t="shared" si="385"/>
        <v>20</v>
      </c>
      <c r="EP52" s="15">
        <f t="shared" si="385"/>
        <v>20</v>
      </c>
      <c r="EQ52" s="15">
        <f t="shared" si="385"/>
        <v>22</v>
      </c>
      <c r="ER52" s="15">
        <f t="shared" si="385"/>
        <v>35</v>
      </c>
      <c r="ES52" s="15">
        <f t="shared" si="385"/>
        <v>36</v>
      </c>
      <c r="ET52" s="15">
        <f t="shared" si="385"/>
        <v>36</v>
      </c>
      <c r="EU52" s="15">
        <f t="shared" si="385"/>
        <v>19</v>
      </c>
      <c r="EV52" s="15">
        <f t="shared" si="385"/>
        <v>19</v>
      </c>
      <c r="EW52" s="15">
        <f t="shared" si="385"/>
        <v>26</v>
      </c>
      <c r="EX52" s="15">
        <f t="shared" si="385"/>
        <v>31</v>
      </c>
      <c r="EY52" s="15">
        <f t="shared" si="385"/>
        <v>36</v>
      </c>
      <c r="EZ52" s="64">
        <f>AVERAGE(EN52:EY52)</f>
        <v>26.583333333333332</v>
      </c>
      <c r="FA52" s="15">
        <f t="shared" ref="FA52:FL52" si="386">SUM(FA49:FA51)</f>
        <v>15</v>
      </c>
      <c r="FB52" s="15">
        <f t="shared" si="386"/>
        <v>15</v>
      </c>
      <c r="FC52" s="15">
        <f t="shared" si="386"/>
        <v>15</v>
      </c>
      <c r="FD52" s="15">
        <f t="shared" si="386"/>
        <v>15</v>
      </c>
      <c r="FE52" s="15">
        <f t="shared" si="386"/>
        <v>15</v>
      </c>
      <c r="FF52" s="15">
        <f t="shared" si="386"/>
        <v>15</v>
      </c>
      <c r="FG52" s="15">
        <f t="shared" si="386"/>
        <v>15</v>
      </c>
      <c r="FH52" s="15">
        <f t="shared" si="386"/>
        <v>15</v>
      </c>
      <c r="FI52" s="15">
        <f t="shared" si="386"/>
        <v>15</v>
      </c>
      <c r="FJ52" s="15">
        <f t="shared" si="386"/>
        <v>15</v>
      </c>
      <c r="FK52" s="15">
        <f t="shared" si="386"/>
        <v>15</v>
      </c>
      <c r="FL52" s="15">
        <f t="shared" si="386"/>
        <v>15</v>
      </c>
      <c r="FM52" s="64">
        <f>AVERAGE(FA52:FL52)</f>
        <v>15</v>
      </c>
      <c r="FO52" s="15">
        <f t="shared" ref="FO52:FZ52" si="387">SUM(FO49:FO51)</f>
        <v>534</v>
      </c>
      <c r="FP52" s="15">
        <f t="shared" si="387"/>
        <v>534</v>
      </c>
      <c r="FQ52" s="15">
        <f t="shared" si="387"/>
        <v>534</v>
      </c>
      <c r="FR52" s="15">
        <f t="shared" si="387"/>
        <v>534</v>
      </c>
      <c r="FS52" s="15">
        <f t="shared" si="387"/>
        <v>534</v>
      </c>
      <c r="FT52" s="15">
        <f t="shared" si="387"/>
        <v>534</v>
      </c>
      <c r="FU52" s="15">
        <f t="shared" si="387"/>
        <v>534</v>
      </c>
      <c r="FV52" s="15">
        <f t="shared" si="387"/>
        <v>534</v>
      </c>
      <c r="FW52" s="15">
        <f t="shared" si="387"/>
        <v>534</v>
      </c>
      <c r="FX52" s="15">
        <f t="shared" si="387"/>
        <v>534</v>
      </c>
      <c r="FY52" s="15">
        <f t="shared" si="387"/>
        <v>534</v>
      </c>
      <c r="FZ52" s="15">
        <f t="shared" si="387"/>
        <v>519</v>
      </c>
      <c r="GA52" s="18">
        <f>AVERAGE(FO52:FZ52)</f>
        <v>532.75</v>
      </c>
      <c r="GB52" s="15">
        <f t="shared" ref="GB52:GM52" si="388">SUM(GB49:GB51)</f>
        <v>265</v>
      </c>
      <c r="GC52" s="15">
        <f t="shared" si="388"/>
        <v>265</v>
      </c>
      <c r="GD52" s="15">
        <f t="shared" si="388"/>
        <v>265</v>
      </c>
      <c r="GE52" s="15">
        <f t="shared" si="388"/>
        <v>265</v>
      </c>
      <c r="GF52" s="15">
        <f t="shared" si="388"/>
        <v>265</v>
      </c>
      <c r="GG52" s="15">
        <f t="shared" si="388"/>
        <v>265</v>
      </c>
      <c r="GH52" s="15">
        <f t="shared" si="388"/>
        <v>265</v>
      </c>
      <c r="GI52" s="15">
        <f t="shared" si="388"/>
        <v>265</v>
      </c>
      <c r="GJ52" s="15">
        <f t="shared" si="388"/>
        <v>265</v>
      </c>
      <c r="GK52" s="15">
        <f t="shared" si="388"/>
        <v>265</v>
      </c>
      <c r="GL52" s="15">
        <f t="shared" si="388"/>
        <v>265</v>
      </c>
      <c r="GM52" s="15">
        <f t="shared" si="388"/>
        <v>250</v>
      </c>
      <c r="GN52" s="18">
        <f>AVERAGE(GB52:GM52)</f>
        <v>263.75</v>
      </c>
      <c r="GO52" s="15">
        <f t="shared" ref="GO52:GZ52" si="389">SUM(GO49:GO51)</f>
        <v>17</v>
      </c>
      <c r="GP52" s="15">
        <f t="shared" si="389"/>
        <v>17</v>
      </c>
      <c r="GQ52" s="15">
        <f t="shared" si="389"/>
        <v>17</v>
      </c>
      <c r="GR52" s="15">
        <f t="shared" si="389"/>
        <v>17</v>
      </c>
      <c r="GS52" s="15">
        <f t="shared" si="389"/>
        <v>17</v>
      </c>
      <c r="GT52" s="15">
        <f t="shared" si="389"/>
        <v>17</v>
      </c>
      <c r="GU52" s="15">
        <f t="shared" si="389"/>
        <v>17</v>
      </c>
      <c r="GV52" s="15">
        <f t="shared" si="389"/>
        <v>17</v>
      </c>
      <c r="GW52" s="15">
        <f t="shared" si="389"/>
        <v>17</v>
      </c>
      <c r="GX52" s="15">
        <f t="shared" si="389"/>
        <v>17</v>
      </c>
      <c r="GY52" s="15">
        <f t="shared" si="389"/>
        <v>17</v>
      </c>
      <c r="GZ52" s="15">
        <f t="shared" si="389"/>
        <v>17</v>
      </c>
      <c r="HA52" s="64">
        <f>AVERAGE(GO52:GZ52)</f>
        <v>17</v>
      </c>
      <c r="HB52" s="15">
        <f t="shared" ref="HB52:HM52" si="390">SUM(HB49:HB51)</f>
        <v>144</v>
      </c>
      <c r="HC52" s="15">
        <f t="shared" si="390"/>
        <v>144</v>
      </c>
      <c r="HD52" s="15">
        <f t="shared" si="390"/>
        <v>144</v>
      </c>
      <c r="HE52" s="15">
        <f t="shared" si="390"/>
        <v>144</v>
      </c>
      <c r="HF52" s="15">
        <f t="shared" si="390"/>
        <v>144</v>
      </c>
      <c r="HG52" s="15">
        <f t="shared" si="390"/>
        <v>144</v>
      </c>
      <c r="HH52" s="15">
        <f t="shared" si="390"/>
        <v>144</v>
      </c>
      <c r="HI52" s="15">
        <f t="shared" si="390"/>
        <v>144</v>
      </c>
      <c r="HJ52" s="15">
        <f t="shared" si="390"/>
        <v>144</v>
      </c>
      <c r="HK52" s="15">
        <f t="shared" si="390"/>
        <v>144</v>
      </c>
      <c r="HL52" s="15">
        <f t="shared" si="390"/>
        <v>144</v>
      </c>
      <c r="HM52" s="15">
        <f t="shared" si="390"/>
        <v>144</v>
      </c>
      <c r="HN52" s="64">
        <f>AVERAGE(HB52:HM52)</f>
        <v>144</v>
      </c>
      <c r="HO52" s="15">
        <f t="shared" ref="HO52:HZ52" si="391">SUM(HO49:HO51)</f>
        <v>93</v>
      </c>
      <c r="HP52" s="15">
        <f t="shared" si="391"/>
        <v>93</v>
      </c>
      <c r="HQ52" s="15">
        <f t="shared" si="391"/>
        <v>93</v>
      </c>
      <c r="HR52" s="15">
        <f t="shared" si="391"/>
        <v>93</v>
      </c>
      <c r="HS52" s="15">
        <f t="shared" si="391"/>
        <v>93</v>
      </c>
      <c r="HT52" s="15">
        <f t="shared" si="391"/>
        <v>93</v>
      </c>
      <c r="HU52" s="15">
        <f t="shared" si="391"/>
        <v>93</v>
      </c>
      <c r="HV52" s="15">
        <f t="shared" si="391"/>
        <v>93</v>
      </c>
      <c r="HW52" s="15">
        <f t="shared" si="391"/>
        <v>93</v>
      </c>
      <c r="HX52" s="15">
        <f t="shared" si="391"/>
        <v>93</v>
      </c>
      <c r="HY52" s="15">
        <f t="shared" si="391"/>
        <v>93</v>
      </c>
      <c r="HZ52" s="15">
        <f t="shared" si="391"/>
        <v>93</v>
      </c>
      <c r="IA52" s="64">
        <f>AVERAGE(HO52:HZ52)</f>
        <v>93</v>
      </c>
      <c r="IB52" s="15">
        <f t="shared" ref="IB52:IM52" si="392">SUM(IB49:IB51)</f>
        <v>15</v>
      </c>
      <c r="IC52" s="15">
        <f t="shared" si="392"/>
        <v>15</v>
      </c>
      <c r="ID52" s="15">
        <f t="shared" si="392"/>
        <v>15</v>
      </c>
      <c r="IE52" s="15">
        <f t="shared" si="392"/>
        <v>15</v>
      </c>
      <c r="IF52" s="15">
        <f t="shared" si="392"/>
        <v>15</v>
      </c>
      <c r="IG52" s="15">
        <f t="shared" si="392"/>
        <v>15</v>
      </c>
      <c r="IH52" s="15">
        <f t="shared" si="392"/>
        <v>15</v>
      </c>
      <c r="II52" s="15">
        <f t="shared" si="392"/>
        <v>15</v>
      </c>
      <c r="IJ52" s="15">
        <f t="shared" si="392"/>
        <v>15</v>
      </c>
      <c r="IK52" s="15">
        <f t="shared" si="392"/>
        <v>15</v>
      </c>
      <c r="IL52" s="15">
        <f t="shared" si="392"/>
        <v>15</v>
      </c>
      <c r="IM52" s="15">
        <f t="shared" si="392"/>
        <v>15</v>
      </c>
      <c r="IN52" s="64">
        <f>AVERAGE(IB52:IM52)</f>
        <v>15</v>
      </c>
      <c r="IP52" s="15">
        <f t="shared" ref="IP52:KO52" si="393">SUM(IP49:IP51)</f>
        <v>570.5</v>
      </c>
      <c r="IQ52" s="15">
        <f t="shared" si="393"/>
        <v>574.5</v>
      </c>
      <c r="IR52" s="15">
        <f t="shared" si="393"/>
        <v>576.5</v>
      </c>
      <c r="IS52" s="15">
        <f t="shared" si="393"/>
        <v>580.5</v>
      </c>
      <c r="IT52" s="15">
        <f t="shared" si="393"/>
        <v>580.5</v>
      </c>
      <c r="IU52" s="15">
        <f t="shared" si="393"/>
        <v>578.5</v>
      </c>
      <c r="IV52" s="15">
        <f t="shared" si="393"/>
        <v>578.5</v>
      </c>
      <c r="IW52" s="15">
        <f t="shared" si="393"/>
        <v>578.5</v>
      </c>
      <c r="IX52" s="15">
        <f t="shared" si="393"/>
        <v>578</v>
      </c>
      <c r="IY52" s="15">
        <f t="shared" si="393"/>
        <v>578.5</v>
      </c>
      <c r="IZ52" s="15">
        <f t="shared" si="393"/>
        <v>578.5</v>
      </c>
      <c r="JA52" s="15">
        <f t="shared" si="393"/>
        <v>578.375</v>
      </c>
      <c r="JB52" s="15">
        <f t="shared" si="393"/>
        <v>577.61458333333326</v>
      </c>
      <c r="JC52" s="15">
        <f t="shared" si="393"/>
        <v>266.5</v>
      </c>
      <c r="JD52" s="15">
        <f t="shared" si="393"/>
        <v>266.5</v>
      </c>
      <c r="JE52" s="15">
        <f t="shared" si="393"/>
        <v>266.5</v>
      </c>
      <c r="JF52" s="15">
        <f t="shared" si="393"/>
        <v>270.5</v>
      </c>
      <c r="JG52" s="15">
        <f t="shared" si="393"/>
        <v>270.5</v>
      </c>
      <c r="JH52" s="15">
        <f t="shared" si="393"/>
        <v>268.5</v>
      </c>
      <c r="JI52" s="15">
        <f t="shared" si="393"/>
        <v>268.5</v>
      </c>
      <c r="JJ52" s="15">
        <f t="shared" si="393"/>
        <v>268.5</v>
      </c>
      <c r="JK52" s="15">
        <f t="shared" si="393"/>
        <v>268</v>
      </c>
      <c r="JL52" s="15">
        <f t="shared" si="393"/>
        <v>268.5</v>
      </c>
      <c r="JM52" s="15">
        <f t="shared" si="393"/>
        <v>268.5</v>
      </c>
      <c r="JN52" s="15">
        <f t="shared" si="393"/>
        <v>268.375</v>
      </c>
      <c r="JO52" s="15">
        <f t="shared" si="393"/>
        <v>268.28125</v>
      </c>
      <c r="JP52" s="15">
        <f t="shared" si="393"/>
        <v>13</v>
      </c>
      <c r="JQ52" s="15">
        <f t="shared" si="393"/>
        <v>13</v>
      </c>
      <c r="JR52" s="15">
        <f t="shared" si="393"/>
        <v>13</v>
      </c>
      <c r="JS52" s="15">
        <f t="shared" si="393"/>
        <v>13</v>
      </c>
      <c r="JT52" s="15">
        <f t="shared" si="393"/>
        <v>13</v>
      </c>
      <c r="JU52" s="15">
        <f t="shared" si="393"/>
        <v>13</v>
      </c>
      <c r="JV52" s="15">
        <f t="shared" si="393"/>
        <v>13</v>
      </c>
      <c r="JW52" s="15">
        <f t="shared" si="393"/>
        <v>13</v>
      </c>
      <c r="JX52" s="15">
        <f t="shared" si="393"/>
        <v>13</v>
      </c>
      <c r="JY52" s="15">
        <f t="shared" si="393"/>
        <v>13</v>
      </c>
      <c r="JZ52" s="15">
        <f t="shared" si="393"/>
        <v>13</v>
      </c>
      <c r="KA52" s="15">
        <f t="shared" si="393"/>
        <v>13</v>
      </c>
      <c r="KB52" s="15">
        <f t="shared" si="393"/>
        <v>13</v>
      </c>
      <c r="KC52" s="15">
        <f t="shared" si="393"/>
        <v>140</v>
      </c>
      <c r="KD52" s="15">
        <f t="shared" si="393"/>
        <v>141</v>
      </c>
      <c r="KE52" s="15">
        <f t="shared" si="393"/>
        <v>143</v>
      </c>
      <c r="KF52" s="15">
        <f t="shared" si="393"/>
        <v>143</v>
      </c>
      <c r="KG52" s="15">
        <f t="shared" si="393"/>
        <v>143</v>
      </c>
      <c r="KH52" s="15">
        <f t="shared" si="393"/>
        <v>143</v>
      </c>
      <c r="KI52" s="15">
        <f t="shared" si="393"/>
        <v>143</v>
      </c>
      <c r="KJ52" s="15">
        <f t="shared" si="393"/>
        <v>143</v>
      </c>
      <c r="KK52" s="15">
        <f t="shared" si="393"/>
        <v>143</v>
      </c>
      <c r="KL52" s="15">
        <f t="shared" si="393"/>
        <v>143</v>
      </c>
      <c r="KM52" s="15">
        <f t="shared" si="393"/>
        <v>143</v>
      </c>
      <c r="KN52" s="15">
        <f t="shared" si="393"/>
        <v>143</v>
      </c>
      <c r="KO52" s="15">
        <f t="shared" si="393"/>
        <v>142.58333333333334</v>
      </c>
      <c r="KP52" s="15">
        <f t="shared" ref="KP52:LO52" si="394">SUM(KP49:KP51)</f>
        <v>147</v>
      </c>
      <c r="KQ52" s="15">
        <f t="shared" si="394"/>
        <v>150</v>
      </c>
      <c r="KR52" s="15">
        <f t="shared" si="394"/>
        <v>150</v>
      </c>
      <c r="KS52" s="15">
        <f t="shared" si="394"/>
        <v>150</v>
      </c>
      <c r="KT52" s="15">
        <f t="shared" si="394"/>
        <v>150</v>
      </c>
      <c r="KU52" s="15">
        <f t="shared" si="394"/>
        <v>150</v>
      </c>
      <c r="KV52" s="15">
        <f t="shared" si="394"/>
        <v>150</v>
      </c>
      <c r="KW52" s="15">
        <f t="shared" si="394"/>
        <v>150</v>
      </c>
      <c r="KX52" s="15">
        <f t="shared" si="394"/>
        <v>150</v>
      </c>
      <c r="KY52" s="15">
        <f t="shared" si="394"/>
        <v>150</v>
      </c>
      <c r="KZ52" s="15">
        <f t="shared" si="394"/>
        <v>150</v>
      </c>
      <c r="LA52" s="15">
        <f t="shared" si="394"/>
        <v>150</v>
      </c>
      <c r="LB52" s="15">
        <f t="shared" si="394"/>
        <v>149.75</v>
      </c>
      <c r="LC52" s="15">
        <f t="shared" si="394"/>
        <v>4</v>
      </c>
      <c r="LD52" s="15">
        <f t="shared" si="394"/>
        <v>4</v>
      </c>
      <c r="LE52" s="15">
        <f t="shared" si="394"/>
        <v>4</v>
      </c>
      <c r="LF52" s="15">
        <f t="shared" si="394"/>
        <v>4</v>
      </c>
      <c r="LG52" s="15">
        <f t="shared" si="394"/>
        <v>4</v>
      </c>
      <c r="LH52" s="15">
        <f t="shared" si="394"/>
        <v>4</v>
      </c>
      <c r="LI52" s="15">
        <f t="shared" si="394"/>
        <v>4</v>
      </c>
      <c r="LJ52" s="15">
        <f t="shared" si="394"/>
        <v>4</v>
      </c>
      <c r="LK52" s="15">
        <f t="shared" si="394"/>
        <v>4</v>
      </c>
      <c r="LL52" s="15">
        <f t="shared" si="394"/>
        <v>4</v>
      </c>
      <c r="LM52" s="15">
        <f t="shared" si="394"/>
        <v>4</v>
      </c>
      <c r="LN52" s="15">
        <f t="shared" si="394"/>
        <v>4</v>
      </c>
      <c r="LO52" s="15">
        <f t="shared" si="394"/>
        <v>4</v>
      </c>
    </row>
    <row r="53" spans="1:327">
      <c r="FR53" s="62"/>
      <c r="JJ53" s="41">
        <f>JJ52+JW52+LJ52</f>
        <v>285.5</v>
      </c>
      <c r="JK53" s="41">
        <f>JK52+JX52+LK52</f>
        <v>285</v>
      </c>
      <c r="JM53" s="41">
        <f>JM52+JZ52+LM52</f>
        <v>285.5</v>
      </c>
    </row>
    <row r="54" spans="1:327" ht="15.75" thickBot="1">
      <c r="A54" s="2" t="s">
        <v>47</v>
      </c>
      <c r="CN54" s="2" t="s">
        <v>47</v>
      </c>
      <c r="FO54" s="2" t="s">
        <v>47</v>
      </c>
      <c r="IP54" s="2" t="s">
        <v>54</v>
      </c>
      <c r="JC54" s="2" t="s">
        <v>124</v>
      </c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</row>
    <row r="55" spans="1:327">
      <c r="A55" s="8" t="s">
        <v>17</v>
      </c>
      <c r="B55" s="9" t="s">
        <v>6</v>
      </c>
      <c r="C55" s="9" t="s">
        <v>22</v>
      </c>
      <c r="D55" s="9" t="s">
        <v>23</v>
      </c>
      <c r="E55" s="9" t="s">
        <v>24</v>
      </c>
      <c r="F55" s="9" t="s">
        <v>25</v>
      </c>
      <c r="G55" s="9" t="s">
        <v>26</v>
      </c>
      <c r="H55" s="9" t="s">
        <v>27</v>
      </c>
      <c r="I55" s="9" t="s">
        <v>28</v>
      </c>
      <c r="J55" s="9" t="s">
        <v>29</v>
      </c>
      <c r="K55" s="9" t="s">
        <v>30</v>
      </c>
      <c r="L55" s="9" t="s">
        <v>31</v>
      </c>
      <c r="M55" s="9" t="s">
        <v>32</v>
      </c>
      <c r="N55" s="9" t="s">
        <v>33</v>
      </c>
      <c r="O55" s="9" t="s">
        <v>7</v>
      </c>
      <c r="CN55" s="57" t="s">
        <v>81</v>
      </c>
      <c r="CO55" s="57" t="s">
        <v>82</v>
      </c>
      <c r="CP55" s="57" t="s">
        <v>83</v>
      </c>
      <c r="CQ55" s="57" t="s">
        <v>84</v>
      </c>
      <c r="CR55" s="57" t="s">
        <v>85</v>
      </c>
      <c r="CS55" s="57" t="s">
        <v>86</v>
      </c>
      <c r="CT55" s="57" t="s">
        <v>87</v>
      </c>
      <c r="CU55" s="57" t="s">
        <v>88</v>
      </c>
      <c r="CV55" s="57" t="s">
        <v>89</v>
      </c>
      <c r="CW55" s="57" t="s">
        <v>90</v>
      </c>
      <c r="CX55" s="57" t="s">
        <v>91</v>
      </c>
      <c r="CY55" s="57" t="s">
        <v>92</v>
      </c>
      <c r="CZ55" s="57" t="s">
        <v>93</v>
      </c>
      <c r="FO55" s="57" t="s">
        <v>104</v>
      </c>
      <c r="FP55" s="57" t="s">
        <v>105</v>
      </c>
      <c r="FQ55" s="57" t="s">
        <v>106</v>
      </c>
      <c r="FR55" s="57" t="s">
        <v>107</v>
      </c>
      <c r="FS55" s="57" t="s">
        <v>108</v>
      </c>
      <c r="FT55" s="57" t="s">
        <v>109</v>
      </c>
      <c r="FU55" s="57" t="s">
        <v>110</v>
      </c>
      <c r="FV55" s="57" t="s">
        <v>111</v>
      </c>
      <c r="FW55" s="57" t="s">
        <v>112</v>
      </c>
      <c r="FX55" s="57" t="s">
        <v>113</v>
      </c>
      <c r="FY55" s="57" t="s">
        <v>114</v>
      </c>
      <c r="FZ55" s="57" t="s">
        <v>115</v>
      </c>
      <c r="GA55" s="57" t="s">
        <v>116</v>
      </c>
      <c r="IP55" s="98" t="s">
        <v>127</v>
      </c>
      <c r="IQ55" s="98" t="s">
        <v>128</v>
      </c>
      <c r="IR55" s="99" t="s">
        <v>129</v>
      </c>
      <c r="IS55" s="99" t="s">
        <v>130</v>
      </c>
      <c r="IT55" s="99" t="s">
        <v>131</v>
      </c>
      <c r="IU55" s="99" t="s">
        <v>132</v>
      </c>
      <c r="IV55" s="99" t="s">
        <v>133</v>
      </c>
      <c r="IW55" s="99" t="s">
        <v>134</v>
      </c>
      <c r="IX55" s="99" t="s">
        <v>135</v>
      </c>
      <c r="IY55" s="99" t="s">
        <v>136</v>
      </c>
      <c r="IZ55" s="99" t="s">
        <v>137</v>
      </c>
      <c r="JA55" s="99" t="s">
        <v>138</v>
      </c>
      <c r="JB55" s="99" t="s">
        <v>139</v>
      </c>
      <c r="JC55" s="98" t="s">
        <v>127</v>
      </c>
      <c r="JD55" s="98" t="s">
        <v>128</v>
      </c>
      <c r="JE55" s="99" t="s">
        <v>129</v>
      </c>
      <c r="JF55" s="99" t="s">
        <v>130</v>
      </c>
      <c r="JG55" s="99" t="s">
        <v>131</v>
      </c>
      <c r="JH55" s="99" t="s">
        <v>132</v>
      </c>
      <c r="JI55" s="99" t="s">
        <v>133</v>
      </c>
      <c r="JJ55" s="99" t="s">
        <v>134</v>
      </c>
      <c r="JK55" s="99" t="s">
        <v>135</v>
      </c>
      <c r="JL55" s="99" t="s">
        <v>136</v>
      </c>
      <c r="JM55" s="99" t="s">
        <v>137</v>
      </c>
      <c r="JN55" s="99" t="s">
        <v>138</v>
      </c>
      <c r="JO55" s="99" t="s">
        <v>139</v>
      </c>
    </row>
    <row r="56" spans="1:327">
      <c r="A56" s="12" t="s">
        <v>18</v>
      </c>
      <c r="B56" s="5">
        <f>53</f>
        <v>53</v>
      </c>
      <c r="C56" s="5">
        <f>54</f>
        <v>54</v>
      </c>
      <c r="D56" s="20">
        <f>55</f>
        <v>55</v>
      </c>
      <c r="E56" s="20">
        <f>53</f>
        <v>53</v>
      </c>
      <c r="F56" s="20">
        <f>55</f>
        <v>55</v>
      </c>
      <c r="G56" s="20">
        <f>57</f>
        <v>57</v>
      </c>
      <c r="H56" s="20">
        <f>57-1</f>
        <v>56</v>
      </c>
      <c r="I56" s="20">
        <f>57</f>
        <v>57</v>
      </c>
      <c r="J56" s="20">
        <f>55</f>
        <v>55</v>
      </c>
      <c r="K56" s="20">
        <f>54</f>
        <v>54</v>
      </c>
      <c r="L56" s="20">
        <f>57</f>
        <v>57</v>
      </c>
      <c r="M56" s="20">
        <f>57-1</f>
        <v>56</v>
      </c>
      <c r="N56" s="20">
        <f>57-1+2</f>
        <v>58</v>
      </c>
      <c r="O56" s="7">
        <f>AVERAGE(C56:N56)</f>
        <v>55.583333333333336</v>
      </c>
      <c r="CN56" s="5">
        <f>57</f>
        <v>57</v>
      </c>
      <c r="CO56" s="5">
        <f>57</f>
        <v>57</v>
      </c>
      <c r="CP56" s="5">
        <f>57-1</f>
        <v>56</v>
      </c>
      <c r="CQ56" s="5">
        <f>57</f>
        <v>57</v>
      </c>
      <c r="CR56" s="5">
        <f>57</f>
        <v>57</v>
      </c>
      <c r="CS56" s="5">
        <f>59</f>
        <v>59</v>
      </c>
      <c r="CT56" s="5">
        <f>59+1</f>
        <v>60</v>
      </c>
      <c r="CU56" s="5">
        <f>59+1-1</f>
        <v>59</v>
      </c>
      <c r="CV56" s="5">
        <v>57</v>
      </c>
      <c r="CW56" s="5">
        <v>58</v>
      </c>
      <c r="CX56" s="5">
        <v>59</v>
      </c>
      <c r="CY56" s="5">
        <v>59</v>
      </c>
      <c r="CZ56" s="13">
        <f>AVERAGE(CN56:CY56)</f>
        <v>57.916666666666664</v>
      </c>
      <c r="FO56" s="5">
        <f>61</f>
        <v>61</v>
      </c>
      <c r="FP56" s="5">
        <f>61</f>
        <v>61</v>
      </c>
      <c r="FQ56" s="5">
        <v>61</v>
      </c>
      <c r="FR56" s="5">
        <v>61</v>
      </c>
      <c r="FS56" s="5">
        <v>62</v>
      </c>
      <c r="FT56" s="5">
        <v>61</v>
      </c>
      <c r="FU56" s="114">
        <f>62+1</f>
        <v>63</v>
      </c>
      <c r="FV56" s="114">
        <f>62+2</f>
        <v>64</v>
      </c>
      <c r="FW56" s="114">
        <f>62+3</f>
        <v>65</v>
      </c>
      <c r="FX56" s="114">
        <f>61+3</f>
        <v>64</v>
      </c>
      <c r="FY56" s="114">
        <f>63+3</f>
        <v>66</v>
      </c>
      <c r="FZ56" s="114">
        <f>63+3</f>
        <v>66</v>
      </c>
      <c r="GA56" s="13">
        <f>AVERAGE(FO56:FZ56)</f>
        <v>62.916666666666664</v>
      </c>
      <c r="IP56" s="5">
        <f>SUM(JC56,JP56,KC56,KP56,LC56)</f>
        <v>5</v>
      </c>
      <c r="IQ56" s="5">
        <f t="shared" ref="IQ56:IQ58" si="395">SUM(JD56,JQ56,KD56,KQ56,LD56)</f>
        <v>6</v>
      </c>
      <c r="IR56" s="5">
        <f t="shared" ref="IR56:IR58" si="396">SUM(JE56,JR56,KE56,KR56,LE56)</f>
        <v>6</v>
      </c>
      <c r="IS56" s="5">
        <f t="shared" ref="IS56:IS58" si="397">SUM(JF56,JS56,KF56,KS56,LF56)</f>
        <v>6</v>
      </c>
      <c r="IT56" s="5">
        <f t="shared" ref="IT56:IT58" si="398">SUM(JG56,JT56,KG56,KT56,LG56)</f>
        <v>7</v>
      </c>
      <c r="IU56" s="5">
        <f t="shared" ref="IU56:IU58" si="399">SUM(JH56,JU56,KH56,KU56,LH56)</f>
        <v>7</v>
      </c>
      <c r="IV56" s="5">
        <f t="shared" ref="IV56:IV58" si="400">SUM(JI56,JV56,KI56,KV56,LI56)</f>
        <v>8</v>
      </c>
      <c r="IW56" s="5">
        <f t="shared" ref="IW56:IW58" si="401">SUM(JJ56,JW56,KJ56,KW56,LJ56)</f>
        <v>9</v>
      </c>
      <c r="IX56" s="5">
        <f t="shared" ref="IX56:IX58" si="402">SUM(JK56,JX56,KK56,KX56,LK56)</f>
        <v>9</v>
      </c>
      <c r="IY56" s="5">
        <f t="shared" ref="IY56:IY58" si="403">SUM(JL56,JY56,KL56,KY56,LL56)</f>
        <v>9</v>
      </c>
      <c r="IZ56" s="5">
        <f t="shared" ref="IZ56:JA58" si="404">SUM(JM56,JZ56,KM56,KZ56,LM56)</f>
        <v>9</v>
      </c>
      <c r="JA56" s="5">
        <f t="shared" si="404"/>
        <v>9</v>
      </c>
      <c r="JB56" s="63">
        <f>AVERAGE(IP56:JA56)</f>
        <v>7.5</v>
      </c>
      <c r="JC56" s="20">
        <f>[4]Sheet1!B13</f>
        <v>5</v>
      </c>
      <c r="JD56" s="20">
        <f>[4]Sheet1!J13</f>
        <v>6</v>
      </c>
      <c r="JE56" s="20">
        <f>[4]Sheet1!P13</f>
        <v>6</v>
      </c>
      <c r="JF56" s="20">
        <f>JE56</f>
        <v>6</v>
      </c>
      <c r="JG56" s="20">
        <f>7</f>
        <v>7</v>
      </c>
      <c r="JH56" s="20">
        <f>'[20]Overall Summary'!$B$13</f>
        <v>7</v>
      </c>
      <c r="JI56" s="20">
        <f>'[21]Overall Summary'!$B$13</f>
        <v>8</v>
      </c>
      <c r="JJ56" s="20">
        <f>'[22]Overall Summary'!$B$13</f>
        <v>9</v>
      </c>
      <c r="JK56" s="20">
        <f>'[23]Overall Summary'!$B$13</f>
        <v>9</v>
      </c>
      <c r="JL56" s="20">
        <f>'[24]Overall Summary'!$B$13</f>
        <v>9</v>
      </c>
      <c r="JM56" s="20">
        <f>'[25]Overall Summary'!$B$13</f>
        <v>9</v>
      </c>
      <c r="JN56" s="20">
        <f>'[26]Overall Summary'!$B$13</f>
        <v>9</v>
      </c>
      <c r="JO56" s="63">
        <f>IFERROR(AVERAGE(JC56:JN56),"")</f>
        <v>7.5</v>
      </c>
    </row>
    <row r="57" spans="1:327">
      <c r="A57" s="12" t="s">
        <v>19</v>
      </c>
      <c r="B57" s="5">
        <f>0</f>
        <v>0</v>
      </c>
      <c r="C57" s="5">
        <f>0</f>
        <v>0</v>
      </c>
      <c r="D57" s="21">
        <f>C57</f>
        <v>0</v>
      </c>
      <c r="E57" s="21">
        <f t="shared" ref="E57:N57" si="405">D57</f>
        <v>0</v>
      </c>
      <c r="F57" s="21">
        <f t="shared" si="405"/>
        <v>0</v>
      </c>
      <c r="G57" s="21">
        <f t="shared" si="405"/>
        <v>0</v>
      </c>
      <c r="H57" s="21">
        <f t="shared" si="405"/>
        <v>0</v>
      </c>
      <c r="I57" s="21">
        <f t="shared" si="405"/>
        <v>0</v>
      </c>
      <c r="J57" s="21">
        <f t="shared" si="405"/>
        <v>0</v>
      </c>
      <c r="K57" s="21">
        <f t="shared" si="405"/>
        <v>0</v>
      </c>
      <c r="L57" s="21">
        <f t="shared" si="405"/>
        <v>0</v>
      </c>
      <c r="M57" s="21">
        <f t="shared" si="405"/>
        <v>0</v>
      </c>
      <c r="N57" s="21">
        <f t="shared" si="405"/>
        <v>0</v>
      </c>
      <c r="O57" s="7">
        <f>AVERAGE(C57:N57)</f>
        <v>0</v>
      </c>
      <c r="CN57" s="5">
        <f>0</f>
        <v>0</v>
      </c>
      <c r="CO57" s="5">
        <f>0</f>
        <v>0</v>
      </c>
      <c r="CP57" s="5">
        <f>0</f>
        <v>0</v>
      </c>
      <c r="CQ57" s="5">
        <f>0</f>
        <v>0</v>
      </c>
      <c r="CR57" s="5">
        <f>0</f>
        <v>0</v>
      </c>
      <c r="CS57" s="5">
        <f>0</f>
        <v>0</v>
      </c>
      <c r="CT57" s="5">
        <f>0</f>
        <v>0</v>
      </c>
      <c r="CU57" s="5">
        <f>0</f>
        <v>0</v>
      </c>
      <c r="CV57" s="5">
        <v>0</v>
      </c>
      <c r="CW57" s="5">
        <f>0</f>
        <v>0</v>
      </c>
      <c r="CX57" s="5">
        <f>0</f>
        <v>0</v>
      </c>
      <c r="CY57" s="5">
        <v>0</v>
      </c>
      <c r="CZ57" s="13">
        <f>AVERAGE(CN57:CY57)</f>
        <v>0</v>
      </c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13" t="e">
        <f>AVERAGE(FO57:FZ57)</f>
        <v>#DIV/0!</v>
      </c>
      <c r="IP57" s="5">
        <f t="shared" ref="IP57:IP58" si="406">SUM(JC57,JP57,KC57,KP57,LC57)</f>
        <v>0</v>
      </c>
      <c r="IQ57" s="5">
        <f t="shared" si="395"/>
        <v>0</v>
      </c>
      <c r="IR57" s="5">
        <f t="shared" si="396"/>
        <v>0</v>
      </c>
      <c r="IS57" s="5">
        <f t="shared" si="397"/>
        <v>0</v>
      </c>
      <c r="IT57" s="5">
        <f t="shared" si="398"/>
        <v>0</v>
      </c>
      <c r="IU57" s="5">
        <f t="shared" si="399"/>
        <v>0</v>
      </c>
      <c r="IV57" s="5">
        <f t="shared" si="400"/>
        <v>0</v>
      </c>
      <c r="IW57" s="5">
        <f t="shared" si="401"/>
        <v>0</v>
      </c>
      <c r="IX57" s="5">
        <f t="shared" si="402"/>
        <v>0</v>
      </c>
      <c r="IY57" s="5">
        <f t="shared" si="403"/>
        <v>0</v>
      </c>
      <c r="IZ57" s="5">
        <f t="shared" si="404"/>
        <v>0</v>
      </c>
      <c r="JA57" s="5">
        <f t="shared" si="404"/>
        <v>0</v>
      </c>
      <c r="JB57" s="63">
        <f>AVERAGE(IP57:JA57)</f>
        <v>0</v>
      </c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63" t="str">
        <f t="shared" ref="JO57:JO58" si="407">IFERROR(AVERAGE(JC57:JN57),"")</f>
        <v/>
      </c>
    </row>
    <row r="58" spans="1:327">
      <c r="A58" s="12" t="s">
        <v>20</v>
      </c>
      <c r="B58" s="5">
        <f>11</f>
        <v>11</v>
      </c>
      <c r="C58" s="5">
        <f>11</f>
        <v>11</v>
      </c>
      <c r="D58" s="20">
        <f>11</f>
        <v>11</v>
      </c>
      <c r="E58" s="20">
        <f>11</f>
        <v>11</v>
      </c>
      <c r="F58" s="20">
        <f>11</f>
        <v>11</v>
      </c>
      <c r="G58" s="20">
        <f>11</f>
        <v>11</v>
      </c>
      <c r="H58" s="20">
        <f>11</f>
        <v>11</v>
      </c>
      <c r="I58" s="20">
        <f>11</f>
        <v>11</v>
      </c>
      <c r="J58" s="20">
        <f>11+1</f>
        <v>12</v>
      </c>
      <c r="K58" s="20">
        <f>11+1</f>
        <v>12</v>
      </c>
      <c r="L58" s="20">
        <f>15</f>
        <v>15</v>
      </c>
      <c r="M58" s="20">
        <f>15</f>
        <v>15</v>
      </c>
      <c r="N58" s="20">
        <f>15</f>
        <v>15</v>
      </c>
      <c r="O58" s="7">
        <f>AVERAGE(C58:N58)</f>
        <v>12.166666666666666</v>
      </c>
      <c r="CN58" s="5">
        <f>14</f>
        <v>14</v>
      </c>
      <c r="CO58" s="5">
        <f>14</f>
        <v>14</v>
      </c>
      <c r="CP58" s="5">
        <f>14</f>
        <v>14</v>
      </c>
      <c r="CQ58" s="5">
        <f>14</f>
        <v>14</v>
      </c>
      <c r="CR58" s="5">
        <f>16</f>
        <v>16</v>
      </c>
      <c r="CS58" s="5">
        <f>15</f>
        <v>15</v>
      </c>
      <c r="CT58" s="5">
        <f>15</f>
        <v>15</v>
      </c>
      <c r="CU58" s="5">
        <f>15</f>
        <v>15</v>
      </c>
      <c r="CV58" s="5">
        <v>14</v>
      </c>
      <c r="CW58" s="5">
        <v>14</v>
      </c>
      <c r="CX58" s="5">
        <v>14</v>
      </c>
      <c r="CY58" s="5">
        <v>12</v>
      </c>
      <c r="CZ58" s="13">
        <f>AVERAGE(CN58:CY58)</f>
        <v>14.25</v>
      </c>
      <c r="FO58" s="5">
        <v>12</v>
      </c>
      <c r="FP58" s="5">
        <v>13</v>
      </c>
      <c r="FQ58" s="5">
        <v>13</v>
      </c>
      <c r="FR58" s="5">
        <v>13</v>
      </c>
      <c r="FS58" s="5">
        <v>13</v>
      </c>
      <c r="FT58" s="5">
        <v>13</v>
      </c>
      <c r="FU58" s="5">
        <v>13</v>
      </c>
      <c r="FV58" s="5">
        <v>13</v>
      </c>
      <c r="FW58" s="5">
        <f>13</f>
        <v>13</v>
      </c>
      <c r="FX58" s="5">
        <f>12</f>
        <v>12</v>
      </c>
      <c r="FY58" s="5">
        <v>13</v>
      </c>
      <c r="FZ58" s="5">
        <v>12</v>
      </c>
      <c r="GA58" s="13">
        <f>AVERAGE(FO58:FZ58)</f>
        <v>12.75</v>
      </c>
      <c r="IP58" s="5">
        <f t="shared" si="406"/>
        <v>0</v>
      </c>
      <c r="IQ58" s="5">
        <f t="shared" si="395"/>
        <v>0</v>
      </c>
      <c r="IR58" s="5">
        <f t="shared" si="396"/>
        <v>0</v>
      </c>
      <c r="IS58" s="5">
        <f t="shared" si="397"/>
        <v>0</v>
      </c>
      <c r="IT58" s="5">
        <f t="shared" si="398"/>
        <v>0</v>
      </c>
      <c r="IU58" s="5">
        <f t="shared" si="399"/>
        <v>0</v>
      </c>
      <c r="IV58" s="5">
        <f t="shared" si="400"/>
        <v>0</v>
      </c>
      <c r="IW58" s="5">
        <f t="shared" si="401"/>
        <v>0</v>
      </c>
      <c r="IX58" s="5">
        <f t="shared" si="402"/>
        <v>0</v>
      </c>
      <c r="IY58" s="5">
        <f t="shared" si="403"/>
        <v>0</v>
      </c>
      <c r="IZ58" s="5">
        <f t="shared" si="404"/>
        <v>0</v>
      </c>
      <c r="JA58" s="5">
        <f t="shared" si="404"/>
        <v>0</v>
      </c>
      <c r="JB58" s="63">
        <f>AVERAGE(IP58:JA58)</f>
        <v>0</v>
      </c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63" t="str">
        <f t="shared" si="407"/>
        <v/>
      </c>
    </row>
    <row r="59" spans="1:327" ht="15.75" thickBot="1">
      <c r="A59" s="14" t="s">
        <v>21</v>
      </c>
      <c r="B59" s="15">
        <f>SUM(B56:B58)</f>
        <v>64</v>
      </c>
      <c r="C59" s="15">
        <f>SUM(C56:C58)</f>
        <v>65</v>
      </c>
      <c r="D59" s="15">
        <f t="shared" ref="D59:M59" si="408">SUM(D56:D58)</f>
        <v>66</v>
      </c>
      <c r="E59" s="15">
        <f t="shared" si="408"/>
        <v>64</v>
      </c>
      <c r="F59" s="15">
        <f t="shared" si="408"/>
        <v>66</v>
      </c>
      <c r="G59" s="15">
        <f t="shared" si="408"/>
        <v>68</v>
      </c>
      <c r="H59" s="15">
        <f t="shared" si="408"/>
        <v>67</v>
      </c>
      <c r="I59" s="15">
        <f t="shared" si="408"/>
        <v>68</v>
      </c>
      <c r="J59" s="15">
        <f t="shared" si="408"/>
        <v>67</v>
      </c>
      <c r="K59" s="15">
        <f t="shared" si="408"/>
        <v>66</v>
      </c>
      <c r="L59" s="15">
        <f t="shared" si="408"/>
        <v>72</v>
      </c>
      <c r="M59" s="15">
        <f t="shared" si="408"/>
        <v>71</v>
      </c>
      <c r="N59" s="15">
        <f>SUM(N56:N58)</f>
        <v>73</v>
      </c>
      <c r="O59" s="16">
        <f>AVERAGE(C59:N59)</f>
        <v>67.75</v>
      </c>
      <c r="CN59" s="15">
        <f t="shared" ref="CN59:CY59" si="409">SUM(CN56:CN58)</f>
        <v>71</v>
      </c>
      <c r="CO59" s="15">
        <f t="shared" si="409"/>
        <v>71</v>
      </c>
      <c r="CP59" s="15">
        <f t="shared" si="409"/>
        <v>70</v>
      </c>
      <c r="CQ59" s="15">
        <f t="shared" si="409"/>
        <v>71</v>
      </c>
      <c r="CR59" s="15">
        <f t="shared" si="409"/>
        <v>73</v>
      </c>
      <c r="CS59" s="15">
        <f t="shared" si="409"/>
        <v>74</v>
      </c>
      <c r="CT59" s="15">
        <f t="shared" si="409"/>
        <v>75</v>
      </c>
      <c r="CU59" s="15">
        <f t="shared" si="409"/>
        <v>74</v>
      </c>
      <c r="CV59" s="15">
        <f t="shared" si="409"/>
        <v>71</v>
      </c>
      <c r="CW59" s="15">
        <f t="shared" si="409"/>
        <v>72</v>
      </c>
      <c r="CX59" s="15">
        <f t="shared" si="409"/>
        <v>73</v>
      </c>
      <c r="CY59" s="15">
        <f t="shared" si="409"/>
        <v>71</v>
      </c>
      <c r="CZ59" s="18">
        <f>AVERAGE(CN59:CY59)</f>
        <v>72.166666666666671</v>
      </c>
      <c r="FO59" s="15">
        <f t="shared" ref="FO59:FZ59" si="410">SUM(FO56:FO58)</f>
        <v>73</v>
      </c>
      <c r="FP59" s="15">
        <f t="shared" si="410"/>
        <v>74</v>
      </c>
      <c r="FQ59" s="15">
        <f t="shared" si="410"/>
        <v>74</v>
      </c>
      <c r="FR59" s="15">
        <f t="shared" si="410"/>
        <v>74</v>
      </c>
      <c r="FS59" s="113">
        <f t="shared" si="410"/>
        <v>75</v>
      </c>
      <c r="FT59" s="113">
        <f t="shared" si="410"/>
        <v>74</v>
      </c>
      <c r="FU59" s="113">
        <f t="shared" si="410"/>
        <v>76</v>
      </c>
      <c r="FV59" s="113">
        <f t="shared" si="410"/>
        <v>77</v>
      </c>
      <c r="FW59" s="113">
        <f t="shared" si="410"/>
        <v>78</v>
      </c>
      <c r="FX59" s="113">
        <f t="shared" si="410"/>
        <v>76</v>
      </c>
      <c r="FY59" s="113">
        <f t="shared" si="410"/>
        <v>79</v>
      </c>
      <c r="FZ59" s="113">
        <f t="shared" si="410"/>
        <v>78</v>
      </c>
      <c r="GA59" s="18">
        <f>AVERAGE(FO59:FZ59)</f>
        <v>75.666666666666671</v>
      </c>
      <c r="IP59" s="15">
        <f t="shared" ref="IP59:JO59" si="411">SUM(IP56:IP58)</f>
        <v>5</v>
      </c>
      <c r="IQ59" s="15">
        <f t="shared" si="411"/>
        <v>6</v>
      </c>
      <c r="IR59" s="15">
        <f t="shared" si="411"/>
        <v>6</v>
      </c>
      <c r="IS59" s="15">
        <f t="shared" si="411"/>
        <v>6</v>
      </c>
      <c r="IT59" s="15">
        <f t="shared" si="411"/>
        <v>7</v>
      </c>
      <c r="IU59" s="15">
        <f t="shared" si="411"/>
        <v>7</v>
      </c>
      <c r="IV59" s="15">
        <f t="shared" si="411"/>
        <v>8</v>
      </c>
      <c r="IW59" s="15">
        <f t="shared" si="411"/>
        <v>9</v>
      </c>
      <c r="IX59" s="15">
        <f t="shared" si="411"/>
        <v>9</v>
      </c>
      <c r="IY59" s="15">
        <f t="shared" si="411"/>
        <v>9</v>
      </c>
      <c r="IZ59" s="15">
        <f t="shared" si="411"/>
        <v>9</v>
      </c>
      <c r="JA59" s="15">
        <f t="shared" si="411"/>
        <v>9</v>
      </c>
      <c r="JB59" s="15">
        <f t="shared" si="411"/>
        <v>7.5</v>
      </c>
      <c r="JC59" s="15">
        <f t="shared" si="411"/>
        <v>5</v>
      </c>
      <c r="JD59" s="15">
        <f t="shared" si="411"/>
        <v>6</v>
      </c>
      <c r="JE59" s="15">
        <f t="shared" si="411"/>
        <v>6</v>
      </c>
      <c r="JF59" s="15">
        <f t="shared" si="411"/>
        <v>6</v>
      </c>
      <c r="JG59" s="15">
        <f t="shared" si="411"/>
        <v>7</v>
      </c>
      <c r="JH59" s="15">
        <f t="shared" si="411"/>
        <v>7</v>
      </c>
      <c r="JI59" s="15">
        <f t="shared" si="411"/>
        <v>8</v>
      </c>
      <c r="JJ59" s="15">
        <f t="shared" si="411"/>
        <v>9</v>
      </c>
      <c r="JK59" s="15">
        <f t="shared" si="411"/>
        <v>9</v>
      </c>
      <c r="JL59" s="15">
        <f t="shared" si="411"/>
        <v>9</v>
      </c>
      <c r="JM59" s="15">
        <f t="shared" si="411"/>
        <v>9</v>
      </c>
      <c r="JN59" s="15">
        <f t="shared" si="411"/>
        <v>9</v>
      </c>
      <c r="JO59" s="15">
        <f t="shared" si="411"/>
        <v>7.5</v>
      </c>
    </row>
    <row r="60" spans="1:327" ht="15.75" thickBot="1">
      <c r="A60" s="2" t="s">
        <v>39</v>
      </c>
      <c r="CN60" s="2" t="s">
        <v>39</v>
      </c>
      <c r="FO60" s="2" t="s">
        <v>39</v>
      </c>
      <c r="IP60" s="2" t="s">
        <v>39</v>
      </c>
      <c r="JC60" s="2" t="s">
        <v>124</v>
      </c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</row>
    <row r="61" spans="1:327">
      <c r="A61" s="8" t="s">
        <v>17</v>
      </c>
      <c r="B61" s="9" t="s">
        <v>6</v>
      </c>
      <c r="C61" s="9" t="s">
        <v>22</v>
      </c>
      <c r="D61" s="9" t="s">
        <v>23</v>
      </c>
      <c r="E61" s="9" t="s">
        <v>24</v>
      </c>
      <c r="F61" s="9" t="s">
        <v>25</v>
      </c>
      <c r="G61" s="9" t="s">
        <v>26</v>
      </c>
      <c r="H61" s="9" t="s">
        <v>27</v>
      </c>
      <c r="I61" s="9" t="s">
        <v>28</v>
      </c>
      <c r="J61" s="9" t="s">
        <v>29</v>
      </c>
      <c r="K61" s="9" t="s">
        <v>30</v>
      </c>
      <c r="L61" s="9" t="s">
        <v>31</v>
      </c>
      <c r="M61" s="9" t="s">
        <v>32</v>
      </c>
      <c r="N61" s="9" t="s">
        <v>33</v>
      </c>
      <c r="O61" s="9" t="s">
        <v>7</v>
      </c>
      <c r="CN61" s="57" t="s">
        <v>81</v>
      </c>
      <c r="CO61" s="57" t="s">
        <v>82</v>
      </c>
      <c r="CP61" s="57" t="s">
        <v>83</v>
      </c>
      <c r="CQ61" s="57" t="s">
        <v>84</v>
      </c>
      <c r="CR61" s="57" t="s">
        <v>85</v>
      </c>
      <c r="CS61" s="57" t="s">
        <v>86</v>
      </c>
      <c r="CT61" s="57" t="s">
        <v>87</v>
      </c>
      <c r="CU61" s="57" t="s">
        <v>88</v>
      </c>
      <c r="CV61" s="57" t="s">
        <v>89</v>
      </c>
      <c r="CW61" s="57" t="s">
        <v>90</v>
      </c>
      <c r="CX61" s="57" t="s">
        <v>91</v>
      </c>
      <c r="CY61" s="57" t="s">
        <v>92</v>
      </c>
      <c r="CZ61" s="57" t="s">
        <v>93</v>
      </c>
      <c r="FO61" s="57" t="str">
        <f>FO55</f>
        <v>Apr'17</v>
      </c>
      <c r="FP61" s="57" t="str">
        <f t="shared" ref="FP61:GA61" si="412">FP55</f>
        <v>May'17</v>
      </c>
      <c r="FQ61" s="57" t="str">
        <f t="shared" si="412"/>
        <v>Jun'17</v>
      </c>
      <c r="FR61" s="57" t="str">
        <f t="shared" si="412"/>
        <v>Jul'17</v>
      </c>
      <c r="FS61" s="57" t="str">
        <f t="shared" si="412"/>
        <v>Aug'17</v>
      </c>
      <c r="FT61" s="57" t="str">
        <f t="shared" si="412"/>
        <v>Sep'17</v>
      </c>
      <c r="FU61" s="57" t="str">
        <f t="shared" si="412"/>
        <v>Oct'17</v>
      </c>
      <c r="FV61" s="57" t="str">
        <f t="shared" si="412"/>
        <v>Nov'17</v>
      </c>
      <c r="FW61" s="57" t="str">
        <f t="shared" si="412"/>
        <v>Dec'17</v>
      </c>
      <c r="FX61" s="57" t="str">
        <f t="shared" si="412"/>
        <v>Jan'18</v>
      </c>
      <c r="FY61" s="57" t="str">
        <f t="shared" si="412"/>
        <v>Feb'18</v>
      </c>
      <c r="FZ61" s="57" t="str">
        <f t="shared" si="412"/>
        <v>Mar'18</v>
      </c>
      <c r="GA61" s="57" t="str">
        <f t="shared" si="412"/>
        <v>FY 17~18</v>
      </c>
      <c r="IP61" s="98" t="s">
        <v>127</v>
      </c>
      <c r="IQ61" s="98" t="s">
        <v>128</v>
      </c>
      <c r="IR61" s="99" t="s">
        <v>129</v>
      </c>
      <c r="IS61" s="99" t="s">
        <v>130</v>
      </c>
      <c r="IT61" s="99" t="s">
        <v>131</v>
      </c>
      <c r="IU61" s="99" t="s">
        <v>132</v>
      </c>
      <c r="IV61" s="99" t="s">
        <v>133</v>
      </c>
      <c r="IW61" s="99" t="s">
        <v>134</v>
      </c>
      <c r="IX61" s="99" t="s">
        <v>135</v>
      </c>
      <c r="IY61" s="99" t="s">
        <v>136</v>
      </c>
      <c r="IZ61" s="99" t="s">
        <v>137</v>
      </c>
      <c r="JA61" s="99" t="s">
        <v>138</v>
      </c>
      <c r="JB61" s="99" t="s">
        <v>139</v>
      </c>
      <c r="JC61" s="98" t="s">
        <v>127</v>
      </c>
      <c r="JD61" s="98" t="s">
        <v>128</v>
      </c>
      <c r="JE61" s="99" t="s">
        <v>129</v>
      </c>
      <c r="JF61" s="99" t="s">
        <v>130</v>
      </c>
      <c r="JG61" s="99" t="s">
        <v>131</v>
      </c>
      <c r="JH61" s="99" t="s">
        <v>132</v>
      </c>
      <c r="JI61" s="99" t="s">
        <v>133</v>
      </c>
      <c r="JJ61" s="99" t="s">
        <v>134</v>
      </c>
      <c r="JK61" s="99" t="s">
        <v>135</v>
      </c>
      <c r="JL61" s="99" t="s">
        <v>136</v>
      </c>
      <c r="JM61" s="99" t="s">
        <v>137</v>
      </c>
      <c r="JN61" s="99" t="s">
        <v>138</v>
      </c>
      <c r="JO61" s="99" t="s">
        <v>139</v>
      </c>
    </row>
    <row r="62" spans="1:327" ht="16.5">
      <c r="A62" s="12" t="s">
        <v>18</v>
      </c>
      <c r="B62" s="5"/>
      <c r="C62" s="19">
        <v>58</v>
      </c>
      <c r="D62" s="5">
        <f>60</f>
        <v>60</v>
      </c>
      <c r="E62" s="5">
        <f>62</f>
        <v>62</v>
      </c>
      <c r="F62" s="5">
        <f>62</f>
        <v>62</v>
      </c>
      <c r="G62" s="5">
        <f>62</f>
        <v>62</v>
      </c>
      <c r="H62" s="5">
        <f>62</f>
        <v>62</v>
      </c>
      <c r="I62" s="5">
        <f>62+1</f>
        <v>63</v>
      </c>
      <c r="J62" s="5">
        <f>62+1</f>
        <v>63</v>
      </c>
      <c r="K62" s="5">
        <f>62+1+2</f>
        <v>65</v>
      </c>
      <c r="L62" s="5">
        <f>62+1+2</f>
        <v>65</v>
      </c>
      <c r="M62" s="5">
        <f>62+1+2</f>
        <v>65</v>
      </c>
      <c r="N62" s="5">
        <f>62+1+2</f>
        <v>65</v>
      </c>
      <c r="O62" s="7">
        <f>AVERAGE(C62:N62)</f>
        <v>62.666666666666664</v>
      </c>
      <c r="CN62" s="5">
        <f>63</f>
        <v>63</v>
      </c>
      <c r="CO62" s="5">
        <f>64</f>
        <v>64</v>
      </c>
      <c r="CP62" s="5">
        <f>64</f>
        <v>64</v>
      </c>
      <c r="CQ62" s="5">
        <f>66</f>
        <v>66</v>
      </c>
      <c r="CR62" s="5">
        <f>66</f>
        <v>66</v>
      </c>
      <c r="CS62" s="5">
        <f>66</f>
        <v>66</v>
      </c>
      <c r="CT62" s="5">
        <f>66</f>
        <v>66</v>
      </c>
      <c r="CU62" s="5">
        <f>66</f>
        <v>66</v>
      </c>
      <c r="CV62" s="5">
        <v>66</v>
      </c>
      <c r="CW62" s="5">
        <v>66</v>
      </c>
      <c r="CX62" s="5">
        <v>66</v>
      </c>
      <c r="CY62" s="5">
        <v>66</v>
      </c>
      <c r="CZ62" s="13">
        <f>AVERAGE(CN62:CY62)</f>
        <v>65.416666666666671</v>
      </c>
      <c r="FO62" s="5">
        <v>68</v>
      </c>
      <c r="FP62" s="5">
        <v>68</v>
      </c>
      <c r="FQ62" s="5">
        <v>68</v>
      </c>
      <c r="FR62" s="5">
        <v>70</v>
      </c>
      <c r="FS62" s="5">
        <v>70</v>
      </c>
      <c r="FT62" s="5">
        <v>71</v>
      </c>
      <c r="FU62" s="114">
        <f>71+10</f>
        <v>81</v>
      </c>
      <c r="FV62" s="114">
        <f>71+11</f>
        <v>82</v>
      </c>
      <c r="FW62" s="114">
        <f>71+11</f>
        <v>82</v>
      </c>
      <c r="FX62" s="114">
        <f>71+14</f>
        <v>85</v>
      </c>
      <c r="FY62" s="114">
        <f>71+14</f>
        <v>85</v>
      </c>
      <c r="FZ62" s="114">
        <f>70+14</f>
        <v>84</v>
      </c>
      <c r="GA62" s="13">
        <f>AVERAGE(FO62:FZ62)</f>
        <v>76.166666666666671</v>
      </c>
      <c r="IP62" s="5">
        <f>SUM(JC62,JP62,KC62,KP62,LC62)</f>
        <v>7</v>
      </c>
      <c r="IQ62" s="5">
        <f t="shared" ref="IQ62:IQ64" si="413">SUM(JD62,JQ62,KD62,KQ62,LD62)</f>
        <v>11</v>
      </c>
      <c r="IR62" s="5">
        <f t="shared" ref="IR62:IR64" si="414">SUM(JE62,JR62,KE62,KR62,LE62)</f>
        <v>12</v>
      </c>
      <c r="IS62" s="5">
        <f t="shared" ref="IS62:IS64" si="415">SUM(JF62,JS62,KF62,KS62,LF62)</f>
        <v>18</v>
      </c>
      <c r="IT62" s="5">
        <f t="shared" ref="IT62:IT64" si="416">SUM(JG62,JT62,KG62,KT62,LG62)</f>
        <v>17</v>
      </c>
      <c r="IU62" s="5">
        <f t="shared" ref="IU62:IU64" si="417">SUM(JH62,JU62,KH62,KU62,LH62)</f>
        <v>17</v>
      </c>
      <c r="IV62" s="5">
        <f t="shared" ref="IV62:IV64" si="418">SUM(JI62,JV62,KI62,KV62,LI62)</f>
        <v>18</v>
      </c>
      <c r="IW62" s="5">
        <f t="shared" ref="IW62:IW64" si="419">SUM(JJ62,JW62,KJ62,KW62,LJ62)</f>
        <v>18</v>
      </c>
      <c r="IX62" s="5">
        <f t="shared" ref="IX62:IX64" si="420">SUM(JK62,JX62,KK62,KX62,LK62)</f>
        <v>18</v>
      </c>
      <c r="IY62" s="5">
        <f t="shared" ref="IY62:IY64" si="421">SUM(JL62,JY62,KL62,KY62,LL62)</f>
        <v>18</v>
      </c>
      <c r="IZ62" s="5">
        <f t="shared" ref="IZ62:IZ64" si="422">SUM(JM62,JZ62,KM62,KZ62,LM62)</f>
        <v>18</v>
      </c>
      <c r="JA62" s="5">
        <f t="shared" ref="JA62:JA64" si="423">SUM(JN62,KA62,KN62,LA62,LN62)</f>
        <v>18</v>
      </c>
      <c r="JB62" s="63">
        <f>AVERAGE(IP62:JA62)</f>
        <v>15.833333333333334</v>
      </c>
      <c r="JC62" s="21">
        <f>[17]Manpower_month!FG5</f>
        <v>7</v>
      </c>
      <c r="JD62" s="21">
        <f>[17]Manpower_month!FH5</f>
        <v>11</v>
      </c>
      <c r="JE62" s="21">
        <f>[17]Manpower_month!FI5</f>
        <v>12</v>
      </c>
      <c r="JF62" s="21">
        <f>[17]Manpower_month!FJ5</f>
        <v>18</v>
      </c>
      <c r="JG62" s="21">
        <f>[18]Manpower_month!FK5</f>
        <v>17</v>
      </c>
      <c r="JH62" s="21">
        <f>[18]Manpower_month!FL5</f>
        <v>17</v>
      </c>
      <c r="JI62" s="21">
        <f>[18]Manpower_month!FM5</f>
        <v>18</v>
      </c>
      <c r="JJ62" s="21">
        <f>[18]Manpower_month!FN5</f>
        <v>18</v>
      </c>
      <c r="JK62" s="21">
        <f>[18]Manpower_month!FO5</f>
        <v>18</v>
      </c>
      <c r="JL62" s="21">
        <f>[18]Manpower_month!FP5</f>
        <v>18</v>
      </c>
      <c r="JM62" s="21">
        <f>[18]Manpower_month!FQ5</f>
        <v>18</v>
      </c>
      <c r="JN62" s="21">
        <f>[18]Manpower_month!FR5</f>
        <v>18</v>
      </c>
      <c r="JO62" s="63">
        <f>IFERROR(AVERAGE(JC62:JN62),"")</f>
        <v>15.833333333333334</v>
      </c>
    </row>
    <row r="63" spans="1:327">
      <c r="A63" s="12" t="s">
        <v>19</v>
      </c>
      <c r="B63" s="5"/>
      <c r="C63" s="5">
        <f>0</f>
        <v>0</v>
      </c>
      <c r="D63" s="5">
        <f>C63</f>
        <v>0</v>
      </c>
      <c r="E63" s="5">
        <f t="shared" ref="E63:N63" si="424">D63</f>
        <v>0</v>
      </c>
      <c r="F63" s="5">
        <f t="shared" si="424"/>
        <v>0</v>
      </c>
      <c r="G63" s="5">
        <f t="shared" si="424"/>
        <v>0</v>
      </c>
      <c r="H63" s="5">
        <f t="shared" si="424"/>
        <v>0</v>
      </c>
      <c r="I63" s="5">
        <f t="shared" si="424"/>
        <v>0</v>
      </c>
      <c r="J63" s="5">
        <f t="shared" si="424"/>
        <v>0</v>
      </c>
      <c r="K63" s="5">
        <f t="shared" si="424"/>
        <v>0</v>
      </c>
      <c r="L63" s="5">
        <f t="shared" si="424"/>
        <v>0</v>
      </c>
      <c r="M63" s="5">
        <f t="shared" si="424"/>
        <v>0</v>
      </c>
      <c r="N63" s="5">
        <f t="shared" si="424"/>
        <v>0</v>
      </c>
      <c r="O63" s="7">
        <f>AVERAGE(C63:N63)</f>
        <v>0</v>
      </c>
      <c r="CN63" s="5">
        <f>0</f>
        <v>0</v>
      </c>
      <c r="CO63" s="5">
        <f>0</f>
        <v>0</v>
      </c>
      <c r="CP63" s="5">
        <f>0</f>
        <v>0</v>
      </c>
      <c r="CQ63" s="5">
        <f>0</f>
        <v>0</v>
      </c>
      <c r="CR63" s="5">
        <f>0</f>
        <v>0</v>
      </c>
      <c r="CS63" s="5">
        <f>0</f>
        <v>0</v>
      </c>
      <c r="CT63" s="5">
        <f>0</f>
        <v>0</v>
      </c>
      <c r="CU63" s="5">
        <f>0</f>
        <v>0</v>
      </c>
      <c r="CV63" s="5">
        <v>0</v>
      </c>
      <c r="CW63" s="5">
        <v>0</v>
      </c>
      <c r="CX63" s="5">
        <v>0</v>
      </c>
      <c r="CY63" s="5">
        <v>0</v>
      </c>
      <c r="CZ63" s="13">
        <f>AVERAGE(CN63:CY63)</f>
        <v>0</v>
      </c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13" t="e">
        <f>AVERAGE(FO63:FZ63)</f>
        <v>#DIV/0!</v>
      </c>
      <c r="IP63" s="5">
        <f t="shared" ref="IP63:IP64" si="425">SUM(JC63,JP63,KC63,KP63,LC63)</f>
        <v>0</v>
      </c>
      <c r="IQ63" s="5">
        <f t="shared" si="413"/>
        <v>0</v>
      </c>
      <c r="IR63" s="5">
        <f t="shared" si="414"/>
        <v>0</v>
      </c>
      <c r="IS63" s="5">
        <f t="shared" si="415"/>
        <v>0</v>
      </c>
      <c r="IT63" s="5">
        <f t="shared" si="416"/>
        <v>0</v>
      </c>
      <c r="IU63" s="5">
        <f t="shared" si="417"/>
        <v>0</v>
      </c>
      <c r="IV63" s="5">
        <f t="shared" si="418"/>
        <v>0</v>
      </c>
      <c r="IW63" s="5">
        <f t="shared" si="419"/>
        <v>0</v>
      </c>
      <c r="IX63" s="5">
        <f t="shared" si="420"/>
        <v>0</v>
      </c>
      <c r="IY63" s="5">
        <f t="shared" si="421"/>
        <v>0</v>
      </c>
      <c r="IZ63" s="5">
        <f t="shared" si="422"/>
        <v>0</v>
      </c>
      <c r="JA63" s="5">
        <f t="shared" si="423"/>
        <v>0</v>
      </c>
      <c r="JB63" s="63">
        <f>AVERAGE(IP63:JA63)</f>
        <v>0</v>
      </c>
      <c r="JC63" s="21">
        <f>[17]Manpower_month!FG7</f>
        <v>0</v>
      </c>
      <c r="JD63" s="21">
        <f>[17]Manpower_month!FH7</f>
        <v>0</v>
      </c>
      <c r="JE63" s="21">
        <f>[17]Manpower_month!FI7</f>
        <v>0</v>
      </c>
      <c r="JF63" s="21">
        <f>[17]Manpower_month!FJ7</f>
        <v>0</v>
      </c>
      <c r="JG63" s="21">
        <f>[18]Manpower_month!FK7</f>
        <v>0</v>
      </c>
      <c r="JH63" s="21">
        <f>[18]Manpower_month!FL7</f>
        <v>0</v>
      </c>
      <c r="JI63" s="21">
        <f>[18]Manpower_month!FM7</f>
        <v>0</v>
      </c>
      <c r="JJ63" s="21">
        <f>[18]Manpower_month!FN7</f>
        <v>0</v>
      </c>
      <c r="JK63" s="21">
        <f>[18]Manpower_month!FO7</f>
        <v>0</v>
      </c>
      <c r="JL63" s="21">
        <f>[18]Manpower_month!FP7</f>
        <v>0</v>
      </c>
      <c r="JM63" s="21">
        <f>[18]Manpower_month!FQ7</f>
        <v>0</v>
      </c>
      <c r="JN63" s="21">
        <f>[18]Manpower_month!FR7</f>
        <v>0</v>
      </c>
      <c r="JO63" s="63">
        <f t="shared" ref="JO63:JO64" si="426">IFERROR(AVERAGE(JC63:JN63),"")</f>
        <v>0</v>
      </c>
    </row>
    <row r="64" spans="1:327">
      <c r="A64" s="12" t="s">
        <v>20</v>
      </c>
      <c r="B64" s="5"/>
      <c r="C64" s="5">
        <f>11</f>
        <v>11</v>
      </c>
      <c r="D64" s="5">
        <f>C64</f>
        <v>11</v>
      </c>
      <c r="E64" s="5">
        <f t="shared" ref="E64:N64" si="427">D64</f>
        <v>11</v>
      </c>
      <c r="F64" s="5">
        <f t="shared" si="427"/>
        <v>11</v>
      </c>
      <c r="G64" s="5">
        <f t="shared" si="427"/>
        <v>11</v>
      </c>
      <c r="H64" s="5">
        <f t="shared" si="427"/>
        <v>11</v>
      </c>
      <c r="I64" s="5">
        <f t="shared" si="427"/>
        <v>11</v>
      </c>
      <c r="J64" s="5">
        <f t="shared" si="427"/>
        <v>11</v>
      </c>
      <c r="K64" s="5">
        <f t="shared" si="427"/>
        <v>11</v>
      </c>
      <c r="L64" s="5">
        <f t="shared" si="427"/>
        <v>11</v>
      </c>
      <c r="M64" s="5">
        <f t="shared" si="427"/>
        <v>11</v>
      </c>
      <c r="N64" s="5">
        <f t="shared" si="427"/>
        <v>11</v>
      </c>
      <c r="O64" s="7">
        <f>AVERAGE(C64:N64)</f>
        <v>11</v>
      </c>
      <c r="CN64" s="5">
        <f>15</f>
        <v>15</v>
      </c>
      <c r="CO64" s="5">
        <f>16</f>
        <v>16</v>
      </c>
      <c r="CP64" s="5">
        <f>16</f>
        <v>16</v>
      </c>
      <c r="CQ64" s="5">
        <f>16</f>
        <v>16</v>
      </c>
      <c r="CR64" s="5">
        <f>16</f>
        <v>16</v>
      </c>
      <c r="CS64" s="5">
        <f>16</f>
        <v>16</v>
      </c>
      <c r="CT64" s="5">
        <f>16</f>
        <v>16</v>
      </c>
      <c r="CU64" s="5">
        <f>16</f>
        <v>16</v>
      </c>
      <c r="CV64" s="5">
        <v>16</v>
      </c>
      <c r="CW64" s="5">
        <v>16</v>
      </c>
      <c r="CX64" s="5">
        <v>16</v>
      </c>
      <c r="CY64" s="5">
        <v>16</v>
      </c>
      <c r="CZ64" s="13">
        <f>AVERAGE(CN64:CY64)</f>
        <v>15.916666666666666</v>
      </c>
      <c r="FO64" s="5">
        <v>14</v>
      </c>
      <c r="FP64" s="5">
        <v>14</v>
      </c>
      <c r="FQ64" s="5">
        <v>14</v>
      </c>
      <c r="FR64" s="5">
        <v>14</v>
      </c>
      <c r="FS64" s="5">
        <v>14</v>
      </c>
      <c r="FT64" s="5">
        <v>14</v>
      </c>
      <c r="FU64" s="5">
        <v>14</v>
      </c>
      <c r="FV64" s="5">
        <v>14</v>
      </c>
      <c r="FW64" s="5">
        <f>14</f>
        <v>14</v>
      </c>
      <c r="FX64" s="5">
        <f>14</f>
        <v>14</v>
      </c>
      <c r="FY64" s="5">
        <f>14</f>
        <v>14</v>
      </c>
      <c r="FZ64" s="5">
        <f>14</f>
        <v>14</v>
      </c>
      <c r="GA64" s="13">
        <f>AVERAGE(FO64:FZ64)</f>
        <v>14</v>
      </c>
      <c r="IP64" s="5">
        <f t="shared" si="425"/>
        <v>0</v>
      </c>
      <c r="IQ64" s="5">
        <f t="shared" si="413"/>
        <v>0</v>
      </c>
      <c r="IR64" s="5">
        <f t="shared" si="414"/>
        <v>0</v>
      </c>
      <c r="IS64" s="5">
        <f t="shared" si="415"/>
        <v>0</v>
      </c>
      <c r="IT64" s="5">
        <f t="shared" si="416"/>
        <v>0</v>
      </c>
      <c r="IU64" s="5">
        <f t="shared" si="417"/>
        <v>0</v>
      </c>
      <c r="IV64" s="5">
        <f t="shared" si="418"/>
        <v>0</v>
      </c>
      <c r="IW64" s="5">
        <f t="shared" si="419"/>
        <v>0</v>
      </c>
      <c r="IX64" s="5">
        <f t="shared" si="420"/>
        <v>0</v>
      </c>
      <c r="IY64" s="5">
        <f t="shared" si="421"/>
        <v>0</v>
      </c>
      <c r="IZ64" s="5">
        <f t="shared" si="422"/>
        <v>0</v>
      </c>
      <c r="JA64" s="5">
        <f t="shared" si="423"/>
        <v>0</v>
      </c>
      <c r="JB64" s="63">
        <f>AVERAGE(IP64:JA64)</f>
        <v>0</v>
      </c>
      <c r="JC64" s="21">
        <f>[17]Manpower_month!FG8</f>
        <v>0</v>
      </c>
      <c r="JD64" s="21">
        <f>[17]Manpower_month!FH8</f>
        <v>0</v>
      </c>
      <c r="JE64" s="21">
        <f>[17]Manpower_month!FI8</f>
        <v>0</v>
      </c>
      <c r="JF64" s="21">
        <f>[17]Manpower_month!FJ8</f>
        <v>0</v>
      </c>
      <c r="JG64" s="21">
        <f>[18]Manpower_month!FK8</f>
        <v>0</v>
      </c>
      <c r="JH64" s="21">
        <f>[18]Manpower_month!FL8</f>
        <v>0</v>
      </c>
      <c r="JI64" s="21">
        <f>[18]Manpower_month!FM8</f>
        <v>0</v>
      </c>
      <c r="JJ64" s="21">
        <f>[18]Manpower_month!FN8</f>
        <v>0</v>
      </c>
      <c r="JK64" s="21">
        <f>[18]Manpower_month!FO8</f>
        <v>0</v>
      </c>
      <c r="JL64" s="21">
        <f>[18]Manpower_month!FP8</f>
        <v>0</v>
      </c>
      <c r="JM64" s="21">
        <f>[18]Manpower_month!FQ8</f>
        <v>0</v>
      </c>
      <c r="JN64" s="21">
        <f>[18]Manpower_month!FR8</f>
        <v>0</v>
      </c>
      <c r="JO64" s="63">
        <f t="shared" si="426"/>
        <v>0</v>
      </c>
    </row>
    <row r="65" spans="1:275" ht="15.75" thickBot="1">
      <c r="A65" s="14" t="s">
        <v>21</v>
      </c>
      <c r="B65" s="15">
        <f>SUM(B62:B64)</f>
        <v>0</v>
      </c>
      <c r="C65" s="15">
        <f>SUM(C62:C64)</f>
        <v>69</v>
      </c>
      <c r="D65" s="15">
        <f t="shared" ref="D65:M65" si="428">SUM(D62:D64)</f>
        <v>71</v>
      </c>
      <c r="E65" s="15">
        <f t="shared" si="428"/>
        <v>73</v>
      </c>
      <c r="F65" s="15">
        <f t="shared" si="428"/>
        <v>73</v>
      </c>
      <c r="G65" s="15">
        <f t="shared" si="428"/>
        <v>73</v>
      </c>
      <c r="H65" s="15">
        <f t="shared" si="428"/>
        <v>73</v>
      </c>
      <c r="I65" s="15">
        <f t="shared" si="428"/>
        <v>74</v>
      </c>
      <c r="J65" s="15">
        <f t="shared" si="428"/>
        <v>74</v>
      </c>
      <c r="K65" s="15">
        <f t="shared" si="428"/>
        <v>76</v>
      </c>
      <c r="L65" s="15">
        <f t="shared" si="428"/>
        <v>76</v>
      </c>
      <c r="M65" s="15">
        <f t="shared" si="428"/>
        <v>76</v>
      </c>
      <c r="N65" s="15">
        <f>SUM(N62:N64)</f>
        <v>76</v>
      </c>
      <c r="O65" s="16">
        <f>AVERAGE(C65:N65)</f>
        <v>73.666666666666671</v>
      </c>
      <c r="CN65" s="15">
        <f t="shared" ref="CN65:CY65" si="429">SUM(CN62:CN64)</f>
        <v>78</v>
      </c>
      <c r="CO65" s="15">
        <f t="shared" si="429"/>
        <v>80</v>
      </c>
      <c r="CP65" s="15">
        <f t="shared" si="429"/>
        <v>80</v>
      </c>
      <c r="CQ65" s="15">
        <f t="shared" si="429"/>
        <v>82</v>
      </c>
      <c r="CR65" s="15">
        <f t="shared" si="429"/>
        <v>82</v>
      </c>
      <c r="CS65" s="15">
        <f t="shared" si="429"/>
        <v>82</v>
      </c>
      <c r="CT65" s="15">
        <f t="shared" si="429"/>
        <v>82</v>
      </c>
      <c r="CU65" s="15">
        <f t="shared" si="429"/>
        <v>82</v>
      </c>
      <c r="CV65" s="15">
        <f t="shared" si="429"/>
        <v>82</v>
      </c>
      <c r="CW65" s="15">
        <f t="shared" si="429"/>
        <v>82</v>
      </c>
      <c r="CX65" s="15">
        <f t="shared" si="429"/>
        <v>82</v>
      </c>
      <c r="CY65" s="15">
        <f t="shared" si="429"/>
        <v>82</v>
      </c>
      <c r="CZ65" s="18">
        <f>AVERAGE(CN65:CY65)</f>
        <v>81.333333333333329</v>
      </c>
      <c r="FO65" s="15">
        <f t="shared" ref="FO65:FZ65" si="430">SUM(FO62:FO64)</f>
        <v>82</v>
      </c>
      <c r="FP65" s="15">
        <f t="shared" si="430"/>
        <v>82</v>
      </c>
      <c r="FQ65" s="113">
        <f t="shared" si="430"/>
        <v>82</v>
      </c>
      <c r="FR65" s="113">
        <f t="shared" si="430"/>
        <v>84</v>
      </c>
      <c r="FS65" s="113">
        <f t="shared" si="430"/>
        <v>84</v>
      </c>
      <c r="FT65" s="113">
        <f t="shared" si="430"/>
        <v>85</v>
      </c>
      <c r="FU65" s="113">
        <f t="shared" si="430"/>
        <v>95</v>
      </c>
      <c r="FV65" s="113">
        <f t="shared" si="430"/>
        <v>96</v>
      </c>
      <c r="FW65" s="113">
        <f t="shared" si="430"/>
        <v>96</v>
      </c>
      <c r="FX65" s="113">
        <f t="shared" si="430"/>
        <v>99</v>
      </c>
      <c r="FY65" s="113">
        <f t="shared" si="430"/>
        <v>99</v>
      </c>
      <c r="FZ65" s="113">
        <f t="shared" si="430"/>
        <v>98</v>
      </c>
      <c r="GA65" s="18">
        <f>AVERAGE(FO65:FZ65)</f>
        <v>90.166666666666671</v>
      </c>
      <c r="IP65" s="15">
        <f t="shared" ref="IP65:JO65" si="431">SUM(IP62:IP64)</f>
        <v>7</v>
      </c>
      <c r="IQ65" s="15">
        <f t="shared" si="431"/>
        <v>11</v>
      </c>
      <c r="IR65" s="15">
        <f t="shared" si="431"/>
        <v>12</v>
      </c>
      <c r="IS65" s="15">
        <f t="shared" si="431"/>
        <v>18</v>
      </c>
      <c r="IT65" s="15">
        <f t="shared" si="431"/>
        <v>17</v>
      </c>
      <c r="IU65" s="15">
        <f t="shared" si="431"/>
        <v>17</v>
      </c>
      <c r="IV65" s="15">
        <f t="shared" si="431"/>
        <v>18</v>
      </c>
      <c r="IW65" s="15">
        <f t="shared" si="431"/>
        <v>18</v>
      </c>
      <c r="IX65" s="15">
        <f t="shared" si="431"/>
        <v>18</v>
      </c>
      <c r="IY65" s="15">
        <f t="shared" si="431"/>
        <v>18</v>
      </c>
      <c r="IZ65" s="15">
        <f t="shared" si="431"/>
        <v>18</v>
      </c>
      <c r="JA65" s="15">
        <f t="shared" si="431"/>
        <v>18</v>
      </c>
      <c r="JB65" s="15">
        <f t="shared" si="431"/>
        <v>15.833333333333334</v>
      </c>
      <c r="JC65" s="15">
        <f t="shared" si="431"/>
        <v>7</v>
      </c>
      <c r="JD65" s="15">
        <f t="shared" si="431"/>
        <v>11</v>
      </c>
      <c r="JE65" s="15">
        <f t="shared" si="431"/>
        <v>12</v>
      </c>
      <c r="JF65" s="15">
        <f t="shared" si="431"/>
        <v>18</v>
      </c>
      <c r="JG65" s="15">
        <f t="shared" si="431"/>
        <v>17</v>
      </c>
      <c r="JH65" s="15">
        <f t="shared" si="431"/>
        <v>17</v>
      </c>
      <c r="JI65" s="15">
        <f t="shared" si="431"/>
        <v>18</v>
      </c>
      <c r="JJ65" s="15">
        <f t="shared" si="431"/>
        <v>18</v>
      </c>
      <c r="JK65" s="15">
        <f t="shared" si="431"/>
        <v>18</v>
      </c>
      <c r="JL65" s="15">
        <f t="shared" si="431"/>
        <v>18</v>
      </c>
      <c r="JM65" s="15">
        <f t="shared" si="431"/>
        <v>18</v>
      </c>
      <c r="JN65" s="15">
        <f t="shared" si="431"/>
        <v>18</v>
      </c>
      <c r="JO65" s="15">
        <f t="shared" si="431"/>
        <v>15.833333333333334</v>
      </c>
    </row>
    <row r="66" spans="1:275">
      <c r="FQ66" s="58"/>
    </row>
    <row r="67" spans="1:275" ht="15.75" thickBot="1">
      <c r="A67" s="2" t="s">
        <v>48</v>
      </c>
      <c r="CN67" s="2" t="s">
        <v>48</v>
      </c>
      <c r="FO67" s="2" t="s">
        <v>48</v>
      </c>
      <c r="IP67" s="2" t="s">
        <v>143</v>
      </c>
    </row>
    <row r="68" spans="1:275">
      <c r="A68" s="8" t="s">
        <v>17</v>
      </c>
      <c r="B68" s="9" t="s">
        <v>6</v>
      </c>
      <c r="C68" s="9" t="s">
        <v>22</v>
      </c>
      <c r="D68" s="9" t="s">
        <v>23</v>
      </c>
      <c r="E68" s="9" t="s">
        <v>24</v>
      </c>
      <c r="F68" s="9" t="s">
        <v>25</v>
      </c>
      <c r="G68" s="9" t="s">
        <v>26</v>
      </c>
      <c r="H68" s="9" t="s">
        <v>27</v>
      </c>
      <c r="I68" s="9" t="s">
        <v>28</v>
      </c>
      <c r="J68" s="9" t="s">
        <v>29</v>
      </c>
      <c r="K68" s="9" t="s">
        <v>30</v>
      </c>
      <c r="L68" s="9" t="s">
        <v>31</v>
      </c>
      <c r="M68" s="9" t="s">
        <v>32</v>
      </c>
      <c r="N68" s="9" t="s">
        <v>33</v>
      </c>
      <c r="O68" s="9" t="s">
        <v>7</v>
      </c>
      <c r="CN68" s="57" t="s">
        <v>81</v>
      </c>
      <c r="CO68" s="57" t="s">
        <v>82</v>
      </c>
      <c r="CP68" s="57" t="s">
        <v>83</v>
      </c>
      <c r="CQ68" s="57" t="s">
        <v>84</v>
      </c>
      <c r="CR68" s="57" t="s">
        <v>85</v>
      </c>
      <c r="CS68" s="57" t="s">
        <v>86</v>
      </c>
      <c r="CT68" s="57" t="s">
        <v>87</v>
      </c>
      <c r="CU68" s="57" t="s">
        <v>88</v>
      </c>
      <c r="CV68" s="57" t="s">
        <v>89</v>
      </c>
      <c r="CW68" s="57" t="s">
        <v>90</v>
      </c>
      <c r="CX68" s="57" t="s">
        <v>91</v>
      </c>
      <c r="CY68" s="57" t="s">
        <v>92</v>
      </c>
      <c r="CZ68" s="57" t="s">
        <v>93</v>
      </c>
      <c r="FO68" s="57" t="s">
        <v>104</v>
      </c>
      <c r="FP68" s="57" t="s">
        <v>105</v>
      </c>
      <c r="FQ68" s="57" t="s">
        <v>106</v>
      </c>
      <c r="FR68" s="57" t="s">
        <v>107</v>
      </c>
      <c r="FS68" s="57" t="s">
        <v>108</v>
      </c>
      <c r="FT68" s="57" t="s">
        <v>109</v>
      </c>
      <c r="FU68" s="57" t="s">
        <v>110</v>
      </c>
      <c r="FV68" s="57" t="s">
        <v>111</v>
      </c>
      <c r="FW68" s="57" t="s">
        <v>112</v>
      </c>
      <c r="FX68" s="57" t="s">
        <v>113</v>
      </c>
      <c r="FY68" s="57" t="s">
        <v>114</v>
      </c>
      <c r="FZ68" s="57" t="s">
        <v>115</v>
      </c>
      <c r="GA68" s="57" t="s">
        <v>116</v>
      </c>
      <c r="IP68" s="98" t="s">
        <v>127</v>
      </c>
      <c r="IQ68" s="98" t="s">
        <v>128</v>
      </c>
      <c r="IR68" s="99" t="s">
        <v>129</v>
      </c>
      <c r="IS68" s="99" t="s">
        <v>130</v>
      </c>
      <c r="IT68" s="99" t="s">
        <v>131</v>
      </c>
      <c r="IU68" s="99" t="s">
        <v>132</v>
      </c>
      <c r="IV68" s="99" t="s">
        <v>133</v>
      </c>
      <c r="IW68" s="99" t="s">
        <v>134</v>
      </c>
      <c r="IX68" s="99" t="s">
        <v>135</v>
      </c>
      <c r="IY68" s="99" t="s">
        <v>136</v>
      </c>
      <c r="IZ68" s="99" t="s">
        <v>137</v>
      </c>
      <c r="JA68" s="99" t="s">
        <v>138</v>
      </c>
      <c r="JB68" s="99" t="s">
        <v>139</v>
      </c>
    </row>
    <row r="69" spans="1:275">
      <c r="A69" s="12" t="s">
        <v>18</v>
      </c>
      <c r="B69" s="5">
        <f t="shared" ref="B69:N69" si="432">SUM(B56,B43,B30,B17,B4)</f>
        <v>495.6</v>
      </c>
      <c r="C69" s="5">
        <f t="shared" si="432"/>
        <v>493.5</v>
      </c>
      <c r="D69" s="5">
        <f t="shared" si="432"/>
        <v>501</v>
      </c>
      <c r="E69" s="5">
        <f t="shared" si="432"/>
        <v>497.5</v>
      </c>
      <c r="F69" s="5">
        <f t="shared" si="432"/>
        <v>514</v>
      </c>
      <c r="G69" s="5">
        <f t="shared" si="432"/>
        <v>517</v>
      </c>
      <c r="H69" s="5">
        <f t="shared" si="432"/>
        <v>514</v>
      </c>
      <c r="I69" s="5">
        <f t="shared" si="432"/>
        <v>527</v>
      </c>
      <c r="J69" s="5">
        <f t="shared" si="432"/>
        <v>520</v>
      </c>
      <c r="K69" s="5">
        <f t="shared" si="432"/>
        <v>523</v>
      </c>
      <c r="L69" s="5">
        <f t="shared" si="432"/>
        <v>553</v>
      </c>
      <c r="M69" s="5">
        <f t="shared" si="432"/>
        <v>545</v>
      </c>
      <c r="N69" s="5">
        <f t="shared" si="432"/>
        <v>545</v>
      </c>
      <c r="O69" s="21">
        <f>AVERAGE(C69:N69)</f>
        <v>520.83333333333337</v>
      </c>
      <c r="CN69" s="5">
        <f>SUM(CN56,CN43,CN30,CN17,CN4)</f>
        <v>541</v>
      </c>
      <c r="CO69" s="5">
        <f t="shared" ref="CO69:CY69" si="433">SUM(CO56,CO43,CO30,CO17,CO4)</f>
        <v>535</v>
      </c>
      <c r="CP69" s="5">
        <f t="shared" si="433"/>
        <v>532</v>
      </c>
      <c r="CQ69" s="5">
        <f t="shared" si="433"/>
        <v>544</v>
      </c>
      <c r="CR69" s="5">
        <f t="shared" si="433"/>
        <v>557.5</v>
      </c>
      <c r="CS69" s="5">
        <f t="shared" si="433"/>
        <v>558.5</v>
      </c>
      <c r="CT69" s="5">
        <f t="shared" si="433"/>
        <v>560</v>
      </c>
      <c r="CU69" s="5">
        <f t="shared" si="433"/>
        <v>557</v>
      </c>
      <c r="CV69" s="5">
        <f t="shared" si="433"/>
        <v>558</v>
      </c>
      <c r="CW69" s="5">
        <f t="shared" si="433"/>
        <v>579</v>
      </c>
      <c r="CX69" s="5">
        <f t="shared" si="433"/>
        <v>587</v>
      </c>
      <c r="CY69" s="5">
        <f t="shared" si="433"/>
        <v>582</v>
      </c>
      <c r="CZ69" s="13">
        <f>AVERAGE(CN69:CY69)</f>
        <v>557.58333333333337</v>
      </c>
      <c r="FO69" s="5">
        <f>SUM(FO56,FO43,FO30,FO17,FO4)</f>
        <v>594.5</v>
      </c>
      <c r="FP69" s="5">
        <f>SUM(FP56,FP43,FP30,FP17,FP4)</f>
        <v>602</v>
      </c>
      <c r="FQ69" s="5">
        <f t="shared" ref="FQ69:FZ69" si="434">SUM(FQ56,FQ43,FQ30,FQ17,FQ4)</f>
        <v>595.5</v>
      </c>
      <c r="FR69" s="5">
        <f t="shared" si="434"/>
        <v>610</v>
      </c>
      <c r="FS69" s="5">
        <f t="shared" si="434"/>
        <v>614</v>
      </c>
      <c r="FT69" s="5">
        <f t="shared" si="434"/>
        <v>614.5</v>
      </c>
      <c r="FU69" s="5">
        <f t="shared" si="434"/>
        <v>613</v>
      </c>
      <c r="FV69" s="5">
        <f t="shared" si="434"/>
        <v>618</v>
      </c>
      <c r="FW69" s="5">
        <f t="shared" si="434"/>
        <v>626.5</v>
      </c>
      <c r="FX69" s="5">
        <f t="shared" si="434"/>
        <v>629</v>
      </c>
      <c r="FY69" s="5">
        <f t="shared" si="434"/>
        <v>646</v>
      </c>
      <c r="FZ69" s="5">
        <f t="shared" si="434"/>
        <v>645</v>
      </c>
      <c r="GA69" s="13">
        <f>AVERAGE(FO69:FZ69)</f>
        <v>617.33333333333337</v>
      </c>
      <c r="IP69" s="5">
        <f>[4]Sheet1!B12</f>
        <v>60</v>
      </c>
      <c r="IQ69" s="5">
        <f>[4]Sheet1!J12</f>
        <v>61</v>
      </c>
      <c r="IR69" s="5">
        <f>[4]Sheet1!P12</f>
        <v>64</v>
      </c>
      <c r="IS69" s="5">
        <f>[5]Sheet1!$H$12+[5]Sheet1!$I$12</f>
        <v>67</v>
      </c>
      <c r="IT69" s="5">
        <f>'[6]Manpower Strength Aug''18'!$B$11+'[6]Manpower Strength Aug''18'!$C$11</f>
        <v>66</v>
      </c>
      <c r="IU69" s="5">
        <f>'[6]Manpower Strength Sep''18'!$B$11+'[6]Manpower Strength Sep''18'!$C$11</f>
        <v>64</v>
      </c>
      <c r="IV69" s="5">
        <f>'[6]Manpower Strength Oct''18'!$B$11+'[6]Manpower Strength Oct''18'!$C$11</f>
        <v>62</v>
      </c>
      <c r="IW69" s="5">
        <f>'[6]Manpower Strength Nov''18'!$B$11+'[6]Manpower Strength Nov''18'!$C$11</f>
        <v>63</v>
      </c>
      <c r="IX69" s="5">
        <f>'[6]Manpower Strength Dec''18'!$B$11+'[6]Manpower Strength Dec''18'!$C$11</f>
        <v>63</v>
      </c>
      <c r="IY69" s="5">
        <f>'[6]Manpower Strength Jan''19'!$B$11+'[6]Manpower Strength Jan''19'!$C$11</f>
        <v>63</v>
      </c>
      <c r="IZ69" s="5">
        <f>'[6]Manpower Strength Feb''19'!$B$11+'[6]Manpower Strength Feb''19'!$C$11</f>
        <v>64</v>
      </c>
      <c r="JA69" s="5">
        <f>'[6]Manpower Strength Mar''19'!$B$11+'[6]Manpower Strength Mar''19'!$C$11</f>
        <v>65</v>
      </c>
      <c r="JB69" s="63">
        <f>IFERROR(AVERAGE(IP69:JA69),"")</f>
        <v>63.5</v>
      </c>
    </row>
    <row r="70" spans="1:275">
      <c r="A70" s="12" t="s">
        <v>19</v>
      </c>
      <c r="B70" s="5">
        <f t="shared" ref="B70:G71" si="435">SUM(B57,B44,B31,B18,B5)</f>
        <v>831</v>
      </c>
      <c r="C70" s="5">
        <f t="shared" si="435"/>
        <v>823</v>
      </c>
      <c r="D70" s="5">
        <f t="shared" si="435"/>
        <v>822</v>
      </c>
      <c r="E70" s="5">
        <f t="shared" si="435"/>
        <v>821</v>
      </c>
      <c r="F70" s="5">
        <f t="shared" si="435"/>
        <v>819</v>
      </c>
      <c r="G70" s="5">
        <f t="shared" si="435"/>
        <v>818</v>
      </c>
      <c r="H70" s="5">
        <f t="shared" ref="H70:N71" si="436">SUM(H57,H44,H31,H18,H5)</f>
        <v>867</v>
      </c>
      <c r="I70" s="5">
        <f t="shared" si="436"/>
        <v>857</v>
      </c>
      <c r="J70" s="5">
        <f t="shared" si="436"/>
        <v>856</v>
      </c>
      <c r="K70" s="5">
        <f t="shared" si="436"/>
        <v>855</v>
      </c>
      <c r="L70" s="5">
        <f t="shared" si="436"/>
        <v>852</v>
      </c>
      <c r="M70" s="5">
        <f t="shared" si="436"/>
        <v>852</v>
      </c>
      <c r="N70" s="5">
        <f t="shared" si="436"/>
        <v>851</v>
      </c>
      <c r="O70" s="21">
        <f>AVERAGE(C70:N70)</f>
        <v>841.08333333333337</v>
      </c>
      <c r="P70" s="58"/>
      <c r="CN70" s="5">
        <f t="shared" ref="CN70:CY71" si="437">SUM(CN57,CN44,CN31,CN18,CN5)</f>
        <v>851</v>
      </c>
      <c r="CO70" s="5">
        <f t="shared" si="437"/>
        <v>849</v>
      </c>
      <c r="CP70" s="5">
        <f t="shared" si="437"/>
        <v>846</v>
      </c>
      <c r="CQ70" s="5">
        <f t="shared" si="437"/>
        <v>845</v>
      </c>
      <c r="CR70" s="5">
        <f t="shared" si="437"/>
        <v>843</v>
      </c>
      <c r="CS70" s="5">
        <f t="shared" si="437"/>
        <v>846</v>
      </c>
      <c r="CT70" s="5">
        <f t="shared" si="437"/>
        <v>847</v>
      </c>
      <c r="CU70" s="5">
        <f t="shared" si="437"/>
        <v>845</v>
      </c>
      <c r="CV70" s="5">
        <f t="shared" si="437"/>
        <v>844</v>
      </c>
      <c r="CW70" s="5">
        <f t="shared" si="437"/>
        <v>844</v>
      </c>
      <c r="CX70" s="5">
        <f t="shared" si="437"/>
        <v>845</v>
      </c>
      <c r="CY70" s="5">
        <f t="shared" si="437"/>
        <v>845</v>
      </c>
      <c r="CZ70" s="13">
        <f>AVERAGE(CN70:CY70)</f>
        <v>845.83333333333337</v>
      </c>
      <c r="FO70" s="5">
        <f t="shared" ref="FO70:FP70" si="438">SUM(FO57,FO44,FO31,FO18,FO5)</f>
        <v>838</v>
      </c>
      <c r="FP70" s="5">
        <f t="shared" si="438"/>
        <v>836</v>
      </c>
      <c r="FQ70" s="5">
        <f t="shared" ref="FQ70:FZ70" si="439">SUM(FQ57,FQ44,FQ31,FQ18,FQ5)</f>
        <v>835</v>
      </c>
      <c r="FR70" s="5">
        <f t="shared" si="439"/>
        <v>835</v>
      </c>
      <c r="FS70" s="5">
        <f t="shared" si="439"/>
        <v>834</v>
      </c>
      <c r="FT70" s="5">
        <f t="shared" si="439"/>
        <v>833</v>
      </c>
      <c r="FU70" s="5">
        <f t="shared" si="439"/>
        <v>828</v>
      </c>
      <c r="FV70" s="5">
        <f t="shared" si="439"/>
        <v>828</v>
      </c>
      <c r="FW70" s="5">
        <f t="shared" si="439"/>
        <v>823</v>
      </c>
      <c r="FX70" s="5">
        <f t="shared" si="439"/>
        <v>794</v>
      </c>
      <c r="FY70" s="5">
        <f t="shared" si="439"/>
        <v>786</v>
      </c>
      <c r="FZ70" s="5">
        <f t="shared" si="439"/>
        <v>785</v>
      </c>
      <c r="GA70" s="13">
        <f>AVERAGE(FO70:FZ70)</f>
        <v>821.25</v>
      </c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63" t="str">
        <f t="shared" ref="JB70:JB71" si="440">IFERROR(AVERAGE(IP70:JA70),"")</f>
        <v/>
      </c>
    </row>
    <row r="71" spans="1:275">
      <c r="A71" s="12" t="s">
        <v>20</v>
      </c>
      <c r="B71" s="5">
        <f t="shared" si="435"/>
        <v>2364.5</v>
      </c>
      <c r="C71" s="5">
        <f t="shared" si="435"/>
        <v>2469</v>
      </c>
      <c r="D71" s="5">
        <f t="shared" si="435"/>
        <v>2464</v>
      </c>
      <c r="E71" s="5">
        <f t="shared" si="435"/>
        <v>2487</v>
      </c>
      <c r="F71" s="5">
        <f t="shared" si="435"/>
        <v>2392.5</v>
      </c>
      <c r="G71" s="5">
        <f t="shared" si="435"/>
        <v>2500.5</v>
      </c>
      <c r="H71" s="5">
        <f t="shared" si="436"/>
        <v>2475.5</v>
      </c>
      <c r="I71" s="5">
        <f t="shared" si="436"/>
        <v>2623.5</v>
      </c>
      <c r="J71" s="5">
        <f t="shared" si="436"/>
        <v>2561.5</v>
      </c>
      <c r="K71" s="5">
        <f t="shared" si="436"/>
        <v>2491.5</v>
      </c>
      <c r="L71" s="5">
        <f t="shared" si="436"/>
        <v>2408.5</v>
      </c>
      <c r="M71" s="5">
        <f t="shared" si="436"/>
        <v>2465.5</v>
      </c>
      <c r="N71" s="5">
        <f t="shared" si="436"/>
        <v>2582.5</v>
      </c>
      <c r="O71" s="21">
        <f>AVERAGE(C71:N71)</f>
        <v>2493.4583333333335</v>
      </c>
      <c r="CN71" s="5">
        <f t="shared" si="437"/>
        <v>2514.5</v>
      </c>
      <c r="CO71" s="5">
        <f t="shared" si="437"/>
        <v>2598.5</v>
      </c>
      <c r="CP71" s="5">
        <f t="shared" si="437"/>
        <v>2666.5</v>
      </c>
      <c r="CQ71" s="5">
        <f t="shared" si="437"/>
        <v>2692.5</v>
      </c>
      <c r="CR71" s="5">
        <f t="shared" si="437"/>
        <v>2706</v>
      </c>
      <c r="CS71" s="5">
        <f t="shared" si="437"/>
        <v>2642</v>
      </c>
      <c r="CT71" s="5">
        <f t="shared" si="437"/>
        <v>2648</v>
      </c>
      <c r="CU71" s="5">
        <f t="shared" si="437"/>
        <v>2661</v>
      </c>
      <c r="CV71" s="5">
        <f t="shared" si="437"/>
        <v>2662</v>
      </c>
      <c r="CW71" s="5">
        <f t="shared" si="437"/>
        <v>2658</v>
      </c>
      <c r="CX71" s="5">
        <f t="shared" si="437"/>
        <v>2601</v>
      </c>
      <c r="CY71" s="5">
        <f t="shared" si="437"/>
        <v>2660</v>
      </c>
      <c r="CZ71" s="13">
        <f>AVERAGE(CN71:CY71)</f>
        <v>2642.5</v>
      </c>
      <c r="FO71" s="5">
        <f t="shared" ref="FO71:FP71" si="441">SUM(FO58,FO45,FO32,FO19,FO6)</f>
        <v>2677</v>
      </c>
      <c r="FP71" s="5">
        <f t="shared" si="441"/>
        <v>2689</v>
      </c>
      <c r="FQ71" s="5">
        <f t="shared" ref="FQ71:FZ71" si="442">SUM(FQ58,FQ45,FQ32,FQ19,FQ6)</f>
        <v>2843</v>
      </c>
      <c r="FR71" s="5">
        <f t="shared" si="442"/>
        <v>2931</v>
      </c>
      <c r="FS71" s="5">
        <f t="shared" si="442"/>
        <v>2824</v>
      </c>
      <c r="FT71" s="5">
        <f t="shared" si="442"/>
        <v>2823</v>
      </c>
      <c r="FU71" s="5">
        <f t="shared" si="442"/>
        <v>2820</v>
      </c>
      <c r="FV71" s="5">
        <f t="shared" si="442"/>
        <v>2806</v>
      </c>
      <c r="FW71" s="5">
        <f t="shared" si="442"/>
        <v>2827</v>
      </c>
      <c r="FX71" s="5">
        <f t="shared" si="442"/>
        <v>2840</v>
      </c>
      <c r="FY71" s="5">
        <f t="shared" si="442"/>
        <v>2813</v>
      </c>
      <c r="FZ71" s="5">
        <f t="shared" si="442"/>
        <v>2764</v>
      </c>
      <c r="GA71" s="13">
        <f>AVERAGE(FO71:FZ71)</f>
        <v>2804.75</v>
      </c>
      <c r="IP71" s="5">
        <f>[4]Sheet1!D12</f>
        <v>12</v>
      </c>
      <c r="IQ71" s="5">
        <f>[4]Sheet1!L12</f>
        <v>12</v>
      </c>
      <c r="IR71" s="5">
        <f>[4]Sheet1!R12</f>
        <v>15</v>
      </c>
      <c r="IS71" s="5">
        <f>[5]Sheet1!$K$12</f>
        <v>15</v>
      </c>
      <c r="IT71" s="5">
        <f>'[6]Manpower Strength Aug''18'!$E$11</f>
        <v>15</v>
      </c>
      <c r="IU71" s="5">
        <f>'[6]Manpower Strength Sep''18'!$E$11</f>
        <v>15</v>
      </c>
      <c r="IV71" s="5">
        <f>'[6]Manpower Strength Oct''18'!$E$11</f>
        <v>15</v>
      </c>
      <c r="IW71" s="5">
        <f>'[6]Manpower Strength Nov''18'!$E$11</f>
        <v>15</v>
      </c>
      <c r="IX71" s="5">
        <f>'[6]Manpower Strength Dec''18'!$E$11</f>
        <v>15</v>
      </c>
      <c r="IY71" s="5">
        <f>'[6]Manpower Strength Jan''19'!$E$11</f>
        <v>15</v>
      </c>
      <c r="IZ71" s="5">
        <f>'[6]Manpower Strength Feb''19'!$E$11</f>
        <v>15</v>
      </c>
      <c r="JA71" s="5">
        <f>'[6]Manpower Strength Mar''19'!$E$11</f>
        <v>15</v>
      </c>
      <c r="JB71" s="63">
        <f t="shared" si="440"/>
        <v>14.5</v>
      </c>
    </row>
    <row r="72" spans="1:275" ht="15.75" thickBot="1">
      <c r="A72" s="14" t="s">
        <v>21</v>
      </c>
      <c r="B72" s="15">
        <f>SUM(B69:B71)</f>
        <v>3691.1</v>
      </c>
      <c r="C72" s="15">
        <f>SUM(C69:C71)</f>
        <v>3785.5</v>
      </c>
      <c r="D72" s="15">
        <f t="shared" ref="D72:M72" si="443">SUM(D69:D71)</f>
        <v>3787</v>
      </c>
      <c r="E72" s="15">
        <f t="shared" si="443"/>
        <v>3805.5</v>
      </c>
      <c r="F72" s="15">
        <f t="shared" si="443"/>
        <v>3725.5</v>
      </c>
      <c r="G72" s="15">
        <f t="shared" si="443"/>
        <v>3835.5</v>
      </c>
      <c r="H72" s="15">
        <f t="shared" si="443"/>
        <v>3856.5</v>
      </c>
      <c r="I72" s="15">
        <f t="shared" si="443"/>
        <v>4007.5</v>
      </c>
      <c r="J72" s="15">
        <f t="shared" si="443"/>
        <v>3937.5</v>
      </c>
      <c r="K72" s="15">
        <f t="shared" si="443"/>
        <v>3869.5</v>
      </c>
      <c r="L72" s="15">
        <f t="shared" si="443"/>
        <v>3813.5</v>
      </c>
      <c r="M72" s="15">
        <f t="shared" si="443"/>
        <v>3862.5</v>
      </c>
      <c r="N72" s="15">
        <f>SUM(N69:N71)</f>
        <v>3978.5</v>
      </c>
      <c r="O72" s="15">
        <f>AVERAGE(C72:N72)</f>
        <v>3855.375</v>
      </c>
      <c r="CN72" s="15">
        <f t="shared" ref="CN72:CY72" si="444">SUM(CN69:CN71)</f>
        <v>3906.5</v>
      </c>
      <c r="CO72" s="15">
        <f t="shared" si="444"/>
        <v>3982.5</v>
      </c>
      <c r="CP72" s="15">
        <f t="shared" si="444"/>
        <v>4044.5</v>
      </c>
      <c r="CQ72" s="15">
        <f t="shared" si="444"/>
        <v>4081.5</v>
      </c>
      <c r="CR72" s="15">
        <f t="shared" si="444"/>
        <v>4106.5</v>
      </c>
      <c r="CS72" s="15">
        <f t="shared" si="444"/>
        <v>4046.5</v>
      </c>
      <c r="CT72" s="15">
        <f t="shared" si="444"/>
        <v>4055</v>
      </c>
      <c r="CU72" s="15">
        <f t="shared" si="444"/>
        <v>4063</v>
      </c>
      <c r="CV72" s="15">
        <f t="shared" si="444"/>
        <v>4064</v>
      </c>
      <c r="CW72" s="15">
        <f t="shared" si="444"/>
        <v>4081</v>
      </c>
      <c r="CX72" s="15">
        <f t="shared" si="444"/>
        <v>4033</v>
      </c>
      <c r="CY72" s="15">
        <f t="shared" si="444"/>
        <v>4087</v>
      </c>
      <c r="CZ72" s="18">
        <f>AVERAGE(CN72:CY72)</f>
        <v>4045.9166666666665</v>
      </c>
      <c r="FO72" s="15">
        <f t="shared" ref="FO72:FZ72" si="445">SUM(FO69:FO71)</f>
        <v>4109.5</v>
      </c>
      <c r="FP72" s="15">
        <f t="shared" si="445"/>
        <v>4127</v>
      </c>
      <c r="FQ72" s="15">
        <f t="shared" si="445"/>
        <v>4273.5</v>
      </c>
      <c r="FR72" s="15">
        <f t="shared" si="445"/>
        <v>4376</v>
      </c>
      <c r="FS72" s="15">
        <f t="shared" si="445"/>
        <v>4272</v>
      </c>
      <c r="FT72" s="15">
        <f t="shared" si="445"/>
        <v>4270.5</v>
      </c>
      <c r="FU72" s="15">
        <f t="shared" si="445"/>
        <v>4261</v>
      </c>
      <c r="FV72" s="15">
        <f t="shared" si="445"/>
        <v>4252</v>
      </c>
      <c r="FW72" s="15">
        <f t="shared" si="445"/>
        <v>4276.5</v>
      </c>
      <c r="FX72" s="15">
        <f t="shared" si="445"/>
        <v>4263</v>
      </c>
      <c r="FY72" s="15">
        <f t="shared" si="445"/>
        <v>4245</v>
      </c>
      <c r="FZ72" s="15">
        <f t="shared" si="445"/>
        <v>4194</v>
      </c>
      <c r="GA72" s="18">
        <f>AVERAGE(FO72:FZ72)</f>
        <v>4243.333333333333</v>
      </c>
      <c r="IP72" s="15">
        <f t="shared" ref="IP72:JB72" si="446">SUM(IP69:IP71)</f>
        <v>72</v>
      </c>
      <c r="IQ72" s="15">
        <f t="shared" si="446"/>
        <v>73</v>
      </c>
      <c r="IR72" s="15">
        <f t="shared" si="446"/>
        <v>79</v>
      </c>
      <c r="IS72" s="15">
        <f t="shared" si="446"/>
        <v>82</v>
      </c>
      <c r="IT72" s="15">
        <f t="shared" si="446"/>
        <v>81</v>
      </c>
      <c r="IU72" s="15">
        <f t="shared" si="446"/>
        <v>79</v>
      </c>
      <c r="IV72" s="15">
        <f t="shared" si="446"/>
        <v>77</v>
      </c>
      <c r="IW72" s="15">
        <f t="shared" si="446"/>
        <v>78</v>
      </c>
      <c r="IX72" s="15">
        <f t="shared" si="446"/>
        <v>78</v>
      </c>
      <c r="IY72" s="15">
        <f t="shared" si="446"/>
        <v>78</v>
      </c>
      <c r="IZ72" s="15">
        <f t="shared" si="446"/>
        <v>79</v>
      </c>
      <c r="JA72" s="15">
        <f t="shared" si="446"/>
        <v>80</v>
      </c>
      <c r="JB72" s="15">
        <f t="shared" si="446"/>
        <v>78</v>
      </c>
    </row>
    <row r="73" spans="1:275" ht="15.75" thickBot="1">
      <c r="A73" s="2" t="s">
        <v>39</v>
      </c>
      <c r="CN73" s="2" t="s">
        <v>39</v>
      </c>
      <c r="FO73" s="2" t="s">
        <v>39</v>
      </c>
      <c r="IP73" s="2" t="s">
        <v>144</v>
      </c>
    </row>
    <row r="74" spans="1:275">
      <c r="A74" s="8" t="s">
        <v>17</v>
      </c>
      <c r="B74" s="9" t="s">
        <v>6</v>
      </c>
      <c r="C74" s="9" t="s">
        <v>22</v>
      </c>
      <c r="D74" s="9" t="s">
        <v>23</v>
      </c>
      <c r="E74" s="9" t="s">
        <v>24</v>
      </c>
      <c r="F74" s="9" t="s">
        <v>25</v>
      </c>
      <c r="G74" s="9" t="s">
        <v>26</v>
      </c>
      <c r="H74" s="9" t="s">
        <v>27</v>
      </c>
      <c r="I74" s="9" t="s">
        <v>28</v>
      </c>
      <c r="J74" s="9" t="s">
        <v>29</v>
      </c>
      <c r="K74" s="9" t="s">
        <v>30</v>
      </c>
      <c r="L74" s="9" t="s">
        <v>31</v>
      </c>
      <c r="M74" s="9" t="s">
        <v>32</v>
      </c>
      <c r="N74" s="9" t="s">
        <v>33</v>
      </c>
      <c r="O74" s="9" t="s">
        <v>7</v>
      </c>
      <c r="CN74" s="57" t="s">
        <v>81</v>
      </c>
      <c r="CO74" s="57" t="s">
        <v>82</v>
      </c>
      <c r="CP74" s="57" t="s">
        <v>83</v>
      </c>
      <c r="CQ74" s="57" t="s">
        <v>84</v>
      </c>
      <c r="CR74" s="57" t="s">
        <v>85</v>
      </c>
      <c r="CS74" s="57" t="s">
        <v>86</v>
      </c>
      <c r="CT74" s="57" t="s">
        <v>87</v>
      </c>
      <c r="CU74" s="57" t="s">
        <v>88</v>
      </c>
      <c r="CV74" s="57" t="s">
        <v>89</v>
      </c>
      <c r="CW74" s="57" t="s">
        <v>90</v>
      </c>
      <c r="CX74" s="57" t="s">
        <v>91</v>
      </c>
      <c r="CY74" s="57" t="s">
        <v>92</v>
      </c>
      <c r="CZ74" s="57" t="s">
        <v>93</v>
      </c>
      <c r="FO74" s="57" t="str">
        <f>FO68</f>
        <v>Apr'17</v>
      </c>
      <c r="FP74" s="57" t="str">
        <f t="shared" ref="FP74:GA74" si="447">FP68</f>
        <v>May'17</v>
      </c>
      <c r="FQ74" s="57" t="str">
        <f t="shared" si="447"/>
        <v>Jun'17</v>
      </c>
      <c r="FR74" s="57" t="str">
        <f t="shared" si="447"/>
        <v>Jul'17</v>
      </c>
      <c r="FS74" s="57" t="str">
        <f t="shared" si="447"/>
        <v>Aug'17</v>
      </c>
      <c r="FT74" s="57" t="str">
        <f t="shared" si="447"/>
        <v>Sep'17</v>
      </c>
      <c r="FU74" s="57" t="str">
        <f t="shared" si="447"/>
        <v>Oct'17</v>
      </c>
      <c r="FV74" s="57" t="str">
        <f t="shared" si="447"/>
        <v>Nov'17</v>
      </c>
      <c r="FW74" s="57" t="str">
        <f t="shared" si="447"/>
        <v>Dec'17</v>
      </c>
      <c r="FX74" s="57" t="str">
        <f t="shared" si="447"/>
        <v>Jan'18</v>
      </c>
      <c r="FY74" s="57" t="str">
        <f t="shared" si="447"/>
        <v>Feb'18</v>
      </c>
      <c r="FZ74" s="57" t="str">
        <f t="shared" si="447"/>
        <v>Mar'18</v>
      </c>
      <c r="GA74" s="57" t="str">
        <f t="shared" si="447"/>
        <v>FY 17~18</v>
      </c>
      <c r="IP74" s="98" t="s">
        <v>127</v>
      </c>
      <c r="IQ74" s="98" t="s">
        <v>128</v>
      </c>
      <c r="IR74" s="99" t="s">
        <v>129</v>
      </c>
      <c r="IS74" s="99" t="s">
        <v>130</v>
      </c>
      <c r="IT74" s="99" t="s">
        <v>131</v>
      </c>
      <c r="IU74" s="99" t="s">
        <v>132</v>
      </c>
      <c r="IV74" s="99" t="s">
        <v>133</v>
      </c>
      <c r="IW74" s="99" t="s">
        <v>134</v>
      </c>
      <c r="IX74" s="99" t="s">
        <v>135</v>
      </c>
      <c r="IY74" s="99" t="s">
        <v>136</v>
      </c>
      <c r="IZ74" s="99" t="s">
        <v>137</v>
      </c>
      <c r="JA74" s="99" t="s">
        <v>138</v>
      </c>
      <c r="JB74" s="99" t="s">
        <v>139</v>
      </c>
    </row>
    <row r="75" spans="1:275">
      <c r="A75" s="12" t="s">
        <v>18</v>
      </c>
      <c r="B75" s="5"/>
      <c r="C75" s="5">
        <f t="shared" ref="C75:N75" si="448">SUM(C62,C49,C36,C23,C10)</f>
        <v>527.79999999999995</v>
      </c>
      <c r="D75" s="5">
        <f t="shared" si="448"/>
        <v>533</v>
      </c>
      <c r="E75" s="5">
        <f t="shared" si="448"/>
        <v>536</v>
      </c>
      <c r="F75" s="5">
        <f t="shared" si="448"/>
        <v>541.79999999999995</v>
      </c>
      <c r="G75" s="5">
        <f t="shared" si="448"/>
        <v>541.79999999999995</v>
      </c>
      <c r="H75" s="5">
        <f t="shared" si="448"/>
        <v>541.79999999999995</v>
      </c>
      <c r="I75" s="5">
        <f t="shared" si="448"/>
        <v>542.79999999999995</v>
      </c>
      <c r="J75" s="5">
        <f t="shared" si="448"/>
        <v>542.79999999999995</v>
      </c>
      <c r="K75" s="5">
        <f t="shared" si="448"/>
        <v>544.79999999999995</v>
      </c>
      <c r="L75" s="5">
        <f t="shared" si="448"/>
        <v>520.79999999999995</v>
      </c>
      <c r="M75" s="5">
        <f t="shared" si="448"/>
        <v>520.79999999999995</v>
      </c>
      <c r="N75" s="5">
        <f t="shared" si="448"/>
        <v>520.79999999999995</v>
      </c>
      <c r="O75" s="21">
        <f>AVERAGE(C75:N75)</f>
        <v>534.58333333333337</v>
      </c>
      <c r="CN75" s="5">
        <f>SUM(CN62,CN49,CN36,CN23,CN10)</f>
        <v>562</v>
      </c>
      <c r="CO75" s="5">
        <f t="shared" ref="CO75:CY75" si="449">SUM(CO62,CO49,CO36,CO23,CO10)</f>
        <v>585</v>
      </c>
      <c r="CP75" s="5">
        <f t="shared" si="449"/>
        <v>588</v>
      </c>
      <c r="CQ75" s="5">
        <f t="shared" si="449"/>
        <v>608</v>
      </c>
      <c r="CR75" s="5">
        <f t="shared" si="449"/>
        <v>608</v>
      </c>
      <c r="CS75" s="5">
        <f t="shared" si="449"/>
        <v>603</v>
      </c>
      <c r="CT75" s="5">
        <f t="shared" si="449"/>
        <v>603</v>
      </c>
      <c r="CU75" s="5">
        <f t="shared" si="449"/>
        <v>605</v>
      </c>
      <c r="CV75" s="5">
        <f t="shared" si="449"/>
        <v>603</v>
      </c>
      <c r="CW75" s="5">
        <f t="shared" si="449"/>
        <v>599</v>
      </c>
      <c r="CX75" s="5">
        <f t="shared" si="449"/>
        <v>599</v>
      </c>
      <c r="CY75" s="5">
        <f t="shared" si="449"/>
        <v>593</v>
      </c>
      <c r="CZ75" s="13">
        <f>AVERAGE(CN75:CY75)</f>
        <v>596.33333333333337</v>
      </c>
      <c r="FO75" s="5">
        <f>SUM(FO62,FO49,FO36,FO23,FO10)</f>
        <v>662</v>
      </c>
      <c r="FP75" s="5">
        <f t="shared" ref="FP75:FZ75" si="450">SUM(FP62,FP49,FP36,FP23,FP10)</f>
        <v>662</v>
      </c>
      <c r="FQ75" s="5">
        <f t="shared" si="450"/>
        <v>661</v>
      </c>
      <c r="FR75" s="5">
        <f t="shared" si="450"/>
        <v>667</v>
      </c>
      <c r="FS75" s="5">
        <f t="shared" si="450"/>
        <v>665</v>
      </c>
      <c r="FT75" s="5">
        <f t="shared" si="450"/>
        <v>672</v>
      </c>
      <c r="FU75" s="5">
        <f t="shared" si="450"/>
        <v>674</v>
      </c>
      <c r="FV75" s="5">
        <f t="shared" si="450"/>
        <v>675</v>
      </c>
      <c r="FW75" s="5">
        <f t="shared" si="450"/>
        <v>676</v>
      </c>
      <c r="FX75" s="5">
        <f t="shared" si="450"/>
        <v>672</v>
      </c>
      <c r="FY75" s="5">
        <f t="shared" si="450"/>
        <v>665</v>
      </c>
      <c r="FZ75" s="5">
        <f t="shared" si="450"/>
        <v>664</v>
      </c>
      <c r="GA75" s="13">
        <f>AVERAGE(FO75:FZ75)</f>
        <v>667.91666666666663</v>
      </c>
      <c r="IP75" s="5">
        <f>SUM([17]Manpower_month!S5,[17]Manpower_month!S6)</f>
        <v>66</v>
      </c>
      <c r="IQ75" s="5">
        <f>SUM([17]Manpower_month!T5,[17]Manpower_month!T6)</f>
        <v>66</v>
      </c>
      <c r="IR75" s="5">
        <f>SUM([17]Manpower_month!U5,[17]Manpower_month!U6)</f>
        <v>66</v>
      </c>
      <c r="IS75" s="5">
        <f>SUM([17]Manpower_month!V5,[17]Manpower_month!V6)</f>
        <v>68</v>
      </c>
      <c r="IT75" s="5">
        <f>[18]Manpower_month!W5+[18]Manpower_month!W6</f>
        <v>68</v>
      </c>
      <c r="IU75" s="5">
        <f>[18]Manpower_month!X5+[18]Manpower_month!X6</f>
        <v>68</v>
      </c>
      <c r="IV75" s="5">
        <f>[18]Manpower_month!Y5+[18]Manpower_month!Y6</f>
        <v>68</v>
      </c>
      <c r="IW75" s="5">
        <f>[18]Manpower_month!Z5+[18]Manpower_month!Z6</f>
        <v>68</v>
      </c>
      <c r="IX75" s="5">
        <f>[18]Manpower_month!AA5+[18]Manpower_month!AA6</f>
        <v>68</v>
      </c>
      <c r="IY75" s="5">
        <f>[18]Manpower_month!AB5+[18]Manpower_month!AB6</f>
        <v>70</v>
      </c>
      <c r="IZ75" s="5">
        <f>[18]Manpower_month!AC5+[18]Manpower_month!AC6</f>
        <v>70</v>
      </c>
      <c r="JA75" s="5">
        <f>[18]Manpower_month!AD5+[18]Manpower_month!AD6</f>
        <v>70</v>
      </c>
      <c r="JB75" s="63">
        <f>IFERROR(AVERAGE(IP75:JA75),"")</f>
        <v>68</v>
      </c>
    </row>
    <row r="76" spans="1:275">
      <c r="A76" s="12" t="s">
        <v>19</v>
      </c>
      <c r="B76" s="5"/>
      <c r="C76" s="5">
        <f t="shared" ref="C76:N76" si="451">SUM(C63,C50,C37,C24,C11)</f>
        <v>826</v>
      </c>
      <c r="D76" s="5">
        <f t="shared" si="451"/>
        <v>826</v>
      </c>
      <c r="E76" s="5">
        <f t="shared" si="451"/>
        <v>826</v>
      </c>
      <c r="F76" s="5">
        <f t="shared" si="451"/>
        <v>826</v>
      </c>
      <c r="G76" s="5">
        <f t="shared" si="451"/>
        <v>826</v>
      </c>
      <c r="H76" s="5">
        <f t="shared" si="451"/>
        <v>826</v>
      </c>
      <c r="I76" s="5">
        <f t="shared" si="451"/>
        <v>825</v>
      </c>
      <c r="J76" s="5">
        <f t="shared" si="451"/>
        <v>774</v>
      </c>
      <c r="K76" s="5">
        <f t="shared" si="451"/>
        <v>773</v>
      </c>
      <c r="L76" s="5">
        <f t="shared" si="451"/>
        <v>772</v>
      </c>
      <c r="M76" s="5">
        <f t="shared" si="451"/>
        <v>771</v>
      </c>
      <c r="N76" s="5">
        <f t="shared" si="451"/>
        <v>771</v>
      </c>
      <c r="O76" s="21">
        <f>AVERAGE(C76:N76)</f>
        <v>803.5</v>
      </c>
      <c r="CN76" s="5">
        <f t="shared" ref="CN76:CY76" si="452">SUM(CN63,CN50,CN37,CN24,CN11)</f>
        <v>851</v>
      </c>
      <c r="CO76" s="5">
        <f t="shared" si="452"/>
        <v>849</v>
      </c>
      <c r="CP76" s="5">
        <f t="shared" si="452"/>
        <v>849</v>
      </c>
      <c r="CQ76" s="5">
        <f t="shared" si="452"/>
        <v>849</v>
      </c>
      <c r="CR76" s="5">
        <f t="shared" si="452"/>
        <v>844</v>
      </c>
      <c r="CS76" s="5">
        <f t="shared" si="452"/>
        <v>844</v>
      </c>
      <c r="CT76" s="5">
        <f t="shared" si="452"/>
        <v>843</v>
      </c>
      <c r="CU76" s="5">
        <f t="shared" si="452"/>
        <v>790</v>
      </c>
      <c r="CV76" s="5">
        <f t="shared" si="452"/>
        <v>781</v>
      </c>
      <c r="CW76" s="5">
        <f t="shared" si="452"/>
        <v>779</v>
      </c>
      <c r="CX76" s="5">
        <f t="shared" si="452"/>
        <v>778</v>
      </c>
      <c r="CY76" s="5">
        <f t="shared" si="452"/>
        <v>778</v>
      </c>
      <c r="CZ76" s="13">
        <f>AVERAGE(CN76:CY76)</f>
        <v>819.58333333333337</v>
      </c>
      <c r="FO76" s="5">
        <f t="shared" ref="FO76:FZ76" si="453">SUM(FO63,FO50,FO37,FO24,FO11)</f>
        <v>838</v>
      </c>
      <c r="FP76" s="5">
        <f t="shared" si="453"/>
        <v>837</v>
      </c>
      <c r="FQ76" s="5">
        <f t="shared" si="453"/>
        <v>837</v>
      </c>
      <c r="FR76" s="5">
        <f t="shared" si="453"/>
        <v>837</v>
      </c>
      <c r="FS76" s="5">
        <f t="shared" si="453"/>
        <v>837</v>
      </c>
      <c r="FT76" s="5">
        <f t="shared" si="453"/>
        <v>832</v>
      </c>
      <c r="FU76" s="5">
        <f t="shared" si="453"/>
        <v>832</v>
      </c>
      <c r="FV76" s="5">
        <f t="shared" si="453"/>
        <v>822</v>
      </c>
      <c r="FW76" s="5">
        <f t="shared" si="453"/>
        <v>812</v>
      </c>
      <c r="FX76" s="5">
        <f t="shared" si="453"/>
        <v>785</v>
      </c>
      <c r="FY76" s="5">
        <f t="shared" si="453"/>
        <v>740</v>
      </c>
      <c r="FZ76" s="5">
        <f t="shared" si="453"/>
        <v>730</v>
      </c>
      <c r="GA76" s="13">
        <f>AVERAGE(FO76:FZ76)</f>
        <v>811.58333333333337</v>
      </c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63" t="str">
        <f t="shared" ref="JB76:JB77" si="454">IFERROR(AVERAGE(IP76:JA76),"")</f>
        <v/>
      </c>
    </row>
    <row r="77" spans="1:275">
      <c r="A77" s="12" t="s">
        <v>20</v>
      </c>
      <c r="B77" s="5"/>
      <c r="C77" s="5">
        <f t="shared" ref="C77:N77" si="455">SUM(C64,C51,C38,C25,C12)</f>
        <v>2471</v>
      </c>
      <c r="D77" s="5">
        <f t="shared" si="455"/>
        <v>2471</v>
      </c>
      <c r="E77" s="5">
        <f t="shared" si="455"/>
        <v>2464.5</v>
      </c>
      <c r="F77" s="5">
        <f t="shared" si="455"/>
        <v>2429</v>
      </c>
      <c r="G77" s="5">
        <f t="shared" si="455"/>
        <v>2444</v>
      </c>
      <c r="H77" s="5">
        <f t="shared" si="455"/>
        <v>2401.5</v>
      </c>
      <c r="I77" s="5">
        <f t="shared" si="455"/>
        <v>2384.5</v>
      </c>
      <c r="J77" s="5">
        <f t="shared" si="455"/>
        <v>2457.5</v>
      </c>
      <c r="K77" s="5">
        <f t="shared" si="455"/>
        <v>2418.5</v>
      </c>
      <c r="L77" s="5">
        <f t="shared" si="455"/>
        <v>2398</v>
      </c>
      <c r="M77" s="5">
        <f t="shared" si="455"/>
        <v>2364</v>
      </c>
      <c r="N77" s="5">
        <f t="shared" si="455"/>
        <v>2361.5</v>
      </c>
      <c r="O77" s="21">
        <f>AVERAGE(C77:N77)</f>
        <v>2422.0833333333335</v>
      </c>
      <c r="CN77" s="5">
        <f t="shared" ref="CN77:CY77" si="456">SUM(CN64,CN51,CN38,CN25,CN12)</f>
        <v>2597</v>
      </c>
      <c r="CO77" s="5">
        <f t="shared" si="456"/>
        <v>2598</v>
      </c>
      <c r="CP77" s="5">
        <f t="shared" si="456"/>
        <v>2592</v>
      </c>
      <c r="CQ77" s="5">
        <f t="shared" si="456"/>
        <v>2530</v>
      </c>
      <c r="CR77" s="5">
        <f t="shared" si="456"/>
        <v>2528</v>
      </c>
      <c r="CS77" s="5">
        <f t="shared" si="456"/>
        <v>2506</v>
      </c>
      <c r="CT77" s="5">
        <f t="shared" si="456"/>
        <v>2507</v>
      </c>
      <c r="CU77" s="5">
        <f t="shared" si="456"/>
        <v>2535</v>
      </c>
      <c r="CV77" s="5">
        <f t="shared" si="456"/>
        <v>2539.5</v>
      </c>
      <c r="CW77" s="5">
        <f t="shared" si="456"/>
        <v>2524</v>
      </c>
      <c r="CX77" s="5">
        <f t="shared" si="456"/>
        <v>2527</v>
      </c>
      <c r="CY77" s="5">
        <f t="shared" si="456"/>
        <v>2532</v>
      </c>
      <c r="CZ77" s="13">
        <f>AVERAGE(CN77:CY77)</f>
        <v>2542.9583333333335</v>
      </c>
      <c r="FO77" s="5">
        <f t="shared" ref="FO77:FZ77" si="457">SUM(FO64,FO51,FO38,FO25,FO12)</f>
        <v>2748</v>
      </c>
      <c r="FP77" s="5">
        <f t="shared" si="457"/>
        <v>2736</v>
      </c>
      <c r="FQ77" s="5">
        <f t="shared" si="457"/>
        <v>2721</v>
      </c>
      <c r="FR77" s="5">
        <f t="shared" si="457"/>
        <v>2711.5</v>
      </c>
      <c r="FS77" s="5">
        <f t="shared" si="457"/>
        <v>2694</v>
      </c>
      <c r="FT77" s="5">
        <f t="shared" si="457"/>
        <v>2686</v>
      </c>
      <c r="FU77" s="5">
        <f t="shared" si="457"/>
        <v>2635</v>
      </c>
      <c r="FV77" s="5">
        <f t="shared" si="457"/>
        <v>2644</v>
      </c>
      <c r="FW77" s="5">
        <f t="shared" si="457"/>
        <v>2640</v>
      </c>
      <c r="FX77" s="5">
        <f t="shared" si="457"/>
        <v>2687</v>
      </c>
      <c r="FY77" s="5">
        <f t="shared" si="457"/>
        <v>2712</v>
      </c>
      <c r="FZ77" s="5">
        <f t="shared" si="457"/>
        <v>2727</v>
      </c>
      <c r="GA77" s="13">
        <f>AVERAGE(FO77:FZ77)</f>
        <v>2695.125</v>
      </c>
      <c r="IP77" s="5">
        <f>[17]Manpower_month!S8</f>
        <v>14</v>
      </c>
      <c r="IQ77" s="5">
        <f>[17]Manpower_month!T8</f>
        <v>14</v>
      </c>
      <c r="IR77" s="5">
        <f>[17]Manpower_month!U8</f>
        <v>14</v>
      </c>
      <c r="IS77" s="5">
        <f>[17]Manpower_month!V8</f>
        <v>14</v>
      </c>
      <c r="IT77" s="5">
        <f>[18]Manpower_month!W8</f>
        <v>14</v>
      </c>
      <c r="IU77" s="5">
        <f>[18]Manpower_month!X8</f>
        <v>14</v>
      </c>
      <c r="IV77" s="5">
        <f>[18]Manpower_month!Y8</f>
        <v>14</v>
      </c>
      <c r="IW77" s="5">
        <f>[18]Manpower_month!Z8</f>
        <v>14</v>
      </c>
      <c r="IX77" s="5">
        <f>[18]Manpower_month!AA8</f>
        <v>14</v>
      </c>
      <c r="IY77" s="5">
        <f>[18]Manpower_month!AB8</f>
        <v>14</v>
      </c>
      <c r="IZ77" s="5">
        <f>[18]Manpower_month!AC8</f>
        <v>14</v>
      </c>
      <c r="JA77" s="5">
        <f>[18]Manpower_month!AD8</f>
        <v>14</v>
      </c>
      <c r="JB77" s="63">
        <f t="shared" si="454"/>
        <v>14</v>
      </c>
    </row>
    <row r="78" spans="1:275" ht="15.75" thickBot="1">
      <c r="A78" s="14" t="s">
        <v>21</v>
      </c>
      <c r="B78" s="15">
        <f>SUM(B75:B77)</f>
        <v>0</v>
      </c>
      <c r="C78" s="15">
        <f>SUM(C75:C77)</f>
        <v>3824.8</v>
      </c>
      <c r="D78" s="15">
        <f t="shared" ref="D78:M78" si="458">SUM(D75:D77)</f>
        <v>3830</v>
      </c>
      <c r="E78" s="15">
        <f t="shared" si="458"/>
        <v>3826.5</v>
      </c>
      <c r="F78" s="15">
        <f t="shared" si="458"/>
        <v>3796.8</v>
      </c>
      <c r="G78" s="15">
        <f t="shared" si="458"/>
        <v>3811.8</v>
      </c>
      <c r="H78" s="15">
        <f t="shared" si="458"/>
        <v>3769.3</v>
      </c>
      <c r="I78" s="15">
        <f t="shared" si="458"/>
        <v>3752.3</v>
      </c>
      <c r="J78" s="15">
        <f t="shared" si="458"/>
        <v>3774.3</v>
      </c>
      <c r="K78" s="15">
        <f t="shared" si="458"/>
        <v>3736.3</v>
      </c>
      <c r="L78" s="15">
        <f t="shared" si="458"/>
        <v>3690.8</v>
      </c>
      <c r="M78" s="15">
        <f t="shared" si="458"/>
        <v>3655.8</v>
      </c>
      <c r="N78" s="15">
        <f>SUM(N75:N77)</f>
        <v>3653.3</v>
      </c>
      <c r="O78" s="15">
        <f>AVERAGE(C78:N78)</f>
        <v>3760.1666666666674</v>
      </c>
      <c r="CN78" s="15">
        <f t="shared" ref="CN78:CY78" si="459">SUM(CN75:CN77)</f>
        <v>4010</v>
      </c>
      <c r="CO78" s="15">
        <f t="shared" si="459"/>
        <v>4032</v>
      </c>
      <c r="CP78" s="15">
        <f t="shared" si="459"/>
        <v>4029</v>
      </c>
      <c r="CQ78" s="15">
        <f t="shared" si="459"/>
        <v>3987</v>
      </c>
      <c r="CR78" s="15">
        <f t="shared" si="459"/>
        <v>3980</v>
      </c>
      <c r="CS78" s="15">
        <f t="shared" si="459"/>
        <v>3953</v>
      </c>
      <c r="CT78" s="15">
        <f t="shared" si="459"/>
        <v>3953</v>
      </c>
      <c r="CU78" s="15">
        <f t="shared" si="459"/>
        <v>3930</v>
      </c>
      <c r="CV78" s="15">
        <f t="shared" si="459"/>
        <v>3923.5</v>
      </c>
      <c r="CW78" s="15">
        <f t="shared" si="459"/>
        <v>3902</v>
      </c>
      <c r="CX78" s="15">
        <f t="shared" si="459"/>
        <v>3904</v>
      </c>
      <c r="CY78" s="15">
        <f t="shared" si="459"/>
        <v>3903</v>
      </c>
      <c r="CZ78" s="18">
        <f>AVERAGE(CN78:CY78)</f>
        <v>3958.875</v>
      </c>
      <c r="FO78" s="15">
        <f t="shared" ref="FO78:FZ78" si="460">SUM(FO75:FO77)</f>
        <v>4248</v>
      </c>
      <c r="FP78" s="15">
        <f t="shared" si="460"/>
        <v>4235</v>
      </c>
      <c r="FQ78" s="15">
        <f t="shared" si="460"/>
        <v>4219</v>
      </c>
      <c r="FR78" s="15">
        <f t="shared" si="460"/>
        <v>4215.5</v>
      </c>
      <c r="FS78" s="15">
        <f t="shared" si="460"/>
        <v>4196</v>
      </c>
      <c r="FT78" s="15">
        <f t="shared" si="460"/>
        <v>4190</v>
      </c>
      <c r="FU78" s="15">
        <f t="shared" si="460"/>
        <v>4141</v>
      </c>
      <c r="FV78" s="15">
        <f t="shared" si="460"/>
        <v>4141</v>
      </c>
      <c r="FW78" s="15">
        <f t="shared" si="460"/>
        <v>4128</v>
      </c>
      <c r="FX78" s="15">
        <f t="shared" si="460"/>
        <v>4144</v>
      </c>
      <c r="FY78" s="15">
        <f t="shared" si="460"/>
        <v>4117</v>
      </c>
      <c r="FZ78" s="15">
        <f t="shared" si="460"/>
        <v>4121</v>
      </c>
      <c r="GA78" s="18">
        <f>AVERAGE(FO78:FZ78)</f>
        <v>4174.625</v>
      </c>
      <c r="IP78" s="15">
        <f t="shared" ref="IP78:JB78" si="461">SUM(IP75:IP77)</f>
        <v>80</v>
      </c>
      <c r="IQ78" s="15">
        <f t="shared" si="461"/>
        <v>80</v>
      </c>
      <c r="IR78" s="15">
        <f t="shared" si="461"/>
        <v>80</v>
      </c>
      <c r="IS78" s="15">
        <f t="shared" si="461"/>
        <v>82</v>
      </c>
      <c r="IT78" s="15">
        <f t="shared" si="461"/>
        <v>82</v>
      </c>
      <c r="IU78" s="15">
        <f t="shared" si="461"/>
        <v>82</v>
      </c>
      <c r="IV78" s="15">
        <f t="shared" si="461"/>
        <v>82</v>
      </c>
      <c r="IW78" s="15">
        <f t="shared" si="461"/>
        <v>82</v>
      </c>
      <c r="IX78" s="15">
        <f t="shared" si="461"/>
        <v>82</v>
      </c>
      <c r="IY78" s="15">
        <f t="shared" si="461"/>
        <v>84</v>
      </c>
      <c r="IZ78" s="15">
        <f t="shared" si="461"/>
        <v>84</v>
      </c>
      <c r="JA78" s="15">
        <f t="shared" si="461"/>
        <v>84</v>
      </c>
      <c r="JB78" s="15">
        <f t="shared" si="461"/>
        <v>82</v>
      </c>
    </row>
    <row r="80" spans="1:275">
      <c r="IP80" s="2" t="s">
        <v>145</v>
      </c>
    </row>
    <row r="81" spans="9:264">
      <c r="I81" s="58"/>
      <c r="IP81" s="98" t="s">
        <v>127</v>
      </c>
      <c r="IQ81" s="98" t="s">
        <v>128</v>
      </c>
      <c r="IR81" s="99" t="s">
        <v>129</v>
      </c>
      <c r="IS81" s="99" t="s">
        <v>130</v>
      </c>
      <c r="IT81" s="99" t="s">
        <v>131</v>
      </c>
      <c r="IU81" s="99" t="s">
        <v>132</v>
      </c>
      <c r="IV81" s="99" t="s">
        <v>133</v>
      </c>
      <c r="IW81" s="99" t="s">
        <v>134</v>
      </c>
      <c r="IX81" s="99" t="s">
        <v>135</v>
      </c>
      <c r="IY81" s="99" t="s">
        <v>136</v>
      </c>
      <c r="IZ81" s="99" t="s">
        <v>137</v>
      </c>
      <c r="JA81" s="99" t="s">
        <v>138</v>
      </c>
      <c r="JB81" s="99" t="s">
        <v>139</v>
      </c>
      <c r="JD81" s="180" t="s">
        <v>157</v>
      </c>
    </row>
    <row r="82" spans="9:264">
      <c r="IP82" s="5">
        <f>SUM(IP69,IP56,IP43,HP30,HP17,HP4)</f>
        <v>635.29999999999995</v>
      </c>
      <c r="IQ82" s="5">
        <f>SUM(IQ69,IQ56,IQ43,HQ30,HQ17,HQ4)</f>
        <v>630.29999999999995</v>
      </c>
      <c r="IR82" s="5">
        <f t="shared" ref="IR82:JA82" si="462">SUM(IR69,IR56,IR43,HR30,HR17,HR4)</f>
        <v>626.29999999999995</v>
      </c>
      <c r="IS82" s="5">
        <f t="shared" si="462"/>
        <v>636.29999999999995</v>
      </c>
      <c r="IT82" s="5">
        <f t="shared" si="462"/>
        <v>642.29999999999995</v>
      </c>
      <c r="IU82" s="5">
        <f t="shared" si="462"/>
        <v>634.29999999999995</v>
      </c>
      <c r="IV82" s="5">
        <f t="shared" si="462"/>
        <v>640.29999999999995</v>
      </c>
      <c r="IW82" s="5">
        <f t="shared" si="462"/>
        <v>646.29999999999995</v>
      </c>
      <c r="IX82" s="5">
        <f t="shared" si="462"/>
        <v>639.29999999999995</v>
      </c>
      <c r="IY82" s="5">
        <f t="shared" si="462"/>
        <v>642.29999999999995</v>
      </c>
      <c r="IZ82" s="5">
        <f t="shared" si="462"/>
        <v>643.29999999999995</v>
      </c>
      <c r="JA82" s="5">
        <f t="shared" si="462"/>
        <v>644.29999999999995</v>
      </c>
      <c r="JB82" s="63">
        <f>IFERROR(AVERAGE(IP82:JA82),"")</f>
        <v>638.38333333333344</v>
      </c>
      <c r="JD82" s="41">
        <f>AVERAGE(IP82:IZ82)</f>
        <v>637.84545454545469</v>
      </c>
    </row>
    <row r="83" spans="9:264">
      <c r="IP83" s="5">
        <f t="shared" ref="IP83:JA83" si="463">SUM(IP70,IP57,IP44,HP31,HP18,HP5)</f>
        <v>783</v>
      </c>
      <c r="IQ83" s="5">
        <f t="shared" si="463"/>
        <v>783</v>
      </c>
      <c r="IR83" s="5">
        <f t="shared" si="463"/>
        <v>778</v>
      </c>
      <c r="IS83" s="5">
        <f t="shared" si="463"/>
        <v>778</v>
      </c>
      <c r="IT83" s="5">
        <f t="shared" si="463"/>
        <v>778</v>
      </c>
      <c r="IU83" s="5">
        <f t="shared" si="463"/>
        <v>776</v>
      </c>
      <c r="IV83" s="5">
        <f t="shared" si="463"/>
        <v>767</v>
      </c>
      <c r="IW83" s="5">
        <f t="shared" si="463"/>
        <v>764</v>
      </c>
      <c r="IX83" s="5">
        <f t="shared" si="463"/>
        <v>761</v>
      </c>
      <c r="IY83" s="5">
        <f t="shared" si="463"/>
        <v>759</v>
      </c>
      <c r="IZ83" s="5">
        <f t="shared" si="463"/>
        <v>754</v>
      </c>
      <c r="JA83" s="5">
        <f t="shared" si="463"/>
        <v>750</v>
      </c>
      <c r="JB83" s="63">
        <f t="shared" ref="JB83:JB84" si="464">IFERROR(AVERAGE(IP83:JA83),"")</f>
        <v>769.25</v>
      </c>
      <c r="JD83" s="41">
        <f>AVERAGE(IP83:IZ83)</f>
        <v>771</v>
      </c>
    </row>
    <row r="84" spans="9:264">
      <c r="IP84" s="5">
        <f t="shared" ref="IP84:JA84" si="465">SUM(IP71,IP58,IP45,HP32,HP19,HP6)</f>
        <v>2792.5</v>
      </c>
      <c r="IQ84" s="5">
        <f t="shared" si="465"/>
        <v>2922</v>
      </c>
      <c r="IR84" s="5">
        <f t="shared" si="465"/>
        <v>2963</v>
      </c>
      <c r="IS84" s="5">
        <f t="shared" si="465"/>
        <v>2965</v>
      </c>
      <c r="IT84" s="5">
        <f t="shared" si="465"/>
        <v>2992</v>
      </c>
      <c r="IU84" s="5">
        <f t="shared" si="465"/>
        <v>2923</v>
      </c>
      <c r="IV84" s="5">
        <f t="shared" si="465"/>
        <v>2966</v>
      </c>
      <c r="IW84" s="5">
        <f t="shared" si="465"/>
        <v>2771</v>
      </c>
      <c r="IX84" s="5">
        <f t="shared" si="465"/>
        <v>2643.9807692307691</v>
      </c>
      <c r="IY84" s="5">
        <f t="shared" si="465"/>
        <v>2480.0384615384614</v>
      </c>
      <c r="IZ84" s="5">
        <f t="shared" si="465"/>
        <v>2645</v>
      </c>
      <c r="JA84" s="5">
        <f t="shared" si="465"/>
        <v>2615</v>
      </c>
      <c r="JB84" s="63">
        <f t="shared" si="464"/>
        <v>2806.5432692307695</v>
      </c>
      <c r="JD84" s="41">
        <f>AVERAGE(IP84:IZ84)</f>
        <v>2823.9562937062938</v>
      </c>
    </row>
    <row r="85" spans="9:264" ht="15.75" thickBot="1">
      <c r="IP85" s="15">
        <f t="shared" ref="IP85:JB85" si="466">SUM(IP82:IP84)</f>
        <v>4210.8</v>
      </c>
      <c r="IQ85" s="15">
        <f t="shared" si="466"/>
        <v>4335.3</v>
      </c>
      <c r="IR85" s="15">
        <f t="shared" si="466"/>
        <v>4367.3</v>
      </c>
      <c r="IS85" s="15">
        <f t="shared" si="466"/>
        <v>4379.3</v>
      </c>
      <c r="IT85" s="15">
        <f t="shared" si="466"/>
        <v>4412.3</v>
      </c>
      <c r="IU85" s="15">
        <f t="shared" si="466"/>
        <v>4333.3</v>
      </c>
      <c r="IV85" s="15">
        <f t="shared" si="466"/>
        <v>4373.3</v>
      </c>
      <c r="IW85" s="15">
        <f t="shared" si="466"/>
        <v>4181.3</v>
      </c>
      <c r="IX85" s="15">
        <f t="shared" si="466"/>
        <v>4044.2807692307688</v>
      </c>
      <c r="IY85" s="15">
        <f t="shared" si="466"/>
        <v>3881.3384615384612</v>
      </c>
      <c r="IZ85" s="15">
        <f t="shared" si="466"/>
        <v>4042.3</v>
      </c>
      <c r="JA85" s="15">
        <f t="shared" si="466"/>
        <v>4009.3</v>
      </c>
      <c r="JB85" s="15">
        <f t="shared" si="466"/>
        <v>4214.1766025641027</v>
      </c>
      <c r="JD85" s="181">
        <f>SUM(JD82:JD84)</f>
        <v>4232.801748251748</v>
      </c>
    </row>
    <row r="86" spans="9:264">
      <c r="IP86" s="2" t="s">
        <v>146</v>
      </c>
    </row>
    <row r="87" spans="9:264">
      <c r="IP87" s="98" t="s">
        <v>127</v>
      </c>
      <c r="IQ87" s="98" t="s">
        <v>128</v>
      </c>
      <c r="IR87" s="99" t="s">
        <v>129</v>
      </c>
      <c r="IS87" s="99" t="s">
        <v>130</v>
      </c>
      <c r="IT87" s="99" t="s">
        <v>131</v>
      </c>
      <c r="IU87" s="99" t="s">
        <v>132</v>
      </c>
      <c r="IV87" s="99" t="s">
        <v>133</v>
      </c>
      <c r="IW87" s="99" t="s">
        <v>134</v>
      </c>
      <c r="IX87" s="99" t="s">
        <v>135</v>
      </c>
      <c r="IY87" s="99" t="s">
        <v>136</v>
      </c>
      <c r="IZ87" s="99" t="s">
        <v>137</v>
      </c>
      <c r="JA87" s="99" t="s">
        <v>138</v>
      </c>
      <c r="JB87" s="99" t="s">
        <v>139</v>
      </c>
    </row>
    <row r="88" spans="9:264">
      <c r="IP88" s="5">
        <f>SUM(IP75,IP62,IP49,HP36,HP23,HP10)</f>
        <v>661.8</v>
      </c>
      <c r="IQ88" s="5">
        <f t="shared" ref="IQ88:JA88" si="467">SUM(IQ75,IQ62,IQ49,HQ36,HQ23,HQ10)</f>
        <v>680.8</v>
      </c>
      <c r="IR88" s="5">
        <f t="shared" si="467"/>
        <v>685.8</v>
      </c>
      <c r="IS88" s="5">
        <f t="shared" si="467"/>
        <v>707.8</v>
      </c>
      <c r="IT88" s="5">
        <f t="shared" si="467"/>
        <v>712.3</v>
      </c>
      <c r="IU88" s="5">
        <f t="shared" si="467"/>
        <v>711.3</v>
      </c>
      <c r="IV88" s="5">
        <f t="shared" si="467"/>
        <v>725.3</v>
      </c>
      <c r="IW88" s="5">
        <f t="shared" si="467"/>
        <v>724.42499999999995</v>
      </c>
      <c r="IX88" s="5">
        <f t="shared" si="467"/>
        <v>724.92499999999995</v>
      </c>
      <c r="IY88" s="5">
        <f t="shared" si="467"/>
        <v>727.42499999999995</v>
      </c>
      <c r="IZ88" s="5">
        <f t="shared" si="467"/>
        <v>727.20624999999995</v>
      </c>
      <c r="JA88" s="5">
        <f t="shared" si="467"/>
        <v>728.08124999999995</v>
      </c>
      <c r="JB88" s="63">
        <f>IFERROR(AVERAGE(IP88:JA88),"")</f>
        <v>709.7635416666667</v>
      </c>
    </row>
    <row r="89" spans="9:264">
      <c r="IP89" s="5">
        <f t="shared" ref="IP89:JA89" si="468">SUM(IP76,IP63,IP50,HP37,HP24,HP11)</f>
        <v>755.00003333333336</v>
      </c>
      <c r="IQ89" s="5">
        <f t="shared" si="468"/>
        <v>752.00003333333336</v>
      </c>
      <c r="IR89" s="5">
        <f t="shared" si="468"/>
        <v>747.00003333333336</v>
      </c>
      <c r="IS89" s="5">
        <f t="shared" si="468"/>
        <v>740.00003333333336</v>
      </c>
      <c r="IT89" s="5">
        <f t="shared" si="468"/>
        <v>724.00003333333336</v>
      </c>
      <c r="IU89" s="5">
        <f t="shared" si="468"/>
        <v>708.00003333333336</v>
      </c>
      <c r="IV89" s="5">
        <f t="shared" si="468"/>
        <v>718.00003333333336</v>
      </c>
      <c r="IW89" s="5">
        <f t="shared" si="468"/>
        <v>718.00003333333336</v>
      </c>
      <c r="IX89" s="5">
        <f t="shared" si="468"/>
        <v>713.00003333333336</v>
      </c>
      <c r="IY89" s="5">
        <f t="shared" si="468"/>
        <v>698.00003333333336</v>
      </c>
      <c r="IZ89" s="5">
        <f t="shared" si="468"/>
        <v>683.00003333333336</v>
      </c>
      <c r="JA89" s="5">
        <f t="shared" si="468"/>
        <v>629.00003333333336</v>
      </c>
      <c r="JB89" s="63">
        <f t="shared" ref="JB89:JB90" si="469">IFERROR(AVERAGE(IP89:JA89),"")</f>
        <v>715.41670000000022</v>
      </c>
    </row>
    <row r="90" spans="9:264">
      <c r="IP90" s="5">
        <f>SUM(IP77,IP64,IP51,HP38,HP25,HP12)</f>
        <v>2886.4999666666668</v>
      </c>
      <c r="IQ90" s="5">
        <f t="shared" ref="IQ90:JA90" si="470">SUM(IQ77,IQ64,IQ51,HQ38,HQ25,HQ12)</f>
        <v>2930.4999666666668</v>
      </c>
      <c r="IR90" s="5">
        <f t="shared" si="470"/>
        <v>2917.9999666666668</v>
      </c>
      <c r="IS90" s="5">
        <f t="shared" si="470"/>
        <v>2898.9999666666668</v>
      </c>
      <c r="IT90" s="5">
        <f t="shared" si="470"/>
        <v>2927.4999666666668</v>
      </c>
      <c r="IU90" s="5">
        <f t="shared" si="470"/>
        <v>2945.4999666666668</v>
      </c>
      <c r="IV90" s="5">
        <f t="shared" si="470"/>
        <v>2931.9999666666668</v>
      </c>
      <c r="IW90" s="5">
        <f t="shared" si="470"/>
        <v>2889.9999666666668</v>
      </c>
      <c r="IX90" s="5">
        <f t="shared" si="470"/>
        <v>2889.9999666666668</v>
      </c>
      <c r="IY90" s="5">
        <f t="shared" si="470"/>
        <v>2901.9999666666668</v>
      </c>
      <c r="IZ90" s="5">
        <f t="shared" si="470"/>
        <v>2916.9999666666668</v>
      </c>
      <c r="JA90" s="5">
        <f t="shared" si="470"/>
        <v>2937.5999666666667</v>
      </c>
      <c r="JB90" s="63">
        <f t="shared" si="469"/>
        <v>2914.6333</v>
      </c>
    </row>
    <row r="91" spans="9:264" ht="15.75" thickBot="1">
      <c r="IP91" s="15">
        <f t="shared" ref="IP91:JB91" si="471">SUM(IP88:IP90)</f>
        <v>4303.3</v>
      </c>
      <c r="IQ91" s="15">
        <f t="shared" si="471"/>
        <v>4363.3</v>
      </c>
      <c r="IR91" s="15">
        <f t="shared" si="471"/>
        <v>4350.8</v>
      </c>
      <c r="IS91" s="15">
        <f t="shared" si="471"/>
        <v>4346.8</v>
      </c>
      <c r="IT91" s="15">
        <f t="shared" si="471"/>
        <v>4363.8</v>
      </c>
      <c r="IU91" s="15">
        <f t="shared" si="471"/>
        <v>4364.8</v>
      </c>
      <c r="IV91" s="15">
        <f t="shared" si="471"/>
        <v>4375.3</v>
      </c>
      <c r="IW91" s="15">
        <f t="shared" si="471"/>
        <v>4332.4250000000002</v>
      </c>
      <c r="IX91" s="15">
        <f t="shared" si="471"/>
        <v>4327.9250000000002</v>
      </c>
      <c r="IY91" s="15">
        <f t="shared" si="471"/>
        <v>4327.4250000000002</v>
      </c>
      <c r="IZ91" s="15">
        <f t="shared" si="471"/>
        <v>4327.2062500000002</v>
      </c>
      <c r="JA91" s="15">
        <f t="shared" si="471"/>
        <v>4294.6812499999996</v>
      </c>
      <c r="JB91" s="15">
        <f t="shared" si="471"/>
        <v>4339.8135416666664</v>
      </c>
    </row>
    <row r="93" spans="9:264">
      <c r="IO93" s="100" t="s">
        <v>148</v>
      </c>
      <c r="IP93" s="41">
        <f>[18]Manpower_month!C5</f>
        <v>661.8</v>
      </c>
      <c r="IQ93" s="41">
        <f>[18]Manpower_month!D5</f>
        <v>680.8</v>
      </c>
      <c r="IR93" s="41">
        <f>[18]Manpower_month!E5</f>
        <v>685.8</v>
      </c>
      <c r="IS93" s="41">
        <f>[18]Manpower_month!F5</f>
        <v>707.8</v>
      </c>
      <c r="IT93" s="41">
        <f>[18]Manpower_month!G5</f>
        <v>712.3</v>
      </c>
      <c r="IU93" s="41">
        <f>[18]Manpower_month!H5</f>
        <v>711.3</v>
      </c>
      <c r="IV93" s="41">
        <f>[18]Manpower_month!I5</f>
        <v>725.3</v>
      </c>
      <c r="IW93" s="41">
        <f>[18]Manpower_month!J5</f>
        <v>724.42499999999995</v>
      </c>
      <c r="IX93" s="41">
        <f>[18]Manpower_month!K5</f>
        <v>724.92499999999995</v>
      </c>
      <c r="IY93" s="41">
        <f>[18]Manpower_month!L5</f>
        <v>727.42499999999995</v>
      </c>
      <c r="IZ93" s="41">
        <f>[18]Manpower_month!M5</f>
        <v>727.20624999999995</v>
      </c>
      <c r="JA93" s="41">
        <f>[18]Manpower_month!N5</f>
        <v>728.08124999999995</v>
      </c>
      <c r="JB93" s="63">
        <f>IFERROR(AVERAGE(IP93:JA93),"")</f>
        <v>709.7635416666667</v>
      </c>
    </row>
    <row r="94" spans="9:264">
      <c r="IP94" s="41">
        <f>[18]Manpower_month!C7</f>
        <v>755.00003333333336</v>
      </c>
      <c r="IQ94" s="41">
        <f>[18]Manpower_month!D7</f>
        <v>752.00003333333336</v>
      </c>
      <c r="IR94" s="41">
        <f>[18]Manpower_month!E7</f>
        <v>747.00003333333336</v>
      </c>
      <c r="IS94" s="41">
        <f>[18]Manpower_month!F7</f>
        <v>740.00003333333336</v>
      </c>
      <c r="IT94" s="41">
        <f>[18]Manpower_month!G7</f>
        <v>724.00003333333336</v>
      </c>
      <c r="IU94" s="41">
        <f>[18]Manpower_month!H7</f>
        <v>708.00003333333336</v>
      </c>
      <c r="IV94" s="41">
        <f>[18]Manpower_month!I7</f>
        <v>718.00003333333336</v>
      </c>
      <c r="IW94" s="41">
        <f>[18]Manpower_month!J7</f>
        <v>718.00003333333336</v>
      </c>
      <c r="IX94" s="41">
        <f>[18]Manpower_month!K7</f>
        <v>713.00003333333336</v>
      </c>
      <c r="IY94" s="41">
        <f>[18]Manpower_month!L7</f>
        <v>698.00003333333336</v>
      </c>
      <c r="IZ94" s="41">
        <f>[18]Manpower_month!M7</f>
        <v>683.00003333333336</v>
      </c>
      <c r="JA94" s="41">
        <f>[18]Manpower_month!N7</f>
        <v>629.00003333333336</v>
      </c>
      <c r="JB94" s="63">
        <f>IFERROR(AVERAGE(IP94:JA94),"")</f>
        <v>715.41670000000022</v>
      </c>
    </row>
    <row r="95" spans="9:264">
      <c r="IP95" s="41">
        <f>[18]Manpower_month!C8</f>
        <v>2886.4999666666668</v>
      </c>
      <c r="IQ95" s="41">
        <f>[18]Manpower_month!D8</f>
        <v>2930.4999666666668</v>
      </c>
      <c r="IR95" s="41">
        <f>[18]Manpower_month!E8</f>
        <v>2917.9999666666668</v>
      </c>
      <c r="IS95" s="41">
        <f>[18]Manpower_month!F8</f>
        <v>2898.9999666666668</v>
      </c>
      <c r="IT95" s="41">
        <f>[18]Manpower_month!G8</f>
        <v>2927.4999666666668</v>
      </c>
      <c r="IU95" s="41">
        <f>[18]Manpower_month!H8</f>
        <v>2945.4999666666668</v>
      </c>
      <c r="IV95" s="41">
        <f>[18]Manpower_month!I8</f>
        <v>2931.9999666666668</v>
      </c>
      <c r="IW95" s="41">
        <f>[18]Manpower_month!J8</f>
        <v>2889.9999666666668</v>
      </c>
      <c r="IX95" s="41">
        <f>[18]Manpower_month!K8</f>
        <v>2889.9999666666668</v>
      </c>
      <c r="IY95" s="41">
        <f>[18]Manpower_month!L8</f>
        <v>2901.9999666666668</v>
      </c>
      <c r="IZ95" s="41">
        <f>[18]Manpower_month!M8</f>
        <v>2916.9999666666668</v>
      </c>
      <c r="JA95" s="41">
        <f>[18]Manpower_month!N8</f>
        <v>2937.5999666666667</v>
      </c>
      <c r="JB95" s="63">
        <f>IFERROR(AVERAGE(IP95:JA95),"")</f>
        <v>2914.6333</v>
      </c>
    </row>
    <row r="96" spans="9:264">
      <c r="IP96" s="41">
        <f>SUM(IP93:IP95)</f>
        <v>4303.3</v>
      </c>
      <c r="IQ96" s="41">
        <f t="shared" ref="IQ96:JB96" si="472">SUM(IQ93:IQ95)</f>
        <v>4363.3</v>
      </c>
      <c r="IR96" s="41">
        <f t="shared" si="472"/>
        <v>4350.8</v>
      </c>
      <c r="IS96" s="41">
        <f>SUM(IS93:IS95)</f>
        <v>4346.8</v>
      </c>
      <c r="IT96" s="41">
        <f t="shared" si="472"/>
        <v>4363.8</v>
      </c>
      <c r="IU96" s="41">
        <f t="shared" si="472"/>
        <v>4364.8</v>
      </c>
      <c r="IV96" s="41">
        <f t="shared" si="472"/>
        <v>4375.3</v>
      </c>
      <c r="IW96" s="41">
        <f t="shared" si="472"/>
        <v>4332.4250000000002</v>
      </c>
      <c r="IX96" s="41">
        <f t="shared" si="472"/>
        <v>4327.9250000000002</v>
      </c>
      <c r="IY96" s="41">
        <f t="shared" si="472"/>
        <v>4327.4250000000002</v>
      </c>
      <c r="IZ96" s="41">
        <f t="shared" si="472"/>
        <v>4327.2062500000002</v>
      </c>
      <c r="JA96" s="41">
        <f t="shared" si="472"/>
        <v>4294.6812499999996</v>
      </c>
      <c r="JB96" s="41">
        <f t="shared" si="472"/>
        <v>4339.8135416666664</v>
      </c>
    </row>
    <row r="97" spans="250:262">
      <c r="IP97" s="41">
        <f>IP93-IP88</f>
        <v>0</v>
      </c>
      <c r="IQ97" s="41">
        <f t="shared" ref="IQ97:JB97" si="473">IQ93-IQ88</f>
        <v>0</v>
      </c>
      <c r="IR97" s="41">
        <f t="shared" si="473"/>
        <v>0</v>
      </c>
      <c r="IS97" s="41">
        <f t="shared" si="473"/>
        <v>0</v>
      </c>
      <c r="IT97" s="41">
        <f t="shared" si="473"/>
        <v>0</v>
      </c>
      <c r="IU97" s="41">
        <f t="shared" si="473"/>
        <v>0</v>
      </c>
      <c r="IV97" s="41">
        <f t="shared" si="473"/>
        <v>0</v>
      </c>
      <c r="IW97" s="41">
        <f t="shared" si="473"/>
        <v>0</v>
      </c>
      <c r="IX97" s="41">
        <f t="shared" si="473"/>
        <v>0</v>
      </c>
      <c r="IY97" s="41">
        <f t="shared" si="473"/>
        <v>0</v>
      </c>
      <c r="IZ97" s="41">
        <f t="shared" si="473"/>
        <v>0</v>
      </c>
      <c r="JA97" s="41">
        <f t="shared" si="473"/>
        <v>0</v>
      </c>
      <c r="JB97" s="41">
        <f t="shared" si="473"/>
        <v>0</v>
      </c>
    </row>
    <row r="98" spans="250:262">
      <c r="IP98" s="41">
        <f>IP94-IP89</f>
        <v>0</v>
      </c>
      <c r="IQ98" s="41">
        <f t="shared" ref="IQ98:JB98" si="474">IQ94-IQ89</f>
        <v>0</v>
      </c>
      <c r="IR98" s="41">
        <f t="shared" si="474"/>
        <v>0</v>
      </c>
      <c r="IS98" s="41">
        <f t="shared" si="474"/>
        <v>0</v>
      </c>
      <c r="IT98" s="41">
        <f t="shared" si="474"/>
        <v>0</v>
      </c>
      <c r="IU98" s="41">
        <f t="shared" si="474"/>
        <v>0</v>
      </c>
      <c r="IV98" s="41">
        <f t="shared" si="474"/>
        <v>0</v>
      </c>
      <c r="IW98" s="41">
        <f t="shared" si="474"/>
        <v>0</v>
      </c>
      <c r="IX98" s="41">
        <f t="shared" si="474"/>
        <v>0</v>
      </c>
      <c r="IY98" s="41">
        <f t="shared" si="474"/>
        <v>0</v>
      </c>
      <c r="IZ98" s="41">
        <f t="shared" si="474"/>
        <v>0</v>
      </c>
      <c r="JA98" s="41">
        <f t="shared" si="474"/>
        <v>0</v>
      </c>
      <c r="JB98" s="41">
        <f t="shared" si="474"/>
        <v>0</v>
      </c>
    </row>
    <row r="99" spans="250:262">
      <c r="IP99" s="41">
        <f>IP95-IP90</f>
        <v>0</v>
      </c>
      <c r="IQ99" s="41">
        <f t="shared" ref="IQ99:JB99" si="475">IQ95-IQ90</f>
        <v>0</v>
      </c>
      <c r="IR99" s="41">
        <f t="shared" si="475"/>
        <v>0</v>
      </c>
      <c r="IS99" s="41">
        <f t="shared" si="475"/>
        <v>0</v>
      </c>
      <c r="IT99" s="41">
        <f t="shared" si="475"/>
        <v>0</v>
      </c>
      <c r="IU99" s="41">
        <f t="shared" si="475"/>
        <v>0</v>
      </c>
      <c r="IV99" s="41">
        <f t="shared" si="475"/>
        <v>0</v>
      </c>
      <c r="IW99" s="41">
        <f t="shared" si="475"/>
        <v>0</v>
      </c>
      <c r="IX99" s="41">
        <f t="shared" si="475"/>
        <v>0</v>
      </c>
      <c r="IY99" s="41">
        <f t="shared" si="475"/>
        <v>0</v>
      </c>
      <c r="IZ99" s="41">
        <f t="shared" si="475"/>
        <v>0</v>
      </c>
      <c r="JA99" s="41">
        <f t="shared" si="475"/>
        <v>0</v>
      </c>
      <c r="JB99" s="41">
        <f t="shared" si="475"/>
        <v>0</v>
      </c>
    </row>
    <row r="100" spans="250:262">
      <c r="IP100" s="41">
        <f>IP96-IP91</f>
        <v>0</v>
      </c>
      <c r="IQ100" s="41">
        <f t="shared" ref="IQ100:JB100" si="476">IQ96-IQ91</f>
        <v>0</v>
      </c>
      <c r="IR100" s="41">
        <f t="shared" si="476"/>
        <v>0</v>
      </c>
      <c r="IS100" s="41">
        <f>IS96-IS91</f>
        <v>0</v>
      </c>
      <c r="IT100" s="41">
        <f t="shared" si="476"/>
        <v>0</v>
      </c>
      <c r="IU100" s="41">
        <f t="shared" si="476"/>
        <v>0</v>
      </c>
      <c r="IV100" s="41">
        <f t="shared" si="476"/>
        <v>0</v>
      </c>
      <c r="IW100" s="41">
        <f t="shared" si="476"/>
        <v>0</v>
      </c>
      <c r="IX100" s="41">
        <f t="shared" si="476"/>
        <v>0</v>
      </c>
      <c r="IY100" s="41">
        <f t="shared" si="476"/>
        <v>0</v>
      </c>
      <c r="IZ100" s="41">
        <f t="shared" si="476"/>
        <v>0</v>
      </c>
      <c r="JA100" s="41">
        <f t="shared" si="476"/>
        <v>0</v>
      </c>
      <c r="JB100" s="41">
        <f t="shared" si="476"/>
        <v>0</v>
      </c>
    </row>
  </sheetData>
  <pageMargins left="0.7" right="0.7" top="0.75" bottom="0.75" header="0.3" footer="0.3"/>
  <pageSetup paperSize="9" orientation="landscape" r:id="rId1"/>
  <ignoredErrors>
    <ignoredError sqref="H56 EE17 IQ19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showGridLines="0" zoomScale="90" zoomScaleNormal="90" workbookViewId="0">
      <pane xSplit="1" ySplit="2" topLeftCell="AL50" activePane="bottomRight" state="frozen"/>
      <selection pane="topRight" activeCell="B1" sqref="B1"/>
      <selection pane="bottomLeft" activeCell="A3" sqref="A3"/>
      <selection pane="bottomRight" activeCell="BA58" sqref="BA58"/>
    </sheetView>
  </sheetViews>
  <sheetFormatPr defaultRowHeight="15"/>
  <cols>
    <col min="1" max="1" width="16.85546875" bestFit="1" customWidth="1"/>
    <col min="2" max="2" width="14.42578125" customWidth="1"/>
    <col min="3" max="3" width="11.5703125" customWidth="1"/>
    <col min="4" max="5" width="13.7109375" bestFit="1" customWidth="1"/>
    <col min="6" max="6" width="13.85546875" bestFit="1" customWidth="1"/>
    <col min="7" max="7" width="13.28515625" style="22" bestFit="1" customWidth="1"/>
    <col min="8" max="9" width="13.28515625" style="28" bestFit="1" customWidth="1"/>
    <col min="13" max="15" width="9.5703125" style="22" bestFit="1" customWidth="1"/>
    <col min="22" max="23" width="8" bestFit="1" customWidth="1"/>
    <col min="28" max="28" width="14.28515625" bestFit="1" customWidth="1"/>
    <col min="29" max="29" width="8.5703125" bestFit="1" customWidth="1"/>
    <col min="30" max="30" width="11.140625" bestFit="1" customWidth="1"/>
    <col min="41" max="41" width="12.140625" style="22" bestFit="1" customWidth="1"/>
    <col min="42" max="43" width="9.140625" style="22"/>
    <col min="44" max="44" width="13.28515625" style="22" bestFit="1" customWidth="1"/>
    <col min="45" max="45" width="12.5703125" style="22" bestFit="1" customWidth="1"/>
    <col min="46" max="46" width="9.140625" style="22"/>
    <col min="47" max="47" width="16.7109375" style="22" bestFit="1" customWidth="1"/>
    <col min="48" max="52" width="9.140625" style="22"/>
    <col min="53" max="53" width="10.5703125" style="22" bestFit="1" customWidth="1"/>
  </cols>
  <sheetData>
    <row r="1" spans="1:53" ht="15.75" thickBot="1">
      <c r="A1" s="32" t="s">
        <v>53</v>
      </c>
      <c r="B1" s="24"/>
      <c r="C1" s="24"/>
      <c r="D1" s="24"/>
      <c r="E1" s="25"/>
      <c r="F1" s="26"/>
      <c r="G1" s="24"/>
      <c r="H1" s="24"/>
      <c r="AQ1" s="104">
        <f>(AQ25-AQ21)/AQ25</f>
        <v>3.6756630333214524E-2</v>
      </c>
    </row>
    <row r="2" spans="1:53" s="30" customFormat="1">
      <c r="A2" s="33" t="s">
        <v>50</v>
      </c>
      <c r="B2" s="34" t="s">
        <v>52</v>
      </c>
      <c r="C2" s="35" t="s">
        <v>51</v>
      </c>
      <c r="E2" s="30" t="s">
        <v>54</v>
      </c>
      <c r="F2" s="30" t="s">
        <v>55</v>
      </c>
      <c r="G2" s="29" t="s">
        <v>58</v>
      </c>
      <c r="H2" s="31" t="s">
        <v>59</v>
      </c>
      <c r="I2" s="31" t="s">
        <v>60</v>
      </c>
      <c r="M2" s="29"/>
      <c r="N2" s="29"/>
      <c r="O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</row>
    <row r="3" spans="1:53">
      <c r="A3" s="36" t="s">
        <v>0</v>
      </c>
      <c r="B3" s="20">
        <v>5799519</v>
      </c>
      <c r="C3" s="20">
        <v>58012</v>
      </c>
      <c r="D3" s="22"/>
      <c r="E3" s="41">
        <f>'Manpower Backup'!B7</f>
        <v>1819</v>
      </c>
      <c r="F3" s="41">
        <f>'Manpower Backup'!Q7</f>
        <v>1376</v>
      </c>
      <c r="G3" s="43">
        <f>(B3/$B$7*$B$9)</f>
        <v>31.932163302169648</v>
      </c>
      <c r="H3" s="45">
        <f>B3/E3</f>
        <v>3188.3007146783948</v>
      </c>
      <c r="I3" s="45">
        <f>B3/F3</f>
        <v>4214.7667151162786</v>
      </c>
    </row>
    <row r="4" spans="1:53">
      <c r="A4" s="36" t="s">
        <v>13</v>
      </c>
      <c r="B4" s="20">
        <v>4137083</v>
      </c>
      <c r="C4" s="20">
        <v>41426</v>
      </c>
      <c r="D4" s="22"/>
      <c r="E4" s="41">
        <f>'Manpower Backup'!B20</f>
        <v>1198.5</v>
      </c>
      <c r="F4" s="41">
        <f>'Manpower Backup'!Q20</f>
        <v>899</v>
      </c>
      <c r="G4" s="43">
        <f>(B4/$B$7*$B$9)</f>
        <v>22.778787335748003</v>
      </c>
      <c r="H4" s="45">
        <f>B4/E4</f>
        <v>3451.8840216937838</v>
      </c>
      <c r="I4" s="45">
        <f>B4/F4</f>
        <v>4601.8720800889878</v>
      </c>
    </row>
    <row r="5" spans="1:53">
      <c r="A5" s="36" t="s">
        <v>14</v>
      </c>
      <c r="B5" s="20">
        <v>903490</v>
      </c>
      <c r="C5" s="20">
        <v>11455</v>
      </c>
      <c r="D5" s="22"/>
      <c r="E5" s="41">
        <f>'Manpower Backup'!B33</f>
        <v>333.1</v>
      </c>
      <c r="F5" s="41">
        <f>'Manpower Backup'!Q33</f>
        <v>318.10000000000002</v>
      </c>
      <c r="G5" s="43">
        <f>(B5/$B$7*$B$9)</f>
        <v>4.9746177608655575</v>
      </c>
      <c r="H5" s="45">
        <f>B5/E5</f>
        <v>2712.3686580606422</v>
      </c>
      <c r="I5" s="45">
        <f>B5/F5</f>
        <v>2840.2703552342027</v>
      </c>
    </row>
    <row r="6" spans="1:53">
      <c r="A6" s="36" t="s">
        <v>15</v>
      </c>
      <c r="B6" s="20">
        <v>783587</v>
      </c>
      <c r="C6" s="20">
        <v>9943</v>
      </c>
      <c r="D6" s="22"/>
      <c r="E6" s="41">
        <f>'Manpower Backup'!B46</f>
        <v>276.5</v>
      </c>
      <c r="F6" s="41">
        <f>'Manpower Backup'!Q46</f>
        <v>265.5</v>
      </c>
      <c r="G6" s="43">
        <f>(B6/$B$7*$B$9)</f>
        <v>4.3144316012167918</v>
      </c>
      <c r="H6" s="45">
        <f>B6/E6</f>
        <v>2833.9493670886077</v>
      </c>
      <c r="I6" s="45">
        <f>B6/F6</f>
        <v>2951.3634651600755</v>
      </c>
      <c r="AC6" s="1">
        <f>SUM(AC14,AC23,AC31,AC41)</f>
        <v>2691.9231323771078</v>
      </c>
    </row>
    <row r="7" spans="1:53" ht="15.75" thickBot="1">
      <c r="A7" s="37" t="s">
        <v>56</v>
      </c>
      <c r="B7" s="38">
        <f>SUM(B3:B6)</f>
        <v>11623679</v>
      </c>
      <c r="C7" s="39">
        <f>SUM(C3:C6)</f>
        <v>120836</v>
      </c>
      <c r="D7" s="22"/>
      <c r="E7" s="44">
        <f>SUM(E3:E6)+G7</f>
        <v>3691.1</v>
      </c>
      <c r="F7" s="44">
        <f>SUM(F3:F6)</f>
        <v>2858.6</v>
      </c>
      <c r="G7" s="43">
        <f>SUM(G3:G6)</f>
        <v>63.999999999999993</v>
      </c>
      <c r="H7" s="46">
        <f>B7/E7</f>
        <v>3149.1097504808868</v>
      </c>
      <c r="I7" s="46">
        <f>B7/F7</f>
        <v>4066.2138809207304</v>
      </c>
      <c r="L7">
        <v>-7103374.1222928734</v>
      </c>
      <c r="M7" s="60">
        <f>71/I13</f>
        <v>1.4119872030787942E-2</v>
      </c>
    </row>
    <row r="8" spans="1:53" s="22" customFormat="1">
      <c r="A8"/>
      <c r="E8" s="41"/>
      <c r="M8" s="60"/>
    </row>
    <row r="9" spans="1:53">
      <c r="A9" s="31" t="s">
        <v>57</v>
      </c>
      <c r="B9" s="40">
        <f>'Manpower Backup'!B59</f>
        <v>64</v>
      </c>
      <c r="E9" s="1"/>
      <c r="L9" s="59">
        <f>(I43-I39)/I43</f>
        <v>0.12127992621492389</v>
      </c>
      <c r="U9" s="1">
        <f>S13</f>
        <v>7146.043662312024</v>
      </c>
      <c r="V9" s="1">
        <f>S17</f>
        <v>7038</v>
      </c>
      <c r="W9" s="65">
        <f>(V9-U9)/V9</f>
        <v>-1.5351472337599321E-2</v>
      </c>
    </row>
    <row r="10" spans="1:53">
      <c r="O10" s="60">
        <f>(J16-J12)/J16</f>
        <v>1.6189743591356658E-2</v>
      </c>
      <c r="P10" s="59">
        <f>(M16-M12)/M16</f>
        <v>0.10475726443150074</v>
      </c>
      <c r="Q10" s="59"/>
      <c r="R10" s="1">
        <f>SUM(N12:U12)</f>
        <v>4977320.8442239817</v>
      </c>
      <c r="S10" s="1">
        <f>SUM(N16:U16)</f>
        <v>4857308</v>
      </c>
      <c r="T10" s="65">
        <f>(S10-R10)/S10</f>
        <v>-2.4707686690648756E-2</v>
      </c>
      <c r="U10" s="1">
        <f>SUM(N13:U13)</f>
        <v>52894.403653579328</v>
      </c>
      <c r="V10" s="1">
        <f>SUM(N17:U17)</f>
        <v>52682</v>
      </c>
      <c r="W10" s="65">
        <f>(V10-U10)/V10</f>
        <v>-4.0318069469520426E-3</v>
      </c>
      <c r="AK10" s="1">
        <f>AK12-AK16</f>
        <v>14589.896312422352</v>
      </c>
      <c r="AL10" s="65">
        <f>AK10/AK16</f>
        <v>2.148967974724296E-2</v>
      </c>
      <c r="AO10" s="103" t="s">
        <v>0</v>
      </c>
    </row>
    <row r="11" spans="1:53" s="31" customFormat="1">
      <c r="A11" s="31" t="s">
        <v>0</v>
      </c>
      <c r="B11" s="29" t="s">
        <v>61</v>
      </c>
      <c r="C11" s="29" t="s">
        <v>62</v>
      </c>
      <c r="D11" s="29" t="s">
        <v>63</v>
      </c>
      <c r="E11" s="29" t="s">
        <v>64</v>
      </c>
      <c r="F11" s="29" t="s">
        <v>65</v>
      </c>
      <c r="G11" s="29" t="s">
        <v>70</v>
      </c>
      <c r="H11" s="31" t="s">
        <v>71</v>
      </c>
      <c r="I11" s="31" t="s">
        <v>72</v>
      </c>
      <c r="J11" s="31" t="s">
        <v>73</v>
      </c>
      <c r="K11" s="31" t="s">
        <v>74</v>
      </c>
      <c r="L11" s="31" t="s">
        <v>75</v>
      </c>
      <c r="M11" s="29" t="s">
        <v>76</v>
      </c>
      <c r="N11" s="29" t="s">
        <v>61</v>
      </c>
      <c r="O11" s="29" t="s">
        <v>62</v>
      </c>
      <c r="P11" s="29" t="s">
        <v>63</v>
      </c>
      <c r="Q11" s="29" t="s">
        <v>64</v>
      </c>
      <c r="R11" s="29" t="s">
        <v>65</v>
      </c>
      <c r="S11" s="29" t="s">
        <v>70</v>
      </c>
      <c r="T11" s="31" t="s">
        <v>71</v>
      </c>
      <c r="U11" s="31" t="s">
        <v>72</v>
      </c>
      <c r="V11" s="31" t="s">
        <v>73</v>
      </c>
      <c r="W11" s="31" t="s">
        <v>74</v>
      </c>
      <c r="X11" s="31" t="s">
        <v>75</v>
      </c>
      <c r="Y11" s="31" t="s">
        <v>76</v>
      </c>
      <c r="Z11" s="31" t="s">
        <v>93</v>
      </c>
      <c r="AA11" s="29" t="s">
        <v>61</v>
      </c>
      <c r="AB11" s="29" t="s">
        <v>62</v>
      </c>
      <c r="AC11" s="29" t="s">
        <v>63</v>
      </c>
      <c r="AD11" s="29" t="s">
        <v>64</v>
      </c>
      <c r="AE11" s="29" t="s">
        <v>65</v>
      </c>
      <c r="AF11" s="29" t="s">
        <v>70</v>
      </c>
      <c r="AG11" s="31" t="s">
        <v>71</v>
      </c>
      <c r="AH11" s="31" t="s">
        <v>72</v>
      </c>
      <c r="AI11" s="31" t="s">
        <v>73</v>
      </c>
      <c r="AJ11" s="31" t="s">
        <v>74</v>
      </c>
      <c r="AK11" s="31" t="s">
        <v>75</v>
      </c>
      <c r="AL11" s="31" t="s">
        <v>76</v>
      </c>
      <c r="AM11" s="31" t="s">
        <v>77</v>
      </c>
      <c r="AO11" s="29" t="s">
        <v>61</v>
      </c>
      <c r="AP11" s="29" t="s">
        <v>62</v>
      </c>
      <c r="AQ11" s="29" t="s">
        <v>63</v>
      </c>
      <c r="AR11" s="29" t="s">
        <v>64</v>
      </c>
      <c r="AS11" s="29" t="s">
        <v>65</v>
      </c>
      <c r="AT11" s="29" t="s">
        <v>70</v>
      </c>
      <c r="AU11" s="29" t="s">
        <v>71</v>
      </c>
      <c r="AV11" s="29" t="s">
        <v>72</v>
      </c>
      <c r="AW11" s="29" t="s">
        <v>73</v>
      </c>
      <c r="AX11" s="29" t="s">
        <v>74</v>
      </c>
      <c r="AY11" s="29" t="s">
        <v>75</v>
      </c>
      <c r="AZ11" s="29" t="s">
        <v>76</v>
      </c>
      <c r="BA11" s="29" t="s">
        <v>149</v>
      </c>
    </row>
    <row r="12" spans="1:53">
      <c r="A12" t="s">
        <v>66</v>
      </c>
      <c r="B12" s="41">
        <v>522559.4220692903</v>
      </c>
      <c r="C12" s="41">
        <v>544827.71679712832</v>
      </c>
      <c r="D12" s="41">
        <v>525270.31307236594</v>
      </c>
      <c r="E12" s="41">
        <v>569999.94383390818</v>
      </c>
      <c r="F12" s="41">
        <v>568382.14400380966</v>
      </c>
      <c r="G12" s="41">
        <v>549098.60257899016</v>
      </c>
      <c r="H12" s="40">
        <v>549098.60257898993</v>
      </c>
      <c r="I12" s="40">
        <v>599020.6323362703</v>
      </c>
      <c r="J12" s="40">
        <v>552657.37915806822</v>
      </c>
      <c r="K12" s="40">
        <v>494898.76481431397</v>
      </c>
      <c r="L12">
        <v>568825.02433296992</v>
      </c>
      <c r="M12" s="41">
        <v>577580.17473578639</v>
      </c>
      <c r="N12" s="41">
        <v>609121.09206987428</v>
      </c>
      <c r="O12" s="41">
        <v>601459.80142745178</v>
      </c>
      <c r="P12" s="41">
        <v>560793.63203421212</v>
      </c>
      <c r="Q12" s="41">
        <v>651406.68259263772</v>
      </c>
      <c r="R12" s="41">
        <v>603097.96463028574</v>
      </c>
      <c r="S12" s="41">
        <v>649877.61066244601</v>
      </c>
      <c r="T12" s="41">
        <v>645618.56212970172</v>
      </c>
      <c r="U12" s="41">
        <v>655945.49867737247</v>
      </c>
      <c r="V12" s="41">
        <v>660724.28988972609</v>
      </c>
      <c r="W12" s="41">
        <v>615248.12487049983</v>
      </c>
      <c r="X12" s="41">
        <v>645708.52795045031</v>
      </c>
      <c r="Y12" s="41">
        <v>645708.52795044985</v>
      </c>
      <c r="AA12" s="41">
        <v>695689.69982671621</v>
      </c>
      <c r="AB12" s="41">
        <v>689018.50399262784</v>
      </c>
      <c r="AC12" s="41">
        <v>687047.4126107858</v>
      </c>
      <c r="AD12" s="41">
        <v>730303.17141227773</v>
      </c>
      <c r="AE12" s="41">
        <v>710298.0978988721</v>
      </c>
      <c r="AF12" s="41">
        <v>720191.89752895408</v>
      </c>
      <c r="AG12" s="41">
        <v>729559.33960933005</v>
      </c>
      <c r="AH12" s="1">
        <v>760864.65291489824</v>
      </c>
      <c r="AI12" s="1">
        <v>745136.96694499417</v>
      </c>
      <c r="AJ12" s="94">
        <v>723217.14471587026</v>
      </c>
      <c r="AK12" s="1">
        <v>693515.61712471955</v>
      </c>
      <c r="AL12" s="41">
        <v>715193.52856298024</v>
      </c>
      <c r="AO12" s="41">
        <f>'[27]17-18'!D4</f>
        <v>742568.40191546571</v>
      </c>
      <c r="AP12" s="41">
        <f>'[27]17-18'!E4</f>
        <v>758255.50103636214</v>
      </c>
      <c r="AQ12" s="41">
        <f>'[27]17-18'!F4</f>
        <v>722639.61832852184</v>
      </c>
      <c r="AR12" s="41">
        <f>'[28]17-18'!G4</f>
        <v>780455.89180685766</v>
      </c>
      <c r="AS12" s="41">
        <f>'[29]17-18'!H4</f>
        <v>781326.14540044731</v>
      </c>
      <c r="AT12" s="41">
        <f>'[30]17-18'!I4</f>
        <v>737015.68639784586</v>
      </c>
      <c r="AU12" s="41">
        <f>'[31]17-18'!J4</f>
        <v>731306.64376077009</v>
      </c>
      <c r="AV12" s="41">
        <f>'[32]17-18'!K4</f>
        <v>658499.91008497798</v>
      </c>
      <c r="AW12" s="41">
        <f>'[33]17-18'!L4</f>
        <v>576409.32835566415</v>
      </c>
      <c r="AX12" s="41">
        <f>'[34]17-18'!M4</f>
        <v>542335.43216038588</v>
      </c>
      <c r="AY12" s="41">
        <f>'[35]17-18'!N4</f>
        <v>648132.07721013296</v>
      </c>
      <c r="AZ12" s="41">
        <f>'[36]17-18'!O5</f>
        <v>663127.95910999319</v>
      </c>
      <c r="BA12" s="43">
        <f t="shared" ref="BA12:BA13" si="0">SUM(AO12:AZ12)</f>
        <v>8342072.5955674257</v>
      </c>
    </row>
    <row r="13" spans="1:53">
      <c r="A13" t="s">
        <v>67</v>
      </c>
      <c r="B13" s="41">
        <v>5209.4699238701269</v>
      </c>
      <c r="C13" s="41">
        <v>5554.9664768336224</v>
      </c>
      <c r="D13" s="41">
        <v>4922.9037894380181</v>
      </c>
      <c r="E13" s="41">
        <v>5948.2839382808688</v>
      </c>
      <c r="F13" s="41">
        <v>5666.7388844194738</v>
      </c>
      <c r="G13" s="41">
        <v>5715.9293708784535</v>
      </c>
      <c r="H13" s="40">
        <v>5790.4793709433643</v>
      </c>
      <c r="I13" s="40">
        <v>5028.374183929338</v>
      </c>
      <c r="J13" s="40">
        <v>5416.3454451096441</v>
      </c>
      <c r="K13" s="40">
        <v>5654.5825153236792</v>
      </c>
      <c r="L13" s="40">
        <v>5955.2691215633413</v>
      </c>
      <c r="M13" s="41">
        <v>6548.0302010008445</v>
      </c>
      <c r="N13" s="41">
        <v>6573.3940132191274</v>
      </c>
      <c r="O13" s="41">
        <v>6455.7749961157369</v>
      </c>
      <c r="P13" s="41">
        <v>5497.3931216443825</v>
      </c>
      <c r="Q13" s="41">
        <v>7010.5145441167997</v>
      </c>
      <c r="R13" s="41">
        <v>6545.1280281982454</v>
      </c>
      <c r="S13" s="41">
        <v>7146.043662312024</v>
      </c>
      <c r="T13" s="41">
        <v>6545.7741685344854</v>
      </c>
      <c r="U13" s="41">
        <v>7120.3811194385171</v>
      </c>
      <c r="V13" s="41">
        <v>5845.6023723764565</v>
      </c>
      <c r="W13" s="41">
        <v>7379.9162184210154</v>
      </c>
      <c r="X13" s="41">
        <v>7032.1927492331615</v>
      </c>
      <c r="Y13" s="41">
        <v>7526.8158273268591</v>
      </c>
      <c r="AA13" s="41">
        <v>6786.2602552714025</v>
      </c>
      <c r="AB13" s="41">
        <v>7240.7036089343301</v>
      </c>
      <c r="AC13" s="41">
        <v>6652.3656758793022</v>
      </c>
      <c r="AD13" s="41">
        <v>7845.0656695264461</v>
      </c>
      <c r="AE13" s="41">
        <v>7895.0775401599667</v>
      </c>
      <c r="AF13" s="41">
        <v>7635.6412564393104</v>
      </c>
      <c r="AG13" s="41">
        <v>7305.0822209224689</v>
      </c>
      <c r="AH13" s="1">
        <v>7716.097759610434</v>
      </c>
      <c r="AI13" s="1">
        <v>6684.998312785141</v>
      </c>
      <c r="AJ13" s="94">
        <v>7771.5194239234243</v>
      </c>
      <c r="AK13" s="93">
        <v>7632</v>
      </c>
      <c r="AL13" s="41">
        <v>8025.5313428201571</v>
      </c>
      <c r="AO13" s="41">
        <f>'[36]17-18'!D6</f>
        <v>8060.8739213077397</v>
      </c>
      <c r="AP13" s="41">
        <f>'[36]17-18'!E6</f>
        <v>8592.6371780066092</v>
      </c>
      <c r="AQ13" s="41">
        <f>'[36]17-18'!F6</f>
        <v>6950.1950409083302</v>
      </c>
      <c r="AR13" s="41">
        <f>'[36]17-18'!G6</f>
        <v>8586.6641796708318</v>
      </c>
      <c r="AS13" s="41">
        <f>'[36]17-18'!H6</f>
        <v>7836.571936439741</v>
      </c>
      <c r="AT13" s="41">
        <f>'[36]17-18'!I6</f>
        <v>7574.6248366513864</v>
      </c>
      <c r="AU13" s="41">
        <f>'[36]17-18'!J6</f>
        <v>7441.6447068903581</v>
      </c>
      <c r="AV13" s="41">
        <f>'[36]17-18'!K6</f>
        <v>6443.1899128734822</v>
      </c>
      <c r="AW13" s="41">
        <f>'[36]17-18'!L6</f>
        <v>6674.5918956929145</v>
      </c>
      <c r="AX13" s="41">
        <f>'[36]17-18'!M6</f>
        <v>6850.6975107376693</v>
      </c>
      <c r="AY13" s="41">
        <f>'[36]17-18'!N6</f>
        <v>6814.6285622577043</v>
      </c>
      <c r="AZ13" s="41">
        <f>'[36]17-18'!O6</f>
        <v>6882.5556844953835</v>
      </c>
      <c r="BA13" s="43">
        <f t="shared" si="0"/>
        <v>88708.875365932137</v>
      </c>
    </row>
    <row r="14" spans="1:53">
      <c r="A14" t="s">
        <v>68</v>
      </c>
      <c r="B14" s="42">
        <v>535.23526357705475</v>
      </c>
      <c r="C14" s="42">
        <v>538.25542474458211</v>
      </c>
      <c r="D14" s="42">
        <v>550.32574295161908</v>
      </c>
      <c r="E14" s="42">
        <v>563.9685724162465</v>
      </c>
      <c r="F14" s="42">
        <v>578.04469350899819</v>
      </c>
      <c r="G14" s="42">
        <v>587.44426792769377</v>
      </c>
      <c r="H14" s="45">
        <v>623.50854300443814</v>
      </c>
      <c r="I14" s="45">
        <v>633.71490816863331</v>
      </c>
      <c r="J14" s="45">
        <v>603.38133860596122</v>
      </c>
      <c r="K14" s="45">
        <v>598.01880263472583</v>
      </c>
      <c r="L14" s="45">
        <v>605.12268953636885</v>
      </c>
      <c r="M14" s="42">
        <v>722.45461506806703</v>
      </c>
      <c r="N14" s="42">
        <v>637.95573661083597</v>
      </c>
      <c r="O14" s="42">
        <v>650.87051171667838</v>
      </c>
      <c r="P14" s="42">
        <v>663.40558947531952</v>
      </c>
      <c r="Q14" s="42">
        <v>655.64670951017388</v>
      </c>
      <c r="R14" s="42">
        <v>651.52299718181621</v>
      </c>
      <c r="S14" s="42">
        <v>780.81594727446122</v>
      </c>
      <c r="T14" s="42">
        <v>837.54406656039441</v>
      </c>
      <c r="U14" s="42">
        <v>726.89339124534729</v>
      </c>
      <c r="V14" s="42">
        <v>686.88747770047041</v>
      </c>
      <c r="W14" s="42">
        <v>711.07600292837765</v>
      </c>
      <c r="X14" s="42">
        <v>718.31924047069936</v>
      </c>
      <c r="Y14" s="42">
        <v>969.60175406303165</v>
      </c>
      <c r="AA14" s="42">
        <v>754.03067853711707</v>
      </c>
      <c r="AB14" s="42">
        <v>762.14719217334266</v>
      </c>
      <c r="AC14" s="41">
        <v>782.11861026736528</v>
      </c>
      <c r="AD14" s="42">
        <v>792.96160045763656</v>
      </c>
      <c r="AE14" s="42">
        <v>815.95579469087522</v>
      </c>
      <c r="AF14" s="42">
        <v>824.24688876536061</v>
      </c>
      <c r="AG14" s="42">
        <v>844.51026329051967</v>
      </c>
      <c r="AH14" s="1">
        <v>834.90569738947215</v>
      </c>
      <c r="AI14" s="1">
        <v>821.65321464788406</v>
      </c>
      <c r="AJ14" s="95">
        <v>1195.3759157601335</v>
      </c>
      <c r="AK14" s="93">
        <v>930.24</v>
      </c>
      <c r="AL14" s="42">
        <v>913.31596667767644</v>
      </c>
      <c r="AO14" s="41">
        <f>'[27]17-18'!D6</f>
        <v>801.75793588075646</v>
      </c>
      <c r="AP14" s="41">
        <f>'[27]17-18'!E6</f>
        <v>824.08365910253951</v>
      </c>
      <c r="AQ14" s="41">
        <f>'[27]17-18'!F6</f>
        <v>809.94922607691274</v>
      </c>
      <c r="AR14" s="41">
        <f>'[28]17-18'!G6</f>
        <v>825.54018888245355</v>
      </c>
      <c r="AS14" s="41">
        <f>'[29]17-18'!H6</f>
        <v>828.90160755441229</v>
      </c>
      <c r="AT14" s="41">
        <f>'[36]17-18'!$I$7</f>
        <v>841.72845902569861</v>
      </c>
      <c r="AU14" s="41">
        <f>'[31]17-18'!J6</f>
        <v>863.96423812715693</v>
      </c>
      <c r="AV14" s="41">
        <f>'[32]17-18'!K6</f>
        <v>863.48849180299385</v>
      </c>
      <c r="AW14" s="41">
        <f>'[33]17-18'!L6</f>
        <v>797.02343380372986</v>
      </c>
      <c r="AX14" s="41">
        <f>'[34]17-18'!M6</f>
        <v>778.95417445268504</v>
      </c>
      <c r="AY14" s="41">
        <f>'[35]17-18'!N6</f>
        <v>809.04442589967039</v>
      </c>
      <c r="AZ14" s="41">
        <f>'[36]17-18'!O7</f>
        <v>947.4243117973183</v>
      </c>
      <c r="BA14" s="43">
        <f>SUM(AO14:AZ14)</f>
        <v>9991.860152406327</v>
      </c>
    </row>
    <row r="15" spans="1:53" s="51" customFormat="1">
      <c r="A15" s="47" t="s">
        <v>39</v>
      </c>
      <c r="B15" s="48"/>
      <c r="C15" s="48"/>
      <c r="D15" s="48"/>
      <c r="E15" s="48"/>
      <c r="F15" s="48"/>
      <c r="G15" s="49"/>
      <c r="H15" s="50"/>
      <c r="I15" s="50"/>
      <c r="M15" s="49"/>
      <c r="N15" s="49"/>
      <c r="O15" s="49"/>
      <c r="AA15" s="49"/>
      <c r="AB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</row>
    <row r="16" spans="1:53" s="53" customFormat="1">
      <c r="A16" s="51" t="s">
        <v>66</v>
      </c>
      <c r="B16" s="52">
        <f>'[37]SQM 2015-16'!C19</f>
        <v>498295</v>
      </c>
      <c r="C16" s="52">
        <f>'[37]SQM 2015-16'!D19</f>
        <v>512390</v>
      </c>
      <c r="D16" s="52">
        <f>'[37]SQM 2015-16'!E19</f>
        <v>431171</v>
      </c>
      <c r="E16" s="52">
        <f>'[37]SQM 2015-16'!F19</f>
        <v>545764</v>
      </c>
      <c r="F16" s="52">
        <f>'[37]SQM 2015-16'!G19</f>
        <v>525587</v>
      </c>
      <c r="G16" s="52">
        <f>'[37]SQM 2015-16'!H19</f>
        <v>541500</v>
      </c>
      <c r="H16" s="52">
        <f>'[37]SQM 2015-16'!I19</f>
        <v>555555</v>
      </c>
      <c r="I16" s="52">
        <f>'[38]SQM 2015-16'!J19</f>
        <v>555146</v>
      </c>
      <c r="J16" s="52">
        <f>'[38]SQM 2015-16'!K19</f>
        <v>561752</v>
      </c>
      <c r="K16" s="52">
        <f>'[38]SQM 2015-16'!L19</f>
        <v>588390</v>
      </c>
      <c r="L16" s="52">
        <f>'[38]SQM 2015-16'!M19</f>
        <v>612757</v>
      </c>
      <c r="M16" s="52">
        <f>'[38]SQM 2015-16'!N19</f>
        <v>645166</v>
      </c>
      <c r="N16" s="52">
        <f>'[39]SQM 2016-17'!C19</f>
        <v>609036</v>
      </c>
      <c r="O16" s="52">
        <f>'[39]SQM 2016-17'!D19</f>
        <v>593755</v>
      </c>
      <c r="P16" s="52">
        <f>'[39]SQM 2016-17'!E19</f>
        <v>582071</v>
      </c>
      <c r="Q16" s="52">
        <f>'[39]SQM 2016-17'!F19</f>
        <v>622437</v>
      </c>
      <c r="R16" s="52">
        <f>'[39]SQM 2016-17'!G19</f>
        <v>617666</v>
      </c>
      <c r="S16" s="52">
        <f>'[39]SQM 2016-17'!H19</f>
        <v>653514</v>
      </c>
      <c r="T16" s="52">
        <f>'[39]SQM 2016-17'!I19</f>
        <v>583192</v>
      </c>
      <c r="U16" s="52">
        <f>'[39]SQM 2016-17'!J19</f>
        <v>595637</v>
      </c>
      <c r="V16" s="52">
        <f>'[40]SQM 2016-17'!K19</f>
        <v>557197</v>
      </c>
      <c r="W16" s="52">
        <f>'[40]SQM 2016-17'!L19</f>
        <v>611489</v>
      </c>
      <c r="X16" s="52">
        <f>'[40]SQM 2016-17'!M19</f>
        <v>643095</v>
      </c>
      <c r="Y16" s="52">
        <f>'[40]SQM 2016-17'!N19</f>
        <v>661044</v>
      </c>
      <c r="AA16" s="52">
        <f>'[41]SQM 2017-18'!C19</f>
        <v>654137.84540805616</v>
      </c>
      <c r="AB16" s="52">
        <f>'[41]SQM 2017-18'!D19</f>
        <v>722478.32644444378</v>
      </c>
      <c r="AC16" s="52">
        <f>'[41]SQM 2017-18'!E19</f>
        <v>610328.89129123301</v>
      </c>
      <c r="AD16" s="52">
        <f>'[41]SQM 2017-18'!F19</f>
        <v>674236.87479192158</v>
      </c>
      <c r="AE16" s="52">
        <f>'[41]SQM 2017-18'!G19</f>
        <v>702444.72580478527</v>
      </c>
      <c r="AF16" s="52">
        <f>'[41]SQM 2017-18'!H19</f>
        <v>689415.81910445855</v>
      </c>
      <c r="AG16" s="52">
        <f>'[41]SQM 2017-18'!I19</f>
        <v>623624.74324295146</v>
      </c>
      <c r="AH16" s="52">
        <f>'[41]SQM 2017-18'!J19</f>
        <v>673791.81519735744</v>
      </c>
      <c r="AI16" s="52">
        <f>'[41]SQM 2017-18'!K19</f>
        <v>591916.49289233587</v>
      </c>
      <c r="AJ16" s="52">
        <f>'[41]SQM 2017-18'!L19</f>
        <v>668427.22756302671</v>
      </c>
      <c r="AK16" s="52">
        <f>'[41]SQM 2017-18'!M19</f>
        <v>678925.72081229719</v>
      </c>
      <c r="AL16" s="52">
        <f>'[41]SQM 2017-18'!N19</f>
        <v>702548.81967294798</v>
      </c>
      <c r="AO16" s="52">
        <f>'[17]SQM 2018-19'!C22</f>
        <v>727062</v>
      </c>
      <c r="AP16" s="52">
        <f>'[17]SQM 2018-19'!D22</f>
        <v>746808</v>
      </c>
      <c r="AQ16" s="52">
        <f>'[17]SQM 2018-19'!E22</f>
        <v>590219</v>
      </c>
      <c r="AR16" s="52">
        <f>'[17]SQM 2018-19'!F22</f>
        <v>753576</v>
      </c>
      <c r="AS16" s="52">
        <f>'[18]SQM 2018-19'!G22</f>
        <v>761366</v>
      </c>
      <c r="AT16" s="52">
        <f>'[18]SQM 2018-19'!H22</f>
        <v>717922</v>
      </c>
      <c r="AU16" s="52">
        <f>'[18]SQM 2018-19'!I22</f>
        <v>692826</v>
      </c>
      <c r="AV16" s="52">
        <f>'[18]SQM 2018-19'!J22</f>
        <v>639735</v>
      </c>
      <c r="AW16" s="52">
        <f>'[18]SQM 2018-19'!K22</f>
        <v>659380</v>
      </c>
      <c r="AX16" s="52">
        <f>'[18]SQM 2018-19'!L22</f>
        <v>669933</v>
      </c>
      <c r="AY16" s="52">
        <f>'[18]SQM 2018-19'!M22</f>
        <v>717498</v>
      </c>
      <c r="AZ16" s="52">
        <f>'[18]SQM 2018-19'!N22</f>
        <v>722432</v>
      </c>
      <c r="BA16" s="48">
        <f t="shared" ref="BA16:BA17" si="1">SUM(AO16:AZ16)</f>
        <v>8398757</v>
      </c>
    </row>
    <row r="17" spans="1:53" s="51" customFormat="1">
      <c r="A17" s="51" t="s">
        <v>67</v>
      </c>
      <c r="B17" s="54">
        <f>[37]Sales!C5</f>
        <v>5144</v>
      </c>
      <c r="C17" s="54">
        <f>[37]Sales!D5</f>
        <v>5287</v>
      </c>
      <c r="D17" s="54">
        <f>[37]Sales!E5</f>
        <v>4530</v>
      </c>
      <c r="E17" s="54">
        <f>[37]Sales!F5</f>
        <v>5578</v>
      </c>
      <c r="F17" s="54">
        <f>[37]Sales!G5</f>
        <v>5362</v>
      </c>
      <c r="G17" s="54">
        <f>[37]Sales!H5</f>
        <v>5539</v>
      </c>
      <c r="H17" s="54">
        <f>[37]Sales!I5</f>
        <v>5688</v>
      </c>
      <c r="I17" s="50">
        <f>[38]Sales!J5</f>
        <v>5720</v>
      </c>
      <c r="J17" s="50">
        <f>[38]Sales!K5</f>
        <v>5761</v>
      </c>
      <c r="K17" s="50">
        <f>[38]Sales!L5</f>
        <v>6054</v>
      </c>
      <c r="L17" s="50">
        <f>[38]Sales!M5</f>
        <v>6305</v>
      </c>
      <c r="M17" s="49">
        <f>[38]Sales!N5</f>
        <v>6652</v>
      </c>
      <c r="N17" s="49">
        <f>[39]Sales!C5</f>
        <v>6570</v>
      </c>
      <c r="O17" s="49">
        <f>[39]Sales!D5</f>
        <v>6411</v>
      </c>
      <c r="P17" s="49">
        <f>[39]Sales!E5</f>
        <v>6417</v>
      </c>
      <c r="Q17" s="49">
        <f>[39]Sales!F5</f>
        <v>6767</v>
      </c>
      <c r="R17" s="49">
        <f>[39]Sales!G5</f>
        <v>6684</v>
      </c>
      <c r="S17" s="49">
        <f>[39]Sales!H5</f>
        <v>7038</v>
      </c>
      <c r="T17" s="49">
        <f>[39]Sales!I5</f>
        <v>6349</v>
      </c>
      <c r="U17" s="49">
        <f>[39]Sales!J5</f>
        <v>6446</v>
      </c>
      <c r="V17" s="49">
        <f>[40]Sales!K5</f>
        <v>6035</v>
      </c>
      <c r="W17" s="49">
        <f>[40]Sales!L5</f>
        <v>6610</v>
      </c>
      <c r="X17" s="49">
        <f>[40]Sales!M5</f>
        <v>6940</v>
      </c>
      <c r="Y17" s="49">
        <f>[40]Sales!N5</f>
        <v>7137</v>
      </c>
      <c r="AA17" s="54">
        <f>[41]Sales!C5</f>
        <v>7146.7323899835064</v>
      </c>
      <c r="AB17" s="54">
        <f>[41]Sales!D5</f>
        <v>7842.3633732752223</v>
      </c>
      <c r="AC17" s="54">
        <f>[41]Sales!E5</f>
        <v>6777.0949517773088</v>
      </c>
      <c r="AD17" s="54">
        <f>[41]Sales!F5</f>
        <v>7378.6771196196487</v>
      </c>
      <c r="AE17" s="54">
        <f>[41]Sales!G5</f>
        <v>7615.224287109977</v>
      </c>
      <c r="AF17" s="54">
        <f>[41]Sales!H5</f>
        <v>7553.9209261467158</v>
      </c>
      <c r="AG17" s="54">
        <f>[41]Sales!I5</f>
        <v>6930.6909064915953</v>
      </c>
      <c r="AH17" s="54">
        <f>[41]Sales!J5</f>
        <v>7445.096662221099</v>
      </c>
      <c r="AI17" s="54">
        <f>[41]Sales!K5</f>
        <v>6540.596563857106</v>
      </c>
      <c r="AJ17" s="54">
        <f>[41]Sales!L5</f>
        <v>7331.8827636167689</v>
      </c>
      <c r="AK17" s="54">
        <f>[41]Sales!M5</f>
        <v>7458.8157933684488</v>
      </c>
      <c r="AL17" s="54">
        <f>[41]Sales!N5</f>
        <v>7643.6523346858712</v>
      </c>
      <c r="AO17" s="54">
        <f>[17]Sales!C5</f>
        <v>7986</v>
      </c>
      <c r="AP17" s="54">
        <f>[17]Sales!D5</f>
        <v>8312</v>
      </c>
      <c r="AQ17" s="54">
        <f>[17]Sales!E5</f>
        <v>6645</v>
      </c>
      <c r="AR17" s="54">
        <f>[17]Sales!F5</f>
        <v>8512</v>
      </c>
      <c r="AS17" s="54">
        <f>[18]Sales!G5</f>
        <v>8390</v>
      </c>
      <c r="AT17" s="54">
        <f>[18]Sales!H5</f>
        <v>8011</v>
      </c>
      <c r="AU17" s="54">
        <f>[18]Sales!I5</f>
        <v>7743</v>
      </c>
      <c r="AV17" s="54">
        <f>[18]Sales!J5</f>
        <v>7414</v>
      </c>
      <c r="AW17" s="54">
        <f>[18]Sales!K5</f>
        <v>7353</v>
      </c>
      <c r="AX17" s="54">
        <f>[18]Sales!L5</f>
        <v>7493</v>
      </c>
      <c r="AY17" s="54">
        <f>[18]Sales!M5</f>
        <v>7970</v>
      </c>
      <c r="AZ17" s="54">
        <f>[18]Sales!N5</f>
        <v>7999</v>
      </c>
      <c r="BA17" s="48">
        <f t="shared" si="1"/>
        <v>93828</v>
      </c>
    </row>
    <row r="18" spans="1:53" s="51" customFormat="1">
      <c r="A18" s="51" t="s">
        <v>68</v>
      </c>
      <c r="B18" s="55">
        <f>[37]Bawal!B98/100000+B58</f>
        <v>536.49142545437894</v>
      </c>
      <c r="C18" s="55">
        <f>[37]Bawal!C98/100000+C58</f>
        <v>548.69628782001655</v>
      </c>
      <c r="D18" s="55">
        <f>[37]Bawal!D98/100000+D58</f>
        <v>539.0735064599271</v>
      </c>
      <c r="E18" s="55">
        <f>[37]Bawal!E98/100000+E58</f>
        <v>545.35596664573814</v>
      </c>
      <c r="F18" s="55">
        <f>[37]Bawal!F98/100000+F58</f>
        <v>714.98060370200199</v>
      </c>
      <c r="G18" s="55">
        <f>[37]Bawal!G98/100000+G58</f>
        <v>703.30326863885682</v>
      </c>
      <c r="H18" s="55">
        <f>[37]Bawal!H98/100000+H58</f>
        <v>698.93589092125205</v>
      </c>
      <c r="I18" s="55">
        <f>[38]Bawal!I98/100000+I58</f>
        <v>565.92894676258061</v>
      </c>
      <c r="J18" s="55">
        <f>[38]Bawal!J98/100000+J58</f>
        <v>531.67139271776557</v>
      </c>
      <c r="K18" s="55">
        <f>[38]Bawal!K98/100000+K58</f>
        <v>534.34276928197642</v>
      </c>
      <c r="L18" s="55">
        <f>[38]Bawal!L98/100000+L58</f>
        <v>527.74075313549929</v>
      </c>
      <c r="M18" s="48">
        <f>[38]Bawal!M98/100000+M58</f>
        <v>593.18394335229823</v>
      </c>
      <c r="N18" s="48">
        <f>[39]Bawal!B116/100000+N58</f>
        <v>628.53673274101743</v>
      </c>
      <c r="O18" s="48">
        <f>[39]Bawal!C116/100000+O58</f>
        <v>641.96244022962037</v>
      </c>
      <c r="P18" s="48">
        <f>[39]Bawal!D116/100000+P58</f>
        <v>640.06627404497874</v>
      </c>
      <c r="Q18" s="48">
        <f>[39]Bawal!E116/100000+Q58</f>
        <v>637.37837984515488</v>
      </c>
      <c r="R18" s="48">
        <f>[39]Bawal!F116/100000+R58</f>
        <v>841.79242679771164</v>
      </c>
      <c r="S18" s="48">
        <f>[39]Bawal!G116/100000+S58</f>
        <v>836.07528724466533</v>
      </c>
      <c r="T18" s="48">
        <f>[39]Bawal!H116/100000+T58</f>
        <v>837.18554314330368</v>
      </c>
      <c r="U18" s="48">
        <f>[39]Bawal!I116/100000+U58</f>
        <v>635.55683436247671</v>
      </c>
      <c r="V18" s="48">
        <f>[40]Bawal!J116/100000+V58</f>
        <v>600.02404403985656</v>
      </c>
      <c r="W18" s="48">
        <f>[40]Bawal!K116/100000+W58</f>
        <v>611.54729816801341</v>
      </c>
      <c r="X18" s="48">
        <f>[40]Bawal!L116/100000+X58</f>
        <v>609.13426697030661</v>
      </c>
      <c r="Y18" s="48">
        <f>[40]Bawal!M116/100000+Y58</f>
        <v>671.55124946052774</v>
      </c>
      <c r="AA18" s="48">
        <f>[41]Bawal!B100/100000+AA58</f>
        <v>752.20809312154699</v>
      </c>
      <c r="AB18" s="48">
        <f>[41]Bawal!C100/100000+AB58</f>
        <v>753.90141109161971</v>
      </c>
      <c r="AC18" s="48">
        <f>[41]Bawal!D100/100000+AC58</f>
        <v>753.87168760317115</v>
      </c>
      <c r="AD18" s="48">
        <f>[42]Bawal!E85/100000+AD58</f>
        <v>750.97907083010216</v>
      </c>
      <c r="AE18" s="48">
        <f>[42]Bawal!F85/100000+AE58</f>
        <v>801.21837615226002</v>
      </c>
      <c r="AF18" s="48">
        <f>[42]Bawal!G85/100000+AF58</f>
        <v>796.39373243170974</v>
      </c>
      <c r="AG18" s="48">
        <f>[42]Bawal!H85/100000+AG58</f>
        <v>789.5892389227979</v>
      </c>
      <c r="AH18" s="48">
        <f>[42]Bawal!I85/100000+AH58</f>
        <v>813.1421068787115</v>
      </c>
      <c r="AI18" s="48">
        <f>[42]Bawal!J85/100000+AI58</f>
        <v>770.75437815636269</v>
      </c>
      <c r="AJ18" s="48">
        <f>[42]Bawal!K85/100000+AJ58</f>
        <v>1019.9066990979486</v>
      </c>
      <c r="AK18" s="48">
        <f>[42]Bawal!L85/100000+AK58</f>
        <v>1012.4290003971295</v>
      </c>
      <c r="AL18" s="48">
        <f>[42]Bawal!M85/100000+AL58</f>
        <v>1064.6912625040172</v>
      </c>
      <c r="AM18" s="97">
        <f>SUM(AA18:AL18)</f>
        <v>10079.085057187376</v>
      </c>
      <c r="AO18" s="48">
        <f>SUM([17]Bawal!B86,'[17]Bawal Sub Assembly'!B86)/100000+AO67</f>
        <v>809.89946240887025</v>
      </c>
      <c r="AP18" s="48">
        <f>SUM([17]Bawal!C86,'[17]Bawal Sub Assembly'!C86)/100000+AP67</f>
        <v>802.91083187975289</v>
      </c>
      <c r="AQ18" s="48">
        <f>SUM([17]Bawal!D86,'[17]Bawal Sub Assembly'!D86)/100000+AQ67</f>
        <v>792.10634205585325</v>
      </c>
      <c r="AR18" s="48">
        <f>SUM([17]Bawal!E86,'[17]Bawal Sub Assembly'!E86)/100000+AR67</f>
        <v>916.19313927211101</v>
      </c>
      <c r="AS18" s="48">
        <f>([18]Bawal!F86+'[18]Bawal Sub Assembly'!F86)/100000+AS67</f>
        <v>913.9806591638287</v>
      </c>
      <c r="AT18" s="48">
        <f>([18]Bawal!G86+'[18]Bawal Sub Assembly'!G86)/100000+AT67</f>
        <v>900.94002352887969</v>
      </c>
      <c r="AU18" s="48">
        <f>([18]Bawal!H86+'[18]Bawal Sub Assembly'!H86)/100000+AU67</f>
        <v>799.87777054713411</v>
      </c>
      <c r="AV18" s="48">
        <f>([18]Bawal!I86+'[18]Bawal Sub Assembly'!I86)/100000+AV67</f>
        <v>835.30141181151487</v>
      </c>
      <c r="AW18" s="48">
        <f>([18]Bawal!J86+'[18]Bawal Sub Assembly'!J86)/100000+AW67</f>
        <v>802.59205607310673</v>
      </c>
      <c r="AX18" s="48">
        <f>([18]Bawal!K86+'[18]Bawal Sub Assembly'!K86)/100000+AX67</f>
        <v>1088.6700389275586</v>
      </c>
      <c r="AY18" s="48">
        <f>([18]Bawal!L86+'[18]Bawal Sub Assembly'!L86)/100000+AY67</f>
        <v>1087.3729763897447</v>
      </c>
      <c r="AZ18" s="48">
        <f>([18]Bawal!M86+'[18]Bawal Sub Assembly'!M86)/100000+AZ67</f>
        <v>1138.4563730861082</v>
      </c>
      <c r="BA18" s="48">
        <f>SUM(AO18:AZ18)</f>
        <v>10888.301085144463</v>
      </c>
    </row>
    <row r="19" spans="1:53">
      <c r="N19" s="41">
        <f>SUM(B21:I21)</f>
        <v>2781606.2210075506</v>
      </c>
      <c r="O19" s="60">
        <f>(L26-L22)/L26</f>
        <v>-3.6412863846522779E-2</v>
      </c>
      <c r="P19" s="59">
        <f>(M25-M21)/M25</f>
        <v>3.4180710343925204E-2</v>
      </c>
      <c r="Q19" s="59"/>
      <c r="R19" s="1">
        <f>SUM(N22:R22)</f>
        <v>19614.192781486843</v>
      </c>
      <c r="S19" s="1">
        <f>SUM(N26:R26)</f>
        <v>19439</v>
      </c>
      <c r="T19" s="65">
        <f>(S19-R19)/S19</f>
        <v>-9.012437959094767E-3</v>
      </c>
      <c r="U19" s="1">
        <f>SUM(N21:R21)</f>
        <v>1743997.9475535501</v>
      </c>
      <c r="V19" s="1">
        <f>SUM(N25:R25)</f>
        <v>1733193</v>
      </c>
      <c r="W19" s="65">
        <f>(V19-U19)/V19</f>
        <v>-6.2341283132058148E-3</v>
      </c>
      <c r="AA19" s="41">
        <f>SUM(AL21)</f>
        <v>383274.40719803981</v>
      </c>
      <c r="AB19" s="87">
        <f>AL25</f>
        <v>430059.17580894125</v>
      </c>
      <c r="AC19" s="59">
        <f>(AB19-AA19)/AB19</f>
        <v>0.10878681642566813</v>
      </c>
      <c r="AD19" s="59"/>
      <c r="AE19" s="1"/>
      <c r="AF19" s="1"/>
      <c r="AG19" s="59"/>
      <c r="AH19" s="1"/>
      <c r="AI19" s="1"/>
      <c r="AJ19" s="65"/>
      <c r="AO19" s="103" t="s">
        <v>13</v>
      </c>
      <c r="AP19" s="87"/>
      <c r="AQ19" s="60"/>
      <c r="AR19" s="165">
        <f>SUM(AO21:AR21)</f>
        <v>1628081.4222696102</v>
      </c>
      <c r="AS19" s="41">
        <f>SUM(AO25:AR25)</f>
        <v>1572105</v>
      </c>
      <c r="AT19" s="104">
        <f>(AR19-AS19)/AS19</f>
        <v>3.5606032847430816E-2</v>
      </c>
      <c r="AU19" s="169"/>
      <c r="AV19" s="41"/>
      <c r="AW19" s="41"/>
      <c r="AX19" s="104"/>
    </row>
    <row r="20" spans="1:53" s="31" customFormat="1">
      <c r="A20" s="31" t="s">
        <v>13</v>
      </c>
      <c r="B20" s="29" t="s">
        <v>61</v>
      </c>
      <c r="C20" s="29" t="s">
        <v>62</v>
      </c>
      <c r="D20" s="29" t="s">
        <v>63</v>
      </c>
      <c r="E20" s="29" t="s">
        <v>64</v>
      </c>
      <c r="F20" s="29" t="s">
        <v>65</v>
      </c>
      <c r="G20" s="29" t="s">
        <v>70</v>
      </c>
      <c r="H20" s="31" t="s">
        <v>71</v>
      </c>
      <c r="I20" s="31" t="s">
        <v>72</v>
      </c>
      <c r="J20" s="31" t="s">
        <v>73</v>
      </c>
      <c r="K20" s="31" t="s">
        <v>74</v>
      </c>
      <c r="L20" s="31" t="s">
        <v>75</v>
      </c>
      <c r="M20" s="29" t="s">
        <v>76</v>
      </c>
      <c r="N20" s="29" t="s">
        <v>61</v>
      </c>
      <c r="O20" s="29" t="s">
        <v>62</v>
      </c>
      <c r="P20" s="29" t="s">
        <v>63</v>
      </c>
      <c r="Q20" s="29" t="s">
        <v>64</v>
      </c>
      <c r="R20" s="29" t="s">
        <v>65</v>
      </c>
      <c r="S20" s="29" t="s">
        <v>70</v>
      </c>
      <c r="T20" s="31" t="s">
        <v>71</v>
      </c>
      <c r="U20" s="31" t="s">
        <v>72</v>
      </c>
      <c r="V20" s="31" t="s">
        <v>73</v>
      </c>
      <c r="W20" s="31" t="s">
        <v>74</v>
      </c>
      <c r="X20" s="31" t="s">
        <v>75</v>
      </c>
      <c r="Y20" s="31" t="s">
        <v>76</v>
      </c>
      <c r="Z20" s="31" t="s">
        <v>93</v>
      </c>
      <c r="AA20" s="29" t="s">
        <v>61</v>
      </c>
      <c r="AB20" s="29" t="s">
        <v>62</v>
      </c>
      <c r="AC20" s="29" t="s">
        <v>63</v>
      </c>
      <c r="AD20" s="29" t="s">
        <v>64</v>
      </c>
      <c r="AE20" s="29" t="s">
        <v>65</v>
      </c>
      <c r="AF20" s="29" t="s">
        <v>70</v>
      </c>
      <c r="AG20" s="31" t="s">
        <v>71</v>
      </c>
      <c r="AH20" s="31" t="s">
        <v>72</v>
      </c>
      <c r="AI20" s="31" t="s">
        <v>73</v>
      </c>
      <c r="AJ20" s="31" t="s">
        <v>74</v>
      </c>
      <c r="AK20" s="31" t="s">
        <v>75</v>
      </c>
      <c r="AL20" s="31" t="s">
        <v>76</v>
      </c>
      <c r="AM20" s="31" t="s">
        <v>116</v>
      </c>
      <c r="AO20" s="29" t="s">
        <v>61</v>
      </c>
      <c r="AP20" s="29" t="s">
        <v>62</v>
      </c>
      <c r="AQ20" s="29" t="s">
        <v>63</v>
      </c>
      <c r="AR20" s="29" t="s">
        <v>64</v>
      </c>
      <c r="AS20" s="29" t="s">
        <v>65</v>
      </c>
      <c r="AT20" s="29" t="s">
        <v>70</v>
      </c>
      <c r="AU20" s="29" t="s">
        <v>71</v>
      </c>
      <c r="AV20" s="29" t="s">
        <v>72</v>
      </c>
      <c r="AW20" s="29" t="s">
        <v>73</v>
      </c>
      <c r="AX20" s="29" t="s">
        <v>74</v>
      </c>
      <c r="AY20" s="29" t="s">
        <v>75</v>
      </c>
      <c r="AZ20" s="29" t="s">
        <v>76</v>
      </c>
      <c r="BA20" s="29" t="s">
        <v>149</v>
      </c>
    </row>
    <row r="21" spans="1:53">
      <c r="A21" t="s">
        <v>66</v>
      </c>
      <c r="B21" s="41">
        <v>346506.43015613011</v>
      </c>
      <c r="C21" s="41">
        <v>341580.52614834998</v>
      </c>
      <c r="D21" s="41">
        <v>322535.21874121996</v>
      </c>
      <c r="E21" s="41">
        <v>340877.51016379998</v>
      </c>
      <c r="F21" s="41">
        <v>387243.83323518001</v>
      </c>
      <c r="G21" s="41">
        <v>379713.86602741003</v>
      </c>
      <c r="H21" s="40">
        <v>368744.04720420006</v>
      </c>
      <c r="I21" s="40">
        <v>294404.78933126002</v>
      </c>
      <c r="J21" s="40">
        <v>344145.33610668988</v>
      </c>
      <c r="K21" s="40">
        <v>320301.88310148986</v>
      </c>
      <c r="L21" s="40">
        <v>315966.17059662007</v>
      </c>
      <c r="M21" s="41">
        <v>355689.99635595991</v>
      </c>
      <c r="N21" s="40">
        <v>311962.93772468</v>
      </c>
      <c r="O21" s="40">
        <v>318182.53900585009</v>
      </c>
      <c r="P21" s="40">
        <v>342090.80292178999</v>
      </c>
      <c r="Q21" s="40">
        <v>372228.66697642999</v>
      </c>
      <c r="R21" s="40">
        <v>399533.00092480006</v>
      </c>
      <c r="S21" s="40">
        <v>349896.61747436004</v>
      </c>
      <c r="T21" s="40">
        <v>340175.39441810024</v>
      </c>
      <c r="U21" s="40">
        <v>356078.85774334986</v>
      </c>
      <c r="V21" s="40">
        <v>343965.92944998993</v>
      </c>
      <c r="W21" s="40">
        <v>340775.8449716398</v>
      </c>
      <c r="X21" s="40">
        <v>355742.30438491004</v>
      </c>
      <c r="Y21" s="40">
        <v>404885.95074774977</v>
      </c>
      <c r="AA21" s="40">
        <v>390363.80391687993</v>
      </c>
      <c r="AB21" s="40">
        <v>328636.24134797015</v>
      </c>
      <c r="AC21" s="40">
        <v>333918.92768122006</v>
      </c>
      <c r="AD21" s="40">
        <v>381737.52635184012</v>
      </c>
      <c r="AE21" s="40">
        <v>373444.64284354018</v>
      </c>
      <c r="AF21" s="40">
        <v>366055.40945411019</v>
      </c>
      <c r="AG21" s="40">
        <v>362779.53708484012</v>
      </c>
      <c r="AH21" s="40">
        <v>395291.12050026003</v>
      </c>
      <c r="AI21" s="40">
        <v>413135.77015532996</v>
      </c>
      <c r="AJ21" s="40">
        <v>308993.36968966015</v>
      </c>
      <c r="AK21" s="40">
        <v>345536.61686640978</v>
      </c>
      <c r="AL21" s="40">
        <v>383274.40719803981</v>
      </c>
      <c r="AO21" s="41">
        <f>'[27]17-18'!D9</f>
        <v>402735.09657965007</v>
      </c>
      <c r="AP21" s="41">
        <f>'[27]17-18'!E9</f>
        <v>384880.06969336013</v>
      </c>
      <c r="AQ21" s="41">
        <f>'[27]17-18'!F9</f>
        <v>389183.07161995</v>
      </c>
      <c r="AR21" s="41">
        <f>'[28]17-18'!G9</f>
        <v>451283.18437664991</v>
      </c>
      <c r="AS21" s="41">
        <f>'[29]17-18'!H9</f>
        <v>413068.05616052006</v>
      </c>
      <c r="AT21" s="41">
        <f>'[30]17-18'!I9</f>
        <v>433279.88308418996</v>
      </c>
      <c r="AU21" s="41">
        <f>'[31]17-18'!J9</f>
        <v>441237.96099323011</v>
      </c>
      <c r="AV21" s="41">
        <f>'[32]17-18'!K9</f>
        <v>365280.51720066997</v>
      </c>
      <c r="AW21" s="41">
        <f>'[33]17-18'!L9</f>
        <v>340350.27891346999</v>
      </c>
      <c r="AX21" s="41">
        <f>'[34]17-18'!M9</f>
        <v>296286.62439724011</v>
      </c>
      <c r="AY21" s="41">
        <f>'[35]17-18'!N9</f>
        <v>348243.18334788014</v>
      </c>
      <c r="AZ21" s="41">
        <f>'[36]17-18'!O10</f>
        <v>401150.93146780971</v>
      </c>
      <c r="BA21" s="43">
        <f t="shared" ref="BA21:BA22" si="2">SUM(AO21:AZ21)</f>
        <v>4666978.8578346204</v>
      </c>
    </row>
    <row r="22" spans="1:53">
      <c r="A22" t="s">
        <v>67</v>
      </c>
      <c r="B22" s="41">
        <v>3735.4736161709056</v>
      </c>
      <c r="C22" s="41">
        <v>3345.5621911635249</v>
      </c>
      <c r="D22" s="41">
        <v>3701.4954035534447</v>
      </c>
      <c r="E22" s="41">
        <v>4149.2904489504972</v>
      </c>
      <c r="F22" s="41">
        <v>3903.8991263550806</v>
      </c>
      <c r="G22" s="41">
        <v>3793.3044275045186</v>
      </c>
      <c r="H22" s="40">
        <v>3908.4667211176543</v>
      </c>
      <c r="I22" s="40">
        <v>3505.6199399121515</v>
      </c>
      <c r="J22" s="40">
        <v>3693.9315403965006</v>
      </c>
      <c r="K22" s="40">
        <v>3522.4921658716212</v>
      </c>
      <c r="L22" s="40">
        <v>3936.2960568890935</v>
      </c>
      <c r="M22" s="41">
        <v>3430.250771909145</v>
      </c>
      <c r="N22" s="40">
        <v>3608.9400639089881</v>
      </c>
      <c r="O22" s="40">
        <v>3533.5461330384896</v>
      </c>
      <c r="P22" s="40">
        <v>4297.2119813857025</v>
      </c>
      <c r="Q22" s="40">
        <v>4039.1390589797788</v>
      </c>
      <c r="R22" s="40">
        <v>4135.3555441738854</v>
      </c>
      <c r="S22" s="40">
        <v>3755.7551736201276</v>
      </c>
      <c r="T22" s="40">
        <v>3424.0795639554071</v>
      </c>
      <c r="U22" s="40">
        <v>3941.06856785318</v>
      </c>
      <c r="V22" s="40">
        <v>3511.0375520143621</v>
      </c>
      <c r="W22" s="40">
        <v>3203.7765539926058</v>
      </c>
      <c r="X22" s="40">
        <v>3822.558228169456</v>
      </c>
      <c r="Y22" s="40">
        <v>4235.1546165585141</v>
      </c>
      <c r="AA22" s="40">
        <v>4131.1432036348651</v>
      </c>
      <c r="AB22" s="40">
        <v>3783.9071120131439</v>
      </c>
      <c r="AC22" s="40">
        <v>4139.902397071799</v>
      </c>
      <c r="AD22" s="40">
        <v>3965.7383087504427</v>
      </c>
      <c r="AE22" s="40">
        <v>4127.8931790340312</v>
      </c>
      <c r="AF22" s="40">
        <v>4063.9073664524567</v>
      </c>
      <c r="AG22" s="40">
        <v>4019.5512838867235</v>
      </c>
      <c r="AH22" s="40">
        <v>4296.1810169138871</v>
      </c>
      <c r="AI22" s="40">
        <v>3989.2326330529008</v>
      </c>
      <c r="AJ22" s="40">
        <v>3930.7075229104621</v>
      </c>
      <c r="AK22" s="40">
        <v>4085</v>
      </c>
      <c r="AL22" s="40">
        <v>4811.0523096257339</v>
      </c>
      <c r="AN22" s="1"/>
      <c r="AO22" s="41">
        <f>'[36]17-18'!D11</f>
        <v>4677.3061655001711</v>
      </c>
      <c r="AP22" s="41">
        <f>'[36]17-18'!E11</f>
        <v>4563.3793349211373</v>
      </c>
      <c r="AQ22" s="41">
        <f>'[36]17-18'!F11</f>
        <v>4731.0423308574982</v>
      </c>
      <c r="AR22" s="41">
        <f>'[36]17-18'!G11</f>
        <v>4953.1277967149354</v>
      </c>
      <c r="AS22" s="41">
        <f>'[36]17-18'!H11</f>
        <v>4848.82301328417</v>
      </c>
      <c r="AT22" s="41">
        <f>'[36]17-18'!I11</f>
        <v>4568.4014088498889</v>
      </c>
      <c r="AU22" s="41">
        <f>'[36]17-18'!J11</f>
        <v>4657.9371164704535</v>
      </c>
      <c r="AV22" s="41">
        <f>'[36]17-18'!K11</f>
        <v>3902.3356553810754</v>
      </c>
      <c r="AW22" s="41">
        <f>'[36]17-18'!L11</f>
        <v>4164.8868889627274</v>
      </c>
      <c r="AX22" s="41">
        <f>'[36]17-18'!M11</f>
        <v>4041.3809774736387</v>
      </c>
      <c r="AY22" s="41">
        <f>'[36]17-18'!N11</f>
        <v>4405.1115374783849</v>
      </c>
      <c r="AZ22" s="41">
        <f>'[36]17-18'!O11</f>
        <v>4797.8917996763794</v>
      </c>
      <c r="BA22" s="43">
        <f t="shared" si="2"/>
        <v>54311.624025570454</v>
      </c>
    </row>
    <row r="23" spans="1:53">
      <c r="A23" t="s">
        <v>68</v>
      </c>
      <c r="B23" s="42">
        <v>391.60596823543852</v>
      </c>
      <c r="C23" s="42">
        <v>390.97315562433465</v>
      </c>
      <c r="D23" s="42">
        <v>394.85643251959874</v>
      </c>
      <c r="E23" s="42">
        <v>413.17978468434603</v>
      </c>
      <c r="F23" s="42">
        <v>378.30820474479191</v>
      </c>
      <c r="G23" s="42">
        <v>396.26144403631673</v>
      </c>
      <c r="H23" s="45">
        <v>444.33933082214236</v>
      </c>
      <c r="I23" s="45">
        <v>402.46392581295135</v>
      </c>
      <c r="J23" s="45">
        <v>389.65294634710028</v>
      </c>
      <c r="K23" s="45">
        <v>387.85851263331352</v>
      </c>
      <c r="L23" s="45">
        <v>390.37126279129592</v>
      </c>
      <c r="M23" s="42">
        <v>756.71611093323941</v>
      </c>
      <c r="N23" s="45">
        <v>432.23407566358298</v>
      </c>
      <c r="O23" s="45">
        <v>465.03239718448827</v>
      </c>
      <c r="P23" s="45">
        <v>480.41851886219843</v>
      </c>
      <c r="Q23" s="45">
        <v>476.19543764725142</v>
      </c>
      <c r="R23" s="45">
        <v>481.42459469075055</v>
      </c>
      <c r="S23" s="45">
        <v>475.04165810358194</v>
      </c>
      <c r="T23" s="45">
        <v>501.87742752922264</v>
      </c>
      <c r="U23" s="45">
        <v>492.11520351085352</v>
      </c>
      <c r="V23" s="45">
        <v>482.390722439858</v>
      </c>
      <c r="W23" s="45">
        <v>479.12216515309336</v>
      </c>
      <c r="X23" s="45">
        <v>442.38405857162803</v>
      </c>
      <c r="Y23" s="45">
        <v>436.27067197288932</v>
      </c>
      <c r="AA23" s="45">
        <v>489.23954161725408</v>
      </c>
      <c r="AB23" s="45">
        <v>499.81585130550479</v>
      </c>
      <c r="AC23" s="40">
        <v>498.11804023471058</v>
      </c>
      <c r="AD23" s="45">
        <v>518.31753289707001</v>
      </c>
      <c r="AE23" s="45">
        <v>500.18264580016643</v>
      </c>
      <c r="AF23" s="45">
        <v>489.0669760287675</v>
      </c>
      <c r="AG23" s="45">
        <v>504.25926874584542</v>
      </c>
      <c r="AH23" s="40">
        <v>503.56228536644011</v>
      </c>
      <c r="AI23" s="40">
        <v>538.57573176131223</v>
      </c>
      <c r="AJ23" s="45">
        <v>494.26260331863733</v>
      </c>
      <c r="AK23" s="45">
        <v>495.4</v>
      </c>
      <c r="AL23" s="45">
        <v>535.65839300200435</v>
      </c>
      <c r="AN23" s="59"/>
      <c r="AO23" s="41">
        <f>'[27]17-18'!D11</f>
        <v>536.55198443419749</v>
      </c>
      <c r="AP23" s="41">
        <f>'[27]17-18'!E11</f>
        <v>552.07618232045309</v>
      </c>
      <c r="AQ23" s="41">
        <f>'[27]17-18'!F11</f>
        <v>563.68278851106015</v>
      </c>
      <c r="AR23" s="41">
        <f>'[28]17-18'!G11</f>
        <v>560.42067863683496</v>
      </c>
      <c r="AS23" s="41">
        <f>'[29]17-18'!H11</f>
        <v>547.02202510572624</v>
      </c>
      <c r="AT23" s="41">
        <f>'[36]17-18'!$I$12</f>
        <v>543.42362534560698</v>
      </c>
      <c r="AU23" s="41">
        <f>'[31]17-18'!J11</f>
        <v>602.93787480436094</v>
      </c>
      <c r="AV23" s="41">
        <f>'[32]17-18'!K11</f>
        <v>524.1233758447961</v>
      </c>
      <c r="AW23" s="41">
        <f>'[33]17-18'!L11</f>
        <v>509.6311870260206</v>
      </c>
      <c r="AX23" s="41">
        <f>'[34]17-18'!M11</f>
        <v>486.32398175827166</v>
      </c>
      <c r="AY23" s="41">
        <f>'[35]17-18'!N11</f>
        <v>481.97820958150714</v>
      </c>
      <c r="AZ23" s="41">
        <f>'[36]17-18'!O12</f>
        <v>528.0429169885565</v>
      </c>
      <c r="BA23" s="43">
        <f>SUM(AO23:AZ23)</f>
        <v>6436.2148303573922</v>
      </c>
    </row>
    <row r="24" spans="1:53" s="51" customFormat="1">
      <c r="A24" s="47" t="s">
        <v>39</v>
      </c>
      <c r="B24" s="48"/>
      <c r="C24" s="48"/>
      <c r="D24" s="48"/>
      <c r="E24" s="48"/>
      <c r="F24" s="48"/>
      <c r="G24" s="49"/>
      <c r="H24" s="50"/>
      <c r="I24" s="50"/>
      <c r="M24" s="49"/>
      <c r="N24" s="49"/>
      <c r="O24" s="49"/>
      <c r="AA24" s="49"/>
      <c r="AB24" s="49"/>
      <c r="AF24" s="90">
        <f>(AF21-AF25)/AF21</f>
        <v>-9.5718736687164602E-2</v>
      </c>
      <c r="AO24" s="49"/>
      <c r="AP24" s="49"/>
      <c r="AQ24" s="49"/>
      <c r="AR24" s="49"/>
      <c r="AS24" s="49"/>
      <c r="AT24" s="105"/>
      <c r="AU24" s="49"/>
      <c r="AV24" s="49"/>
      <c r="AW24" s="49"/>
      <c r="AX24" s="49"/>
      <c r="AY24" s="49"/>
      <c r="AZ24" s="49"/>
      <c r="BA24" s="49"/>
    </row>
    <row r="25" spans="1:53" s="53" customFormat="1">
      <c r="A25" s="51" t="s">
        <v>66</v>
      </c>
      <c r="B25" s="52">
        <f>'[37]SQM 2015-16'!C20</f>
        <v>322012</v>
      </c>
      <c r="C25" s="52">
        <f>'[37]SQM 2015-16'!D20</f>
        <v>316041</v>
      </c>
      <c r="D25" s="52">
        <f>'[37]SQM 2015-16'!E20</f>
        <v>319850</v>
      </c>
      <c r="E25" s="52">
        <f>'[37]SQM 2015-16'!F20</f>
        <v>341570</v>
      </c>
      <c r="F25" s="52">
        <f>'[37]SQM 2015-16'!G20</f>
        <v>357288</v>
      </c>
      <c r="G25" s="52">
        <f>'[37]SQM 2015-16'!H20</f>
        <v>348329</v>
      </c>
      <c r="H25" s="52">
        <f>'[37]SQM 2015-16'!I20</f>
        <v>348171</v>
      </c>
      <c r="I25" s="61">
        <f>'[38]SQM 2015-16'!J20</f>
        <v>335896</v>
      </c>
      <c r="J25" s="61">
        <f>'[38]SQM 2015-16'!K20</f>
        <v>340216</v>
      </c>
      <c r="K25" s="61">
        <f>'[38]SQM 2015-16'!L20</f>
        <v>347141</v>
      </c>
      <c r="L25" s="61">
        <f>'[38]SQM 2015-16'!M20</f>
        <v>347544</v>
      </c>
      <c r="M25" s="52">
        <f>'[38]SQM 2015-16'!N20</f>
        <v>368278</v>
      </c>
      <c r="N25" s="52">
        <f>'[39]SQM 2016-17'!C20</f>
        <v>321651</v>
      </c>
      <c r="O25" s="52">
        <f>'[39]SQM 2016-17'!D20</f>
        <v>324906</v>
      </c>
      <c r="P25" s="52">
        <f>'[39]SQM 2016-17'!E20</f>
        <v>358258</v>
      </c>
      <c r="Q25" s="52">
        <f>'[39]SQM 2016-17'!F20</f>
        <v>365164</v>
      </c>
      <c r="R25" s="52">
        <f>'[39]SQM 2016-17'!G20</f>
        <v>363214</v>
      </c>
      <c r="S25" s="52">
        <f>'[39]SQM 2016-17'!H20</f>
        <v>359571</v>
      </c>
      <c r="T25" s="52">
        <f>'[39]SQM 2016-17'!I20</f>
        <v>339874</v>
      </c>
      <c r="U25" s="52">
        <f>'[39]SQM 2016-17'!J20</f>
        <v>355741</v>
      </c>
      <c r="V25" s="52">
        <f>'[40]SQM 2016-17'!K20</f>
        <v>348331</v>
      </c>
      <c r="W25" s="52">
        <f>'[40]SQM 2016-17'!L20</f>
        <v>318233</v>
      </c>
      <c r="X25" s="52">
        <f>'[40]SQM 2016-17'!M20</f>
        <v>358412</v>
      </c>
      <c r="Y25" s="52">
        <f>'[40]SQM 2016-17'!N20</f>
        <v>367953</v>
      </c>
      <c r="AA25" s="52">
        <f>'[41]SQM 2017-18'!C20</f>
        <v>374531.29251072183</v>
      </c>
      <c r="AB25" s="52">
        <f>'[41]SQM 2017-18'!D20</f>
        <v>340593.75295784179</v>
      </c>
      <c r="AC25" s="52">
        <f>'[41]SQM 2017-18'!E20</f>
        <v>370501.70842784189</v>
      </c>
      <c r="AD25" s="52">
        <f>'[41]SQM 2017-18'!F20</f>
        <v>363142.74319681886</v>
      </c>
      <c r="AE25" s="52">
        <f>'[41]SQM 2017-18'!G20</f>
        <v>331820.73905498651</v>
      </c>
      <c r="AF25" s="52">
        <f>'[41]SQM 2017-18'!H20</f>
        <v>401093.77080456039</v>
      </c>
      <c r="AG25" s="52">
        <f>'[41]SQM 2017-18'!I20</f>
        <v>364551.04005621711</v>
      </c>
      <c r="AH25" s="52">
        <f>'[41]SQM 2017-18'!J20</f>
        <v>400397.13151535438</v>
      </c>
      <c r="AI25" s="52">
        <f>'[41]SQM 2017-18'!K20</f>
        <v>370623.92466467386</v>
      </c>
      <c r="AJ25" s="52">
        <f>'[41]SQM 2017-18'!L20</f>
        <v>381889.13232078316</v>
      </c>
      <c r="AK25" s="52">
        <f>'[41]SQM 2017-18'!M20</f>
        <v>397475.99887284235</v>
      </c>
      <c r="AL25" s="52">
        <f>'[41]SQM 2017-18'!N20</f>
        <v>430059.17580894125</v>
      </c>
      <c r="AO25" s="52">
        <f>'[17]SQM 2018-19'!C23</f>
        <v>377616</v>
      </c>
      <c r="AP25" s="52">
        <f>'[17]SQM 2018-19'!D23</f>
        <v>388987</v>
      </c>
      <c r="AQ25" s="52">
        <f>'[17]SQM 2018-19'!E23</f>
        <v>404034</v>
      </c>
      <c r="AR25" s="52">
        <f>'[17]SQM 2018-19'!F23</f>
        <v>401468</v>
      </c>
      <c r="AS25" s="52">
        <f>'[18]SQM 2018-19'!G23</f>
        <v>426606</v>
      </c>
      <c r="AT25" s="52">
        <f>'[18]SQM 2018-19'!H23</f>
        <v>422643</v>
      </c>
      <c r="AU25" s="52">
        <f>'[18]SQM 2018-19'!I23</f>
        <v>407139</v>
      </c>
      <c r="AV25" s="52">
        <f>'[18]SQM 2018-19'!J23</f>
        <v>381308</v>
      </c>
      <c r="AW25" s="52">
        <f>'[18]SQM 2018-19'!K23</f>
        <v>374888</v>
      </c>
      <c r="AX25" s="52">
        <f>'[18]SQM 2018-19'!L23</f>
        <v>379022</v>
      </c>
      <c r="AY25" s="52">
        <f>'[18]SQM 2018-19'!M23</f>
        <v>400174</v>
      </c>
      <c r="AZ25" s="52">
        <f>'[18]SQM 2018-19'!N23</f>
        <v>406708</v>
      </c>
      <c r="BA25" s="48">
        <f t="shared" ref="BA25:BA26" si="3">SUM(AO25:AZ25)</f>
        <v>4770593</v>
      </c>
    </row>
    <row r="26" spans="1:53" s="51" customFormat="1">
      <c r="A26" s="51" t="s">
        <v>67</v>
      </c>
      <c r="B26" s="54">
        <f>[37]Sales!C6</f>
        <v>3458</v>
      </c>
      <c r="C26" s="54">
        <f>[37]Sales!D6</f>
        <v>3433</v>
      </c>
      <c r="D26" s="54">
        <f>[37]Sales!E6</f>
        <v>3479</v>
      </c>
      <c r="E26" s="54">
        <f>[37]Sales!F6</f>
        <v>3703</v>
      </c>
      <c r="F26" s="54">
        <f>[37]Sales!G6</f>
        <v>3866</v>
      </c>
      <c r="G26" s="54">
        <f>[37]Sales!H6</f>
        <v>3786</v>
      </c>
      <c r="H26" s="54">
        <f>[37]Sales!I6</f>
        <v>3778</v>
      </c>
      <c r="I26" s="50">
        <f>[38]Sales!J6</f>
        <v>3656</v>
      </c>
      <c r="J26" s="50">
        <f>[38]Sales!K6</f>
        <v>3752</v>
      </c>
      <c r="K26" s="50">
        <f>[38]Sales!L6</f>
        <v>3790</v>
      </c>
      <c r="L26" s="50">
        <f>[38]Sales!M6</f>
        <v>3798</v>
      </c>
      <c r="M26" s="49">
        <f>[38]Sales!N6</f>
        <v>4025</v>
      </c>
      <c r="N26" s="49">
        <f>[39]Sales!C6</f>
        <v>3660</v>
      </c>
      <c r="O26" s="49">
        <f>[39]Sales!D6</f>
        <v>3675</v>
      </c>
      <c r="P26" s="49">
        <f>[39]Sales!E6</f>
        <v>3976</v>
      </c>
      <c r="Q26" s="49">
        <f>[39]Sales!F6</f>
        <v>4091</v>
      </c>
      <c r="R26" s="49">
        <f>[39]Sales!G6</f>
        <v>4037</v>
      </c>
      <c r="S26" s="49">
        <f>[39]Sales!H6</f>
        <v>4000</v>
      </c>
      <c r="T26" s="49">
        <f>[39]Sales!I6</f>
        <v>3799</v>
      </c>
      <c r="U26" s="49">
        <f>[39]Sales!J6</f>
        <v>4006</v>
      </c>
      <c r="V26" s="49">
        <f>[40]Sales!K6</f>
        <v>3942</v>
      </c>
      <c r="W26" s="49">
        <f>[40]Sales!L6</f>
        <v>3565</v>
      </c>
      <c r="X26" s="49">
        <f>[40]Sales!M6</f>
        <v>3955</v>
      </c>
      <c r="Y26" s="49">
        <f>[40]Sales!N6</f>
        <v>4059</v>
      </c>
      <c r="AA26" s="54">
        <f>[41]Sales!C6</f>
        <v>4288.1024071594693</v>
      </c>
      <c r="AB26" s="54">
        <f>[41]Sales!D6</f>
        <v>3955.3140951588493</v>
      </c>
      <c r="AC26" s="54">
        <f>[41]Sales!E6</f>
        <v>4196.3448167059933</v>
      </c>
      <c r="AD26" s="54">
        <f>[41]Sales!F6</f>
        <v>4133.0909477486757</v>
      </c>
      <c r="AE26" s="54">
        <f>[41]Sales!G6</f>
        <v>3876.9182821850532</v>
      </c>
      <c r="AF26" s="54">
        <f>[41]Sales!H6</f>
        <v>4499.048393504082</v>
      </c>
      <c r="AG26" s="54">
        <f>[41]Sales!I6</f>
        <v>4122.2129175107339</v>
      </c>
      <c r="AH26" s="54">
        <f>[41]Sales!J6</f>
        <v>4515.0449557993898</v>
      </c>
      <c r="AI26" s="54">
        <f>[41]Sales!K6</f>
        <v>4185.6239204296562</v>
      </c>
      <c r="AJ26" s="54">
        <f>[41]Sales!L6</f>
        <v>4333.5412441327471</v>
      </c>
      <c r="AK26" s="54">
        <f>[41]Sales!M6</f>
        <v>4519.8374644466658</v>
      </c>
      <c r="AL26" s="54">
        <f>[41]Sales!N6</f>
        <v>4873.2447346158642</v>
      </c>
      <c r="AO26" s="54">
        <f>[17]Sales!C6</f>
        <v>4412</v>
      </c>
      <c r="AP26" s="54">
        <f>[17]Sales!D6</f>
        <v>4577</v>
      </c>
      <c r="AQ26" s="54">
        <f>[17]Sales!E6</f>
        <v>4725</v>
      </c>
      <c r="AR26" s="54">
        <f>[17]Sales!F6</f>
        <v>4736</v>
      </c>
      <c r="AS26" s="54">
        <f>[18]Sales!G6</f>
        <v>5025</v>
      </c>
      <c r="AT26" s="54">
        <f>[18]Sales!H6</f>
        <v>4995</v>
      </c>
      <c r="AU26" s="54">
        <f>[18]Sales!I6</f>
        <v>4809</v>
      </c>
      <c r="AV26" s="54">
        <f>[18]Sales!J6</f>
        <v>4519</v>
      </c>
      <c r="AW26" s="54">
        <f>[18]Sales!K6</f>
        <v>4440</v>
      </c>
      <c r="AX26" s="54">
        <f>[18]Sales!L6</f>
        <v>4500</v>
      </c>
      <c r="AY26" s="54">
        <f>[18]Sales!M6</f>
        <v>4757</v>
      </c>
      <c r="AZ26" s="54">
        <f>[18]Sales!N6</f>
        <v>4824</v>
      </c>
      <c r="BA26" s="48">
        <f t="shared" si="3"/>
        <v>56319</v>
      </c>
    </row>
    <row r="27" spans="1:53" s="51" customFormat="1">
      <c r="A27" s="51" t="s">
        <v>68</v>
      </c>
      <c r="B27" s="48">
        <f>[37]Chennai!B98/100000+B59</f>
        <v>404.0897906782547</v>
      </c>
      <c r="C27" s="48">
        <f>[37]Chennai!C98/100000+C59</f>
        <v>403.73470057013714</v>
      </c>
      <c r="D27" s="48">
        <f>[37]Chennai!D98/100000+D59</f>
        <v>396.85378218021322</v>
      </c>
      <c r="E27" s="48">
        <f>[37]Chennai!E98/100000+E59</f>
        <v>389.94013714766146</v>
      </c>
      <c r="F27" s="48">
        <f>[37]Chennai!F98/100000+F59</f>
        <v>397.41875638495537</v>
      </c>
      <c r="G27" s="48">
        <f>[37]Chennai!G98/100000+G59</f>
        <v>396.29088934587242</v>
      </c>
      <c r="H27" s="48">
        <f>[37]Chennai!H98/100000+H59</f>
        <v>401.03517276725358</v>
      </c>
      <c r="I27" s="48">
        <f>[38]Chennai!I98/100000+I59</f>
        <v>393.16023866347456</v>
      </c>
      <c r="J27" s="48">
        <f>[38]Chennai!J98/100000+J59</f>
        <v>387.14778173985059</v>
      </c>
      <c r="K27" s="48">
        <f>[38]Chennai!K98/100000+K59</f>
        <v>380.52479546498671</v>
      </c>
      <c r="L27" s="48">
        <f>[38]Chennai!L98/100000+L59</f>
        <v>370.66108632400756</v>
      </c>
      <c r="M27" s="48">
        <f>[38]Chennai!M98/100000+M59</f>
        <v>377.89421455839852</v>
      </c>
      <c r="N27" s="48">
        <f>[39]Chennai!B116/100000+N59</f>
        <v>456.25302232971603</v>
      </c>
      <c r="O27" s="48">
        <f>[39]Chennai!C116/100000+O59</f>
        <v>460.39176748648481</v>
      </c>
      <c r="P27" s="48">
        <f>[39]Chennai!D116/100000+P59</f>
        <v>446.34706524028201</v>
      </c>
      <c r="Q27" s="48">
        <f>[39]Chennai!E116/100000+Q59</f>
        <v>442.56168007438441</v>
      </c>
      <c r="R27" s="48">
        <f>[39]Chennai!F116/100000+R59</f>
        <v>446.69468882483221</v>
      </c>
      <c r="S27" s="48">
        <f>[39]Chennai!G116/100000+S59</f>
        <v>448.23573618853612</v>
      </c>
      <c r="T27" s="48">
        <f>[39]Chennai!H116/100000+T59</f>
        <v>459.28583480787239</v>
      </c>
      <c r="U27" s="48">
        <f>[39]Chennai!I116/100000+U59</f>
        <v>435.39167258458133</v>
      </c>
      <c r="V27" s="48">
        <f>[40]Chennai!J116/100000+V59</f>
        <v>433.2293474405123</v>
      </c>
      <c r="W27" s="48">
        <f>[40]Chennai!K116/100000+W59</f>
        <v>427.20829940558616</v>
      </c>
      <c r="X27" s="48">
        <f>[40]Chennai!L116/100000+X59</f>
        <v>418.96414272068705</v>
      </c>
      <c r="Y27" s="48">
        <f>[40]Chennai!M116/100000+Y59</f>
        <v>422.38284778254945</v>
      </c>
      <c r="AA27" s="48">
        <f>[42]Chennai!B100/100000+AA59</f>
        <v>483.48680570231926</v>
      </c>
      <c r="AB27" s="48">
        <f>[42]Chennai!C100/100000+AB59</f>
        <v>488.0179839634028</v>
      </c>
      <c r="AC27" s="48">
        <f>[42]Chennai!D100/100000+AC59</f>
        <v>489.90695808281771</v>
      </c>
      <c r="AD27" s="48">
        <f>[42]Chennai!E100/100000+AD59</f>
        <v>490.63565788996272</v>
      </c>
      <c r="AE27" s="48">
        <f>[42]Chennai!F100/100000+AE59</f>
        <v>515.00331998414151</v>
      </c>
      <c r="AF27" s="48">
        <f>[42]Chennai!G100/100000+AF59</f>
        <v>518.25243994374159</v>
      </c>
      <c r="AG27" s="48">
        <f>[42]Chennai!H100/100000+AG59</f>
        <v>530.21072177685915</v>
      </c>
      <c r="AH27" s="48">
        <f>[42]Chennai!I100/100000+AH59</f>
        <v>514.77152839706105</v>
      </c>
      <c r="AI27" s="48">
        <f>[42]Chennai!J100/100000+AI59</f>
        <v>510.58530306422551</v>
      </c>
      <c r="AJ27" s="48">
        <f>[42]Chennai!K100/100000+AJ59</f>
        <v>507.77719693539922</v>
      </c>
      <c r="AK27" s="48">
        <f>[42]Chennai!L100/100000+AK59</f>
        <v>492.51736576813369</v>
      </c>
      <c r="AL27" s="48">
        <f>[42]Chennai!M100/100000+AL59</f>
        <v>494.29431310842733</v>
      </c>
      <c r="AO27" s="48">
        <f>SUM([17]Chennai!B86,[17]BAU!B86)/100000+AO68</f>
        <v>525.49812761820283</v>
      </c>
      <c r="AP27" s="48">
        <f>SUM([17]Chennai!C86,[17]BAU!C86)/100000+AP68</f>
        <v>515.92884579875192</v>
      </c>
      <c r="AQ27" s="48">
        <f>SUM([17]Chennai!D86,[17]BAU!D86)/100000+AQ68</f>
        <v>526.08085634348458</v>
      </c>
      <c r="AR27" s="48">
        <f>SUM([17]Chennai!E86,[17]BAU!E86)/100000+AR68</f>
        <v>528.55793954817477</v>
      </c>
      <c r="AS27" s="48">
        <f>([18]Chennai!F86+[18]BAU!F86)/100000+AS68</f>
        <v>528.97731642050212</v>
      </c>
      <c r="AT27" s="48">
        <f>([18]Chennai!G86+[18]BAU!G86)/100000+AT68</f>
        <v>524.29975727427654</v>
      </c>
      <c r="AU27" s="48">
        <f>([18]Chennai!H86+[18]BAU!H86)/100000+AU68</f>
        <v>545.38974587407824</v>
      </c>
      <c r="AV27" s="48">
        <f>([18]Chennai!I86+[18]BAU!I86)/100000+AV68</f>
        <v>545.88305398527098</v>
      </c>
      <c r="AW27" s="48">
        <f>([18]Chennai!J86+[18]BAU!J86)/100000+AW68</f>
        <v>555.73020693920557</v>
      </c>
      <c r="AX27" s="48">
        <f>([18]Chennai!K86+[18]BAU!K86)/100000+AX68</f>
        <v>547.34247526758941</v>
      </c>
      <c r="AY27" s="48">
        <f>([18]Chennai!L86+[18]BAU!L86)/100000+AY68</f>
        <v>534.92869915434869</v>
      </c>
      <c r="AZ27" s="48">
        <f>([18]Chennai!M86+[18]BAU!M86)/100000+AZ68</f>
        <v>527.56798457880222</v>
      </c>
      <c r="BA27" s="48">
        <f>SUM(AO27:AZ27)</f>
        <v>6406.1850088026877</v>
      </c>
    </row>
    <row r="28" spans="1:53">
      <c r="B28" s="22"/>
      <c r="C28" s="22"/>
      <c r="D28" s="22"/>
      <c r="E28" s="22"/>
      <c r="F28" s="22"/>
      <c r="M28" s="41"/>
      <c r="O28" s="60">
        <f>(L35-L31)/L35</f>
        <v>1.16602177960505E-2</v>
      </c>
      <c r="P28" s="59">
        <f>(K34-K30)/K34</f>
        <v>3.0583231502483165E-2</v>
      </c>
      <c r="Q28" s="59"/>
      <c r="R28" s="1">
        <f>SUM(N30:Y30)</f>
        <v>957958.22780099977</v>
      </c>
      <c r="S28" s="1">
        <f>SUM(N34:Y34)</f>
        <v>1030782</v>
      </c>
      <c r="T28" s="65">
        <f>(S28-R28)/S28</f>
        <v>7.0649053048074409E-2</v>
      </c>
      <c r="U28" s="1">
        <f>SUM(N31:Y31)</f>
        <v>12409.33258626142</v>
      </c>
      <c r="V28" s="1">
        <f>SUM(N35:Y35)</f>
        <v>13788</v>
      </c>
      <c r="W28" s="65">
        <f>(V28-U28)/V28</f>
        <v>9.9990383938104138E-2</v>
      </c>
      <c r="AA28" s="22"/>
      <c r="AB28" s="87">
        <f>SUM(AA30:AB30)</f>
        <v>179297.81275200003</v>
      </c>
      <c r="AC28" s="89">
        <f>SUM(AA34:AB34)</f>
        <v>178725.5816432297</v>
      </c>
      <c r="AD28" s="65">
        <f>(AB28-AC28)/AC28</f>
        <v>3.2017302923797986E-3</v>
      </c>
      <c r="AE28" s="65"/>
      <c r="AF28" s="1">
        <f>SUM(AA31:AB31)</f>
        <v>2272.8876359637143</v>
      </c>
      <c r="AG28" s="88">
        <f>SUM(AA35:AB35)</f>
        <v>2331.473782875245</v>
      </c>
      <c r="AH28" s="65">
        <f>(AF28-AG28)/AG28</f>
        <v>-2.5128374739552279E-2</v>
      </c>
      <c r="AI28" s="1"/>
      <c r="AJ28" s="65"/>
      <c r="AO28" s="103" t="s">
        <v>14</v>
      </c>
      <c r="AP28" s="87"/>
      <c r="AQ28" s="87"/>
      <c r="AR28" s="165">
        <f>SUM(AO30:AR30)</f>
        <v>456644.93732688</v>
      </c>
      <c r="AS28" s="41">
        <f>SUM(AO34:AR34)</f>
        <v>409417</v>
      </c>
      <c r="AT28" s="104">
        <f>(AR28-AS28)/AS28</f>
        <v>0.11535411897131774</v>
      </c>
      <c r="AU28" s="106"/>
      <c r="AV28" s="104"/>
      <c r="AW28" s="41"/>
      <c r="AX28" s="104"/>
    </row>
    <row r="29" spans="1:53" s="31" customFormat="1">
      <c r="A29" s="31" t="s">
        <v>14</v>
      </c>
      <c r="B29" s="29" t="s">
        <v>61</v>
      </c>
      <c r="C29" s="29" t="s">
        <v>62</v>
      </c>
      <c r="D29" s="29" t="s">
        <v>63</v>
      </c>
      <c r="E29" s="29" t="s">
        <v>64</v>
      </c>
      <c r="F29" s="29" t="s">
        <v>65</v>
      </c>
      <c r="G29" s="29" t="s">
        <v>70</v>
      </c>
      <c r="H29" s="31" t="s">
        <v>71</v>
      </c>
      <c r="I29" s="31" t="s">
        <v>72</v>
      </c>
      <c r="J29" s="31" t="s">
        <v>73</v>
      </c>
      <c r="K29" s="31" t="s">
        <v>74</v>
      </c>
      <c r="L29" s="31" t="s">
        <v>75</v>
      </c>
      <c r="M29" s="29" t="s">
        <v>76</v>
      </c>
      <c r="N29" s="29" t="s">
        <v>61</v>
      </c>
      <c r="O29" s="29" t="s">
        <v>62</v>
      </c>
      <c r="P29" s="29" t="s">
        <v>63</v>
      </c>
      <c r="Q29" s="29" t="s">
        <v>64</v>
      </c>
      <c r="R29" s="29" t="s">
        <v>65</v>
      </c>
      <c r="S29" s="29" t="s">
        <v>70</v>
      </c>
      <c r="T29" s="31" t="s">
        <v>71</v>
      </c>
      <c r="U29" s="31" t="s">
        <v>72</v>
      </c>
      <c r="V29" s="31" t="s">
        <v>73</v>
      </c>
      <c r="W29" s="31" t="s">
        <v>74</v>
      </c>
      <c r="X29" s="31" t="s">
        <v>75</v>
      </c>
      <c r="Y29" s="31" t="s">
        <v>76</v>
      </c>
      <c r="Z29" s="31" t="s">
        <v>93</v>
      </c>
      <c r="AA29" s="29" t="s">
        <v>61</v>
      </c>
      <c r="AB29" s="29" t="s">
        <v>62</v>
      </c>
      <c r="AC29" s="29" t="s">
        <v>63</v>
      </c>
      <c r="AD29" s="29" t="s">
        <v>64</v>
      </c>
      <c r="AE29" s="29" t="s">
        <v>65</v>
      </c>
      <c r="AF29" s="29" t="s">
        <v>70</v>
      </c>
      <c r="AG29" s="31" t="s">
        <v>71</v>
      </c>
      <c r="AH29" s="31" t="s">
        <v>72</v>
      </c>
      <c r="AI29" s="31" t="s">
        <v>73</v>
      </c>
      <c r="AJ29" s="31" t="s">
        <v>74</v>
      </c>
      <c r="AK29" s="31" t="s">
        <v>75</v>
      </c>
      <c r="AL29" s="31" t="s">
        <v>76</v>
      </c>
      <c r="AM29" s="31" t="s">
        <v>116</v>
      </c>
      <c r="AO29" s="29" t="s">
        <v>61</v>
      </c>
      <c r="AP29" s="29" t="s">
        <v>62</v>
      </c>
      <c r="AQ29" s="29" t="s">
        <v>63</v>
      </c>
      <c r="AR29" s="29" t="s">
        <v>64</v>
      </c>
      <c r="AS29" s="29" t="s">
        <v>65</v>
      </c>
      <c r="AT29" s="29" t="s">
        <v>70</v>
      </c>
      <c r="AU29" s="29" t="s">
        <v>71</v>
      </c>
      <c r="AV29" s="29" t="s">
        <v>72</v>
      </c>
      <c r="AW29" s="29" t="s">
        <v>73</v>
      </c>
      <c r="AX29" s="29" t="s">
        <v>74</v>
      </c>
      <c r="AY29" s="29" t="s">
        <v>75</v>
      </c>
      <c r="AZ29" s="29" t="s">
        <v>76</v>
      </c>
      <c r="BA29" s="29" t="s">
        <v>149</v>
      </c>
    </row>
    <row r="30" spans="1:53">
      <c r="A30" t="s">
        <v>66</v>
      </c>
      <c r="B30" s="41">
        <v>79848.128047999984</v>
      </c>
      <c r="C30" s="41">
        <v>85336.96729499998</v>
      </c>
      <c r="D30" s="41">
        <v>84646.997735000012</v>
      </c>
      <c r="E30" s="41">
        <v>84366.58634899999</v>
      </c>
      <c r="F30" s="41">
        <v>57146.186615000013</v>
      </c>
      <c r="G30" s="41">
        <v>72194.505846999964</v>
      </c>
      <c r="H30" s="40">
        <v>84744.54799500003</v>
      </c>
      <c r="I30" s="40">
        <v>76392.277835000015</v>
      </c>
      <c r="J30" s="40">
        <v>93922.164776999998</v>
      </c>
      <c r="K30" s="40">
        <v>69663.258401000057</v>
      </c>
      <c r="L30" s="40">
        <v>92907.319707999966</v>
      </c>
      <c r="M30" s="41">
        <v>81883.253857000032</v>
      </c>
      <c r="N30" s="40">
        <v>74992.938758000004</v>
      </c>
      <c r="O30" s="40">
        <v>67321.320274000027</v>
      </c>
      <c r="P30" s="40">
        <v>83514.572494000022</v>
      </c>
      <c r="Q30" s="40">
        <v>79446.251123999973</v>
      </c>
      <c r="R30" s="40">
        <v>64671.321738000028</v>
      </c>
      <c r="S30" s="40">
        <v>80836.115815999976</v>
      </c>
      <c r="T30" s="40">
        <v>83503.825489999959</v>
      </c>
      <c r="U30" s="40">
        <v>85499.523473000008</v>
      </c>
      <c r="V30" s="40">
        <v>71537.704174999963</v>
      </c>
      <c r="W30" s="40">
        <v>84923.789550999994</v>
      </c>
      <c r="X30" s="40">
        <v>84850.281535000016</v>
      </c>
      <c r="Y30" s="40">
        <v>96860.583372999972</v>
      </c>
      <c r="AA30" s="40">
        <v>87516.001640000031</v>
      </c>
      <c r="AB30" s="40">
        <v>91781.811111999996</v>
      </c>
      <c r="AC30" s="40">
        <v>94455.996182999967</v>
      </c>
      <c r="AD30" s="40">
        <v>94121.270330999992</v>
      </c>
      <c r="AE30" s="40">
        <v>91222.925339000023</v>
      </c>
      <c r="AF30" s="40">
        <v>89680.710067999986</v>
      </c>
      <c r="AG30" s="40">
        <v>94333.322474199987</v>
      </c>
      <c r="AH30" s="40">
        <v>94704.400099299994</v>
      </c>
      <c r="AI30" s="40">
        <v>98242.610068879992</v>
      </c>
      <c r="AJ30" s="40">
        <v>95300.220603820053</v>
      </c>
      <c r="AK30" s="40">
        <v>91339.122376579966</v>
      </c>
      <c r="AL30" s="40">
        <v>102517.60596174002</v>
      </c>
      <c r="AM30" s="1">
        <f>SUM(AA30:AL30)</f>
        <v>1125215.99625752</v>
      </c>
      <c r="AO30" s="41">
        <f>'[27]17-18'!D14</f>
        <v>107744.25006097998</v>
      </c>
      <c r="AP30" s="41">
        <f>'[27]17-18'!E14</f>
        <v>108568.46554231996</v>
      </c>
      <c r="AQ30" s="41">
        <f>'[27]17-18'!F14</f>
        <v>113995.66241356003</v>
      </c>
      <c r="AR30" s="41">
        <f>'[28]17-18'!G14</f>
        <v>126336.55931001999</v>
      </c>
      <c r="AS30" s="41">
        <f>'[29]17-18'!H14</f>
        <v>127609.62536383999</v>
      </c>
      <c r="AT30" s="41">
        <f>'[30]17-18'!I14</f>
        <v>121601.83575843999</v>
      </c>
      <c r="AU30" s="41">
        <f>'[31]17-18'!J14</f>
        <v>126175.1078018799</v>
      </c>
      <c r="AV30" s="41">
        <f>'[32]17-18'!K14</f>
        <v>107156.93069835997</v>
      </c>
      <c r="AW30" s="41">
        <f>'[33]17-18'!L14</f>
        <v>85984.307719439967</v>
      </c>
      <c r="AX30" s="41">
        <f>'[34]17-18'!M14</f>
        <v>97710.666453460057</v>
      </c>
      <c r="AY30" s="41">
        <f>'[35]17-18'!N14</f>
        <v>112355.85217689996</v>
      </c>
      <c r="AZ30" s="41">
        <f>'[36]17-18'!O15</f>
        <v>112423.91000555997</v>
      </c>
      <c r="BA30" s="43">
        <f t="shared" ref="BA30:BA31" si="4">SUM(AO30:AZ30)</f>
        <v>1347663.1733047597</v>
      </c>
    </row>
    <row r="31" spans="1:53">
      <c r="A31" t="s">
        <v>67</v>
      </c>
      <c r="B31" s="41">
        <v>1016.710793990947</v>
      </c>
      <c r="C31" s="41">
        <v>1154.415220638816</v>
      </c>
      <c r="D31" s="41">
        <v>1038.4092979438371</v>
      </c>
      <c r="E31" s="41">
        <v>883.06345372851001</v>
      </c>
      <c r="F31" s="41">
        <v>852.05086216043469</v>
      </c>
      <c r="G31" s="41">
        <v>1076.6390176384657</v>
      </c>
      <c r="H31" s="40">
        <v>1089.3239040926958</v>
      </c>
      <c r="I31" s="40">
        <v>960.50790161921918</v>
      </c>
      <c r="J31" s="40">
        <v>1142.1957746743144</v>
      </c>
      <c r="K31" s="40">
        <v>956.37292380097176</v>
      </c>
      <c r="L31" s="40">
        <v>949.79453069799547</v>
      </c>
      <c r="M31" s="41">
        <v>1081.198793147669</v>
      </c>
      <c r="N31" s="40">
        <v>1094.0390402882979</v>
      </c>
      <c r="O31" s="40">
        <v>1007.8127482713865</v>
      </c>
      <c r="P31" s="40">
        <v>1033.6239360552813</v>
      </c>
      <c r="Q31" s="40">
        <v>1011.2027392605087</v>
      </c>
      <c r="R31" s="40">
        <v>978.63509881189691</v>
      </c>
      <c r="S31" s="40">
        <v>1043.5825569879182</v>
      </c>
      <c r="T31" s="40">
        <v>1083.6560312068527</v>
      </c>
      <c r="U31" s="40">
        <v>960.91236370869171</v>
      </c>
      <c r="V31" s="40">
        <v>992.30634803163628</v>
      </c>
      <c r="W31" s="40">
        <v>1020.4990422318116</v>
      </c>
      <c r="X31" s="40">
        <v>1065.3667556171367</v>
      </c>
      <c r="Y31" s="40">
        <v>1117.6959257900012</v>
      </c>
      <c r="AA31" s="40">
        <v>1052.13058553104</v>
      </c>
      <c r="AB31" s="40">
        <v>1220.7570504326743</v>
      </c>
      <c r="AC31" s="40">
        <v>1267.5683075730153</v>
      </c>
      <c r="AD31" s="40">
        <v>1079.6565976502695</v>
      </c>
      <c r="AE31" s="40">
        <v>1058.8106156234708</v>
      </c>
      <c r="AF31" s="40">
        <v>1106.1641401309939</v>
      </c>
      <c r="AG31" s="40">
        <v>1122.0407036580843</v>
      </c>
      <c r="AH31" s="40">
        <v>1040.0744468870337</v>
      </c>
      <c r="AI31" s="40">
        <v>816.39417743169724</v>
      </c>
      <c r="AJ31" s="40">
        <v>1237.0773814528723</v>
      </c>
      <c r="AK31" s="40">
        <v>1180</v>
      </c>
      <c r="AL31" s="40">
        <v>1236.3520045609337</v>
      </c>
      <c r="AO31" s="41">
        <f>'[36]17-18'!D16</f>
        <v>1169.8290823685172</v>
      </c>
      <c r="AP31" s="41">
        <f>'[36]17-18'!E16</f>
        <v>1294.821827410846</v>
      </c>
      <c r="AQ31" s="41">
        <f>'[36]17-18'!F16</f>
        <v>1291.8830871207399</v>
      </c>
      <c r="AR31" s="41">
        <f>'[36]17-18'!G16</f>
        <v>1520.0428022143856</v>
      </c>
      <c r="AS31" s="41">
        <f>'[36]17-18'!H16</f>
        <v>1313.521695941552</v>
      </c>
      <c r="AT31" s="41">
        <f>'[36]17-18'!I16</f>
        <v>1449.3306932718278</v>
      </c>
      <c r="AU31" s="41">
        <f>'[36]17-18'!J16</f>
        <v>1562.6644907653128</v>
      </c>
      <c r="AV31" s="41">
        <f>'[36]17-18'!K16</f>
        <v>1164.5884596162837</v>
      </c>
      <c r="AW31" s="41">
        <f>'[36]17-18'!L16</f>
        <v>1071.2421310213524</v>
      </c>
      <c r="AX31" s="41">
        <f>'[36]17-18'!M16</f>
        <v>1226.7923253579554</v>
      </c>
      <c r="AY31" s="41">
        <f>'[36]17-18'!N16</f>
        <v>1239.725511575542</v>
      </c>
      <c r="AZ31" s="41">
        <f>'[36]17-18'!O16</f>
        <v>1335.162368593124</v>
      </c>
      <c r="BA31" s="43">
        <f t="shared" si="4"/>
        <v>15639.60447525744</v>
      </c>
    </row>
    <row r="32" spans="1:53">
      <c r="A32" t="s">
        <v>68</v>
      </c>
      <c r="B32" s="42">
        <v>73.169465226985736</v>
      </c>
      <c r="C32" s="42">
        <v>73.503392195458474</v>
      </c>
      <c r="D32" s="42">
        <v>74.093639858126593</v>
      </c>
      <c r="E32" s="42">
        <v>73.340066310403174</v>
      </c>
      <c r="F32" s="42">
        <v>67.84327982461285</v>
      </c>
      <c r="G32" s="42">
        <v>77.187669803290888</v>
      </c>
      <c r="H32" s="42">
        <v>79.56133303044858</v>
      </c>
      <c r="I32" s="42">
        <v>79.424435049851382</v>
      </c>
      <c r="J32" s="42">
        <v>75.685122356720342</v>
      </c>
      <c r="K32" s="42">
        <v>72.202301392861344</v>
      </c>
      <c r="L32" s="42">
        <v>75.550791895721815</v>
      </c>
      <c r="M32" s="42">
        <v>72.334762401619031</v>
      </c>
      <c r="N32" s="42">
        <v>78.599322209998917</v>
      </c>
      <c r="O32" s="42">
        <v>79.558523502394365</v>
      </c>
      <c r="P32" s="42">
        <v>83.23021011822712</v>
      </c>
      <c r="Q32" s="42">
        <v>78.012276257735081</v>
      </c>
      <c r="R32" s="42">
        <v>83.987829625429029</v>
      </c>
      <c r="S32" s="42">
        <v>80.52992721895086</v>
      </c>
      <c r="T32" s="42">
        <v>84.45959462777914</v>
      </c>
      <c r="U32" s="42">
        <v>79.357628830454331</v>
      </c>
      <c r="V32" s="42">
        <v>77.637317820499092</v>
      </c>
      <c r="W32" s="42">
        <v>85.090326172970123</v>
      </c>
      <c r="X32" s="42">
        <v>77.456883175530962</v>
      </c>
      <c r="Y32" s="42">
        <v>70.291331586525743</v>
      </c>
      <c r="AA32" s="42">
        <v>84.79575208327104</v>
      </c>
      <c r="AB32" s="42">
        <v>84.78402738033023</v>
      </c>
      <c r="AC32" s="41">
        <v>87.78442002924092</v>
      </c>
      <c r="AD32" s="42">
        <v>82.283028580189807</v>
      </c>
      <c r="AE32" s="42">
        <v>82.072670252696668</v>
      </c>
      <c r="AF32" s="42">
        <v>86.337006212264342</v>
      </c>
      <c r="AG32" s="42">
        <v>99.555147421627197</v>
      </c>
      <c r="AH32" s="42">
        <v>85.5241619728003</v>
      </c>
      <c r="AI32" s="42">
        <v>87.609874049176682</v>
      </c>
      <c r="AJ32" s="42">
        <v>90.942909995824692</v>
      </c>
      <c r="AK32" s="42">
        <v>89.035430529131958</v>
      </c>
      <c r="AL32" s="42">
        <v>105.9615990268501</v>
      </c>
      <c r="AO32" s="41">
        <f>'[27]17-18'!D16</f>
        <v>95.965152541739897</v>
      </c>
      <c r="AP32" s="41">
        <f>'[27]17-18'!E16</f>
        <v>94.053405780220942</v>
      </c>
      <c r="AQ32" s="41">
        <f>'[27]17-18'!F16</f>
        <v>103.51458175236307</v>
      </c>
      <c r="AR32" s="41">
        <f>'[28]17-18'!G16</f>
        <v>115.01703168756433</v>
      </c>
      <c r="AS32" s="41">
        <f>'[29]17-18'!H16</f>
        <v>109.91038953659208</v>
      </c>
      <c r="AT32" s="41">
        <f>'[36]17-18'!$I$17</f>
        <v>102.62521536146207</v>
      </c>
      <c r="AU32" s="41">
        <f>'[31]17-18'!J16</f>
        <v>117.49171541117565</v>
      </c>
      <c r="AV32" s="41">
        <f>'[32]17-18'!K16</f>
        <v>99.499123302276445</v>
      </c>
      <c r="AW32" s="41">
        <f>'[33]17-18'!L16</f>
        <v>95.342374958356459</v>
      </c>
      <c r="AX32" s="41">
        <f>'[34]17-18'!M16</f>
        <v>92.968800568711799</v>
      </c>
      <c r="AY32" s="41">
        <f>'[35]17-18'!N16</f>
        <v>94.570133536869776</v>
      </c>
      <c r="AZ32" s="41">
        <f>'[36]17-18'!O17</f>
        <v>93.819687339634072</v>
      </c>
      <c r="BA32" s="43">
        <f>SUM(AO32:AZ32)</f>
        <v>1214.7776117769668</v>
      </c>
    </row>
    <row r="33" spans="1:53" s="51" customFormat="1">
      <c r="A33" s="47" t="s">
        <v>39</v>
      </c>
      <c r="B33" s="48"/>
      <c r="C33" s="48"/>
      <c r="D33" s="48"/>
      <c r="E33" s="48"/>
      <c r="F33" s="48"/>
      <c r="G33" s="49"/>
      <c r="H33" s="50"/>
      <c r="I33" s="50"/>
      <c r="M33" s="49"/>
      <c r="N33" s="49"/>
      <c r="O33" s="49"/>
      <c r="AA33" s="49"/>
      <c r="AB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</row>
    <row r="34" spans="1:53" s="53" customFormat="1">
      <c r="A34" s="51" t="s">
        <v>66</v>
      </c>
      <c r="B34" s="52">
        <f>'[37]SQM 2015-16'!C21</f>
        <v>72732</v>
      </c>
      <c r="C34" s="52">
        <f>'[37]SQM 2015-16'!D21</f>
        <v>73852</v>
      </c>
      <c r="D34" s="52">
        <f>'[37]SQM 2015-16'!E21</f>
        <v>74214</v>
      </c>
      <c r="E34" s="52">
        <f>'[37]SQM 2015-16'!F21</f>
        <v>77100</v>
      </c>
      <c r="F34" s="52">
        <f>'[37]SQM 2015-16'!G21</f>
        <v>71855</v>
      </c>
      <c r="G34" s="52">
        <f>'[37]SQM 2015-16'!H21</f>
        <v>68769</v>
      </c>
      <c r="H34" s="52">
        <f>'[37]SQM 2015-16'!I21</f>
        <v>71682</v>
      </c>
      <c r="I34" s="61">
        <f>'[38]SQM 2015-16'!J21</f>
        <v>63303</v>
      </c>
      <c r="J34" s="61">
        <f>'[38]SQM 2015-16'!K21</f>
        <v>65066</v>
      </c>
      <c r="K34" s="61">
        <f>'[38]SQM 2015-16'!L21</f>
        <v>71861</v>
      </c>
      <c r="L34" s="61">
        <f>'[38]SQM 2015-16'!M21</f>
        <v>71810</v>
      </c>
      <c r="M34" s="52">
        <f>'[38]SQM 2015-16'!N21</f>
        <v>77537</v>
      </c>
      <c r="N34" s="52">
        <f>'[39]SQM 2016-17'!C21</f>
        <v>82510</v>
      </c>
      <c r="O34" s="52">
        <f>'[39]SQM 2016-17'!D21</f>
        <v>88185</v>
      </c>
      <c r="P34" s="52">
        <f>'[39]SQM 2016-17'!E21</f>
        <v>88111</v>
      </c>
      <c r="Q34" s="52">
        <f>'[39]SQM 2016-17'!F21</f>
        <v>88581</v>
      </c>
      <c r="R34" s="52">
        <f>'[39]SQM 2016-17'!G21</f>
        <v>83995</v>
      </c>
      <c r="S34" s="52">
        <f>'[39]SQM 2016-17'!H21</f>
        <v>84519</v>
      </c>
      <c r="T34" s="52">
        <f>'[39]SQM 2016-17'!I21</f>
        <v>80876</v>
      </c>
      <c r="U34" s="52">
        <f>'[39]SQM 2016-17'!J21</f>
        <v>85282</v>
      </c>
      <c r="V34" s="52">
        <f>'[40]SQM 2016-17'!K21</f>
        <v>83803</v>
      </c>
      <c r="W34" s="52">
        <f>'[40]SQM 2016-17'!L21</f>
        <v>87735</v>
      </c>
      <c r="X34" s="52">
        <f>'[40]SQM 2016-17'!M21</f>
        <v>87334</v>
      </c>
      <c r="Y34" s="52">
        <f>'[40]SQM 2016-17'!N21</f>
        <v>89851</v>
      </c>
      <c r="AA34" s="52">
        <f>'[41]SQM 2017-18'!C21</f>
        <v>87232.785048614882</v>
      </c>
      <c r="AB34" s="52">
        <f>'[41]SQM 2017-18'!D21</f>
        <v>91492.796594614832</v>
      </c>
      <c r="AC34" s="52">
        <f>'[41]SQM 2017-18'!E21</f>
        <v>79949.668127814861</v>
      </c>
      <c r="AD34" s="52">
        <f>'[41]SQM 2017-18'!F21</f>
        <v>81216.520072814863</v>
      </c>
      <c r="AE34" s="52">
        <f>'[41]SQM 2017-18'!G21</f>
        <v>84165.899414814834</v>
      </c>
      <c r="AF34" s="52">
        <f>'[41]SQM 2017-18'!H21</f>
        <v>87148.237063783949</v>
      </c>
      <c r="AG34" s="52">
        <f>'[41]SQM 2017-18'!I21</f>
        <v>76932.840047842168</v>
      </c>
      <c r="AH34" s="52">
        <f>'[41]SQM 2017-18'!J21</f>
        <v>78812.135884069488</v>
      </c>
      <c r="AI34" s="52">
        <f>'[41]SQM 2017-18'!K21</f>
        <v>72443.692929241312</v>
      </c>
      <c r="AJ34" s="52">
        <f>'[41]SQM 2017-18'!L21</f>
        <v>83965.322180185787</v>
      </c>
      <c r="AK34" s="52">
        <f>'[41]SQM 2017-18'!M21</f>
        <v>86202.032680827208</v>
      </c>
      <c r="AL34" s="52">
        <f>'[41]SQM 2017-18'!N21</f>
        <v>89392.324162827194</v>
      </c>
      <c r="AO34" s="52">
        <f>'[17]SQM 2018-19'!C24</f>
        <v>95058</v>
      </c>
      <c r="AP34" s="52">
        <f>'[17]SQM 2018-19'!D24</f>
        <v>111440</v>
      </c>
      <c r="AQ34" s="52">
        <f>'[17]SQM 2018-19'!E24</f>
        <v>98448</v>
      </c>
      <c r="AR34" s="52">
        <f>'[17]SQM 2018-19'!F24</f>
        <v>104471</v>
      </c>
      <c r="AS34" s="52">
        <f>'[18]SQM 2018-19'!G24</f>
        <v>115284</v>
      </c>
      <c r="AT34" s="52">
        <f>'[18]SQM 2018-19'!H24</f>
        <v>112056</v>
      </c>
      <c r="AU34" s="52">
        <f>'[18]SQM 2018-19'!I24</f>
        <v>104796</v>
      </c>
      <c r="AV34" s="52">
        <f>'[18]SQM 2018-19'!J24</f>
        <v>97190</v>
      </c>
      <c r="AW34" s="52">
        <f>'[18]SQM 2018-19'!K24</f>
        <v>93698</v>
      </c>
      <c r="AX34" s="52">
        <f>'[18]SQM 2018-19'!L24</f>
        <v>103573</v>
      </c>
      <c r="AY34" s="52">
        <f>'[18]SQM 2018-19'!M24</f>
        <v>105178</v>
      </c>
      <c r="AZ34" s="52">
        <f>'[18]SQM 2018-19'!N24</f>
        <v>111034</v>
      </c>
      <c r="BA34" s="48">
        <f t="shared" ref="BA34:BA35" si="5">SUM(AO34:AZ34)</f>
        <v>1252226</v>
      </c>
    </row>
    <row r="35" spans="1:53" s="51" customFormat="1">
      <c r="A35" s="51" t="s">
        <v>67</v>
      </c>
      <c r="B35" s="54">
        <f>[37]Sales!C7</f>
        <v>968</v>
      </c>
      <c r="C35" s="54">
        <f>[37]Sales!D7</f>
        <v>978</v>
      </c>
      <c r="D35" s="54">
        <f>[37]Sales!E7</f>
        <v>982</v>
      </c>
      <c r="E35" s="54">
        <f>[37]Sales!F7</f>
        <v>1036</v>
      </c>
      <c r="F35" s="54">
        <f>[37]Sales!G7</f>
        <v>950</v>
      </c>
      <c r="G35" s="54">
        <f>[37]Sales!H7</f>
        <v>907</v>
      </c>
      <c r="H35" s="54">
        <f>[37]Sales!I7</f>
        <v>955</v>
      </c>
      <c r="I35" s="50">
        <f>[38]Sales!J7</f>
        <v>835</v>
      </c>
      <c r="J35" s="50">
        <f>[38]Sales!K7</f>
        <v>880</v>
      </c>
      <c r="K35" s="50">
        <f>[38]Sales!L7</f>
        <v>971</v>
      </c>
      <c r="L35" s="50">
        <f>[38]Sales!M7</f>
        <v>961</v>
      </c>
      <c r="M35" s="49">
        <f>[38]Sales!N7</f>
        <v>1036</v>
      </c>
      <c r="N35" s="49">
        <f>[39]Sales!C7</f>
        <v>1099</v>
      </c>
      <c r="O35" s="49">
        <f>[39]Sales!D7</f>
        <v>1161</v>
      </c>
      <c r="P35" s="49">
        <f>[39]Sales!E7</f>
        <v>1187</v>
      </c>
      <c r="Q35" s="49">
        <f>[39]Sales!F7</f>
        <v>1183</v>
      </c>
      <c r="R35" s="49">
        <f>[39]Sales!G7</f>
        <v>1122</v>
      </c>
      <c r="S35" s="49">
        <f>[39]Sales!H7</f>
        <v>1137</v>
      </c>
      <c r="T35" s="49">
        <f>[39]Sales!I7</f>
        <v>1090</v>
      </c>
      <c r="U35" s="49">
        <f>[39]Sales!J7</f>
        <v>1140</v>
      </c>
      <c r="V35" s="49">
        <f>[40]Sales!K7</f>
        <v>1127</v>
      </c>
      <c r="W35" s="49">
        <f>[40]Sales!L7</f>
        <v>1169</v>
      </c>
      <c r="X35" s="49">
        <f>[40]Sales!M7</f>
        <v>1166</v>
      </c>
      <c r="Y35" s="49">
        <f>[40]Sales!N7</f>
        <v>1207</v>
      </c>
      <c r="AA35" s="54">
        <f>[41]Sales!C7</f>
        <v>1117.7360555020491</v>
      </c>
      <c r="AB35" s="54">
        <f>[41]Sales!D7</f>
        <v>1213.7377273731961</v>
      </c>
      <c r="AC35" s="54">
        <f>[41]Sales!E7</f>
        <v>1099.048641347797</v>
      </c>
      <c r="AD35" s="54">
        <f>[41]Sales!F7</f>
        <v>1086.7928881799737</v>
      </c>
      <c r="AE35" s="54">
        <f>[41]Sales!G7</f>
        <v>1134.9754781209367</v>
      </c>
      <c r="AF35" s="54">
        <f>[41]Sales!H7</f>
        <v>1154.7558096166558</v>
      </c>
      <c r="AG35" s="54">
        <f>[41]Sales!I7</f>
        <v>952.86313908457669</v>
      </c>
      <c r="AH35" s="54">
        <f>[41]Sales!J7</f>
        <v>970.04786747301523</v>
      </c>
      <c r="AI35" s="54">
        <f>[41]Sales!K7</f>
        <v>914.84746810803176</v>
      </c>
      <c r="AJ35" s="54">
        <f>[41]Sales!L7</f>
        <v>1030.4242913127703</v>
      </c>
      <c r="AK35" s="54">
        <f>[41]Sales!M7</f>
        <v>1060.3021165096618</v>
      </c>
      <c r="AL35" s="54">
        <f>[41]Sales!N7</f>
        <v>1108.3842020066977</v>
      </c>
      <c r="AO35" s="54">
        <f>[17]Sales!C7</f>
        <v>1128</v>
      </c>
      <c r="AP35" s="54">
        <f>[17]Sales!D7</f>
        <v>1365</v>
      </c>
      <c r="AQ35" s="54">
        <f>[17]Sales!E7</f>
        <v>1232</v>
      </c>
      <c r="AR35" s="54">
        <f>[17]Sales!F7</f>
        <v>1293</v>
      </c>
      <c r="AS35" s="54">
        <f>[18]Sales!G7</f>
        <v>1416</v>
      </c>
      <c r="AT35" s="54">
        <f>[18]Sales!H7</f>
        <v>1387</v>
      </c>
      <c r="AU35" s="54">
        <f>[18]Sales!I7</f>
        <v>1298</v>
      </c>
      <c r="AV35" s="54">
        <f>[18]Sales!J7</f>
        <v>1205</v>
      </c>
      <c r="AW35" s="54">
        <f>[18]Sales!K7</f>
        <v>1182</v>
      </c>
      <c r="AX35" s="54">
        <f>[18]Sales!L7</f>
        <v>1269</v>
      </c>
      <c r="AY35" s="54">
        <f>[18]Sales!M7</f>
        <v>1287</v>
      </c>
      <c r="AZ35" s="54">
        <f>[18]Sales!N7</f>
        <v>1362</v>
      </c>
      <c r="BA35" s="48">
        <f t="shared" si="5"/>
        <v>15424</v>
      </c>
    </row>
    <row r="36" spans="1:53" s="51" customFormat="1">
      <c r="A36" s="51" t="s">
        <v>68</v>
      </c>
      <c r="B36" s="48">
        <f>[37]Roorkee!B85/100000+B60</f>
        <v>69.577202836624139</v>
      </c>
      <c r="C36" s="48">
        <f>[37]Roorkee!C85/100000+C60</f>
        <v>72.622018854542844</v>
      </c>
      <c r="D36" s="48">
        <f>[37]Roorkee!D85/100000+D60</f>
        <v>71.066635008331886</v>
      </c>
      <c r="E36" s="48">
        <f>[37]Roorkee!E85/100000+E60</f>
        <v>69.985428385556318</v>
      </c>
      <c r="F36" s="48">
        <f>[37]Roorkee!F85/100000+F60</f>
        <v>69.376785443754628</v>
      </c>
      <c r="G36" s="48">
        <f>[37]Roorkee!G85/100000+G60</f>
        <v>72.873342678331852</v>
      </c>
      <c r="H36" s="48">
        <f>[37]Roorkee!H85/100000+H60</f>
        <v>74.177607613198873</v>
      </c>
      <c r="I36" s="48">
        <f>[38]Roorkee!I85/100000+I60</f>
        <v>73.329868415364643</v>
      </c>
      <c r="J36" s="48">
        <f>[38]Roorkee!J85/100000+J60</f>
        <v>69.318142969527756</v>
      </c>
      <c r="K36" s="48">
        <f>[38]Roorkee!K85/100000+K60</f>
        <v>71.731720834602015</v>
      </c>
      <c r="L36" s="48">
        <f>[38]Roorkee!L85/100000+L60</f>
        <v>70.290636976800997</v>
      </c>
      <c r="M36" s="48">
        <f>[38]Roorkee!M85/100000+M60</f>
        <v>71.406390357582168</v>
      </c>
      <c r="N36" s="48">
        <f>[39]Roorkee!B116/100000+N60</f>
        <v>79.357833440641087</v>
      </c>
      <c r="O36" s="48">
        <f>[39]Roorkee!C116/100000+O60</f>
        <v>80.559269535944892</v>
      </c>
      <c r="P36" s="48">
        <f>[39]Roorkee!D116/100000+P60</f>
        <v>80.908463452702009</v>
      </c>
      <c r="Q36" s="48">
        <f>[39]Roorkee!E116/100000+Q60</f>
        <v>80.784874925136137</v>
      </c>
      <c r="R36" s="48">
        <f>[39]Roorkee!F116/100000+R60</f>
        <v>80.188400762673851</v>
      </c>
      <c r="S36" s="48">
        <f>[39]Roorkee!G116/100000+S60</f>
        <v>79.601773667632145</v>
      </c>
      <c r="T36" s="48">
        <f>[39]Roorkee!H116/100000+T60</f>
        <v>89.462398068938668</v>
      </c>
      <c r="U36" s="48">
        <f>[39]Roorkee!I116/100000+U60</f>
        <v>82.674375405782911</v>
      </c>
      <c r="V36" s="48">
        <f>[40]Roorkee!J116/100000+V60</f>
        <v>81.39444692027223</v>
      </c>
      <c r="W36" s="48">
        <f>[40]Roorkee!K116/100000+W60</f>
        <v>82.483384763290175</v>
      </c>
      <c r="X36" s="48">
        <f>[40]Roorkee!L116/100000+X60</f>
        <v>81.296861437255785</v>
      </c>
      <c r="Y36" s="48">
        <f>[40]Roorkee!M116/100000+Y60</f>
        <v>81.652478784136349</v>
      </c>
      <c r="AA36" s="48">
        <f>[42]Roorkee!B100/100000+AA60</f>
        <v>85.259312457118213</v>
      </c>
      <c r="AB36" s="48">
        <f>[42]Roorkee!C100/100000+AB60</f>
        <v>84.702680628905711</v>
      </c>
      <c r="AC36" s="48">
        <f>[42]Roorkee!D100/100000+AC60</f>
        <v>85.907517555890692</v>
      </c>
      <c r="AD36" s="48">
        <f>[42]Roorkee!E100/100000+AD60</f>
        <v>84.548044654990278</v>
      </c>
      <c r="AE36" s="48">
        <f>[42]Roorkee!F100/100000+AE60</f>
        <v>88.922512408250853</v>
      </c>
      <c r="AF36" s="48">
        <f>[42]Roorkee!G100/100000+AF60</f>
        <v>88.370222177862473</v>
      </c>
      <c r="AG36" s="48">
        <f>[42]Roorkee!H100/100000+AG60</f>
        <v>96.640335667426911</v>
      </c>
      <c r="AH36" s="48">
        <f>[42]Roorkee!I100/100000+AH60</f>
        <v>86.725462628592481</v>
      </c>
      <c r="AI36" s="48">
        <f>[42]Roorkee!J100/100000+AI60</f>
        <v>84.716532079810577</v>
      </c>
      <c r="AJ36" s="48">
        <f>[42]Roorkee!K100/100000+AJ60</f>
        <v>87.052037896070473</v>
      </c>
      <c r="AK36" s="48">
        <f>[42]Roorkee!L100/100000+AK60</f>
        <v>85.42228729867243</v>
      </c>
      <c r="AL36" s="48">
        <f>[42]Roorkee!M100/100000+AL60</f>
        <v>87.147369264377559</v>
      </c>
      <c r="AO36" s="48">
        <f>SUM([17]Roorkee!B86,'[17]AFM Kolkata'!B86)/100000+AO69</f>
        <v>95.529403818005733</v>
      </c>
      <c r="AP36" s="48">
        <f>SUM([17]Roorkee!C86,'[17]AFM Kolkata'!C86)/100000+AP69</f>
        <v>92.63783158680819</v>
      </c>
      <c r="AQ36" s="48">
        <f>SUM([17]Roorkee!D86,'[17]AFM Kolkata'!D86)/100000+AQ69</f>
        <v>93.320914125362336</v>
      </c>
      <c r="AR36" s="48">
        <f>SUM([17]Roorkee!E86,'[17]AFM Kolkata'!E86)/100000+AR69</f>
        <v>95.467398684122529</v>
      </c>
      <c r="AS36" s="48">
        <f>([18]Roorkee!F86+'[18]AFM Kolkata'!F86)/100000+AS69</f>
        <v>97.307480841759286</v>
      </c>
      <c r="AT36" s="48">
        <f>([18]Roorkee!G86+'[18]AFM Kolkata'!G86)/100000+AT69</f>
        <v>95.980077253410414</v>
      </c>
      <c r="AU36" s="48">
        <f>([18]Roorkee!H86+'[18]AFM Kolkata'!H86)/100000+AU69</f>
        <v>105.01695786159083</v>
      </c>
      <c r="AV36" s="48">
        <f>([18]Roorkee!I86+'[18]AFM Kolkata'!I86)/100000+AV69</f>
        <v>96.349282007066165</v>
      </c>
      <c r="AW36" s="48">
        <f>([18]Roorkee!J86+'[18]AFM Kolkata'!J86)/100000+AW69</f>
        <v>97.095874622325738</v>
      </c>
      <c r="AX36" s="48">
        <f>([18]Roorkee!K86+'[18]AFM Kolkata'!K86)/100000+AX69</f>
        <v>95.894148496931138</v>
      </c>
      <c r="AY36" s="48">
        <f>([18]Roorkee!L86+'[18]AFM Kolkata'!L86)/100000+AY69</f>
        <v>94.513983776023409</v>
      </c>
      <c r="AZ36" s="48">
        <f>([18]Roorkee!M86+'[18]AFM Kolkata'!M86)/100000+AZ69</f>
        <v>97.421249651736147</v>
      </c>
      <c r="BA36" s="48">
        <f>SUM(AO36:AZ36)</f>
        <v>1156.5346027251421</v>
      </c>
    </row>
    <row r="37" spans="1:53">
      <c r="B37" s="22"/>
      <c r="C37" s="22"/>
      <c r="D37" s="22"/>
      <c r="E37" s="22"/>
      <c r="F37" s="22"/>
      <c r="O37" s="60">
        <f>(H43-H39)/H43</f>
        <v>0.10116447600342419</v>
      </c>
      <c r="P37" s="59">
        <f>(K43-K39)/K43</f>
        <v>0.23781152272511014</v>
      </c>
      <c r="Q37" s="59"/>
      <c r="AA37" s="22"/>
      <c r="AB37" s="60">
        <f>(U43-U39)/U43</f>
        <v>-0.52873897170096817</v>
      </c>
      <c r="AC37" s="59">
        <f>(X43-X39)/X43</f>
        <v>-0.12979551916686766</v>
      </c>
      <c r="AD37" s="59"/>
      <c r="AK37" s="1">
        <f>AK39-AK43</f>
        <v>3982.3088125860231</v>
      </c>
      <c r="AL37" s="65">
        <f>AK37/AK43</f>
        <v>4.8989484517733412E-2</v>
      </c>
      <c r="AO37" s="103" t="s">
        <v>49</v>
      </c>
      <c r="AP37" s="60"/>
      <c r="AQ37" s="60"/>
      <c r="AR37" s="60"/>
      <c r="AY37" s="41"/>
      <c r="AZ37" s="104"/>
    </row>
    <row r="38" spans="1:53" s="29" customFormat="1">
      <c r="A38" s="29" t="s">
        <v>49</v>
      </c>
      <c r="B38" s="29" t="s">
        <v>61</v>
      </c>
      <c r="C38" s="29" t="s">
        <v>62</v>
      </c>
      <c r="D38" s="29" t="s">
        <v>63</v>
      </c>
      <c r="E38" s="29" t="s">
        <v>64</v>
      </c>
      <c r="F38" s="29" t="s">
        <v>65</v>
      </c>
      <c r="G38" s="29" t="s">
        <v>70</v>
      </c>
      <c r="H38" s="31" t="s">
        <v>71</v>
      </c>
      <c r="I38" s="31" t="s">
        <v>72</v>
      </c>
      <c r="J38" s="31" t="s">
        <v>73</v>
      </c>
      <c r="K38" s="31" t="s">
        <v>74</v>
      </c>
      <c r="L38" s="31" t="s">
        <v>75</v>
      </c>
      <c r="M38" s="29" t="s">
        <v>76</v>
      </c>
      <c r="N38" s="29" t="s">
        <v>61</v>
      </c>
      <c r="O38" s="29" t="s">
        <v>62</v>
      </c>
      <c r="P38" s="29" t="s">
        <v>63</v>
      </c>
      <c r="Q38" s="29" t="s">
        <v>64</v>
      </c>
      <c r="R38" s="29" t="s">
        <v>65</v>
      </c>
      <c r="S38" s="29" t="s">
        <v>70</v>
      </c>
      <c r="T38" s="31" t="s">
        <v>71</v>
      </c>
      <c r="U38" s="31" t="s">
        <v>72</v>
      </c>
      <c r="V38" s="31" t="s">
        <v>73</v>
      </c>
      <c r="W38" s="31" t="s">
        <v>74</v>
      </c>
      <c r="X38" s="31" t="s">
        <v>75</v>
      </c>
      <c r="Y38" s="31" t="s">
        <v>76</v>
      </c>
      <c r="Z38" s="31" t="s">
        <v>93</v>
      </c>
      <c r="AA38" s="29" t="s">
        <v>61</v>
      </c>
      <c r="AB38" s="29" t="s">
        <v>62</v>
      </c>
      <c r="AC38" s="29" t="s">
        <v>63</v>
      </c>
      <c r="AD38" s="29" t="s">
        <v>64</v>
      </c>
      <c r="AE38" s="29" t="s">
        <v>65</v>
      </c>
      <c r="AF38" s="29" t="s">
        <v>70</v>
      </c>
      <c r="AG38" s="31" t="s">
        <v>71</v>
      </c>
      <c r="AH38" s="31" t="s">
        <v>72</v>
      </c>
      <c r="AI38" s="31" t="s">
        <v>73</v>
      </c>
      <c r="AJ38" s="31" t="s">
        <v>74</v>
      </c>
      <c r="AK38" s="31" t="s">
        <v>75</v>
      </c>
      <c r="AL38" s="31" t="s">
        <v>76</v>
      </c>
      <c r="AM38" s="31" t="s">
        <v>116</v>
      </c>
      <c r="AO38" s="29" t="s">
        <v>61</v>
      </c>
      <c r="AP38" s="29" t="s">
        <v>62</v>
      </c>
      <c r="AQ38" s="29" t="s">
        <v>63</v>
      </c>
      <c r="AR38" s="29" t="s">
        <v>64</v>
      </c>
      <c r="AS38" s="29" t="s">
        <v>65</v>
      </c>
      <c r="AT38" s="29" t="s">
        <v>70</v>
      </c>
      <c r="AU38" s="29" t="s">
        <v>71</v>
      </c>
      <c r="AV38" s="29" t="s">
        <v>72</v>
      </c>
      <c r="AW38" s="29" t="s">
        <v>73</v>
      </c>
      <c r="AX38" s="29" t="s">
        <v>74</v>
      </c>
      <c r="AY38" s="29" t="s">
        <v>75</v>
      </c>
      <c r="AZ38" s="29" t="s">
        <v>76</v>
      </c>
      <c r="BA38" s="29" t="s">
        <v>149</v>
      </c>
    </row>
    <row r="39" spans="1:53">
      <c r="A39" t="s">
        <v>66</v>
      </c>
      <c r="B39" s="41">
        <v>56302.859000000011</v>
      </c>
      <c r="C39" s="41">
        <v>51161.163</v>
      </c>
      <c r="D39" s="41">
        <v>51848.622999999978</v>
      </c>
      <c r="E39" s="41">
        <v>73090.622000000003</v>
      </c>
      <c r="F39" s="41">
        <v>65299.309000000008</v>
      </c>
      <c r="G39" s="41">
        <v>61859.507999999973</v>
      </c>
      <c r="H39" s="40">
        <v>53544.531000000017</v>
      </c>
      <c r="I39" s="40">
        <v>53829.512999999977</v>
      </c>
      <c r="J39" s="40">
        <v>48763.880999999994</v>
      </c>
      <c r="K39" s="40">
        <v>48062.081000000006</v>
      </c>
      <c r="L39" s="40">
        <v>79309.878000000026</v>
      </c>
      <c r="M39" s="41">
        <v>89203.190000000061</v>
      </c>
      <c r="N39" s="40">
        <v>67296.404999999984</v>
      </c>
      <c r="O39" s="40">
        <v>61054.519000000015</v>
      </c>
      <c r="P39" s="40">
        <v>79254.189999999973</v>
      </c>
      <c r="Q39" s="40">
        <v>89451.361000000004</v>
      </c>
      <c r="R39" s="40">
        <v>89060.966000000015</v>
      </c>
      <c r="S39" s="40">
        <v>91506.907999999996</v>
      </c>
      <c r="T39" s="40">
        <v>85184.311999999976</v>
      </c>
      <c r="U39" s="40">
        <v>80815.256999999983</v>
      </c>
      <c r="V39" s="40">
        <v>58229.824999999953</v>
      </c>
      <c r="W39" s="40">
        <v>57705.349000000046</v>
      </c>
      <c r="X39" s="40">
        <v>65959.722000000067</v>
      </c>
      <c r="Y39" s="40">
        <v>83939.602000000072</v>
      </c>
      <c r="AA39" s="40">
        <v>83955.332000000024</v>
      </c>
      <c r="AB39" s="40">
        <v>83194.406999999977</v>
      </c>
      <c r="AC39" s="40">
        <v>82083.593999999983</v>
      </c>
      <c r="AD39" s="40">
        <v>89027.991999999969</v>
      </c>
      <c r="AE39" s="40">
        <v>85695.775000000023</v>
      </c>
      <c r="AF39" s="40">
        <v>89019.77899999998</v>
      </c>
      <c r="AG39" s="40">
        <v>82234.361000000034</v>
      </c>
      <c r="AH39" s="40">
        <v>86865.352000000072</v>
      </c>
      <c r="AI39" s="40">
        <v>88934.521999999997</v>
      </c>
      <c r="AJ39" s="40">
        <v>82926.398999999976</v>
      </c>
      <c r="AK39" s="40">
        <v>85271.361999999965</v>
      </c>
      <c r="AL39" s="40">
        <v>91638.518999999971</v>
      </c>
      <c r="AO39" s="41">
        <f>'[27]17-18'!D19</f>
        <v>90169.222999999984</v>
      </c>
      <c r="AP39" s="41">
        <f>'[27]17-18'!E19</f>
        <v>90956.988999999958</v>
      </c>
      <c r="AQ39" s="41">
        <f>'[27]17-18'!F19</f>
        <v>89088.048999999999</v>
      </c>
      <c r="AR39" s="41">
        <f>'[28]17-18'!G19</f>
        <v>90557.282000000007</v>
      </c>
      <c r="AS39" s="41">
        <f>'[29]17-18'!H19</f>
        <v>89041.081000000006</v>
      </c>
      <c r="AT39" s="41">
        <f>'[30]17-18'!I19</f>
        <v>95321.415999999968</v>
      </c>
      <c r="AU39" s="41">
        <f>'[31]17-18'!J19</f>
        <v>90768.206000000006</v>
      </c>
      <c r="AV39" s="41">
        <f>'[32]17-18'!K19</f>
        <v>83111.716000000015</v>
      </c>
      <c r="AW39" s="41">
        <f>'[33]17-18'!L19</f>
        <v>82265.140999999945</v>
      </c>
      <c r="AX39" s="41">
        <f>'[34]17-18'!M19</f>
        <v>86435.984999999986</v>
      </c>
      <c r="AY39" s="41">
        <f>'[35]17-18'!N19</f>
        <v>85351.336999999941</v>
      </c>
      <c r="AZ39" s="41">
        <f>'[36]17-18'!O20</f>
        <v>88370.615999999922</v>
      </c>
      <c r="BA39" s="43">
        <f t="shared" ref="BA39:BA40" si="6">SUM(AO39:AZ39)</f>
        <v>1061437.0409999997</v>
      </c>
    </row>
    <row r="40" spans="1:53">
      <c r="A40" t="s">
        <v>67</v>
      </c>
      <c r="B40" s="41">
        <v>722.433054873934</v>
      </c>
      <c r="C40" s="41">
        <v>805.0042861736955</v>
      </c>
      <c r="D40" s="41">
        <v>851.62038033498152</v>
      </c>
      <c r="E40" s="41">
        <v>882.20869286645905</v>
      </c>
      <c r="F40" s="41">
        <v>975.5917675741872</v>
      </c>
      <c r="G40" s="41">
        <v>1063.4961224962124</v>
      </c>
      <c r="H40" s="40">
        <v>802.40679939929794</v>
      </c>
      <c r="I40" s="40">
        <v>798.55146791450647</v>
      </c>
      <c r="J40" s="40">
        <v>709.72680576132598</v>
      </c>
      <c r="K40" s="40">
        <v>837.89930956704734</v>
      </c>
      <c r="L40" s="40">
        <v>995.31824697125887</v>
      </c>
      <c r="M40" s="41">
        <v>1144.8104095206388</v>
      </c>
      <c r="N40" s="40">
        <v>1100.6172131089563</v>
      </c>
      <c r="O40" s="40">
        <v>949.67009629604252</v>
      </c>
      <c r="P40" s="40">
        <v>1112.1877899581432</v>
      </c>
      <c r="Q40" s="40">
        <v>1232.6419328999</v>
      </c>
      <c r="R40" s="40">
        <v>1268.0375746229076</v>
      </c>
      <c r="S40" s="40">
        <v>1279.6011661989291</v>
      </c>
      <c r="T40" s="40">
        <v>1245.0725971305385</v>
      </c>
      <c r="U40" s="40">
        <v>1094.9206442898487</v>
      </c>
      <c r="V40" s="40">
        <v>896.25904995764222</v>
      </c>
      <c r="W40" s="40">
        <v>1030.2816113983097</v>
      </c>
      <c r="X40" s="40">
        <v>1127.650731680576</v>
      </c>
      <c r="Y40" s="40">
        <v>1188.4551957122721</v>
      </c>
      <c r="AA40" s="40">
        <v>1222.8234726603941</v>
      </c>
      <c r="AB40" s="40">
        <v>1284.156308591547</v>
      </c>
      <c r="AC40" s="40">
        <v>1249.4650091001774</v>
      </c>
      <c r="AD40" s="40">
        <v>1378.0723883199164</v>
      </c>
      <c r="AE40" s="40">
        <v>1301.4385654912626</v>
      </c>
      <c r="AF40" s="40">
        <v>1349.6086121420619</v>
      </c>
      <c r="AG40" s="40">
        <v>1362.8380360247525</v>
      </c>
      <c r="AH40" s="40">
        <v>1241.8698691254078</v>
      </c>
      <c r="AI40" s="40">
        <v>1114.4908608378428</v>
      </c>
      <c r="AJ40" s="40">
        <v>1374.2558968667884</v>
      </c>
      <c r="AK40" s="40">
        <v>1449</v>
      </c>
      <c r="AL40" s="40">
        <v>1611.4479290581853</v>
      </c>
      <c r="AO40" s="41">
        <f>'[36]17-18'!D21</f>
        <v>1367.9077910431674</v>
      </c>
      <c r="AP40" s="41">
        <f>'[36]17-18'!E21</f>
        <v>1397.3824439209911</v>
      </c>
      <c r="AQ40" s="41">
        <f>'[36]17-18'!F21</f>
        <v>1210.6705787962906</v>
      </c>
      <c r="AR40" s="41">
        <f>'[36]17-18'!G21</f>
        <v>1460.6387788632489</v>
      </c>
      <c r="AS40" s="41">
        <f>'[36]17-18'!H21</f>
        <v>1513.0432675568672</v>
      </c>
      <c r="AT40" s="41">
        <f>'[36]17-18'!I21</f>
        <v>1368.1035621568478</v>
      </c>
      <c r="AU40" s="41">
        <f>'[36]17-18'!J21</f>
        <v>1449.2510049272598</v>
      </c>
      <c r="AV40" s="41">
        <f>'[36]17-18'!K21</f>
        <v>1197.4867086089469</v>
      </c>
      <c r="AW40" s="41">
        <f>'[36]17-18'!L21</f>
        <v>1154.4301248073821</v>
      </c>
      <c r="AX40" s="41">
        <f>'[36]17-18'!M21</f>
        <v>1623.6172954510005</v>
      </c>
      <c r="AY40" s="41">
        <f>'[36]17-18'!N21</f>
        <v>1250.4436420146071</v>
      </c>
      <c r="AZ40" s="41">
        <f>'[36]17-18'!O21</f>
        <v>1320.1263958700572</v>
      </c>
      <c r="BA40" s="43">
        <f t="shared" si="6"/>
        <v>16313.101594016667</v>
      </c>
    </row>
    <row r="41" spans="1:53">
      <c r="A41" t="s">
        <v>68</v>
      </c>
      <c r="B41" s="42">
        <v>80.066427427187719</v>
      </c>
      <c r="C41" s="42">
        <v>70.049746702290889</v>
      </c>
      <c r="D41" s="42">
        <v>59.7677963373228</v>
      </c>
      <c r="E41" s="42">
        <v>75.140650589004011</v>
      </c>
      <c r="F41" s="42">
        <v>82.438365462623054</v>
      </c>
      <c r="G41" s="42">
        <v>76.800096015483291</v>
      </c>
      <c r="H41" s="42">
        <v>67.981551952493788</v>
      </c>
      <c r="I41" s="42">
        <v>76.798992717376279</v>
      </c>
      <c r="J41" s="42">
        <v>66.887684556881936</v>
      </c>
      <c r="K41" s="42">
        <v>68.937430905767599</v>
      </c>
      <c r="L41" s="42">
        <v>74.563560543283074</v>
      </c>
      <c r="M41" s="42">
        <v>75.329182313925031</v>
      </c>
      <c r="N41" s="42">
        <v>111.02373041558215</v>
      </c>
      <c r="O41" s="42">
        <v>112.63568761772821</v>
      </c>
      <c r="P41" s="42">
        <v>115.08945915489946</v>
      </c>
      <c r="Q41" s="42">
        <v>117.30022262741939</v>
      </c>
      <c r="R41" s="42">
        <v>124.63905884598128</v>
      </c>
      <c r="S41" s="42">
        <v>121.96369992031791</v>
      </c>
      <c r="T41" s="42">
        <v>124.62764801991582</v>
      </c>
      <c r="U41" s="42">
        <v>124.29173119065538</v>
      </c>
      <c r="V41" s="42">
        <v>119.57794361648574</v>
      </c>
      <c r="W41" s="42">
        <v>117.49079171867042</v>
      </c>
      <c r="X41" s="42">
        <v>126.36614015945494</v>
      </c>
      <c r="Y41" s="42">
        <v>123.39851852712914</v>
      </c>
      <c r="AA41" s="42">
        <v>144.14987489897248</v>
      </c>
      <c r="AB41" s="42">
        <v>148.73744247087413</v>
      </c>
      <c r="AC41" s="41">
        <v>144.11817430201666</v>
      </c>
      <c r="AD41" s="42">
        <v>151.33593863177046</v>
      </c>
      <c r="AE41" s="42">
        <v>149.70706648959643</v>
      </c>
      <c r="AF41" s="42">
        <v>149.52586719360471</v>
      </c>
      <c r="AG41" s="42">
        <v>154.52971454200789</v>
      </c>
      <c r="AH41" s="41">
        <v>155.13998327128843</v>
      </c>
      <c r="AI41" s="42">
        <v>157.17244994162769</v>
      </c>
      <c r="AJ41" s="42">
        <v>157.7552748254019</v>
      </c>
      <c r="AK41" s="42">
        <v>158.94649691454231</v>
      </c>
      <c r="AL41" s="42">
        <v>163.99836699347466</v>
      </c>
      <c r="AO41" s="41">
        <f>'[27]17-18'!D21</f>
        <v>164.92318994330617</v>
      </c>
      <c r="AP41" s="41">
        <f>'[27]17-18'!E21</f>
        <v>160.30630139678635</v>
      </c>
      <c r="AQ41" s="41">
        <f>'[27]17-18'!F21</f>
        <v>161.68164775966403</v>
      </c>
      <c r="AR41" s="41">
        <f>'[28]17-18'!G21</f>
        <v>167.80173369314787</v>
      </c>
      <c r="AS41" s="41">
        <f>'[29]17-18'!H21</f>
        <v>165.00994470326941</v>
      </c>
      <c r="AT41" s="41">
        <f>'[30]17-18'!I21</f>
        <v>161.04094876723173</v>
      </c>
      <c r="AU41" s="41">
        <f>'[31]17-18'!J21</f>
        <v>160.02292105730601</v>
      </c>
      <c r="AV41" s="41">
        <f>'[32]17-18'!K21</f>
        <v>161.72182514993574</v>
      </c>
      <c r="AW41" s="41">
        <f>'[33]17-18'!L21</f>
        <v>151.5940031118912</v>
      </c>
      <c r="AX41" s="41">
        <f>'[34]17-18'!M21</f>
        <v>159.93459002033069</v>
      </c>
      <c r="AY41" s="41">
        <f>'[35]17-18'!N21</f>
        <v>159.39214349195413</v>
      </c>
      <c r="AZ41" s="41">
        <f>'[36]17-18'!O22</f>
        <v>143.78768947460549</v>
      </c>
      <c r="BA41" s="43">
        <f>SUM(AO41:AZ41)</f>
        <v>1917.2169385694287</v>
      </c>
    </row>
    <row r="42" spans="1:53" s="51" customFormat="1">
      <c r="A42" s="47" t="s">
        <v>39</v>
      </c>
      <c r="B42" s="48"/>
      <c r="C42" s="48"/>
      <c r="D42" s="48"/>
      <c r="E42" s="48"/>
      <c r="F42" s="48"/>
      <c r="G42" s="49"/>
      <c r="H42" s="50"/>
      <c r="I42" s="50"/>
      <c r="M42" s="49"/>
      <c r="N42" s="49"/>
      <c r="O42" s="49"/>
      <c r="AA42" s="49"/>
      <c r="AB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</row>
    <row r="43" spans="1:53" s="53" customFormat="1">
      <c r="A43" s="51" t="s">
        <v>66</v>
      </c>
      <c r="B43" s="52">
        <f>'[37]SQM 2015-16'!C22</f>
        <v>55254</v>
      </c>
      <c r="C43" s="52">
        <f>'[37]SQM 2015-16'!D22</f>
        <v>53158</v>
      </c>
      <c r="D43" s="52">
        <f>'[37]SQM 2015-16'!E22</f>
        <v>56979</v>
      </c>
      <c r="E43" s="52">
        <f>'[37]SQM 2015-16'!F22</f>
        <v>59968</v>
      </c>
      <c r="F43" s="52">
        <f>'[37]SQM 2015-16'!G22</f>
        <v>55461</v>
      </c>
      <c r="G43" s="52">
        <f>'[37]SQM 2015-16'!H22</f>
        <v>64304</v>
      </c>
      <c r="H43" s="52">
        <f>'[37]SQM 2015-16'!I22</f>
        <v>59571</v>
      </c>
      <c r="I43" s="61">
        <f>'[38]SQM 2015-16'!J22</f>
        <v>61259</v>
      </c>
      <c r="J43" s="61">
        <f>'[38]SQM 2015-16'!K22</f>
        <v>49568</v>
      </c>
      <c r="K43" s="61">
        <f>'[38]SQM 2015-16'!L22</f>
        <v>63058</v>
      </c>
      <c r="L43" s="61">
        <f>'[38]SQM 2015-16'!M22</f>
        <v>65438</v>
      </c>
      <c r="M43" s="52">
        <f>'[38]SQM 2015-16'!N22</f>
        <v>61157</v>
      </c>
      <c r="N43" s="52">
        <f>'[39]SQM 2016-17'!C22</f>
        <v>60564</v>
      </c>
      <c r="O43" s="52">
        <f>'[39]SQM 2016-17'!D22</f>
        <v>53168</v>
      </c>
      <c r="P43" s="52">
        <f>'[39]SQM 2016-17'!E22</f>
        <v>68928</v>
      </c>
      <c r="Q43" s="52">
        <f>'[39]SQM 2016-17'!F22</f>
        <v>57331</v>
      </c>
      <c r="R43" s="52">
        <f>'[39]SQM 2016-17'!G22</f>
        <v>61389</v>
      </c>
      <c r="S43" s="52">
        <f>'[39]SQM 2016-17'!H22</f>
        <v>62828</v>
      </c>
      <c r="T43" s="52">
        <f>'[39]SQM 2016-17'!I22</f>
        <v>51330</v>
      </c>
      <c r="U43" s="52">
        <f>'[39]SQM 2016-17'!J22</f>
        <v>52864</v>
      </c>
      <c r="V43" s="52">
        <f>'[40]SQM 2016-17'!K22</f>
        <v>49928</v>
      </c>
      <c r="W43" s="52">
        <f>'[40]SQM 2016-17'!L22</f>
        <v>56285</v>
      </c>
      <c r="X43" s="52">
        <f>'[40]SQM 2016-17'!M22</f>
        <v>58382</v>
      </c>
      <c r="Y43" s="52">
        <f>'[40]SQM 2016-17'!N22</f>
        <v>61906</v>
      </c>
      <c r="AA43" s="52">
        <f>'[41]SQM 2017-18'!C22</f>
        <v>77005.568947598513</v>
      </c>
      <c r="AB43" s="52">
        <f>'[41]SQM 2017-18'!D22</f>
        <v>86380.584741758532</v>
      </c>
      <c r="AC43" s="52">
        <f>'[41]SQM 2017-18'!E22</f>
        <v>82681.471462918504</v>
      </c>
      <c r="AD43" s="52">
        <f>'[41]SQM 2017-18'!F22</f>
        <v>87571.664381418566</v>
      </c>
      <c r="AE43" s="52">
        <f>'[41]SQM 2017-18'!G22</f>
        <v>76183.381897758474</v>
      </c>
      <c r="AF43" s="52">
        <f>'[41]SQM 2017-18'!H22</f>
        <v>82952.26503925852</v>
      </c>
      <c r="AG43" s="52">
        <f>'[41]SQM 2017-18'!I22</f>
        <v>81670.431635313013</v>
      </c>
      <c r="AH43" s="52">
        <f>'[41]SQM 2017-18'!J22</f>
        <v>85971.871483972966</v>
      </c>
      <c r="AI43" s="52">
        <f>'[41]SQM 2017-18'!K22</f>
        <v>86085.184371472962</v>
      </c>
      <c r="AJ43" s="52">
        <f>'[41]SQM 2017-18'!L22</f>
        <v>86961.085118132949</v>
      </c>
      <c r="AK43" s="52">
        <f>'[41]SQM 2017-18'!M22</f>
        <v>81289.053187413941</v>
      </c>
      <c r="AL43" s="52">
        <f>'[41]SQM 2017-18'!N22</f>
        <v>81602.409497073982</v>
      </c>
      <c r="AO43" s="52">
        <f>'[17]SQM 2018-19'!C25</f>
        <v>84099</v>
      </c>
      <c r="AP43" s="52">
        <f>'[17]SQM 2018-19'!D25</f>
        <v>86593</v>
      </c>
      <c r="AQ43" s="52">
        <f>'[17]SQM 2018-19'!E25</f>
        <v>79231</v>
      </c>
      <c r="AR43" s="52">
        <f>'[17]SQM 2018-19'!F25</f>
        <v>86686</v>
      </c>
      <c r="AS43" s="52">
        <f>'[18]SQM 2018-19'!G25</f>
        <v>89090</v>
      </c>
      <c r="AT43" s="52">
        <f>'[18]SQM 2018-19'!H25</f>
        <v>87578</v>
      </c>
      <c r="AU43" s="52">
        <f>'[18]SQM 2018-19'!I25</f>
        <v>80979</v>
      </c>
      <c r="AV43" s="52">
        <f>'[18]SQM 2018-19'!J25</f>
        <v>80549</v>
      </c>
      <c r="AW43" s="52">
        <f>'[18]SQM 2018-19'!K25</f>
        <v>76275</v>
      </c>
      <c r="AX43" s="52">
        <f>'[18]SQM 2018-19'!L25</f>
        <v>85205</v>
      </c>
      <c r="AY43" s="52">
        <f>'[18]SQM 2018-19'!M25</f>
        <v>89906</v>
      </c>
      <c r="AZ43" s="52">
        <f>'[18]SQM 2018-19'!N25</f>
        <v>94583</v>
      </c>
      <c r="BA43" s="48">
        <f t="shared" ref="BA43:BA44" si="7">SUM(AO43:AZ43)</f>
        <v>1020774</v>
      </c>
    </row>
    <row r="44" spans="1:53" s="51" customFormat="1">
      <c r="A44" s="51" t="s">
        <v>67</v>
      </c>
      <c r="B44" s="54">
        <f>[37]Sales!C8</f>
        <v>758</v>
      </c>
      <c r="C44" s="54">
        <f>[37]Sales!D8</f>
        <v>734</v>
      </c>
      <c r="D44" s="54">
        <f>[37]Sales!E8</f>
        <v>781</v>
      </c>
      <c r="E44" s="54">
        <f>[37]Sales!F8</f>
        <v>826</v>
      </c>
      <c r="F44" s="54">
        <f>[37]Sales!G8</f>
        <v>768</v>
      </c>
      <c r="G44" s="54">
        <f>[37]Sales!H8</f>
        <v>892</v>
      </c>
      <c r="H44" s="54">
        <f>[37]Sales!I8</f>
        <v>824</v>
      </c>
      <c r="I44" s="50">
        <f>[38]Sales!J8</f>
        <v>849</v>
      </c>
      <c r="J44" s="50">
        <f>[38]Sales!K8</f>
        <v>691</v>
      </c>
      <c r="K44" s="50">
        <f>[38]Sales!L8</f>
        <v>876</v>
      </c>
      <c r="L44" s="50">
        <f>[38]Sales!M8</f>
        <v>909</v>
      </c>
      <c r="M44" s="49">
        <f>[38]Sales!N8</f>
        <v>848</v>
      </c>
      <c r="N44" s="49">
        <f>[39]Sales!C8</f>
        <v>894</v>
      </c>
      <c r="O44" s="49">
        <f>[39]Sales!D8</f>
        <v>811</v>
      </c>
      <c r="P44" s="49">
        <f>[39]Sales!E8</f>
        <v>1054</v>
      </c>
      <c r="Q44" s="49">
        <f>[39]Sales!F8</f>
        <v>874</v>
      </c>
      <c r="R44" s="49">
        <f>[39]Sales!G8</f>
        <v>938</v>
      </c>
      <c r="S44" s="49">
        <f>[39]Sales!H8</f>
        <v>972</v>
      </c>
      <c r="T44" s="49">
        <f>[39]Sales!I8</f>
        <v>783</v>
      </c>
      <c r="U44" s="49">
        <f>[39]Sales!J8</f>
        <v>815</v>
      </c>
      <c r="V44" s="49">
        <f>[40]Sales!K8</f>
        <v>760</v>
      </c>
      <c r="W44" s="49">
        <f>[40]Sales!L8</f>
        <v>857</v>
      </c>
      <c r="X44" s="49">
        <f>[40]Sales!M8</f>
        <v>885</v>
      </c>
      <c r="Y44" s="49">
        <f>[40]Sales!N8</f>
        <v>945</v>
      </c>
      <c r="AA44" s="54">
        <f>[41]Sales!C8</f>
        <v>1200.3843192306072</v>
      </c>
      <c r="AB44" s="54">
        <f>[41]Sales!D8</f>
        <v>1331.3754294850271</v>
      </c>
      <c r="AC44" s="54">
        <f>[41]Sales!E8</f>
        <v>1267.6212504087023</v>
      </c>
      <c r="AD44" s="54">
        <f>[41]Sales!F8</f>
        <v>1367.3829255684429</v>
      </c>
      <c r="AE44" s="54">
        <f>[41]Sales!G8</f>
        <v>1236.2331689425685</v>
      </c>
      <c r="AF44" s="54">
        <f>[41]Sales!H8</f>
        <v>1350.0062270642645</v>
      </c>
      <c r="AG44" s="54">
        <f>[41]Sales!I8</f>
        <v>1336.2120247052262</v>
      </c>
      <c r="AH44" s="54">
        <f>[41]Sales!J8</f>
        <v>1412.8396414621081</v>
      </c>
      <c r="AI44" s="54">
        <f>[41]Sales!K8</f>
        <v>1402.7333107240256</v>
      </c>
      <c r="AJ44" s="54">
        <f>[41]Sales!L8</f>
        <v>1426.5053848126388</v>
      </c>
      <c r="AK44" s="54">
        <f>[41]Sales!M8</f>
        <v>1321.1886372205511</v>
      </c>
      <c r="AL44" s="54">
        <f>[41]Sales!N8</f>
        <v>1341.8163558058668</v>
      </c>
      <c r="AO44" s="54">
        <f>[17]Sales!C8</f>
        <v>1369</v>
      </c>
      <c r="AP44" s="54">
        <f>[17]Sales!D8</f>
        <v>1411</v>
      </c>
      <c r="AQ44" s="54">
        <f>[17]Sales!E8</f>
        <v>1291</v>
      </c>
      <c r="AR44" s="54">
        <f>[17]Sales!F8</f>
        <v>1397</v>
      </c>
      <c r="AS44" s="54">
        <f>[18]Sales!G8</f>
        <v>1441</v>
      </c>
      <c r="AT44" s="54">
        <f>[18]Sales!H8</f>
        <v>1433</v>
      </c>
      <c r="AU44" s="54">
        <f>[18]Sales!I8</f>
        <v>1324</v>
      </c>
      <c r="AV44" s="54">
        <f>[18]Sales!J8</f>
        <v>1325</v>
      </c>
      <c r="AW44" s="54">
        <f>[18]Sales!K8</f>
        <v>1249</v>
      </c>
      <c r="AX44" s="54">
        <f>[18]Sales!L8</f>
        <v>1389</v>
      </c>
      <c r="AY44" s="54">
        <f>[18]Sales!M8</f>
        <v>1457</v>
      </c>
      <c r="AZ44" s="54">
        <f>[18]Sales!N8</f>
        <v>1526</v>
      </c>
      <c r="BA44" s="48">
        <f t="shared" si="7"/>
        <v>16612</v>
      </c>
    </row>
    <row r="45" spans="1:53" s="51" customFormat="1">
      <c r="A45" s="51" t="s">
        <v>68</v>
      </c>
      <c r="B45" s="48">
        <f>'[37]T-16'!B85/100000+B61</f>
        <v>80.426817876214486</v>
      </c>
      <c r="C45" s="48">
        <f>'[37]T-16'!C85/100000+C61</f>
        <v>75.797413894929832</v>
      </c>
      <c r="D45" s="48">
        <f>'[37]T-16'!D85/100000+D61</f>
        <v>80.264580001074336</v>
      </c>
      <c r="E45" s="48">
        <f>'[37]T-16'!E85/100000+E61</f>
        <v>78.412490977555478</v>
      </c>
      <c r="F45" s="48">
        <f>'[37]T-16'!F85/100000+F61</f>
        <v>77.046069770695425</v>
      </c>
      <c r="G45" s="48">
        <f>'[37]T-16'!G85/100000+G61</f>
        <v>81.923076575238028</v>
      </c>
      <c r="H45" s="48">
        <f>'[37]T-16'!H85/100000+H61</f>
        <v>78.425109199699278</v>
      </c>
      <c r="I45" s="48">
        <f>'[38]T-16'!I85/100000+I61</f>
        <v>90.81512363026323</v>
      </c>
      <c r="J45" s="48">
        <f>'[38]T-16'!J85/100000+J61</f>
        <v>77.647403762311129</v>
      </c>
      <c r="K45" s="48">
        <f>'[38]T-16'!K85/100000+K61</f>
        <v>76.906504149022069</v>
      </c>
      <c r="L45" s="48">
        <f>'[38]T-16'!L85/100000+L61</f>
        <v>76.257008509985511</v>
      </c>
      <c r="M45" s="48">
        <f>'[38]T-16'!M85/100000+M61</f>
        <v>76.350438656000563</v>
      </c>
      <c r="N45" s="48">
        <f>'[39]T-16 Auto'!B116/100000+N61</f>
        <v>112.50982640994719</v>
      </c>
      <c r="O45" s="48">
        <f>'[39]T-16 Auto'!C116/100000+O61</f>
        <v>115.97052424582679</v>
      </c>
      <c r="P45" s="48">
        <f>'[39]T-16 Auto'!D116/100000+P61</f>
        <v>117.3157330046589</v>
      </c>
      <c r="Q45" s="48">
        <f>'[39]T-16 Auto'!E116/100000+Q61</f>
        <v>120.08547246286727</v>
      </c>
      <c r="R45" s="48">
        <f>'[39]T-16 Auto'!F116/100000+R61</f>
        <v>120.82845688985564</v>
      </c>
      <c r="S45" s="48">
        <f>'[39]T-16 Auto'!G116/100000+S61</f>
        <v>121.45981689913246</v>
      </c>
      <c r="T45" s="48">
        <f>'[39]T-16 Auto'!H116/100000+T61</f>
        <v>123.63762147242259</v>
      </c>
      <c r="U45" s="48">
        <f>'[39]T-16 Auto'!I116/100000+U61</f>
        <v>120.62489356339141</v>
      </c>
      <c r="V45" s="48">
        <f>'[40]T-16 Auto'!J116/100000+V61</f>
        <v>119.88925782559136</v>
      </c>
      <c r="W45" s="48">
        <f>'[40]T-16 Auto'!K116/100000+W61</f>
        <v>120.37805743669352</v>
      </c>
      <c r="X45" s="48">
        <f>'[40]T-16 Auto'!L116/100000+X61</f>
        <v>119.48959287027351</v>
      </c>
      <c r="Y45" s="48">
        <f>'[40]T-16 Auto'!M116/100000+Y61</f>
        <v>128.22210777359868</v>
      </c>
      <c r="AA45" s="48">
        <f>'[42]T-16 Auto'!B98/100000+AA61</f>
        <v>160.71414133751466</v>
      </c>
      <c r="AB45" s="48">
        <f>'[42]T-16 Auto'!C98/100000+AB61</f>
        <v>158.32860409546299</v>
      </c>
      <c r="AC45" s="48">
        <f>'[42]T-16 Auto'!D98/100000+AC61</f>
        <v>156.76843607463121</v>
      </c>
      <c r="AD45" s="48">
        <f>'[42]T-16 Auto'!E98/100000+AD61</f>
        <v>159.06879472043326</v>
      </c>
      <c r="AE45" s="48">
        <f>'[42]T-16 Auto'!F98/100000+AE61</f>
        <v>162.59585439346316</v>
      </c>
      <c r="AF45" s="48">
        <f>'[42]T-16 Auto'!G98/100000+AF61</f>
        <v>161.50532411215212</v>
      </c>
      <c r="AG45" s="48">
        <f>'[42]T-16 Auto'!H98/100000+AG61</f>
        <v>166.13545967378218</v>
      </c>
      <c r="AH45" s="48">
        <f>'[42]T-16 Auto'!I98/100000+AH61</f>
        <v>162.60647853852402</v>
      </c>
      <c r="AI45" s="48">
        <f>'[42]T-16 Auto'!J98/100000+AI61</f>
        <v>164.39029458283684</v>
      </c>
      <c r="AJ45" s="48">
        <f>'[42]T-16 Auto'!K98/100000+AJ61</f>
        <v>166.7653520763275</v>
      </c>
      <c r="AK45" s="48">
        <f>'[42]T-16 Auto'!L98/100000+AK61</f>
        <v>162.09557563303542</v>
      </c>
      <c r="AL45" s="48">
        <f>'[42]T-16 Auto'!M98/100000+AL61</f>
        <v>164.32875457382474</v>
      </c>
      <c r="AO45" s="48">
        <f>SUM('[17]T-16 Auto'!B86,[17]NPAU!B86,[17]KAU!B86,[17]AFM!B86)/100000+AO70</f>
        <v>173.99621265734089</v>
      </c>
      <c r="AP45" s="48">
        <f>SUM('[17]T-16 Auto'!C86,[17]NPAU!C86,[17]KAU!C86,[17]AFM!C86)/100000+AP70</f>
        <v>175.65758167018157</v>
      </c>
      <c r="AQ45" s="48">
        <f>SUM('[17]T-16 Auto'!D86,[17]NPAU!D86,[17]KAU!D86,[17]AFM!D86)/100000+AQ70</f>
        <v>169.65950209754359</v>
      </c>
      <c r="AR45" s="48">
        <f>SUM('[17]T-16 Auto'!E86,[17]NPAU!E86,[17]KAU!E86,[17]AFM!E86)/100000+AR70</f>
        <v>173.90127911853708</v>
      </c>
      <c r="AS45" s="48">
        <f>('[18]T-16 Auto'!F86+[18]NPAU!F86+[18]KAU!F86+[18]AFM!F86)/100000+AS70</f>
        <v>173.25600805569007</v>
      </c>
      <c r="AT45" s="48">
        <f>('[18]T-16 Auto'!G86+[18]NPAU!G86+[18]KAU!G86+[18]AFM!G86)/100000+AT70</f>
        <v>169.74360133784174</v>
      </c>
      <c r="AU45" s="48">
        <f>('[18]T-16 Auto'!H86+[18]NPAU!H86+[18]KAU!H86+[18]AFM!H86)/100000+AU70</f>
        <v>169.34617080399019</v>
      </c>
      <c r="AV45" s="48">
        <f>('[18]T-16 Auto'!I86+[18]NPAU!I86+[18]KAU!I86+[18]AFM!I86)/100000+AV70</f>
        <v>171.02637385209195</v>
      </c>
      <c r="AW45" s="48">
        <f>('[18]T-16 Auto'!J86+[18]NPAU!J86+[18]KAU!J86+[18]AFM!J86)/100000+AW70</f>
        <v>173.05487120851063</v>
      </c>
      <c r="AX45" s="48">
        <f>('[18]T-16 Auto'!K86+[18]NPAU!K86+[18]KAU!K86+[18]AFM!K86)/100000+AX70</f>
        <v>172.16432909723835</v>
      </c>
      <c r="AY45" s="48">
        <f>('[18]T-16 Auto'!L86+[18]NPAU!L86+[18]KAU!L86+[18]AFM!L86)/100000+AY70</f>
        <v>170.74745393703969</v>
      </c>
      <c r="AZ45" s="48">
        <f>('[18]T-16 Auto'!M86+[18]NPAU!M86+[18]KAU!M86+[18]AFM!M86)/100000+AZ70</f>
        <v>173.24885774748751</v>
      </c>
      <c r="BA45" s="48">
        <f>SUM(AO45:AZ45)</f>
        <v>2065.802241583493</v>
      </c>
    </row>
    <row r="46" spans="1:53">
      <c r="B46" s="22"/>
      <c r="C46" s="22"/>
      <c r="D46" s="22"/>
      <c r="E46" s="22"/>
      <c r="F46" s="22"/>
      <c r="P46" s="59">
        <f>(K52-K48)/K52</f>
        <v>0.12847308392096418</v>
      </c>
      <c r="Q46" s="59"/>
      <c r="R46" s="1">
        <f>SUM(N49:R49)</f>
        <v>62484.865654354464</v>
      </c>
      <c r="S46" s="1">
        <f>SUM(N53:R53)</f>
        <v>62611</v>
      </c>
      <c r="T46" s="65">
        <f>(S46-R46)/S46</f>
        <v>2.014571651076266E-3</v>
      </c>
      <c r="AA46" s="22"/>
      <c r="AB46" s="22"/>
      <c r="AC46" s="59">
        <f>(X52-X48)/X52</f>
        <v>-4.3913309534070449E-3</v>
      </c>
      <c r="AD46" s="59"/>
      <c r="AE46" s="1">
        <f>SUM(AA49:AE49)</f>
        <v>68682.935851249495</v>
      </c>
      <c r="AF46" s="1">
        <f>SUM(AA53:AE53)</f>
        <v>69265.150554883003</v>
      </c>
      <c r="AG46" s="65">
        <f>(AF46-AE46)/AF46</f>
        <v>8.4055935628434674E-3</v>
      </c>
      <c r="AK46" s="1">
        <f>AL48-AL52</f>
        <v>-10978.668419030495</v>
      </c>
      <c r="AL46" s="65">
        <f>AK46/AL52</f>
        <v>-8.4217899929207394E-3</v>
      </c>
      <c r="AO46" s="103" t="s">
        <v>124</v>
      </c>
      <c r="AQ46" s="60"/>
      <c r="AR46" s="60"/>
      <c r="AS46" s="41"/>
      <c r="AT46" s="41"/>
      <c r="AU46" s="104"/>
      <c r="AY46" s="41"/>
      <c r="AZ46" s="104"/>
    </row>
    <row r="47" spans="1:53">
      <c r="A47" s="29" t="s">
        <v>48</v>
      </c>
      <c r="B47" s="29" t="s">
        <v>61</v>
      </c>
      <c r="C47" s="29" t="s">
        <v>62</v>
      </c>
      <c r="D47" s="29" t="s">
        <v>63</v>
      </c>
      <c r="E47" s="29" t="s">
        <v>64</v>
      </c>
      <c r="F47" s="29" t="s">
        <v>65</v>
      </c>
      <c r="G47" s="29" t="s">
        <v>70</v>
      </c>
      <c r="H47" s="31" t="s">
        <v>71</v>
      </c>
      <c r="I47" s="31" t="s">
        <v>72</v>
      </c>
      <c r="J47" s="31" t="s">
        <v>73</v>
      </c>
      <c r="K47" s="31" t="s">
        <v>74</v>
      </c>
      <c r="L47" s="31" t="s">
        <v>75</v>
      </c>
      <c r="M47" s="29" t="s">
        <v>76</v>
      </c>
      <c r="N47" s="29" t="s">
        <v>61</v>
      </c>
      <c r="O47" s="29" t="s">
        <v>62</v>
      </c>
      <c r="P47" s="29" t="s">
        <v>63</v>
      </c>
      <c r="Q47" s="29" t="s">
        <v>64</v>
      </c>
      <c r="R47" s="29" t="s">
        <v>65</v>
      </c>
      <c r="S47" s="29" t="s">
        <v>70</v>
      </c>
      <c r="T47" s="31" t="s">
        <v>71</v>
      </c>
      <c r="U47" s="31" t="s">
        <v>72</v>
      </c>
      <c r="V47" s="31" t="s">
        <v>73</v>
      </c>
      <c r="W47" s="31" t="s">
        <v>74</v>
      </c>
      <c r="X47" s="31" t="s">
        <v>75</v>
      </c>
      <c r="Y47" s="31" t="s">
        <v>76</v>
      </c>
      <c r="Z47" s="31" t="s">
        <v>93</v>
      </c>
      <c r="AA47" s="29" t="s">
        <v>61</v>
      </c>
      <c r="AB47" s="29" t="s">
        <v>62</v>
      </c>
      <c r="AC47" s="29" t="s">
        <v>63</v>
      </c>
      <c r="AD47" s="29" t="s">
        <v>64</v>
      </c>
      <c r="AE47" s="29" t="s">
        <v>65</v>
      </c>
      <c r="AF47" s="29" t="s">
        <v>70</v>
      </c>
      <c r="AG47" s="31" t="s">
        <v>71</v>
      </c>
      <c r="AH47" s="31" t="s">
        <v>72</v>
      </c>
      <c r="AI47" s="31" t="s">
        <v>73</v>
      </c>
      <c r="AJ47" s="31" t="s">
        <v>74</v>
      </c>
      <c r="AK47" s="31" t="s">
        <v>75</v>
      </c>
      <c r="AL47" s="31" t="s">
        <v>76</v>
      </c>
      <c r="AM47" s="31" t="s">
        <v>116</v>
      </c>
      <c r="AO47" s="29" t="s">
        <v>61</v>
      </c>
      <c r="AP47" s="29" t="s">
        <v>62</v>
      </c>
      <c r="AQ47" s="29" t="s">
        <v>63</v>
      </c>
      <c r="AR47" s="29" t="s">
        <v>64</v>
      </c>
      <c r="AS47" s="29" t="s">
        <v>65</v>
      </c>
      <c r="AT47" s="29" t="s">
        <v>70</v>
      </c>
      <c r="AU47" s="29" t="s">
        <v>71</v>
      </c>
      <c r="AV47" s="29" t="s">
        <v>72</v>
      </c>
      <c r="AW47" s="29" t="s">
        <v>73</v>
      </c>
      <c r="AX47" s="29" t="s">
        <v>74</v>
      </c>
      <c r="AY47" s="29" t="s">
        <v>75</v>
      </c>
      <c r="AZ47" s="29" t="s">
        <v>76</v>
      </c>
      <c r="BA47" s="29" t="s">
        <v>149</v>
      </c>
    </row>
    <row r="48" spans="1:53">
      <c r="A48" t="s">
        <v>66</v>
      </c>
      <c r="B48" s="41">
        <f>SUM(B39,B30,B21,B12)</f>
        <v>1005216.8392734204</v>
      </c>
      <c r="C48" s="41">
        <f t="shared" ref="C48:F50" si="8">SUM(C39,C30,C21,C12)</f>
        <v>1022906.3732404783</v>
      </c>
      <c r="D48" s="41">
        <f t="shared" si="8"/>
        <v>984301.1525485859</v>
      </c>
      <c r="E48" s="41">
        <f t="shared" si="8"/>
        <v>1068334.6623467081</v>
      </c>
      <c r="F48" s="41">
        <f t="shared" si="8"/>
        <v>1078071.4728539898</v>
      </c>
      <c r="G48" s="41">
        <f t="shared" ref="G48:V48" si="9">SUM(G39,G30,G21,G12)</f>
        <v>1062866.4824534003</v>
      </c>
      <c r="H48" s="41">
        <f t="shared" si="9"/>
        <v>1056131.72877819</v>
      </c>
      <c r="I48" s="41">
        <f t="shared" si="9"/>
        <v>1023647.2125025303</v>
      </c>
      <c r="J48" s="41">
        <f t="shared" si="9"/>
        <v>1039488.7610417581</v>
      </c>
      <c r="K48" s="41">
        <f t="shared" si="9"/>
        <v>932925.98731680389</v>
      </c>
      <c r="L48" s="41">
        <f t="shared" si="9"/>
        <v>1057008.3926375899</v>
      </c>
      <c r="M48" s="41">
        <f t="shared" si="9"/>
        <v>1104356.6149487463</v>
      </c>
      <c r="N48" s="41">
        <f t="shared" si="9"/>
        <v>1063373.3735525543</v>
      </c>
      <c r="O48" s="41">
        <f t="shared" si="9"/>
        <v>1048018.1797073019</v>
      </c>
      <c r="P48" s="41">
        <f t="shared" si="9"/>
        <v>1065653.1974500022</v>
      </c>
      <c r="Q48" s="41">
        <f t="shared" si="9"/>
        <v>1192532.9616930676</v>
      </c>
      <c r="R48" s="41">
        <f t="shared" si="9"/>
        <v>1156363.2532930858</v>
      </c>
      <c r="S48" s="41">
        <f t="shared" si="9"/>
        <v>1172117.251952806</v>
      </c>
      <c r="T48" s="41">
        <f t="shared" si="9"/>
        <v>1154482.094037802</v>
      </c>
      <c r="U48" s="41">
        <f t="shared" si="9"/>
        <v>1178339.1368937222</v>
      </c>
      <c r="V48" s="41">
        <f t="shared" si="9"/>
        <v>1134457.748514716</v>
      </c>
      <c r="W48" s="41">
        <f t="shared" ref="W48:X48" si="10">SUM(W39,W30,W21,W12)</f>
        <v>1098653.1083931397</v>
      </c>
      <c r="X48" s="41">
        <f t="shared" si="10"/>
        <v>1152260.8358703605</v>
      </c>
      <c r="Y48" s="41">
        <f t="shared" ref="Y48" si="11">SUM(Y39,Y30,Y21,Y12)</f>
        <v>1231394.6640711997</v>
      </c>
      <c r="AA48" s="41">
        <f t="shared" ref="AA48:AL50" si="12">SUM(AA39,AA30,AA21,AA12)</f>
        <v>1257524.8373835962</v>
      </c>
      <c r="AB48" s="41">
        <f t="shared" si="12"/>
        <v>1192630.9634525981</v>
      </c>
      <c r="AC48" s="41">
        <f t="shared" si="12"/>
        <v>1197505.9304750059</v>
      </c>
      <c r="AD48" s="41">
        <f t="shared" si="12"/>
        <v>1295189.9600951178</v>
      </c>
      <c r="AE48" s="41">
        <f t="shared" si="12"/>
        <v>1260661.4410814124</v>
      </c>
      <c r="AF48" s="41">
        <f t="shared" si="12"/>
        <v>1264947.7960510643</v>
      </c>
      <c r="AG48" s="41">
        <f t="shared" si="12"/>
        <v>1268906.5601683701</v>
      </c>
      <c r="AH48" s="41">
        <f t="shared" si="12"/>
        <v>1337725.5255144583</v>
      </c>
      <c r="AI48" s="41">
        <f t="shared" si="12"/>
        <v>1345449.869169204</v>
      </c>
      <c r="AJ48" s="41">
        <f t="shared" si="12"/>
        <v>1210437.1340093506</v>
      </c>
      <c r="AK48" s="41">
        <f t="shared" si="12"/>
        <v>1215662.7183677093</v>
      </c>
      <c r="AL48" s="41">
        <f t="shared" si="12"/>
        <v>1292624.0607227599</v>
      </c>
      <c r="AM48" s="1">
        <f>SUM(AA48:AL48)</f>
        <v>15139266.796490647</v>
      </c>
      <c r="AN48" s="1">
        <f>'[43]Cost Vs Productivitywith HO'!$D$30-AM48</f>
        <v>-416715.7964906469</v>
      </c>
      <c r="AO48" s="41">
        <f>'[27]17-18'!D24</f>
        <v>0</v>
      </c>
      <c r="AP48" s="41">
        <f>'[27]17-18'!E24</f>
        <v>0</v>
      </c>
      <c r="AQ48" s="41">
        <f>'[27]17-18'!F24</f>
        <v>0</v>
      </c>
      <c r="AR48" s="41">
        <f>'[28]17-18'!G24</f>
        <v>0</v>
      </c>
      <c r="AS48" s="41">
        <f>'[29]17-18'!H24</f>
        <v>0</v>
      </c>
      <c r="AT48" s="41">
        <f>'[30]17-18'!I24</f>
        <v>0</v>
      </c>
      <c r="AU48" s="41">
        <f>'[31]17-18'!J24</f>
        <v>0</v>
      </c>
      <c r="AV48" s="41">
        <f>'[32]17-18'!K24</f>
        <v>0</v>
      </c>
      <c r="AW48" s="41">
        <f>'[33]17-18'!L24</f>
        <v>0</v>
      </c>
      <c r="AX48" s="41">
        <f>'[34]17-18'!M24</f>
        <v>0</v>
      </c>
      <c r="AY48" s="41">
        <f>'[35]17-18'!N24</f>
        <v>0</v>
      </c>
      <c r="AZ48" s="41">
        <f>'[36]17-18'!O25</f>
        <v>0</v>
      </c>
      <c r="BA48" s="41">
        <f>SUM(AO48:AZ48)</f>
        <v>0</v>
      </c>
    </row>
    <row r="49" spans="1:53">
      <c r="A49" t="s">
        <v>67</v>
      </c>
      <c r="B49" s="41">
        <f>SUM(B40,B31,B22,B13)</f>
        <v>10684.087388905913</v>
      </c>
      <c r="C49" s="41">
        <f t="shared" si="8"/>
        <v>10859.948174809659</v>
      </c>
      <c r="D49" s="41">
        <f t="shared" si="8"/>
        <v>10514.428871270282</v>
      </c>
      <c r="E49" s="41">
        <f t="shared" si="8"/>
        <v>11862.846533826334</v>
      </c>
      <c r="F49" s="41">
        <f t="shared" si="8"/>
        <v>11398.280640509176</v>
      </c>
      <c r="G49" s="41">
        <f t="shared" ref="G49:V49" si="13">SUM(G40,G31,G22,G13)</f>
        <v>11649.368938517651</v>
      </c>
      <c r="H49" s="41">
        <f t="shared" si="13"/>
        <v>11590.676795553012</v>
      </c>
      <c r="I49" s="41">
        <f t="shared" si="13"/>
        <v>10293.053493375215</v>
      </c>
      <c r="J49" s="41">
        <f t="shared" si="13"/>
        <v>10962.199565941784</v>
      </c>
      <c r="K49" s="41">
        <f t="shared" si="13"/>
        <v>10971.346914563321</v>
      </c>
      <c r="L49" s="41">
        <f t="shared" si="13"/>
        <v>11836.67795612169</v>
      </c>
      <c r="M49" s="41">
        <f t="shared" si="13"/>
        <v>12204.290175578299</v>
      </c>
      <c r="N49" s="41">
        <f t="shared" si="13"/>
        <v>12376.99033052537</v>
      </c>
      <c r="O49" s="41">
        <f t="shared" si="13"/>
        <v>11946.803973721655</v>
      </c>
      <c r="P49" s="41">
        <f t="shared" si="13"/>
        <v>11940.416829043508</v>
      </c>
      <c r="Q49" s="41">
        <f t="shared" si="13"/>
        <v>13293.498275256989</v>
      </c>
      <c r="R49" s="41">
        <f t="shared" si="13"/>
        <v>12927.156245806935</v>
      </c>
      <c r="S49" s="41">
        <f t="shared" si="13"/>
        <v>13224.982559118998</v>
      </c>
      <c r="T49" s="41">
        <f t="shared" si="13"/>
        <v>12298.582360827284</v>
      </c>
      <c r="U49" s="41">
        <f t="shared" si="13"/>
        <v>13117.282695290236</v>
      </c>
      <c r="V49" s="41">
        <f t="shared" si="13"/>
        <v>11245.205322380098</v>
      </c>
      <c r="W49" s="41">
        <f t="shared" ref="W49:X49" si="14">SUM(W40,W31,W22,W13)</f>
        <v>12634.473426043744</v>
      </c>
      <c r="X49" s="41">
        <f t="shared" si="14"/>
        <v>13047.76846470033</v>
      </c>
      <c r="Y49" s="41">
        <f t="shared" ref="Y49" si="15">SUM(Y40,Y31,Y22,Y13)</f>
        <v>14068.121565387646</v>
      </c>
      <c r="AA49" s="41">
        <f t="shared" ref="AA49:AK49" si="16">SUM(AA40,AA31,AA22,AA13)</f>
        <v>13192.357517097702</v>
      </c>
      <c r="AB49" s="41">
        <f t="shared" si="16"/>
        <v>13529.524079971696</v>
      </c>
      <c r="AC49" s="41">
        <f t="shared" si="16"/>
        <v>13309.301389624294</v>
      </c>
      <c r="AD49" s="41">
        <f t="shared" si="16"/>
        <v>14268.532964247075</v>
      </c>
      <c r="AE49" s="41">
        <f t="shared" si="16"/>
        <v>14383.21990030873</v>
      </c>
      <c r="AF49" s="41">
        <f t="shared" si="16"/>
        <v>14155.321375164822</v>
      </c>
      <c r="AG49" s="41">
        <f t="shared" si="16"/>
        <v>13809.512244492029</v>
      </c>
      <c r="AH49" s="41">
        <f t="shared" si="16"/>
        <v>14294.223092536762</v>
      </c>
      <c r="AI49" s="41">
        <f t="shared" si="16"/>
        <v>12605.115984107582</v>
      </c>
      <c r="AJ49" s="41">
        <f t="shared" si="16"/>
        <v>14313.560225153547</v>
      </c>
      <c r="AK49" s="41">
        <f t="shared" si="16"/>
        <v>14346</v>
      </c>
      <c r="AL49" s="41">
        <f t="shared" si="12"/>
        <v>15684.383586065011</v>
      </c>
      <c r="AO49" s="41">
        <f>'[27]17-18'!D25</f>
        <v>0</v>
      </c>
      <c r="AP49" s="41">
        <f>'[27]17-18'!E25</f>
        <v>0</v>
      </c>
      <c r="AQ49" s="41">
        <f>'[27]17-18'!F25</f>
        <v>0</v>
      </c>
      <c r="AR49" s="41">
        <f>'[28]17-18'!G25</f>
        <v>0</v>
      </c>
      <c r="AS49" s="41">
        <f>'[29]17-18'!H25</f>
        <v>0</v>
      </c>
      <c r="AT49" s="41">
        <f>'[30]17-18'!I25</f>
        <v>0</v>
      </c>
      <c r="AU49" s="41">
        <f>'[31]17-18'!J25</f>
        <v>0</v>
      </c>
      <c r="AV49" s="41">
        <f>'[32]17-18'!K25</f>
        <v>0</v>
      </c>
      <c r="AW49" s="41">
        <f>'[33]17-18'!L25</f>
        <v>0</v>
      </c>
      <c r="AX49" s="41">
        <f>'[34]17-18'!M25</f>
        <v>0</v>
      </c>
      <c r="AY49" s="41">
        <f>'[35]17-18'!N25</f>
        <v>0</v>
      </c>
      <c r="AZ49" s="41">
        <f>'[36]17-18'!O26</f>
        <v>0</v>
      </c>
      <c r="BA49" s="41">
        <f t="shared" ref="BA49:BA50" si="17">SUM(AO49:AZ49)</f>
        <v>0</v>
      </c>
    </row>
    <row r="50" spans="1:53">
      <c r="A50" t="s">
        <v>68</v>
      </c>
      <c r="B50" s="41">
        <f>SUM(B41,B32,B23,B14)</f>
        <v>1080.0771244666666</v>
      </c>
      <c r="C50" s="41">
        <f t="shared" si="8"/>
        <v>1072.7817192666662</v>
      </c>
      <c r="D50" s="41">
        <f t="shared" si="8"/>
        <v>1079.0436116666672</v>
      </c>
      <c r="E50" s="41">
        <f t="shared" si="8"/>
        <v>1125.6290739999997</v>
      </c>
      <c r="F50" s="41">
        <f t="shared" si="8"/>
        <v>1106.634543541026</v>
      </c>
      <c r="G50" s="41">
        <f t="shared" ref="G50:V50" si="18">SUM(G41,G32,G23,G14)</f>
        <v>1137.6934777827846</v>
      </c>
      <c r="H50" s="41">
        <f t="shared" si="18"/>
        <v>1215.390758809523</v>
      </c>
      <c r="I50" s="41">
        <f t="shared" si="18"/>
        <v>1192.4022617488122</v>
      </c>
      <c r="J50" s="41">
        <f t="shared" si="18"/>
        <v>1135.6070918666637</v>
      </c>
      <c r="K50" s="41">
        <f t="shared" si="18"/>
        <v>1127.0170475666682</v>
      </c>
      <c r="L50" s="41">
        <f t="shared" si="18"/>
        <v>1145.6083047666698</v>
      </c>
      <c r="M50" s="41">
        <f t="shared" si="18"/>
        <v>1626.8346707168505</v>
      </c>
      <c r="N50" s="41">
        <f t="shared" si="18"/>
        <v>1259.8128649</v>
      </c>
      <c r="O50" s="41">
        <f t="shared" si="18"/>
        <v>1308.0971200212894</v>
      </c>
      <c r="P50" s="41">
        <f t="shared" si="18"/>
        <v>1342.1437776106445</v>
      </c>
      <c r="Q50" s="41">
        <f t="shared" si="18"/>
        <v>1327.1546460425798</v>
      </c>
      <c r="R50" s="41">
        <f t="shared" si="18"/>
        <v>1341.574480343977</v>
      </c>
      <c r="S50" s="41">
        <f t="shared" si="18"/>
        <v>1458.3512325173119</v>
      </c>
      <c r="T50" s="41">
        <f t="shared" si="18"/>
        <v>1548.5087367373121</v>
      </c>
      <c r="U50" s="41">
        <f t="shared" si="18"/>
        <v>1422.6579547773104</v>
      </c>
      <c r="V50" s="41">
        <f t="shared" si="18"/>
        <v>1366.4934615773132</v>
      </c>
      <c r="W50" s="41">
        <f t="shared" ref="W50:X50" si="19">SUM(W41,W32,W23,W14)</f>
        <v>1392.7792859731117</v>
      </c>
      <c r="X50" s="41">
        <f t="shared" si="19"/>
        <v>1364.5263223773131</v>
      </c>
      <c r="Y50" s="41">
        <f t="shared" ref="Y50" si="20">SUM(Y41,Y32,Y23,Y14)</f>
        <v>1599.5622761495758</v>
      </c>
      <c r="AA50" s="41">
        <f t="shared" ref="AA50:AK50" si="21">SUM(AA41,AA32,AA23,AA14)</f>
        <v>1472.2158471366147</v>
      </c>
      <c r="AB50" s="41">
        <f t="shared" si="21"/>
        <v>1495.4845133300519</v>
      </c>
      <c r="AC50" s="41">
        <f t="shared" si="21"/>
        <v>1512.1392448333336</v>
      </c>
      <c r="AD50" s="41">
        <f t="shared" si="21"/>
        <v>1544.8981005666669</v>
      </c>
      <c r="AE50" s="41">
        <f t="shared" si="21"/>
        <v>1547.9181772333347</v>
      </c>
      <c r="AF50" s="41">
        <f t="shared" si="21"/>
        <v>1549.1767381999971</v>
      </c>
      <c r="AG50" s="41">
        <f t="shared" si="21"/>
        <v>1602.8543940000002</v>
      </c>
      <c r="AH50" s="41">
        <f t="shared" si="21"/>
        <v>1579.1321280000011</v>
      </c>
      <c r="AI50" s="41">
        <f t="shared" si="21"/>
        <v>1605.0112704000007</v>
      </c>
      <c r="AJ50" s="41">
        <f t="shared" si="21"/>
        <v>1938.3367038999972</v>
      </c>
      <c r="AK50" s="41">
        <f t="shared" si="21"/>
        <v>1673.6219274436744</v>
      </c>
      <c r="AL50" s="41">
        <f t="shared" si="12"/>
        <v>1718.9343257000055</v>
      </c>
      <c r="AO50" s="41">
        <f>'[27]17-18'!D26</f>
        <v>3.8124943</v>
      </c>
      <c r="AP50" s="41">
        <f>'[27]17-18'!E26</f>
        <v>3.8321543000000009</v>
      </c>
      <c r="AQ50" s="41">
        <f>'[27]17-18'!F26</f>
        <v>4.5130495000000028</v>
      </c>
      <c r="AR50" s="41">
        <f>'[28]17-18'!G26</f>
        <v>5.4722955000000013</v>
      </c>
      <c r="AS50" s="41">
        <f>'[29]17-18'!H26</f>
        <v>11.428418799999999</v>
      </c>
      <c r="AT50" s="41">
        <f>'[30]17-18'!I26</f>
        <v>7.9127805999999978</v>
      </c>
      <c r="AU50" s="41">
        <f>'[31]17-18'!J26</f>
        <v>9.3896832000000003</v>
      </c>
      <c r="AV50" s="41">
        <f>'[32]17-18'!K26</f>
        <v>5.500559299999999</v>
      </c>
      <c r="AW50" s="41">
        <f>'[33]17-18'!L26</f>
        <v>7.407980600000009</v>
      </c>
      <c r="AX50" s="41">
        <f>'[34]17-18'!M26</f>
        <v>5.2026003999999944</v>
      </c>
      <c r="AY50" s="41">
        <f>'[35]17-18'!N26</f>
        <v>6.8363464999999906</v>
      </c>
      <c r="AZ50" s="41">
        <f>'[36]17-18'!O27</f>
        <v>10.473388900000003</v>
      </c>
      <c r="BA50" s="41">
        <f t="shared" si="17"/>
        <v>81.781751899999989</v>
      </c>
    </row>
    <row r="51" spans="1:53" s="51" customFormat="1">
      <c r="A51" s="47" t="s">
        <v>39</v>
      </c>
      <c r="B51" s="48"/>
      <c r="C51" s="48"/>
      <c r="D51" s="48"/>
      <c r="E51" s="48"/>
      <c r="F51" s="48"/>
      <c r="G51" s="49"/>
      <c r="H51" s="50"/>
      <c r="I51" s="50"/>
      <c r="M51" s="49"/>
      <c r="N51" s="49"/>
      <c r="O51" s="49"/>
      <c r="AA51" s="49"/>
      <c r="AB51" s="49"/>
      <c r="AF51" s="90">
        <f>(AF48-AF52)/AF48</f>
        <v>3.4291565648357351E-3</v>
      </c>
      <c r="AO51" s="49"/>
      <c r="AP51" s="49"/>
      <c r="AQ51" s="49"/>
      <c r="AR51" s="49"/>
      <c r="AS51" s="49"/>
      <c r="AT51" s="105"/>
      <c r="AU51" s="49"/>
      <c r="AV51" s="49"/>
      <c r="AW51" s="49"/>
      <c r="AX51" s="49"/>
      <c r="AY51" s="49"/>
      <c r="AZ51" s="49"/>
      <c r="BA51" s="49"/>
    </row>
    <row r="52" spans="1:53" s="51" customFormat="1">
      <c r="A52" s="51" t="s">
        <v>66</v>
      </c>
      <c r="B52" s="54">
        <f t="shared" ref="B52:I52" si="22">SUM(B43,B34,B25,B16)</f>
        <v>948293</v>
      </c>
      <c r="C52" s="54">
        <f t="shared" si="22"/>
        <v>955441</v>
      </c>
      <c r="D52" s="54">
        <f t="shared" si="22"/>
        <v>882214</v>
      </c>
      <c r="E52" s="54">
        <f t="shared" si="22"/>
        <v>1024402</v>
      </c>
      <c r="F52" s="54">
        <f t="shared" si="22"/>
        <v>1010191</v>
      </c>
      <c r="G52" s="54">
        <f t="shared" si="22"/>
        <v>1022902</v>
      </c>
      <c r="H52" s="54">
        <f t="shared" si="22"/>
        <v>1034979</v>
      </c>
      <c r="I52" s="54">
        <f t="shared" si="22"/>
        <v>1015604</v>
      </c>
      <c r="J52" s="54">
        <f t="shared" ref="J52:V52" si="23">SUM(J43,J34,J25,J16)</f>
        <v>1016602</v>
      </c>
      <c r="K52" s="54">
        <f t="shared" si="23"/>
        <v>1070450</v>
      </c>
      <c r="L52" s="54">
        <f t="shared" si="23"/>
        <v>1097549</v>
      </c>
      <c r="M52" s="54">
        <f t="shared" si="23"/>
        <v>1152138</v>
      </c>
      <c r="N52" s="54">
        <f t="shared" si="23"/>
        <v>1073761</v>
      </c>
      <c r="O52" s="54">
        <f t="shared" si="23"/>
        <v>1060014</v>
      </c>
      <c r="P52" s="54">
        <f t="shared" si="23"/>
        <v>1097368</v>
      </c>
      <c r="Q52" s="54">
        <f t="shared" si="23"/>
        <v>1133513</v>
      </c>
      <c r="R52" s="54">
        <f t="shared" si="23"/>
        <v>1126264</v>
      </c>
      <c r="S52" s="54">
        <f t="shared" si="23"/>
        <v>1160432</v>
      </c>
      <c r="T52" s="54">
        <f t="shared" si="23"/>
        <v>1055272</v>
      </c>
      <c r="U52" s="54">
        <f t="shared" si="23"/>
        <v>1089524</v>
      </c>
      <c r="V52" s="54">
        <f t="shared" si="23"/>
        <v>1039259</v>
      </c>
      <c r="W52" s="54">
        <f t="shared" ref="W52:X52" si="24">SUM(W43,W34,W25,W16)</f>
        <v>1073742</v>
      </c>
      <c r="X52" s="54">
        <f t="shared" si="24"/>
        <v>1147223</v>
      </c>
      <c r="Y52" s="54">
        <f t="shared" ref="Y52" si="25">SUM(Y43,Y34,Y25,Y16)</f>
        <v>1180754</v>
      </c>
      <c r="AA52" s="54">
        <f t="shared" ref="AA52:AL54" si="26">SUM(AA43,AA34,AA25,AA16)</f>
        <v>1192907.4919149913</v>
      </c>
      <c r="AB52" s="54">
        <f t="shared" si="26"/>
        <v>1240945.4607386589</v>
      </c>
      <c r="AC52" s="54">
        <f t="shared" si="26"/>
        <v>1143461.7393098082</v>
      </c>
      <c r="AD52" s="54">
        <f t="shared" si="26"/>
        <v>1206167.8024429739</v>
      </c>
      <c r="AE52" s="54">
        <f t="shared" si="26"/>
        <v>1194614.746172345</v>
      </c>
      <c r="AF52" s="54">
        <f t="shared" si="26"/>
        <v>1260610.0920120613</v>
      </c>
      <c r="AG52" s="54">
        <f t="shared" si="26"/>
        <v>1146779.0549823237</v>
      </c>
      <c r="AH52" s="54">
        <f t="shared" si="26"/>
        <v>1238972.9540807544</v>
      </c>
      <c r="AI52" s="54">
        <f t="shared" si="26"/>
        <v>1121069.2948577241</v>
      </c>
      <c r="AJ52" s="54">
        <f t="shared" si="26"/>
        <v>1221242.7671821285</v>
      </c>
      <c r="AK52" s="54">
        <f t="shared" si="26"/>
        <v>1243892.8055533806</v>
      </c>
      <c r="AL52" s="54">
        <f t="shared" si="26"/>
        <v>1303602.7291417904</v>
      </c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49"/>
    </row>
    <row r="53" spans="1:53" s="51" customFormat="1">
      <c r="A53" s="51" t="s">
        <v>67</v>
      </c>
      <c r="B53" s="54">
        <f t="shared" ref="B53:I53" si="27">SUM(B44,B35,B26,B17)</f>
        <v>10328</v>
      </c>
      <c r="C53" s="54">
        <f t="shared" si="27"/>
        <v>10432</v>
      </c>
      <c r="D53" s="54">
        <f t="shared" si="27"/>
        <v>9772</v>
      </c>
      <c r="E53" s="54">
        <f t="shared" si="27"/>
        <v>11143</v>
      </c>
      <c r="F53" s="54">
        <f t="shared" si="27"/>
        <v>10946</v>
      </c>
      <c r="G53" s="54">
        <f t="shared" si="27"/>
        <v>11124</v>
      </c>
      <c r="H53" s="54">
        <f t="shared" si="27"/>
        <v>11245</v>
      </c>
      <c r="I53" s="54">
        <f t="shared" si="27"/>
        <v>11060</v>
      </c>
      <c r="J53" s="54">
        <f t="shared" ref="J53:V53" si="28">SUM(J44,J35,J26,J17)</f>
        <v>11084</v>
      </c>
      <c r="K53" s="54">
        <f t="shared" si="28"/>
        <v>11691</v>
      </c>
      <c r="L53" s="54">
        <f t="shared" si="28"/>
        <v>11973</v>
      </c>
      <c r="M53" s="54">
        <f t="shared" si="28"/>
        <v>12561</v>
      </c>
      <c r="N53" s="54">
        <f t="shared" si="28"/>
        <v>12223</v>
      </c>
      <c r="O53" s="54">
        <f t="shared" si="28"/>
        <v>12058</v>
      </c>
      <c r="P53" s="54">
        <f t="shared" si="28"/>
        <v>12634</v>
      </c>
      <c r="Q53" s="54">
        <f t="shared" si="28"/>
        <v>12915</v>
      </c>
      <c r="R53" s="54">
        <f t="shared" si="28"/>
        <v>12781</v>
      </c>
      <c r="S53" s="54">
        <f t="shared" si="28"/>
        <v>13147</v>
      </c>
      <c r="T53" s="54">
        <f t="shared" si="28"/>
        <v>12021</v>
      </c>
      <c r="U53" s="54">
        <f t="shared" si="28"/>
        <v>12407</v>
      </c>
      <c r="V53" s="54">
        <f t="shared" si="28"/>
        <v>11864</v>
      </c>
      <c r="W53" s="54">
        <f t="shared" ref="W53:X53" si="29">SUM(W44,W35,W26,W17)</f>
        <v>12201</v>
      </c>
      <c r="X53" s="54">
        <f t="shared" si="29"/>
        <v>12946</v>
      </c>
      <c r="Y53" s="54">
        <f t="shared" ref="Y53" si="30">SUM(Y44,Y35,Y26,Y17)</f>
        <v>13348</v>
      </c>
      <c r="AA53" s="54">
        <f t="shared" ref="AA53:AK53" si="31">SUM(AA44,AA35,AA26,AA17)</f>
        <v>13752.955171875632</v>
      </c>
      <c r="AB53" s="54">
        <f t="shared" si="31"/>
        <v>14342.790625292295</v>
      </c>
      <c r="AC53" s="54">
        <f t="shared" si="31"/>
        <v>13340.109660239801</v>
      </c>
      <c r="AD53" s="54">
        <f t="shared" si="31"/>
        <v>13965.943881116742</v>
      </c>
      <c r="AE53" s="54">
        <f t="shared" si="31"/>
        <v>13863.351216358535</v>
      </c>
      <c r="AF53" s="54">
        <f t="shared" si="31"/>
        <v>14557.731356331718</v>
      </c>
      <c r="AG53" s="54">
        <f t="shared" si="31"/>
        <v>13341.978987792132</v>
      </c>
      <c r="AH53" s="54">
        <f t="shared" si="31"/>
        <v>14343.029126955611</v>
      </c>
      <c r="AI53" s="54">
        <f t="shared" si="31"/>
        <v>13043.801263118819</v>
      </c>
      <c r="AJ53" s="54">
        <f t="shared" si="31"/>
        <v>14122.353683874924</v>
      </c>
      <c r="AK53" s="54">
        <f t="shared" si="31"/>
        <v>14360.144011545328</v>
      </c>
      <c r="AL53" s="54">
        <f t="shared" si="26"/>
        <v>14967.097627114301</v>
      </c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49"/>
    </row>
    <row r="54" spans="1:53" s="51" customFormat="1">
      <c r="A54" s="51" t="s">
        <v>68</v>
      </c>
      <c r="B54" s="54">
        <f t="shared" ref="B54:I54" si="32">SUM(B45,B36,B27,B18)</f>
        <v>1090.5852368454723</v>
      </c>
      <c r="C54" s="54">
        <f t="shared" si="32"/>
        <v>1100.8504211396264</v>
      </c>
      <c r="D54" s="54">
        <f t="shared" si="32"/>
        <v>1087.2585036495466</v>
      </c>
      <c r="E54" s="54">
        <f t="shared" si="32"/>
        <v>1083.6940231565113</v>
      </c>
      <c r="F54" s="54">
        <f t="shared" si="32"/>
        <v>1258.8222153014076</v>
      </c>
      <c r="G54" s="54">
        <f t="shared" si="32"/>
        <v>1254.3905772382991</v>
      </c>
      <c r="H54" s="54">
        <f t="shared" si="32"/>
        <v>1252.5737805014037</v>
      </c>
      <c r="I54" s="54">
        <f t="shared" si="32"/>
        <v>1123.2341774716831</v>
      </c>
      <c r="J54" s="54">
        <f t="shared" ref="J54:V54" si="33">SUM(J45,J36,J27,J18)</f>
        <v>1065.784721189455</v>
      </c>
      <c r="K54" s="54">
        <f t="shared" si="33"/>
        <v>1063.5057897305871</v>
      </c>
      <c r="L54" s="54">
        <f t="shared" si="33"/>
        <v>1044.9494849462933</v>
      </c>
      <c r="M54" s="54">
        <f t="shared" si="33"/>
        <v>1118.8349869242795</v>
      </c>
      <c r="N54" s="54">
        <f t="shared" si="33"/>
        <v>1276.6574149213218</v>
      </c>
      <c r="O54" s="54">
        <f t="shared" si="33"/>
        <v>1298.8840014978769</v>
      </c>
      <c r="P54" s="54">
        <f t="shared" si="33"/>
        <v>1284.6375357426218</v>
      </c>
      <c r="Q54" s="54">
        <f t="shared" si="33"/>
        <v>1280.8104073075428</v>
      </c>
      <c r="R54" s="54">
        <f t="shared" si="33"/>
        <v>1489.5039732750733</v>
      </c>
      <c r="S54" s="54">
        <f t="shared" si="33"/>
        <v>1485.372613999966</v>
      </c>
      <c r="T54" s="54">
        <f t="shared" si="33"/>
        <v>1509.5713974925375</v>
      </c>
      <c r="U54" s="54">
        <f t="shared" si="33"/>
        <v>1274.2477759162325</v>
      </c>
      <c r="V54" s="54">
        <f t="shared" si="33"/>
        <v>1234.5370962262325</v>
      </c>
      <c r="W54" s="54">
        <f t="shared" ref="W54:X54" si="34">SUM(W45,W36,W27,W18)</f>
        <v>1241.6170397735832</v>
      </c>
      <c r="X54" s="54">
        <f t="shared" si="34"/>
        <v>1228.8848639985231</v>
      </c>
      <c r="Y54" s="54">
        <f t="shared" ref="Y54" si="35">SUM(Y45,Y36,Y27,Y18)</f>
        <v>1303.8086838008121</v>
      </c>
      <c r="AA54" s="54">
        <f t="shared" ref="AA54:AK54" si="36">SUM(AA45,AA36,AA27,AA18)</f>
        <v>1481.6683526184993</v>
      </c>
      <c r="AB54" s="54">
        <f t="shared" si="36"/>
        <v>1484.9506797793911</v>
      </c>
      <c r="AC54" s="54">
        <f t="shared" si="36"/>
        <v>1486.4545993165107</v>
      </c>
      <c r="AD54" s="54">
        <f t="shared" si="36"/>
        <v>1485.2315680954885</v>
      </c>
      <c r="AE54" s="54">
        <f t="shared" si="36"/>
        <v>1567.7400629381154</v>
      </c>
      <c r="AF54" s="54">
        <f t="shared" si="36"/>
        <v>1564.5217186654659</v>
      </c>
      <c r="AG54" s="54">
        <f t="shared" si="36"/>
        <v>1582.5757560408661</v>
      </c>
      <c r="AH54" s="54">
        <f t="shared" si="36"/>
        <v>1577.2455764428892</v>
      </c>
      <c r="AI54" s="54">
        <f t="shared" si="36"/>
        <v>1530.4465078832357</v>
      </c>
      <c r="AJ54" s="54">
        <f t="shared" si="36"/>
        <v>1781.5012860057459</v>
      </c>
      <c r="AK54" s="54">
        <f t="shared" si="36"/>
        <v>1752.4642290969709</v>
      </c>
      <c r="AL54" s="54">
        <f t="shared" si="26"/>
        <v>1810.4616994506468</v>
      </c>
      <c r="AM54" s="96">
        <f>SUM(AA54:AL54)</f>
        <v>19105.262036333825</v>
      </c>
      <c r="AO54" s="54">
        <f>[17]Gujarat!B86/100000+AO71</f>
        <v>5.0215148300661836</v>
      </c>
      <c r="AP54" s="54">
        <f>[17]Gujarat!C86/100000+AP71</f>
        <v>9.6811309599378106</v>
      </c>
      <c r="AQ54" s="54">
        <f>[17]Gujarat!D86/100000+AQ71</f>
        <v>8.9528351383229516</v>
      </c>
      <c r="AR54" s="54">
        <f>[17]Gujarat!E86/100000+AR71</f>
        <v>11.548139347105774</v>
      </c>
      <c r="AS54" s="54">
        <f>[18]Gujarat!F86/100000+AS71</f>
        <v>11.457420952615397</v>
      </c>
      <c r="AT54" s="54">
        <f>[18]Gujarat!G86/100000+AT71</f>
        <v>11.466251818501409</v>
      </c>
      <c r="AU54" s="54">
        <f>[18]Gujarat!H86/100000+AU71</f>
        <v>11.731066901644981</v>
      </c>
      <c r="AV54" s="54">
        <f>[18]Gujarat!I86/100000+AV71</f>
        <v>11.960984824501544</v>
      </c>
      <c r="AW54" s="54">
        <f>[18]Gujarat!J86/100000+AW71</f>
        <v>11.634848030114039</v>
      </c>
      <c r="AX54" s="54">
        <f>[18]Gujarat!K86/100000+AX71</f>
        <v>11.642063342832154</v>
      </c>
      <c r="AY54" s="54">
        <f>[18]Gujarat!L86/100000+AY71</f>
        <v>11.658629557691368</v>
      </c>
      <c r="AZ54" s="54">
        <f>[18]Gujarat!M86/100000+AZ71</f>
        <v>11.653708846152977</v>
      </c>
      <c r="BA54" s="54">
        <f>SUM(AO54:AZ54)</f>
        <v>128.40859454948659</v>
      </c>
    </row>
    <row r="55" spans="1:53">
      <c r="B55" s="22"/>
      <c r="C55" s="22"/>
      <c r="D55" s="22"/>
      <c r="E55" s="22"/>
      <c r="F55" s="22"/>
      <c r="AA55" s="22"/>
      <c r="AB55" s="22"/>
      <c r="AO55" s="103" t="s">
        <v>48</v>
      </c>
    </row>
    <row r="56" spans="1:53">
      <c r="B56" s="22"/>
      <c r="C56" s="22"/>
      <c r="D56" s="22"/>
      <c r="E56" s="22"/>
      <c r="F56" s="22"/>
      <c r="AA56" s="22"/>
      <c r="AB56" s="22"/>
      <c r="AN56">
        <f>[42]Gujarat!$N$85/100000</f>
        <v>26.796522101449273</v>
      </c>
      <c r="AO56" s="29" t="s">
        <v>61</v>
      </c>
      <c r="AP56" s="29" t="s">
        <v>62</v>
      </c>
      <c r="AQ56" s="29" t="s">
        <v>63</v>
      </c>
      <c r="AR56" s="29" t="s">
        <v>64</v>
      </c>
      <c r="AS56" s="29" t="s">
        <v>65</v>
      </c>
      <c r="AT56" s="29" t="s">
        <v>70</v>
      </c>
      <c r="AU56" s="29" t="s">
        <v>71</v>
      </c>
      <c r="AV56" s="29" t="s">
        <v>72</v>
      </c>
      <c r="AW56" s="29" t="s">
        <v>73</v>
      </c>
      <c r="AX56" s="29" t="s">
        <v>74</v>
      </c>
      <c r="AY56" s="29" t="s">
        <v>75</v>
      </c>
      <c r="AZ56" s="29" t="s">
        <v>76</v>
      </c>
      <c r="BA56" s="29" t="s">
        <v>149</v>
      </c>
    </row>
    <row r="57" spans="1:53">
      <c r="A57" s="47" t="s">
        <v>69</v>
      </c>
      <c r="B57" s="41">
        <f>[37]HO!B85</f>
        <v>8152879.6207719306</v>
      </c>
      <c r="C57" s="41">
        <f>[37]HO!C85</f>
        <v>7748167.2884705886</v>
      </c>
      <c r="D57" s="41">
        <f>[37]HO!D85</f>
        <v>7921832.9551372556</v>
      </c>
      <c r="E57" s="41">
        <f>[37]HO!E85</f>
        <v>8346666.7786666676</v>
      </c>
      <c r="F57" s="41">
        <f>[37]HO!F85</f>
        <v>8323497.6610196084</v>
      </c>
      <c r="G57" s="41">
        <f>[37]HO!G85</f>
        <v>7890041.7786666676</v>
      </c>
      <c r="H57" s="41">
        <f>[37]HO!H85</f>
        <v>8160082.7786666676</v>
      </c>
      <c r="I57" s="40">
        <f>[38]HO!I85</f>
        <v>8436580.178666668</v>
      </c>
      <c r="J57" s="40">
        <f>[38]HO!J85</f>
        <v>8129926.1120000007</v>
      </c>
      <c r="K57" s="40">
        <f>[38]HO!K85</f>
        <v>8293751.1120000016</v>
      </c>
      <c r="L57" s="40">
        <f>[38]HO!L85</f>
        <v>8119126.1120000007</v>
      </c>
      <c r="M57" s="41">
        <f>[38]HO!M85</f>
        <v>8662876.1120000016</v>
      </c>
      <c r="N57" s="41">
        <f>[39]HO!B85</f>
        <v>8915557.2663057987</v>
      </c>
      <c r="O57" s="41">
        <f>[39]HO!C85</f>
        <v>8817340.4945666678</v>
      </c>
      <c r="P57" s="41">
        <f>[39]HO!D85</f>
        <v>8861652.8083496597</v>
      </c>
      <c r="Q57" s="41">
        <f>[39]HO!E85</f>
        <v>9326836.3911183923</v>
      </c>
      <c r="R57" s="41">
        <f>[39]HO!F85</f>
        <v>8869980.9360081088</v>
      </c>
      <c r="S57" s="41">
        <f>[39]HO!G85</f>
        <v>8862639.4945666678</v>
      </c>
      <c r="T57" s="41">
        <f>[39]HO!H85</f>
        <v>8931737.0163057987</v>
      </c>
      <c r="U57" s="41">
        <f>[39]HO!I85</f>
        <v>9048867.9945666678</v>
      </c>
      <c r="V57" s="1">
        <f>[40]HO!J85</f>
        <v>8883738.4577472396</v>
      </c>
      <c r="W57" s="41">
        <f>[40]HO!K85</f>
        <v>9071353.3911183923</v>
      </c>
      <c r="X57" s="41">
        <f>[40]HO!L85</f>
        <v>8902545.5877343696</v>
      </c>
      <c r="Y57" s="41">
        <f>[40]HO!M85</f>
        <v>9504470.5686407406</v>
      </c>
      <c r="AA57" s="41">
        <f>[42]HO!B85</f>
        <v>10369408.866251631</v>
      </c>
      <c r="AB57" s="41">
        <f>[42]HO!C85</f>
        <v>9838785.6778458338</v>
      </c>
      <c r="AC57" s="41">
        <f>[42]HO!D85</f>
        <v>9675341.1995849647</v>
      </c>
      <c r="AD57" s="41">
        <f>[42]HO!E85</f>
        <v>10212363.566734722</v>
      </c>
      <c r="AE57" s="41">
        <f>[42]HO!F85+[42]Gujarat!F85</f>
        <v>14740882.813127851</v>
      </c>
      <c r="AF57" s="41">
        <f>[42]HO!G85+[42]Gujarat!G85</f>
        <v>14727284.849947279</v>
      </c>
      <c r="AG57" s="41">
        <f>[42]HO!H85+[42]Gujarat!H85</f>
        <v>14919162.37168641</v>
      </c>
      <c r="AH57" s="41">
        <f>[42]HO!I85+[42]Gujarat!I85</f>
        <v>14936048.349947279</v>
      </c>
      <c r="AI57" s="41">
        <f>[42]HO!J85+[42]Gujarat!J85</f>
        <v>14806133.813127851</v>
      </c>
      <c r="AJ57" s="41">
        <f>[42]HO!K85+[42]Gujarat!K85</f>
        <v>15015449.738836167</v>
      </c>
      <c r="AK57" s="41">
        <f>[42]HO!L85+[42]Gujarat!L85</f>
        <v>14746192.37168641</v>
      </c>
      <c r="AL57" s="41">
        <f>[42]HO!M85+[42]Gujarat!M85</f>
        <v>15588100.664762095</v>
      </c>
      <c r="AO57" s="41">
        <f>SUM(AO39,AO30,AO21,AO12,AO48)</f>
        <v>1343216.9715560959</v>
      </c>
      <c r="AP57" s="41">
        <f t="shared" ref="AP57:AZ57" si="37">SUM(AP39,AP30,AP21,AP12,AP48)</f>
        <v>1342661.025272042</v>
      </c>
      <c r="AQ57" s="41">
        <f t="shared" si="37"/>
        <v>1314906.4013620317</v>
      </c>
      <c r="AR57" s="41">
        <f t="shared" si="37"/>
        <v>1448632.9174935275</v>
      </c>
      <c r="AS57" s="41">
        <f t="shared" si="37"/>
        <v>1411044.9079248074</v>
      </c>
      <c r="AT57" s="41">
        <f t="shared" si="37"/>
        <v>1387218.8212404759</v>
      </c>
      <c r="AU57" s="41">
        <f t="shared" si="37"/>
        <v>1389487.91855588</v>
      </c>
      <c r="AV57" s="41">
        <f t="shared" si="37"/>
        <v>1214049.0739840078</v>
      </c>
      <c r="AW57" s="41">
        <f t="shared" si="37"/>
        <v>1085009.0559885739</v>
      </c>
      <c r="AX57" s="41">
        <f t="shared" si="37"/>
        <v>1022768.7080110861</v>
      </c>
      <c r="AY57" s="41">
        <f t="shared" si="37"/>
        <v>1194082.449734913</v>
      </c>
      <c r="AZ57" s="41">
        <f t="shared" si="37"/>
        <v>1265073.4165833627</v>
      </c>
      <c r="BA57" s="41">
        <f>SUM(AO57:AZ57)</f>
        <v>15418151.667706804</v>
      </c>
    </row>
    <row r="58" spans="1:53">
      <c r="A58" s="51" t="s">
        <v>0</v>
      </c>
      <c r="B58" s="42">
        <f t="shared" ref="B58:V58" si="38">(B17/B53*B57)/100000</f>
        <v>40.606518947764144</v>
      </c>
      <c r="C58" s="42">
        <f t="shared" si="38"/>
        <v>39.268175281963195</v>
      </c>
      <c r="D58" s="42">
        <f t="shared" si="38"/>
        <v>36.72319206587369</v>
      </c>
      <c r="E58" s="42">
        <f t="shared" si="38"/>
        <v>41.782022158667026</v>
      </c>
      <c r="F58" s="42">
        <f t="shared" si="38"/>
        <v>40.773428154930698</v>
      </c>
      <c r="G58" s="42">
        <f t="shared" si="38"/>
        <v>39.287074264684172</v>
      </c>
      <c r="H58" s="42">
        <f t="shared" si="38"/>
        <v>41.275723294847495</v>
      </c>
      <c r="I58" s="42">
        <f t="shared" si="38"/>
        <v>43.632222985509344</v>
      </c>
      <c r="J58" s="42">
        <f t="shared" si="38"/>
        <v>42.255958436694343</v>
      </c>
      <c r="K58" s="42">
        <f t="shared" si="38"/>
        <v>42.947882330038503</v>
      </c>
      <c r="L58" s="42">
        <f t="shared" si="38"/>
        <v>42.755441523561345</v>
      </c>
      <c r="M58" s="42">
        <f t="shared" si="38"/>
        <v>45.87648427436033</v>
      </c>
      <c r="N58" s="42">
        <f t="shared" si="38"/>
        <v>47.922123242762908</v>
      </c>
      <c r="O58" s="42">
        <f t="shared" si="38"/>
        <v>46.880054661359189</v>
      </c>
      <c r="P58" s="42">
        <f t="shared" si="38"/>
        <v>45.009677118236318</v>
      </c>
      <c r="Q58" s="42">
        <f t="shared" si="38"/>
        <v>48.869300703599045</v>
      </c>
      <c r="R58" s="42">
        <f t="shared" si="38"/>
        <v>46.386787087300057</v>
      </c>
      <c r="S58" s="42">
        <f t="shared" si="38"/>
        <v>47.444479168449242</v>
      </c>
      <c r="T58" s="42">
        <f t="shared" si="38"/>
        <v>47.173777819254241</v>
      </c>
      <c r="U58" s="42">
        <f t="shared" si="38"/>
        <v>47.012979038427297</v>
      </c>
      <c r="V58" s="42">
        <f t="shared" si="38"/>
        <v>45.18995414068155</v>
      </c>
      <c r="W58" s="42">
        <f t="shared" ref="W58:X58" si="39">(W17/W53*W57)/100000</f>
        <v>49.144861827139231</v>
      </c>
      <c r="X58" s="42">
        <f t="shared" si="39"/>
        <v>47.724135933011368</v>
      </c>
      <c r="Y58" s="42">
        <f t="shared" ref="Y58" si="40">(Y17/Y53*Y57)/100000</f>
        <v>50.819153767147867</v>
      </c>
      <c r="AA58" s="42">
        <f t="shared" ref="AA58:AL58" si="41">(AA17/AA53*AA57)/100000</f>
        <v>53.884702802616566</v>
      </c>
      <c r="AB58" s="42">
        <f t="shared" si="41"/>
        <v>53.796596808280157</v>
      </c>
      <c r="AC58" s="42">
        <f t="shared" si="41"/>
        <v>49.153048715831602</v>
      </c>
      <c r="AD58" s="42">
        <f t="shared" si="41"/>
        <v>53.95534596769221</v>
      </c>
      <c r="AE58" s="42">
        <f t="shared" si="41"/>
        <v>80.972578029700344</v>
      </c>
      <c r="AF58" s="42">
        <f t="shared" si="41"/>
        <v>76.419012338041171</v>
      </c>
      <c r="AG58" s="42">
        <f t="shared" si="41"/>
        <v>77.499824483706163</v>
      </c>
      <c r="AH58" s="42">
        <f t="shared" si="41"/>
        <v>77.529176530765596</v>
      </c>
      <c r="AI58" s="42">
        <f t="shared" si="41"/>
        <v>74.242888241458459</v>
      </c>
      <c r="AJ58" s="42">
        <f t="shared" si="41"/>
        <v>77.955502030678247</v>
      </c>
      <c r="AK58" s="42">
        <f t="shared" si="41"/>
        <v>76.593335321396779</v>
      </c>
      <c r="AL58" s="42">
        <f t="shared" si="41"/>
        <v>79.607967428284638</v>
      </c>
      <c r="AO58" s="41">
        <f t="shared" ref="AO58:AZ58" si="42">SUM(AO40,AO31,AO22,AO13,AO49)</f>
        <v>15275.916960219594</v>
      </c>
      <c r="AP58" s="41">
        <f t="shared" si="42"/>
        <v>15848.220784259584</v>
      </c>
      <c r="AQ58" s="41">
        <f t="shared" si="42"/>
        <v>14183.791037682859</v>
      </c>
      <c r="AR58" s="41">
        <f t="shared" si="42"/>
        <v>16520.473557463403</v>
      </c>
      <c r="AS58" s="41">
        <f t="shared" si="42"/>
        <v>15511.95991322233</v>
      </c>
      <c r="AT58" s="41">
        <f t="shared" si="42"/>
        <v>14960.460500929952</v>
      </c>
      <c r="AU58" s="41">
        <f t="shared" si="42"/>
        <v>15111.497319053384</v>
      </c>
      <c r="AV58" s="41">
        <f t="shared" si="42"/>
        <v>12707.600736479788</v>
      </c>
      <c r="AW58" s="41">
        <f t="shared" si="42"/>
        <v>13065.151040484376</v>
      </c>
      <c r="AX58" s="41">
        <f t="shared" si="42"/>
        <v>13742.488109020263</v>
      </c>
      <c r="AY58" s="41">
        <f t="shared" si="42"/>
        <v>13709.909253326237</v>
      </c>
      <c r="AZ58" s="41">
        <f t="shared" si="42"/>
        <v>14335.736248634945</v>
      </c>
      <c r="BA58" s="41">
        <f t="shared" ref="BA58:BA59" si="43">SUM(AO58:AZ58)</f>
        <v>174973.20546077669</v>
      </c>
    </row>
    <row r="59" spans="1:53">
      <c r="A59" s="51" t="s">
        <v>13</v>
      </c>
      <c r="B59" s="42">
        <f t="shared" ref="B59:V59" si="44">(B26/B53*B57)/100000</f>
        <v>27.29730608891299</v>
      </c>
      <c r="C59" s="42">
        <f t="shared" si="44"/>
        <v>25.497946991295564</v>
      </c>
      <c r="D59" s="42">
        <f t="shared" si="44"/>
        <v>28.203087239994382</v>
      </c>
      <c r="E59" s="42">
        <f t="shared" si="44"/>
        <v>27.737330235486557</v>
      </c>
      <c r="F59" s="42">
        <f t="shared" si="44"/>
        <v>29.397626491414037</v>
      </c>
      <c r="G59" s="42">
        <f t="shared" si="44"/>
        <v>26.85337843764114</v>
      </c>
      <c r="H59" s="42">
        <f t="shared" si="44"/>
        <v>27.415556014053067</v>
      </c>
      <c r="I59" s="42">
        <f t="shared" si="44"/>
        <v>27.888008257871011</v>
      </c>
      <c r="J59" s="42">
        <f t="shared" si="44"/>
        <v>27.520283987932153</v>
      </c>
      <c r="K59" s="42">
        <f t="shared" si="44"/>
        <v>26.886764788709268</v>
      </c>
      <c r="L59" s="42">
        <f t="shared" si="44"/>
        <v>25.754982855905794</v>
      </c>
      <c r="M59" s="42">
        <f t="shared" si="44"/>
        <v>27.758997174428789</v>
      </c>
      <c r="N59" s="42">
        <f t="shared" si="44"/>
        <v>26.696342628388471</v>
      </c>
      <c r="O59" s="42">
        <f t="shared" si="44"/>
        <v>26.87321804406411</v>
      </c>
      <c r="P59" s="42">
        <f t="shared" si="44"/>
        <v>27.888183921163726</v>
      </c>
      <c r="Q59" s="42">
        <f t="shared" si="44"/>
        <v>29.544009040701003</v>
      </c>
      <c r="R59" s="42">
        <f t="shared" si="44"/>
        <v>28.016675564247503</v>
      </c>
      <c r="S59" s="42">
        <f t="shared" si="44"/>
        <v>26.964750877209003</v>
      </c>
      <c r="T59" s="42">
        <f t="shared" si="44"/>
        <v>28.226993532106924</v>
      </c>
      <c r="U59" s="42">
        <f t="shared" si="44"/>
        <v>29.217188027914943</v>
      </c>
      <c r="V59" s="42">
        <f t="shared" si="44"/>
        <v>29.517613789986196</v>
      </c>
      <c r="W59" s="42">
        <f t="shared" ref="W59:X59" si="45">(W26/W53*W57)/100000</f>
        <v>26.505511711611398</v>
      </c>
      <c r="X59" s="42">
        <f t="shared" si="45"/>
        <v>27.19725614049856</v>
      </c>
      <c r="Y59" s="42">
        <f t="shared" ref="Y59" si="46">(Y26/Y53*Y57)/100000</f>
        <v>28.902192117255591</v>
      </c>
      <c r="AA59" s="42">
        <f t="shared" ref="AA59:AL59" si="47">(AA26/AA53*AA57)/100000</f>
        <v>32.331296484645058</v>
      </c>
      <c r="AB59" s="42">
        <f t="shared" si="47"/>
        <v>27.132437952629999</v>
      </c>
      <c r="AC59" s="42">
        <f t="shared" si="47"/>
        <v>30.435332937143539</v>
      </c>
      <c r="AD59" s="42">
        <f t="shared" si="47"/>
        <v>30.222538320420757</v>
      </c>
      <c r="AE59" s="42">
        <f t="shared" si="47"/>
        <v>41.223220260284293</v>
      </c>
      <c r="AF59" s="42">
        <f t="shared" si="47"/>
        <v>45.514486854446467</v>
      </c>
      <c r="AG59" s="42">
        <f t="shared" si="47"/>
        <v>46.0950837227956</v>
      </c>
      <c r="AH59" s="42">
        <f t="shared" si="47"/>
        <v>47.017215934720149</v>
      </c>
      <c r="AI59" s="42">
        <f t="shared" si="47"/>
        <v>47.511386142119392</v>
      </c>
      <c r="AJ59" s="42">
        <f t="shared" si="47"/>
        <v>46.075939038934159</v>
      </c>
      <c r="AK59" s="42">
        <f t="shared" si="47"/>
        <v>46.413457055792762</v>
      </c>
      <c r="AL59" s="42">
        <f t="shared" si="47"/>
        <v>50.754415705551942</v>
      </c>
      <c r="AO59" s="41">
        <f t="shared" ref="AO59:AZ59" si="48">SUM(AO41,AO32,AO23,AO14,AO50)</f>
        <v>1603.0107571000001</v>
      </c>
      <c r="AP59" s="41">
        <f t="shared" si="48"/>
        <v>1634.3517028999997</v>
      </c>
      <c r="AQ59" s="41">
        <f t="shared" si="48"/>
        <v>1643.3412936000002</v>
      </c>
      <c r="AR59" s="41">
        <f t="shared" si="48"/>
        <v>1674.2519284000007</v>
      </c>
      <c r="AS59" s="41">
        <f t="shared" si="48"/>
        <v>1662.2723856999999</v>
      </c>
      <c r="AT59" s="41">
        <f t="shared" si="48"/>
        <v>1656.7310290999992</v>
      </c>
      <c r="AU59" s="41">
        <f t="shared" si="48"/>
        <v>1753.8064325999994</v>
      </c>
      <c r="AV59" s="41">
        <f t="shared" si="48"/>
        <v>1654.3333754000023</v>
      </c>
      <c r="AW59" s="41">
        <f t="shared" si="48"/>
        <v>1560.9989794999981</v>
      </c>
      <c r="AX59" s="41">
        <f t="shared" si="48"/>
        <v>1523.384147199999</v>
      </c>
      <c r="AY59" s="41">
        <f t="shared" si="48"/>
        <v>1551.8212590100013</v>
      </c>
      <c r="AZ59" s="41">
        <f t="shared" si="48"/>
        <v>1723.5479945001143</v>
      </c>
      <c r="BA59" s="41">
        <f t="shared" si="43"/>
        <v>19641.851285010114</v>
      </c>
    </row>
    <row r="60" spans="1:53">
      <c r="A60" s="51" t="s">
        <v>14</v>
      </c>
      <c r="B60" s="42">
        <f t="shared" ref="B60:V60" si="49">(B35/B53*B57)/100000</f>
        <v>7.6413511550224911</v>
      </c>
      <c r="C60" s="42">
        <f t="shared" si="49"/>
        <v>7.2639068329411769</v>
      </c>
      <c r="D60" s="42">
        <f t="shared" si="49"/>
        <v>7.9607449467302338</v>
      </c>
      <c r="E60" s="42">
        <f t="shared" si="49"/>
        <v>7.7601604439546517</v>
      </c>
      <c r="F60" s="42">
        <f t="shared" si="49"/>
        <v>7.2239382221529587</v>
      </c>
      <c r="G60" s="42">
        <f t="shared" si="49"/>
        <v>6.4331786167301939</v>
      </c>
      <c r="H60" s="42">
        <f t="shared" si="49"/>
        <v>6.9300836403972141</v>
      </c>
      <c r="I60" s="42">
        <f t="shared" si="49"/>
        <v>6.3693891945629915</v>
      </c>
      <c r="J60" s="42">
        <f t="shared" si="49"/>
        <v>6.4546508287260922</v>
      </c>
      <c r="K60" s="42">
        <f t="shared" si="49"/>
        <v>6.8884033271336937</v>
      </c>
      <c r="L60" s="42">
        <f t="shared" si="49"/>
        <v>6.5167294693326658</v>
      </c>
      <c r="M60" s="42">
        <f t="shared" si="49"/>
        <v>7.144924490113846</v>
      </c>
      <c r="N60" s="42">
        <f t="shared" si="49"/>
        <v>8.0161968712018936</v>
      </c>
      <c r="O60" s="42">
        <f t="shared" si="49"/>
        <v>8.4897431698390289</v>
      </c>
      <c r="P60" s="42">
        <f t="shared" si="49"/>
        <v>8.325773217912813</v>
      </c>
      <c r="Q60" s="42">
        <f t="shared" si="49"/>
        <v>8.5432810303469289</v>
      </c>
      <c r="R60" s="42">
        <f t="shared" si="49"/>
        <v>7.7866509742595245</v>
      </c>
      <c r="S60" s="42">
        <f t="shared" si="49"/>
        <v>7.664730436846658</v>
      </c>
      <c r="T60" s="42">
        <f t="shared" si="49"/>
        <v>8.0988215188198307</v>
      </c>
      <c r="U60" s="42">
        <f t="shared" si="49"/>
        <v>8.3144269475344572</v>
      </c>
      <c r="V60" s="42">
        <f t="shared" si="49"/>
        <v>8.4389524965282696</v>
      </c>
      <c r="W60" s="42">
        <f t="shared" ref="W60:X60" si="50">(W35/W53*W57)/100000</f>
        <v>8.6914286650417178</v>
      </c>
      <c r="X60" s="42">
        <f t="shared" si="50"/>
        <v>8.0182049708777043</v>
      </c>
      <c r="Y60" s="42">
        <f t="shared" ref="Y60" si="51">(Y35/Y53*Y57)/100000</f>
        <v>8.5944680673879041</v>
      </c>
      <c r="AA60" s="42">
        <f t="shared" ref="AA60:AL60" si="52">(AA35/AA53*AA57)/100000</f>
        <v>8.4274703285253203</v>
      </c>
      <c r="AB60" s="42">
        <f t="shared" si="52"/>
        <v>8.3259288103128046</v>
      </c>
      <c r="AC60" s="42">
        <f t="shared" si="52"/>
        <v>7.9712017897977834</v>
      </c>
      <c r="AD60" s="42">
        <f t="shared" si="52"/>
        <v>7.9469917610381327</v>
      </c>
      <c r="AE60" s="42">
        <f t="shared" si="52"/>
        <v>12.068179084298686</v>
      </c>
      <c r="AF60" s="42">
        <f t="shared" si="52"/>
        <v>11.682052185252914</v>
      </c>
      <c r="AG60" s="42">
        <f t="shared" si="52"/>
        <v>10.655030938817346</v>
      </c>
      <c r="AH60" s="42">
        <f t="shared" si="52"/>
        <v>10.101549485882911</v>
      </c>
      <c r="AI60" s="42">
        <f t="shared" si="52"/>
        <v>10.384514267100993</v>
      </c>
      <c r="AJ60" s="42">
        <f t="shared" si="52"/>
        <v>10.955882073360916</v>
      </c>
      <c r="AK60" s="42">
        <f t="shared" si="52"/>
        <v>10.888065585962858</v>
      </c>
      <c r="AL60" s="42">
        <f t="shared" si="52"/>
        <v>11.543724071667981</v>
      </c>
      <c r="AO60" s="49"/>
      <c r="AP60" s="49"/>
      <c r="AQ60" s="49"/>
      <c r="AR60" s="49"/>
      <c r="AS60" s="49"/>
      <c r="AT60" s="105"/>
      <c r="AU60" s="49"/>
      <c r="AV60" s="49"/>
      <c r="AW60" s="49"/>
      <c r="AX60" s="49"/>
      <c r="AY60" s="49"/>
      <c r="AZ60" s="49"/>
      <c r="BA60" s="49"/>
    </row>
    <row r="61" spans="1:53">
      <c r="A61" s="51" t="s">
        <v>15</v>
      </c>
      <c r="B61" s="42">
        <f t="shared" ref="B61:V61" si="53">(B44/B53*B57)/100000</f>
        <v>5.9836200160196773</v>
      </c>
      <c r="C61" s="42">
        <f t="shared" si="53"/>
        <v>5.4516437785059537</v>
      </c>
      <c r="D61" s="42">
        <f t="shared" si="53"/>
        <v>6.3313052987742502</v>
      </c>
      <c r="E61" s="42">
        <f t="shared" si="53"/>
        <v>6.1871549485584385</v>
      </c>
      <c r="F61" s="42">
        <f t="shared" si="53"/>
        <v>5.8399837416983917</v>
      </c>
      <c r="G61" s="42">
        <f t="shared" si="53"/>
        <v>6.3267864676111714</v>
      </c>
      <c r="H61" s="42">
        <f t="shared" si="53"/>
        <v>5.9794648373689059</v>
      </c>
      <c r="I61" s="42">
        <f t="shared" si="53"/>
        <v>6.476181348723328</v>
      </c>
      <c r="J61" s="42">
        <f t="shared" si="53"/>
        <v>5.0683678666474208</v>
      </c>
      <c r="K61" s="42">
        <f t="shared" si="53"/>
        <v>6.2144606741185529</v>
      </c>
      <c r="L61" s="42">
        <f t="shared" si="53"/>
        <v>6.1641072712002005</v>
      </c>
      <c r="M61" s="42">
        <f t="shared" si="53"/>
        <v>5.8483551810970473</v>
      </c>
      <c r="N61" s="42">
        <f t="shared" si="53"/>
        <v>6.5209099207047236</v>
      </c>
      <c r="O61" s="42">
        <f t="shared" si="53"/>
        <v>5.9303890704043525</v>
      </c>
      <c r="P61" s="42">
        <f t="shared" si="53"/>
        <v>7.3928938261837427</v>
      </c>
      <c r="Q61" s="42">
        <f t="shared" si="53"/>
        <v>6.3117731365369529</v>
      </c>
      <c r="R61" s="42">
        <f t="shared" si="53"/>
        <v>6.5096957342740041</v>
      </c>
      <c r="S61" s="42">
        <f t="shared" si="53"/>
        <v>6.5524344631617861</v>
      </c>
      <c r="T61" s="42">
        <f t="shared" si="53"/>
        <v>5.8177772928769995</v>
      </c>
      <c r="U61" s="42">
        <f t="shared" si="53"/>
        <v>5.9440859317899859</v>
      </c>
      <c r="V61" s="42">
        <f t="shared" si="53"/>
        <v>5.6908641502763828</v>
      </c>
      <c r="W61" s="42">
        <f t="shared" ref="W61:X61" si="54">(W44/W53*W57)/100000</f>
        <v>6.371731707391576</v>
      </c>
      <c r="X61" s="42">
        <f t="shared" si="54"/>
        <v>6.0858588329560614</v>
      </c>
      <c r="Y61" s="42">
        <f t="shared" ref="Y61" si="55">(Y44/Y53*Y57)/100000</f>
        <v>6.7288917346160471</v>
      </c>
      <c r="AA61" s="42">
        <f t="shared" ref="AA61:AL61" si="56">(AA44/AA53*AA57)/100000</f>
        <v>9.0506190467293752</v>
      </c>
      <c r="AB61" s="42">
        <f t="shared" si="56"/>
        <v>9.1328932072353801</v>
      </c>
      <c r="AC61" s="42">
        <f t="shared" si="56"/>
        <v>9.1938285530767185</v>
      </c>
      <c r="AD61" s="42">
        <f t="shared" si="56"/>
        <v>9.998759618196102</v>
      </c>
      <c r="AE61" s="42">
        <f t="shared" si="56"/>
        <v>13.144850756995202</v>
      </c>
      <c r="AF61" s="42">
        <f t="shared" si="56"/>
        <v>13.657297121732235</v>
      </c>
      <c r="AG61" s="42">
        <f t="shared" si="56"/>
        <v>14.941684571544997</v>
      </c>
      <c r="AH61" s="42">
        <f t="shared" si="56"/>
        <v>14.712541548104138</v>
      </c>
      <c r="AI61" s="42">
        <f t="shared" si="56"/>
        <v>15.922549480599656</v>
      </c>
      <c r="AJ61" s="42">
        <f t="shared" si="56"/>
        <v>15.167174245388363</v>
      </c>
      <c r="AK61" s="42">
        <f t="shared" si="56"/>
        <v>13.567065753711686</v>
      </c>
      <c r="AL61" s="42">
        <f t="shared" si="56"/>
        <v>13.974899442116367</v>
      </c>
      <c r="AO61" s="54">
        <f>SUM(AO43,AO34,AO25,AO16,AO52)</f>
        <v>1283835</v>
      </c>
      <c r="AP61" s="54">
        <f>SUM(AP43,AP34,AP25,AP16,AP52)</f>
        <v>1333828</v>
      </c>
      <c r="AQ61" s="54">
        <f t="shared" ref="AQ61:AZ61" si="57">SUM(AQ43,AQ34,AQ25,AQ16,AQ52)</f>
        <v>1171932</v>
      </c>
      <c r="AR61" s="54">
        <f t="shared" si="57"/>
        <v>1346201</v>
      </c>
      <c r="AS61" s="54">
        <f t="shared" si="57"/>
        <v>1392346</v>
      </c>
      <c r="AT61" s="54">
        <f t="shared" si="57"/>
        <v>1340199</v>
      </c>
      <c r="AU61" s="54">
        <f t="shared" si="57"/>
        <v>1285740</v>
      </c>
      <c r="AV61" s="54">
        <f t="shared" si="57"/>
        <v>1198782</v>
      </c>
      <c r="AW61" s="54">
        <f t="shared" si="57"/>
        <v>1204241</v>
      </c>
      <c r="AX61" s="54">
        <f t="shared" si="57"/>
        <v>1237733</v>
      </c>
      <c r="AY61" s="54">
        <f t="shared" si="57"/>
        <v>1312756</v>
      </c>
      <c r="AZ61" s="54">
        <f t="shared" si="57"/>
        <v>1334757</v>
      </c>
      <c r="BA61" s="54">
        <f>SUM(AO61:AZ61)</f>
        <v>15442350</v>
      </c>
    </row>
    <row r="62" spans="1:53" s="27" customFormat="1">
      <c r="A62" s="27" t="s">
        <v>21</v>
      </c>
      <c r="B62" s="56">
        <f t="shared" ref="B62:V62" si="58">SUM(B58:B61)</f>
        <v>81.528796207719296</v>
      </c>
      <c r="C62" s="56">
        <f t="shared" si="58"/>
        <v>77.481672884705887</v>
      </c>
      <c r="D62" s="56">
        <f t="shared" si="58"/>
        <v>79.218329551372548</v>
      </c>
      <c r="E62" s="56">
        <f t="shared" si="58"/>
        <v>83.466667786666676</v>
      </c>
      <c r="F62" s="56">
        <f t="shared" si="58"/>
        <v>83.234976610196085</v>
      </c>
      <c r="G62" s="56">
        <f t="shared" si="58"/>
        <v>78.900417786666679</v>
      </c>
      <c r="H62" s="56">
        <f t="shared" si="58"/>
        <v>81.600827786666684</v>
      </c>
      <c r="I62" s="56">
        <f t="shared" si="58"/>
        <v>84.365801786666665</v>
      </c>
      <c r="J62" s="56">
        <f t="shared" si="58"/>
        <v>81.299261120000011</v>
      </c>
      <c r="K62" s="56">
        <f t="shared" si="58"/>
        <v>82.937511120000011</v>
      </c>
      <c r="L62" s="56">
        <f t="shared" si="58"/>
        <v>81.191261119999993</v>
      </c>
      <c r="M62" s="56">
        <f t="shared" si="58"/>
        <v>86.628761120000021</v>
      </c>
      <c r="N62" s="56">
        <f t="shared" si="58"/>
        <v>89.15557266305801</v>
      </c>
      <c r="O62" s="56">
        <f t="shared" si="58"/>
        <v>88.173404945666675</v>
      </c>
      <c r="P62" s="56">
        <f t="shared" si="58"/>
        <v>88.61652808349659</v>
      </c>
      <c r="Q62" s="56">
        <f t="shared" si="58"/>
        <v>93.26836391118394</v>
      </c>
      <c r="R62" s="56">
        <f t="shared" si="58"/>
        <v>88.69980936008109</v>
      </c>
      <c r="S62" s="56">
        <f t="shared" si="58"/>
        <v>88.626394945666689</v>
      </c>
      <c r="T62" s="56">
        <f t="shared" si="58"/>
        <v>89.317370163057987</v>
      </c>
      <c r="U62" s="56">
        <f t="shared" si="58"/>
        <v>90.488679945666675</v>
      </c>
      <c r="V62" s="56">
        <f t="shared" si="58"/>
        <v>88.837384577472406</v>
      </c>
      <c r="W62" s="56">
        <f t="shared" ref="W62:X62" si="59">SUM(W58:W61)</f>
        <v>90.713533911183916</v>
      </c>
      <c r="X62" s="56">
        <f t="shared" si="59"/>
        <v>89.025455877343703</v>
      </c>
      <c r="Y62" s="56">
        <f t="shared" ref="Y62" si="60">SUM(Y58:Y61)</f>
        <v>95.044705686407411</v>
      </c>
      <c r="AA62" s="56">
        <f t="shared" ref="AA62:AI62" si="61">SUM(AA58:AA61)</f>
        <v>103.69408866251632</v>
      </c>
      <c r="AB62" s="56">
        <f t="shared" si="61"/>
        <v>98.387856778458342</v>
      </c>
      <c r="AC62" s="56">
        <f t="shared" si="61"/>
        <v>96.753411995849646</v>
      </c>
      <c r="AD62" s="56">
        <f t="shared" si="61"/>
        <v>102.1236356673472</v>
      </c>
      <c r="AE62" s="56">
        <f t="shared" si="61"/>
        <v>147.40882813127851</v>
      </c>
      <c r="AF62" s="56">
        <f t="shared" si="61"/>
        <v>147.27284849947276</v>
      </c>
      <c r="AG62" s="56">
        <f t="shared" si="61"/>
        <v>149.19162371686411</v>
      </c>
      <c r="AH62" s="56">
        <f t="shared" si="61"/>
        <v>149.36048349947279</v>
      </c>
      <c r="AI62" s="56">
        <f t="shared" si="61"/>
        <v>148.06133813127849</v>
      </c>
      <c r="AJ62" s="56">
        <f t="shared" ref="AJ62:AL62" si="62">SUM(AJ58:AJ61)</f>
        <v>150.1544973883617</v>
      </c>
      <c r="AK62" s="56">
        <f t="shared" si="62"/>
        <v>147.46192371686408</v>
      </c>
      <c r="AL62" s="56">
        <f t="shared" si="62"/>
        <v>155.88100664762092</v>
      </c>
      <c r="AO62" s="54">
        <f>SUM(AO44,AO35,AO26,AO17,AO53)</f>
        <v>14895</v>
      </c>
      <c r="AP62" s="54">
        <f t="shared" ref="AP62:AZ62" si="63">SUM(AP44,AP35,AP26,AP17,AP53)</f>
        <v>15665</v>
      </c>
      <c r="AQ62" s="54">
        <f t="shared" si="63"/>
        <v>13893</v>
      </c>
      <c r="AR62" s="54">
        <f t="shared" si="63"/>
        <v>15938</v>
      </c>
      <c r="AS62" s="54">
        <f t="shared" si="63"/>
        <v>16272</v>
      </c>
      <c r="AT62" s="54">
        <f t="shared" si="63"/>
        <v>15826</v>
      </c>
      <c r="AU62" s="54">
        <f t="shared" si="63"/>
        <v>15174</v>
      </c>
      <c r="AV62" s="54">
        <f t="shared" si="63"/>
        <v>14463</v>
      </c>
      <c r="AW62" s="54">
        <f t="shared" si="63"/>
        <v>14224</v>
      </c>
      <c r="AX62" s="54">
        <f t="shared" si="63"/>
        <v>14651</v>
      </c>
      <c r="AY62" s="54">
        <f t="shared" si="63"/>
        <v>15471</v>
      </c>
      <c r="AZ62" s="54">
        <f t="shared" si="63"/>
        <v>15711</v>
      </c>
      <c r="BA62" s="54">
        <f>SUM(AO62:AZ62)</f>
        <v>182183</v>
      </c>
    </row>
    <row r="63" spans="1:53">
      <c r="B63" s="22"/>
      <c r="C63" s="22"/>
      <c r="D63" s="22"/>
      <c r="E63" s="22"/>
      <c r="F63" s="22"/>
      <c r="AO63" s="54">
        <f>SUM(AO45,AO36,AO27,AO18,AO54)</f>
        <v>1609.9447213324861</v>
      </c>
      <c r="AP63" s="54">
        <f t="shared" ref="AP63:AZ63" si="64">SUM(AP45,AP36,AP27,AP18,AP54)</f>
        <v>1596.8162218954324</v>
      </c>
      <c r="AQ63" s="54">
        <f t="shared" si="64"/>
        <v>1590.1204497605668</v>
      </c>
      <c r="AR63" s="54">
        <f t="shared" si="64"/>
        <v>1725.6678959700509</v>
      </c>
      <c r="AS63" s="54">
        <f t="shared" si="64"/>
        <v>1724.9788854343956</v>
      </c>
      <c r="AT63" s="54">
        <f t="shared" si="64"/>
        <v>1702.4297112129098</v>
      </c>
      <c r="AU63" s="54">
        <f t="shared" si="64"/>
        <v>1631.3617119884382</v>
      </c>
      <c r="AV63" s="54">
        <f t="shared" si="64"/>
        <v>1660.5211064804455</v>
      </c>
      <c r="AW63" s="54">
        <f t="shared" si="64"/>
        <v>1640.1078568732628</v>
      </c>
      <c r="AX63" s="54">
        <f t="shared" si="64"/>
        <v>1915.7130551321497</v>
      </c>
      <c r="AY63" s="54">
        <f t="shared" si="64"/>
        <v>1899.2217428148479</v>
      </c>
      <c r="AZ63" s="54">
        <f t="shared" si="64"/>
        <v>1948.348173910287</v>
      </c>
      <c r="BA63" s="54">
        <f>SUM(AO63:AZ63)</f>
        <v>20645.231532805272</v>
      </c>
    </row>
    <row r="64" spans="1:53">
      <c r="B64" s="22"/>
      <c r="C64" s="22"/>
      <c r="D64" s="22"/>
      <c r="E64" s="22"/>
      <c r="F64" s="22"/>
      <c r="AO64" s="103" t="s">
        <v>69</v>
      </c>
    </row>
    <row r="65" spans="2:53">
      <c r="B65" s="22"/>
      <c r="C65" s="22"/>
      <c r="D65" s="22"/>
      <c r="E65" s="22"/>
      <c r="F65" s="22"/>
      <c r="AO65" s="29" t="s">
        <v>61</v>
      </c>
      <c r="AP65" s="29" t="s">
        <v>62</v>
      </c>
      <c r="AQ65" s="29" t="s">
        <v>63</v>
      </c>
      <c r="AR65" s="29" t="s">
        <v>64</v>
      </c>
      <c r="AS65" s="29" t="s">
        <v>65</v>
      </c>
      <c r="AT65" s="29" t="s">
        <v>70</v>
      </c>
      <c r="AU65" s="29" t="s">
        <v>71</v>
      </c>
      <c r="AV65" s="29" t="s">
        <v>72</v>
      </c>
      <c r="AW65" s="29" t="s">
        <v>73</v>
      </c>
      <c r="AX65" s="29" t="s">
        <v>74</v>
      </c>
      <c r="AY65" s="29" t="s">
        <v>75</v>
      </c>
      <c r="AZ65" s="29" t="s">
        <v>76</v>
      </c>
      <c r="BA65" s="29" t="s">
        <v>149</v>
      </c>
    </row>
    <row r="66" spans="2:53">
      <c r="B66" s="22"/>
      <c r="C66" s="22"/>
      <c r="D66" s="22"/>
      <c r="E66" s="22"/>
      <c r="F66" s="22"/>
      <c r="AN66" s="27" t="s">
        <v>57</v>
      </c>
      <c r="AO66" s="107">
        <f>[17]HO!B86/100000</f>
        <v>144.03386368582278</v>
      </c>
      <c r="AP66" s="107">
        <f>[17]HO!C86/100000</f>
        <v>135.57483418271718</v>
      </c>
      <c r="AQ66" s="107">
        <f>[17]HO!D86/100000</f>
        <v>133.98486368582277</v>
      </c>
      <c r="AR66" s="107">
        <f>[17]HO!E86/100000</f>
        <v>173.50845513509813</v>
      </c>
      <c r="AS66" s="107">
        <f>[18]HO!F86/100000</f>
        <v>139.31337333833244</v>
      </c>
      <c r="AT66" s="107">
        <f>[18]HO!G86/100000</f>
        <v>138.64371513509815</v>
      </c>
      <c r="AU66" s="107">
        <f>[18]HO!H86/100000</f>
        <v>137.88528035248947</v>
      </c>
      <c r="AV66" s="107">
        <f>[18]HO!I86/100000</f>
        <v>139.82721513509816</v>
      </c>
      <c r="AW66" s="107">
        <f>[18]HO!J86/100000</f>
        <v>171.24552333833245</v>
      </c>
      <c r="AX66" s="107">
        <f>[18]HO!K86/100000</f>
        <v>141.10171513509815</v>
      </c>
      <c r="AY66" s="107">
        <f>[18]HO!L86/100000</f>
        <v>139.68145892391803</v>
      </c>
      <c r="AZ66" s="107">
        <f>[18]HO!M86/100000</f>
        <v>153.13337030751194</v>
      </c>
      <c r="BA66" s="44">
        <f>SUM(AO66:AZ66)</f>
        <v>1747.9336683553397</v>
      </c>
    </row>
    <row r="67" spans="2:53">
      <c r="AN67" s="51" t="s">
        <v>0</v>
      </c>
      <c r="AO67" s="42">
        <f>(AO66/AO62*AO17)</f>
        <v>77.224198415238718</v>
      </c>
      <c r="AP67" s="42">
        <f t="shared" ref="AP67:AZ67" si="65">(AP66/AP62*AP17)</f>
        <v>71.937313867012136</v>
      </c>
      <c r="AQ67" s="42">
        <f t="shared" si="65"/>
        <v>64.084749096112603</v>
      </c>
      <c r="AR67" s="42">
        <f>(AR66/AR62*AR17)</f>
        <v>92.665577243691502</v>
      </c>
      <c r="AS67" s="42">
        <f>(AS66/AS62*AS17)</f>
        <v>71.831317742662804</v>
      </c>
      <c r="AT67" s="42">
        <f t="shared" si="65"/>
        <v>70.180386828464009</v>
      </c>
      <c r="AU67" s="42">
        <f t="shared" si="65"/>
        <v>70.360203358990773</v>
      </c>
      <c r="AV67" s="42">
        <f t="shared" si="65"/>
        <v>71.678004080178226</v>
      </c>
      <c r="AW67" s="42">
        <f t="shared" si="65"/>
        <v>88.524207895582009</v>
      </c>
      <c r="AX67" s="42">
        <f t="shared" si="65"/>
        <v>72.164026449204187</v>
      </c>
      <c r="AY67" s="42">
        <f t="shared" si="65"/>
        <v>71.957935984980082</v>
      </c>
      <c r="AZ67" s="42">
        <f t="shared" si="65"/>
        <v>77.96536369994196</v>
      </c>
    </row>
    <row r="68" spans="2:53">
      <c r="AN68" s="51" t="s">
        <v>13</v>
      </c>
      <c r="AO68" s="42">
        <f>(AO66/AO62*AO26)</f>
        <v>42.663807088408866</v>
      </c>
      <c r="AP68" s="42">
        <f t="shared" ref="AP68:AZ68" si="66">(AP66/AP62*AP26)</f>
        <v>39.612257647896364</v>
      </c>
      <c r="AQ68" s="42">
        <f t="shared" si="66"/>
        <v>45.56816244983176</v>
      </c>
      <c r="AR68" s="42">
        <f t="shared" si="66"/>
        <v>51.558291097993774</v>
      </c>
      <c r="AS68" s="42">
        <f t="shared" si="66"/>
        <v>43.021736788662764</v>
      </c>
      <c r="AT68" s="42">
        <f t="shared" si="66"/>
        <v>43.758710798674038</v>
      </c>
      <c r="AU68" s="42">
        <f t="shared" si="66"/>
        <v>43.699111191190319</v>
      </c>
      <c r="AV68" s="42">
        <f t="shared" si="66"/>
        <v>43.689358030526762</v>
      </c>
      <c r="AW68" s="42">
        <f t="shared" si="66"/>
        <v>53.45403006342773</v>
      </c>
      <c r="AX68" s="42">
        <f t="shared" si="66"/>
        <v>43.338865477301326</v>
      </c>
      <c r="AY68" s="42">
        <f t="shared" si="66"/>
        <v>42.949046609855735</v>
      </c>
      <c r="AZ68" s="42">
        <f t="shared" si="66"/>
        <v>47.018991685025625</v>
      </c>
    </row>
    <row r="69" spans="2:53">
      <c r="AN69" s="51" t="s">
        <v>14</v>
      </c>
      <c r="AO69" s="42">
        <f>(AO66/AO62*AO35)</f>
        <v>10.907700452340254</v>
      </c>
      <c r="AP69" s="42">
        <f t="shared" ref="AP69:AZ69" si="67">(AP66/AP62*AP35)</f>
        <v>11.813574762809379</v>
      </c>
      <c r="AQ69" s="42">
        <f t="shared" si="67"/>
        <v>11.881476431363541</v>
      </c>
      <c r="AR69" s="42">
        <f t="shared" si="67"/>
        <v>14.076197295123722</v>
      </c>
      <c r="AS69" s="42">
        <f t="shared" si="67"/>
        <v>12.123140157760492</v>
      </c>
      <c r="AT69" s="42">
        <f t="shared" si="67"/>
        <v>12.150817192744922</v>
      </c>
      <c r="AU69" s="42">
        <f t="shared" si="67"/>
        <v>11.794852635925356</v>
      </c>
      <c r="AV69" s="42">
        <f t="shared" si="67"/>
        <v>11.649850946400697</v>
      </c>
      <c r="AW69" s="42">
        <f t="shared" si="67"/>
        <v>14.230329624993599</v>
      </c>
      <c r="AX69" s="42">
        <f t="shared" si="67"/>
        <v>12.221560064598973</v>
      </c>
      <c r="AY69" s="42">
        <f t="shared" si="67"/>
        <v>11.619807228691261</v>
      </c>
      <c r="AZ69" s="42">
        <f t="shared" si="67"/>
        <v>13.275262577737335</v>
      </c>
    </row>
    <row r="70" spans="2:53">
      <c r="AN70" s="51" t="s">
        <v>15</v>
      </c>
      <c r="AO70" s="42">
        <f>(AO66/AO62*AO44)</f>
        <v>13.238157729834937</v>
      </c>
      <c r="AP70" s="42">
        <f t="shared" ref="AP70:AZ70" si="68">(AP66/AP62*AP44)</f>
        <v>12.211687904999293</v>
      </c>
      <c r="AQ70" s="42">
        <f t="shared" si="68"/>
        <v>12.45047570851488</v>
      </c>
      <c r="AR70" s="42">
        <f t="shared" si="68"/>
        <v>15.208389498289126</v>
      </c>
      <c r="AS70" s="42">
        <f t="shared" si="68"/>
        <v>12.337178649246377</v>
      </c>
      <c r="AT70" s="42">
        <f t="shared" si="68"/>
        <v>12.553800315215195</v>
      </c>
      <c r="AU70" s="42">
        <f t="shared" si="68"/>
        <v>12.031113166383028</v>
      </c>
      <c r="AV70" s="42">
        <f t="shared" si="68"/>
        <v>12.810002077992468</v>
      </c>
      <c r="AW70" s="42">
        <f t="shared" si="68"/>
        <v>15.036955754329108</v>
      </c>
      <c r="AX70" s="42">
        <f t="shared" si="68"/>
        <v>13.377263143993675</v>
      </c>
      <c r="AY70" s="42">
        <f t="shared" si="68"/>
        <v>13.154669100390963</v>
      </c>
      <c r="AZ70" s="42">
        <f t="shared" si="68"/>
        <v>14.873752344807029</v>
      </c>
    </row>
    <row r="71" spans="2:53">
      <c r="AN71" s="51" t="s">
        <v>124</v>
      </c>
      <c r="AO71" s="108">
        <f>(AO66/AO62*AO53)</f>
        <v>0</v>
      </c>
      <c r="AP71" s="108">
        <f t="shared" ref="AP71:AZ71" si="69">(AP66/AP62*AP53)</f>
        <v>0</v>
      </c>
      <c r="AQ71" s="108">
        <f t="shared" si="69"/>
        <v>0</v>
      </c>
      <c r="AR71" s="108">
        <f t="shared" si="69"/>
        <v>0</v>
      </c>
      <c r="AS71" s="108">
        <f t="shared" si="69"/>
        <v>0</v>
      </c>
      <c r="AT71" s="108">
        <f t="shared" si="69"/>
        <v>0</v>
      </c>
      <c r="AU71" s="108">
        <f t="shared" si="69"/>
        <v>0</v>
      </c>
      <c r="AV71" s="108">
        <f t="shared" si="69"/>
        <v>0</v>
      </c>
      <c r="AW71" s="108">
        <f t="shared" si="69"/>
        <v>0</v>
      </c>
      <c r="AX71" s="108">
        <f t="shared" si="69"/>
        <v>0</v>
      </c>
      <c r="AY71" s="108">
        <f t="shared" si="69"/>
        <v>0</v>
      </c>
      <c r="AZ71" s="108">
        <f t="shared" si="69"/>
        <v>0</v>
      </c>
      <c r="BA71" s="29"/>
    </row>
    <row r="72" spans="2:53">
      <c r="AO72" s="56">
        <f>SUM(AO67:AO71)</f>
        <v>144.03386368582278</v>
      </c>
      <c r="AP72" s="56">
        <f t="shared" ref="AP72:AZ72" si="70">SUM(AP67:AP71)</f>
        <v>135.57483418271718</v>
      </c>
      <c r="AQ72" s="56">
        <f t="shared" si="70"/>
        <v>133.98486368582277</v>
      </c>
      <c r="AR72" s="56">
        <f t="shared" si="70"/>
        <v>173.50845513509813</v>
      </c>
      <c r="AS72" s="56">
        <f t="shared" si="70"/>
        <v>139.31337333833244</v>
      </c>
      <c r="AT72" s="56">
        <f t="shared" si="70"/>
        <v>138.64371513509815</v>
      </c>
      <c r="AU72" s="56">
        <f t="shared" si="70"/>
        <v>137.88528035248947</v>
      </c>
      <c r="AV72" s="56">
        <f t="shared" si="70"/>
        <v>139.82721513509816</v>
      </c>
      <c r="AW72" s="56">
        <f t="shared" si="70"/>
        <v>171.24552333833245</v>
      </c>
      <c r="AX72" s="56">
        <f t="shared" si="70"/>
        <v>141.10171513509817</v>
      </c>
      <c r="AY72" s="56">
        <f t="shared" si="70"/>
        <v>139.68145892391806</v>
      </c>
      <c r="AZ72" s="56">
        <f t="shared" si="70"/>
        <v>153.13337030751194</v>
      </c>
      <c r="BA72" s="44">
        <f>SUM(AO72:AZ72)</f>
        <v>1747.9336683553397</v>
      </c>
    </row>
    <row r="74" spans="2:53">
      <c r="AN74" s="51" t="s">
        <v>150</v>
      </c>
      <c r="AO74" s="42">
        <f>[17]Summary!B86/100000</f>
        <v>1609.9447213324863</v>
      </c>
      <c r="AP74" s="42">
        <f>[17]Summary!C86/100000</f>
        <v>1596.8162218954324</v>
      </c>
      <c r="AQ74" s="42">
        <f>[17]Summary!D86/100000</f>
        <v>1590.120449760567</v>
      </c>
      <c r="AR74" s="42">
        <f>[17]Summary!E86/100000</f>
        <v>1725.6678959700516</v>
      </c>
      <c r="AS74" s="42">
        <f>[18]Summary!F86/100000</f>
        <v>1724.9788854343954</v>
      </c>
      <c r="AT74" s="42">
        <f>[18]Summary!G86/100000</f>
        <v>1702.4297112129098</v>
      </c>
      <c r="AU74" s="42">
        <f>[18]Summary!H86/100000</f>
        <v>1631.3617119884384</v>
      </c>
      <c r="AV74" s="42">
        <f>[18]Summary!I86/100000</f>
        <v>1660.5211064804455</v>
      </c>
      <c r="AW74" s="42">
        <f>[18]Summary!J86/100000</f>
        <v>1640.1078568732628</v>
      </c>
      <c r="AX74" s="42">
        <f>[18]Summary!K86/100000</f>
        <v>1915.7130551321497</v>
      </c>
      <c r="AY74" s="42">
        <f>[18]Summary!L86/100000</f>
        <v>1899.2217428148483</v>
      </c>
      <c r="AZ74" s="42">
        <f>[18]Summary!M86/100000</f>
        <v>1948.348173910287</v>
      </c>
      <c r="BA74" s="56">
        <f>SUM(AO74:AZ74)</f>
        <v>20645.231532805272</v>
      </c>
    </row>
    <row r="75" spans="2:53">
      <c r="AO75" s="42">
        <f>AO74-AO63</f>
        <v>0</v>
      </c>
      <c r="AP75" s="42">
        <f t="shared" ref="AP75:AZ75" si="71">AP74-AP63</f>
        <v>0</v>
      </c>
      <c r="AQ75" s="42">
        <f t="shared" si="71"/>
        <v>0</v>
      </c>
      <c r="AR75" s="42">
        <f t="shared" si="71"/>
        <v>0</v>
      </c>
      <c r="AS75" s="42">
        <f t="shared" si="71"/>
        <v>0</v>
      </c>
      <c r="AT75" s="42">
        <f t="shared" si="71"/>
        <v>0</v>
      </c>
      <c r="AU75" s="42">
        <f t="shared" si="71"/>
        <v>0</v>
      </c>
      <c r="AV75" s="42">
        <f t="shared" si="71"/>
        <v>0</v>
      </c>
      <c r="AW75" s="42">
        <f t="shared" si="71"/>
        <v>0</v>
      </c>
      <c r="AX75" s="42">
        <f t="shared" si="71"/>
        <v>0</v>
      </c>
      <c r="AY75" s="42">
        <f t="shared" si="71"/>
        <v>0</v>
      </c>
      <c r="AZ75" s="42">
        <f t="shared" si="7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N33" zoomScaleNormal="70" workbookViewId="0">
      <selection activeCell="AF9" sqref="AF9"/>
    </sheetView>
  </sheetViews>
  <sheetFormatPr defaultRowHeight="15"/>
  <cols>
    <col min="1" max="13" width="0" hidden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7" workbookViewId="0">
      <selection activeCell="A24" sqref="A24"/>
    </sheetView>
  </sheetViews>
  <sheetFormatPr defaultRowHeight="15"/>
  <cols>
    <col min="1" max="1" width="13.28515625" bestFit="1" customWidth="1"/>
    <col min="2" max="2" width="11" bestFit="1" customWidth="1"/>
    <col min="3" max="4" width="9.7109375" bestFit="1" customWidth="1"/>
  </cols>
  <sheetData>
    <row r="1" spans="1:14">
      <c r="A1" t="s">
        <v>120</v>
      </c>
      <c r="B1" s="29" t="s">
        <v>61</v>
      </c>
      <c r="C1" s="29" t="s">
        <v>62</v>
      </c>
      <c r="D1" s="29" t="s">
        <v>63</v>
      </c>
      <c r="E1" s="29" t="s">
        <v>64</v>
      </c>
      <c r="F1" s="29" t="s">
        <v>65</v>
      </c>
      <c r="G1" s="29" t="s">
        <v>70</v>
      </c>
      <c r="H1" s="31" t="s">
        <v>71</v>
      </c>
      <c r="I1" s="31" t="s">
        <v>72</v>
      </c>
      <c r="J1" s="31" t="s">
        <v>73</v>
      </c>
      <c r="K1" s="31" t="s">
        <v>74</v>
      </c>
      <c r="L1" s="31" t="s">
        <v>75</v>
      </c>
      <c r="M1" s="31" t="s">
        <v>76</v>
      </c>
    </row>
    <row r="2" spans="1:14">
      <c r="A2" t="s">
        <v>0</v>
      </c>
      <c r="B2" s="1">
        <f>'Production in Sqm'!AA12</f>
        <v>695689.69982671621</v>
      </c>
      <c r="C2" s="1">
        <f>'Production in Sqm'!AB12</f>
        <v>689018.50399262784</v>
      </c>
      <c r="D2" s="1">
        <f>'Production in Sqm'!AC12</f>
        <v>687047.4126107858</v>
      </c>
      <c r="E2" s="1">
        <f>'Production in Sqm'!AD12</f>
        <v>730303.17141227773</v>
      </c>
      <c r="F2" s="1">
        <f>'Production in Sqm'!AE12</f>
        <v>710298.0978988721</v>
      </c>
      <c r="G2" s="1">
        <f>'Production in Sqm'!AF12</f>
        <v>720191.89752895408</v>
      </c>
      <c r="H2" s="1">
        <f>'Production in Sqm'!AG12</f>
        <v>729559.33960933005</v>
      </c>
      <c r="I2" s="1">
        <f>'Production in Sqm'!AH12</f>
        <v>760864.65291489824</v>
      </c>
      <c r="J2" s="1">
        <f>'Production in Sqm'!AI12</f>
        <v>745136.96694499417</v>
      </c>
      <c r="K2" s="1">
        <f>'Production in Sqm'!AJ16</f>
        <v>668427.22756302671</v>
      </c>
      <c r="L2" s="1">
        <f>'Production in Sqm'!AK16</f>
        <v>678925.72081229719</v>
      </c>
      <c r="M2" s="1">
        <f>'Production in Sqm'!AL16</f>
        <v>702548.81967294798</v>
      </c>
      <c r="N2" s="1">
        <f>SUM(B2:M2)</f>
        <v>8518011.5107877292</v>
      </c>
    </row>
    <row r="3" spans="1:14">
      <c r="A3" t="s">
        <v>13</v>
      </c>
      <c r="B3" s="1">
        <f>'Production in Sqm'!AA21</f>
        <v>390363.80391687993</v>
      </c>
      <c r="C3" s="1">
        <f>'Production in Sqm'!AB21</f>
        <v>328636.24134797015</v>
      </c>
      <c r="D3" s="1">
        <f>'Production in Sqm'!AC21</f>
        <v>333918.92768122006</v>
      </c>
      <c r="E3" s="1">
        <f>'Production in Sqm'!AD21</f>
        <v>381737.52635184012</v>
      </c>
      <c r="F3" s="1">
        <f>'Production in Sqm'!AE21</f>
        <v>373444.64284354018</v>
      </c>
      <c r="G3" s="1">
        <f>'Production in Sqm'!AF21</f>
        <v>366055.40945411019</v>
      </c>
      <c r="H3" s="1">
        <f>'Production in Sqm'!AG21</f>
        <v>362779.53708484012</v>
      </c>
      <c r="I3" s="1">
        <f>'Production in Sqm'!AH21</f>
        <v>395291.12050026003</v>
      </c>
      <c r="J3" s="1">
        <f>'Production in Sqm'!AI21</f>
        <v>413135.77015532996</v>
      </c>
      <c r="K3" s="1">
        <f>'Production in Sqm'!AJ25</f>
        <v>381889.13232078316</v>
      </c>
      <c r="L3" s="1">
        <f>'Production in Sqm'!AK25</f>
        <v>397475.99887284235</v>
      </c>
      <c r="M3" s="1">
        <f>'Production in Sqm'!AL25</f>
        <v>430059.17580894125</v>
      </c>
      <c r="N3" s="1">
        <f>SUM(B3:M3)</f>
        <v>4554787.2863385575</v>
      </c>
    </row>
    <row r="4" spans="1:14">
      <c r="A4" t="s">
        <v>14</v>
      </c>
      <c r="B4" s="1">
        <f>'Production in Sqm'!AA30</f>
        <v>87516.001640000031</v>
      </c>
      <c r="C4" s="1">
        <f>'Production in Sqm'!AB30</f>
        <v>91781.811111999996</v>
      </c>
      <c r="D4" s="1">
        <f>'Production in Sqm'!AC30</f>
        <v>94455.996182999967</v>
      </c>
      <c r="E4" s="1">
        <f>'Production in Sqm'!AD30</f>
        <v>94121.270330999992</v>
      </c>
      <c r="F4" s="1">
        <f>'Production in Sqm'!AE30</f>
        <v>91222.925339000023</v>
      </c>
      <c r="G4" s="1">
        <f>'Production in Sqm'!AF30</f>
        <v>89680.710067999986</v>
      </c>
      <c r="H4" s="1">
        <f>'Production in Sqm'!AG30</f>
        <v>94333.322474199987</v>
      </c>
      <c r="I4" s="1">
        <f>'Production in Sqm'!AH30</f>
        <v>94704.400099299994</v>
      </c>
      <c r="J4" s="1">
        <f>'Production in Sqm'!AI30</f>
        <v>98242.610068879992</v>
      </c>
      <c r="K4" s="1">
        <f>'Production in Sqm'!AJ34</f>
        <v>83965.322180185787</v>
      </c>
      <c r="L4" s="1">
        <f>'Production in Sqm'!AK34</f>
        <v>86202.032680827208</v>
      </c>
      <c r="M4" s="1">
        <f>'Production in Sqm'!AL34</f>
        <v>89392.324162827194</v>
      </c>
      <c r="N4" s="1">
        <f>SUM(B4:M4)</f>
        <v>1095618.7263392201</v>
      </c>
    </row>
    <row r="5" spans="1:14">
      <c r="A5" t="s">
        <v>119</v>
      </c>
      <c r="B5" s="1">
        <f>'Production in Sqm'!AA39</f>
        <v>83955.332000000024</v>
      </c>
      <c r="C5" s="1">
        <f>'Production in Sqm'!AB39</f>
        <v>83194.406999999977</v>
      </c>
      <c r="D5" s="1">
        <f>'Production in Sqm'!AC39</f>
        <v>82083.593999999983</v>
      </c>
      <c r="E5" s="1">
        <f>'Production in Sqm'!AD39</f>
        <v>89027.991999999969</v>
      </c>
      <c r="F5" s="1">
        <f>'Production in Sqm'!AE39</f>
        <v>85695.775000000023</v>
      </c>
      <c r="G5" s="1">
        <f>'Production in Sqm'!AF39</f>
        <v>89019.77899999998</v>
      </c>
      <c r="H5" s="1">
        <f>'Production in Sqm'!AG39</f>
        <v>82234.361000000034</v>
      </c>
      <c r="I5" s="1">
        <f>'Production in Sqm'!AH39</f>
        <v>86865.352000000072</v>
      </c>
      <c r="J5" s="1">
        <f>'Production in Sqm'!AI39</f>
        <v>88934.521999999997</v>
      </c>
      <c r="K5" s="1">
        <f>'Production in Sqm'!AJ43</f>
        <v>86961.085118132949</v>
      </c>
      <c r="L5" s="1">
        <f>'Production in Sqm'!AK43</f>
        <v>81289.053187413941</v>
      </c>
      <c r="M5" s="1">
        <f>'Production in Sqm'!AL43</f>
        <v>81602.409497073982</v>
      </c>
      <c r="N5" s="1">
        <f>SUM(B5:M5)</f>
        <v>1020863.661802621</v>
      </c>
    </row>
    <row r="8" spans="1:14">
      <c r="A8" t="s">
        <v>121</v>
      </c>
      <c r="B8" s="29" t="s">
        <v>61</v>
      </c>
      <c r="C8" s="29" t="s">
        <v>62</v>
      </c>
      <c r="D8" s="29" t="s">
        <v>63</v>
      </c>
      <c r="E8" s="29" t="s">
        <v>64</v>
      </c>
      <c r="F8" s="29" t="s">
        <v>65</v>
      </c>
      <c r="G8" s="29" t="s">
        <v>70</v>
      </c>
      <c r="H8" s="31" t="s">
        <v>71</v>
      </c>
      <c r="I8" s="31" t="s">
        <v>72</v>
      </c>
      <c r="J8" s="31" t="s">
        <v>73</v>
      </c>
      <c r="K8" s="31" t="s">
        <v>74</v>
      </c>
      <c r="L8" s="31" t="s">
        <v>75</v>
      </c>
      <c r="M8" s="31" t="s">
        <v>76</v>
      </c>
    </row>
    <row r="9" spans="1:14">
      <c r="A9" t="s">
        <v>0</v>
      </c>
      <c r="B9" s="1">
        <f>[44]Sales!C18</f>
        <v>6786.2602552714025</v>
      </c>
      <c r="C9" s="1">
        <f>[44]Sales!D18</f>
        <v>7240.7036089343301</v>
      </c>
      <c r="D9" s="1">
        <f>[44]Sales!E18</f>
        <v>6652.3656758793022</v>
      </c>
      <c r="E9" s="1">
        <f>[44]Sales!F18</f>
        <v>7845.0656695264461</v>
      </c>
      <c r="F9" s="1">
        <f>[44]Sales!G18</f>
        <v>7895.0775401599667</v>
      </c>
      <c r="G9" s="1">
        <f>[44]Sales!H18</f>
        <v>7635.6412564393104</v>
      </c>
      <c r="H9" s="1">
        <f>[44]Sales!I18</f>
        <v>7305.0822209224689</v>
      </c>
      <c r="I9" s="1">
        <f>[44]Sales!J18</f>
        <v>7716.097759610434</v>
      </c>
      <c r="J9" s="1">
        <f>[44]Sales!K18</f>
        <v>6684.998312785141</v>
      </c>
      <c r="K9" s="1">
        <f>[44]Sales!L18</f>
        <v>7331.8827636167689</v>
      </c>
      <c r="L9" s="1">
        <f>[44]Sales!M18</f>
        <v>7458.8157933684488</v>
      </c>
      <c r="M9" s="1">
        <f>[44]Sales!N18</f>
        <v>7643.6523346858712</v>
      </c>
      <c r="N9" s="1">
        <f>SUM(B9:M9)</f>
        <v>88195.643191199895</v>
      </c>
    </row>
    <row r="10" spans="1:14">
      <c r="A10" t="s">
        <v>13</v>
      </c>
      <c r="B10" s="1">
        <f>[44]Sales!C19</f>
        <v>4131.1432036348651</v>
      </c>
      <c r="C10" s="1">
        <f>[44]Sales!D19</f>
        <v>3783.9071120131439</v>
      </c>
      <c r="D10" s="1">
        <f>[44]Sales!E19</f>
        <v>4139.902397071799</v>
      </c>
      <c r="E10" s="1">
        <f>[44]Sales!F19</f>
        <v>3965.7383087504427</v>
      </c>
      <c r="F10" s="1">
        <f>[44]Sales!G19</f>
        <v>4127.8931790340312</v>
      </c>
      <c r="G10" s="1">
        <f>[44]Sales!H19</f>
        <v>4063.9073664524567</v>
      </c>
      <c r="H10" s="1">
        <f>[44]Sales!I19</f>
        <v>4019.5512838867235</v>
      </c>
      <c r="I10" s="1">
        <f>[44]Sales!J19</f>
        <v>4296.1810169138871</v>
      </c>
      <c r="J10" s="1">
        <f>[44]Sales!K19</f>
        <v>3989.2326330529008</v>
      </c>
      <c r="K10" s="1">
        <f>[44]Sales!L19</f>
        <v>4333.5412441327471</v>
      </c>
      <c r="L10" s="1">
        <f>[44]Sales!M19</f>
        <v>4519.8374644466658</v>
      </c>
      <c r="M10" s="1">
        <f>[44]Sales!N19</f>
        <v>4873.2447346158642</v>
      </c>
      <c r="N10" s="1">
        <f t="shared" ref="N10:N12" si="0">SUM(B10:M10)</f>
        <v>50244.079944005534</v>
      </c>
    </row>
    <row r="11" spans="1:14">
      <c r="A11" t="s">
        <v>14</v>
      </c>
      <c r="B11" s="1">
        <f>[44]Sales!C20</f>
        <v>12409.33258626142</v>
      </c>
      <c r="C11" s="1">
        <f>[44]Sales!D20</f>
        <v>1052.13058553104</v>
      </c>
      <c r="D11" s="1">
        <f>[44]Sales!E20</f>
        <v>1220.7570504326743</v>
      </c>
      <c r="E11" s="1">
        <f>[44]Sales!F20</f>
        <v>1267.5683075730153</v>
      </c>
      <c r="F11" s="1">
        <f>[44]Sales!G20</f>
        <v>1079.6565976502695</v>
      </c>
      <c r="G11" s="1">
        <f>[44]Sales!H20</f>
        <v>1058.8106156234708</v>
      </c>
      <c r="H11" s="1">
        <f>[44]Sales!I20</f>
        <v>1106.1641401309939</v>
      </c>
      <c r="I11" s="1">
        <f>[44]Sales!J20</f>
        <v>1122.0407036580843</v>
      </c>
      <c r="J11" s="1">
        <f>[44]Sales!K20</f>
        <v>1040.0744468870337</v>
      </c>
      <c r="K11" s="1">
        <f>[44]Sales!L20</f>
        <v>1030.4242913127703</v>
      </c>
      <c r="L11" s="1">
        <f>[44]Sales!M20</f>
        <v>1060.3021165096618</v>
      </c>
      <c r="M11" s="1">
        <f>[44]Sales!N20</f>
        <v>1108.3842020066977</v>
      </c>
      <c r="N11" s="1">
        <f t="shared" si="0"/>
        <v>24555.645643577132</v>
      </c>
    </row>
    <row r="12" spans="1:14">
      <c r="A12" t="s">
        <v>119</v>
      </c>
      <c r="B12" s="1">
        <f>[44]Sales!C21</f>
        <v>1222.8234726603941</v>
      </c>
      <c r="C12" s="1">
        <f>[44]Sales!D21</f>
        <v>1284.156308591547</v>
      </c>
      <c r="D12" s="1">
        <f>[44]Sales!E21</f>
        <v>1249.4650091001774</v>
      </c>
      <c r="E12" s="1">
        <f>[44]Sales!F21</f>
        <v>1378.0723883199164</v>
      </c>
      <c r="F12" s="1">
        <f>[44]Sales!G21</f>
        <v>1301.4385654912626</v>
      </c>
      <c r="G12" s="1">
        <f>[44]Sales!H21</f>
        <v>1349.6086121420619</v>
      </c>
      <c r="H12" s="1">
        <f>[44]Sales!I21</f>
        <v>1362.8380360247525</v>
      </c>
      <c r="I12" s="1">
        <f>[44]Sales!J21</f>
        <v>1241.8698691254078</v>
      </c>
      <c r="J12" s="1">
        <f>[44]Sales!K21</f>
        <v>1114.4908608378428</v>
      </c>
      <c r="K12" s="1">
        <f>[44]Sales!L21</f>
        <v>1426.5053848126388</v>
      </c>
      <c r="L12" s="1">
        <f>[44]Sales!M21</f>
        <v>1321.1886372205511</v>
      </c>
      <c r="M12" s="1">
        <f>[44]Sales!N21</f>
        <v>1341.8163558058668</v>
      </c>
      <c r="N12" s="1">
        <f t="shared" si="0"/>
        <v>15594.273500132422</v>
      </c>
    </row>
    <row r="13" spans="1:14">
      <c r="A13" t="s">
        <v>21</v>
      </c>
      <c r="B13" s="1">
        <f>SUM(B9:B12)</f>
        <v>24549.559517828082</v>
      </c>
      <c r="C13" s="1">
        <f t="shared" ref="C13:N13" si="1">SUM(C9:C12)</f>
        <v>13360.897615070062</v>
      </c>
      <c r="D13" s="1">
        <f t="shared" si="1"/>
        <v>13262.490132483952</v>
      </c>
      <c r="E13" s="1">
        <f t="shared" si="1"/>
        <v>14456.444674169821</v>
      </c>
      <c r="F13" s="1">
        <f t="shared" si="1"/>
        <v>14404.06588233553</v>
      </c>
      <c r="G13" s="1">
        <f t="shared" si="1"/>
        <v>14107.967850657298</v>
      </c>
      <c r="H13" s="1">
        <f t="shared" si="1"/>
        <v>13793.635680964939</v>
      </c>
      <c r="I13" s="1">
        <f t="shared" si="1"/>
        <v>14376.189349307813</v>
      </c>
      <c r="J13" s="1">
        <f t="shared" si="1"/>
        <v>12828.796253562919</v>
      </c>
      <c r="K13" s="1">
        <f t="shared" si="1"/>
        <v>14122.353683874926</v>
      </c>
      <c r="L13" s="1">
        <f t="shared" si="1"/>
        <v>14360.144011545328</v>
      </c>
      <c r="M13" s="1">
        <f t="shared" si="1"/>
        <v>14967.097627114301</v>
      </c>
      <c r="N13" s="1">
        <f t="shared" si="1"/>
        <v>178589.64227891498</v>
      </c>
    </row>
    <row r="15" spans="1:14">
      <c r="A15" s="91" t="s">
        <v>122</v>
      </c>
      <c r="B15" s="91" t="s">
        <v>78</v>
      </c>
      <c r="C15" s="91" t="s">
        <v>123</v>
      </c>
      <c r="D15" s="91" t="s">
        <v>125</v>
      </c>
    </row>
    <row r="16" spans="1:14">
      <c r="A16" s="91" t="s">
        <v>0</v>
      </c>
      <c r="B16" s="92">
        <f>N9/$N$13</f>
        <v>0.49384523125623975</v>
      </c>
      <c r="C16" s="92"/>
      <c r="D16" s="92">
        <f>[44]Sales!O5/[44]Sales!$O$10</f>
        <v>0.51502061114374009</v>
      </c>
    </row>
    <row r="17" spans="1:4">
      <c r="A17" s="91" t="s">
        <v>13</v>
      </c>
      <c r="B17" s="92">
        <f t="shared" ref="B17:B19" si="2">N10/$N$13</f>
        <v>0.28133815210591057</v>
      </c>
      <c r="C17" s="92"/>
      <c r="D17" s="92">
        <f>[44]Sales!O6/[44]Sales!$O$10</f>
        <v>0.30913422218318942</v>
      </c>
    </row>
    <row r="18" spans="1:4">
      <c r="A18" s="91" t="s">
        <v>14</v>
      </c>
      <c r="B18" s="92">
        <f t="shared" si="2"/>
        <v>0.13749759129494751</v>
      </c>
      <c r="C18" s="92"/>
      <c r="D18" s="92">
        <f>[44]Sales!O7/[44]Sales!$O$10</f>
        <v>8.4662125445294015E-2</v>
      </c>
    </row>
    <row r="19" spans="1:4">
      <c r="A19" s="91" t="s">
        <v>119</v>
      </c>
      <c r="B19" s="92">
        <f t="shared" si="2"/>
        <v>8.7319025342902229E-2</v>
      </c>
      <c r="C19" s="92"/>
      <c r="D19" s="92">
        <f>[44]Sales!O8/[44]Sales!$O$10</f>
        <v>9.1183041227776471E-2</v>
      </c>
    </row>
    <row r="20" spans="1:4">
      <c r="A20" s="91" t="s">
        <v>124</v>
      </c>
      <c r="B20" s="92">
        <v>0</v>
      </c>
      <c r="C20" s="92"/>
      <c r="D20" s="92">
        <f>[44]Sales!O9/[44]Sales!$O$10</f>
        <v>0</v>
      </c>
    </row>
    <row r="21" spans="1:4">
      <c r="A21" s="91" t="s">
        <v>21</v>
      </c>
      <c r="B21" s="92">
        <f>N13/$N$13</f>
        <v>1</v>
      </c>
      <c r="C21" s="92"/>
      <c r="D21" s="92">
        <f>[44]Sales!O10/[44]Sales!$O$10</f>
        <v>1</v>
      </c>
    </row>
    <row r="25" spans="1:4">
      <c r="A25" t="s">
        <v>58</v>
      </c>
      <c r="B25" s="91" t="s">
        <v>78</v>
      </c>
      <c r="C25" s="91" t="s">
        <v>123</v>
      </c>
      <c r="D25" s="91" t="s">
        <v>125</v>
      </c>
    </row>
    <row r="26" spans="1:4">
      <c r="A26" s="91" t="s">
        <v>0</v>
      </c>
      <c r="B26">
        <f>'[44]FY 18 Actuals VS Budget 18~19'!$E$52*B16</f>
        <v>740.74815782141422</v>
      </c>
    </row>
    <row r="27" spans="1:4">
      <c r="A27" s="91" t="s">
        <v>13</v>
      </c>
      <c r="B27">
        <f>'[44]FY 18 Actuals VS Budget 18~19'!$E$52*B17</f>
        <v>421.99601151803358</v>
      </c>
    </row>
    <row r="28" spans="1:4">
      <c r="A28" s="91" t="s">
        <v>14</v>
      </c>
      <c r="B28">
        <f>'[44]FY 18 Actuals VS Budget 18~19'!$E$52*B18</f>
        <v>206.24090506559327</v>
      </c>
    </row>
    <row r="29" spans="1:4">
      <c r="A29" s="91" t="s">
        <v>119</v>
      </c>
      <c r="B29">
        <f>'[44]FY 18 Actuals VS Budget 18~19'!$E$52*B19</f>
        <v>130.9750567014288</v>
      </c>
    </row>
    <row r="30" spans="1:4">
      <c r="A30" s="91" t="s">
        <v>124</v>
      </c>
      <c r="B30">
        <f>'[44]FY 18 Actuals VS Budget 18~19'!$E$52*B20</f>
        <v>0</v>
      </c>
    </row>
    <row r="31" spans="1:4">
      <c r="A31" s="91" t="s">
        <v>21</v>
      </c>
      <c r="B31">
        <f>'[44]FY 18 Actuals VS Budget 18~19'!$E$52*B21</f>
        <v>1499.9601311064698</v>
      </c>
    </row>
    <row r="32" spans="1:4">
      <c r="B32" s="93">
        <f>B31-('[44]FY 18 Actuals VS Budget 18~19'!$E$52)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Sheet</vt:lpstr>
      <vt:lpstr>Manpower Backup</vt:lpstr>
      <vt:lpstr>Production in Sqm</vt:lpstr>
      <vt:lpstr>Dashboards</vt:lpstr>
      <vt:lpstr>Prod Annualized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Yadav</dc:creator>
  <cp:lastModifiedBy>Aman Kumar Jha</cp:lastModifiedBy>
  <cp:lastPrinted>2016-05-17T03:46:40Z</cp:lastPrinted>
  <dcterms:created xsi:type="dcterms:W3CDTF">2015-10-15T05:23:24Z</dcterms:created>
  <dcterms:modified xsi:type="dcterms:W3CDTF">2020-05-30T06:17:13Z</dcterms:modified>
</cp:coreProperties>
</file>